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ustomProperty15.bin" ContentType="application/vnd.openxmlformats-officedocument.spreadsheetml.customProperty"/>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defaultThemeVersion="166925"/>
  <mc:AlternateContent xmlns:mc="http://schemas.openxmlformats.org/markup-compatibility/2006">
    <mc:Choice Requires="x15">
      <x15ac:absPath xmlns:x15ac="http://schemas.microsoft.com/office/spreadsheetml/2010/11/ac" url="https://ilgov.sharepoint.com/teams/IPA.Team/Shared Documents/Planning and Procurement/2024 LTP update Appendix B/"/>
    </mc:Choice>
  </mc:AlternateContent>
  <xr:revisionPtr revIDLastSave="25" documentId="8_{9679B7AD-DA0C-4D95-811C-9DD5A5A195DF}" xr6:coauthVersionLast="47" xr6:coauthVersionMax="47" xr10:uidLastSave="{7CED3F92-549A-4465-88FD-0BC7695DA5D5}"/>
  <bookViews>
    <workbookView xWindow="-120" yWindow="-120" windowWidth="29040" windowHeight="17790" tabRatio="787" activeTab="2" xr2:uid="{9DBC5021-4E64-4817-ABB6-936E9A43EEEB}"/>
  </bookViews>
  <sheets>
    <sheet name="Appendix B Annotations" sheetId="23" r:id="rId1"/>
    <sheet name="Collections and ACP" sheetId="8" r:id="rId2"/>
    <sheet name="Indexed REC Calculator" sheetId="1" r:id="rId3"/>
    <sheet name="Indexed REC Activities" sheetId="2" r:id="rId4"/>
    <sheet name="Indexed REC Spend" sheetId="5" r:id="rId5"/>
    <sheet name="ABP Future Assumptions" sheetId="18" r:id="rId6"/>
    <sheet name="24-25 ABP Activities" sheetId="19" r:id="rId7"/>
    <sheet name="24-25 ABP Summary" sheetId="22" r:id="rId8"/>
    <sheet name="Projected ABP RECs" sheetId="21" r:id="rId9"/>
    <sheet name="Projected ABP Spend" sheetId="20" r:id="rId10"/>
    <sheet name="ABP Under Contract" sheetId="16" r:id="rId11"/>
    <sheet name="Total REC Deliveries" sheetId="9" r:id="rId12"/>
    <sheet name="REC Spend projected" sheetId="10" r:id="rId13"/>
    <sheet name="Ch. 3 Tables and Graphs" sheetId="7" r:id="rId14"/>
    <sheet name="$ Tables and Graphs" sheetId="12" r:id="rId15"/>
  </sheets>
  <definedNames>
    <definedName name="_ftn1" localSheetId="13">'Ch. 3 Tables and Graphs'!#REF!</definedName>
    <definedName name="_ftn2" localSheetId="13">'Ch. 3 Tables and Graphs'!#REF!</definedName>
    <definedName name="_ftn3" localSheetId="13">'Ch. 3 Tables and Graphs'!#REF!</definedName>
    <definedName name="_ftn4" localSheetId="13">'Ch. 3 Tables and Graphs'!#REF!</definedName>
    <definedName name="_ftnref1" localSheetId="13">'Ch. 3 Tables and Graphs'!$D$193</definedName>
    <definedName name="_ftnref2" localSheetId="13">'Ch. 3 Tables and Graphs'!$E$193</definedName>
    <definedName name="_ftnref3" localSheetId="13">'Ch. 3 Tables and Graphs'!$F$193</definedName>
    <definedName name="_ftnref4" localSheetId="13">'Ch. 3 Tables and Graphs'!$C$196</definedName>
    <definedName name="_xlnm.Print_Area" localSheetId="14">'$ Tables and Graphs'!$A$1:$AM$119</definedName>
    <definedName name="_xlnm.Print_Area" localSheetId="6">'24-25 ABP Activities'!$B$3:$X$123</definedName>
    <definedName name="_xlnm.Print_Area" localSheetId="5">'ABP Future Assumptions'!$A$1:$P$94</definedName>
    <definedName name="_xlnm.Print_Area" localSheetId="0">'Appendix B Annotations'!$A$1:$J$118</definedName>
    <definedName name="_xlnm.Print_Area" localSheetId="9">'Projected ABP Spend'!$A$10:$T$175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2" i="1" l="1"/>
  <c r="X16" i="1"/>
  <c r="E44" i="8" l="1"/>
  <c r="K4" i="8"/>
  <c r="K5" i="8"/>
  <c r="K6" i="8"/>
  <c r="K7" i="8"/>
  <c r="K8" i="8"/>
  <c r="K9" i="8"/>
  <c r="K10" i="8"/>
  <c r="K11" i="8"/>
  <c r="J25" i="2"/>
  <c r="K4" i="2"/>
  <c r="L4" i="2"/>
  <c r="M4" i="2"/>
  <c r="N4" i="2"/>
  <c r="O4" i="2"/>
  <c r="P4" i="2"/>
  <c r="P74" i="2" s="1"/>
  <c r="Q4" i="2"/>
  <c r="R4" i="2"/>
  <c r="R74" i="2" s="1"/>
  <c r="S4" i="2"/>
  <c r="T4" i="2"/>
  <c r="U4" i="2"/>
  <c r="V4" i="2"/>
  <c r="W4" i="2"/>
  <c r="X4" i="2"/>
  <c r="X74" i="2" s="1"/>
  <c r="Y4" i="2"/>
  <c r="Z4" i="2"/>
  <c r="Z74" i="2" s="1"/>
  <c r="J4" i="2"/>
  <c r="Z20" i="2"/>
  <c r="Z19" i="2"/>
  <c r="Y19" i="2"/>
  <c r="Z18" i="2"/>
  <c r="Y18" i="2"/>
  <c r="X18" i="2"/>
  <c r="Z17" i="2"/>
  <c r="Y17" i="2"/>
  <c r="X17" i="2"/>
  <c r="W17" i="2"/>
  <c r="Z16" i="2"/>
  <c r="Y16" i="2"/>
  <c r="X16" i="2"/>
  <c r="W16" i="2"/>
  <c r="V16" i="2"/>
  <c r="Z15" i="2"/>
  <c r="Y15" i="2"/>
  <c r="X15" i="2"/>
  <c r="W15" i="2"/>
  <c r="V15" i="2"/>
  <c r="U15" i="2"/>
  <c r="Z14" i="2"/>
  <c r="Y14" i="2"/>
  <c r="X14" i="2"/>
  <c r="W14" i="2"/>
  <c r="V14" i="2"/>
  <c r="U14" i="2"/>
  <c r="T14" i="2"/>
  <c r="Z13" i="2"/>
  <c r="Y13" i="2"/>
  <c r="X13" i="2"/>
  <c r="W13" i="2"/>
  <c r="V13" i="2"/>
  <c r="U13" i="2"/>
  <c r="T13" i="2"/>
  <c r="S13" i="2"/>
  <c r="Z12" i="2"/>
  <c r="Y12" i="2"/>
  <c r="X12" i="2"/>
  <c r="W12" i="2"/>
  <c r="V12" i="2"/>
  <c r="U12" i="2"/>
  <c r="T12" i="2"/>
  <c r="S12" i="2"/>
  <c r="R12" i="2"/>
  <c r="Z11" i="2"/>
  <c r="Y11" i="2"/>
  <c r="X11" i="2"/>
  <c r="W11" i="2"/>
  <c r="V11" i="2"/>
  <c r="U11" i="2"/>
  <c r="T11" i="2"/>
  <c r="S11" i="2"/>
  <c r="R11" i="2"/>
  <c r="Q11" i="2"/>
  <c r="Q10" i="2"/>
  <c r="R10" i="2"/>
  <c r="S10" i="2"/>
  <c r="T10" i="2"/>
  <c r="U10" i="2"/>
  <c r="V10" i="2"/>
  <c r="W10" i="2"/>
  <c r="X10" i="2"/>
  <c r="Y10" i="2"/>
  <c r="Z10" i="2"/>
  <c r="P10" i="2"/>
  <c r="J91" i="2"/>
  <c r="F29" i="21"/>
  <c r="G29" i="21"/>
  <c r="H29" i="21"/>
  <c r="I29" i="21"/>
  <c r="J29" i="21"/>
  <c r="K29" i="21"/>
  <c r="L29" i="21"/>
  <c r="M29" i="21"/>
  <c r="N29" i="21"/>
  <c r="O29" i="21"/>
  <c r="P29" i="21"/>
  <c r="Q29" i="21"/>
  <c r="R29" i="21"/>
  <c r="S29" i="21"/>
  <c r="T29" i="21"/>
  <c r="U29" i="21"/>
  <c r="F30" i="21"/>
  <c r="G30" i="21"/>
  <c r="H30" i="21"/>
  <c r="I30" i="21"/>
  <c r="J30" i="21"/>
  <c r="K30" i="21"/>
  <c r="L30" i="21"/>
  <c r="M30" i="21"/>
  <c r="N30" i="21"/>
  <c r="O30" i="21"/>
  <c r="P30" i="21"/>
  <c r="Q30" i="21"/>
  <c r="R30" i="21"/>
  <c r="S30" i="21"/>
  <c r="T30" i="21"/>
  <c r="U30" i="21"/>
  <c r="F31" i="21"/>
  <c r="G31" i="21"/>
  <c r="H31" i="21"/>
  <c r="I31" i="21"/>
  <c r="J31" i="21"/>
  <c r="K31" i="21"/>
  <c r="L31" i="21"/>
  <c r="M31" i="21"/>
  <c r="N31" i="21"/>
  <c r="O31" i="21"/>
  <c r="P31" i="21"/>
  <c r="Q31" i="21"/>
  <c r="R31" i="21"/>
  <c r="S31" i="21"/>
  <c r="T31" i="21"/>
  <c r="U31" i="21"/>
  <c r="F32" i="21"/>
  <c r="G32" i="21"/>
  <c r="H32" i="21"/>
  <c r="I32" i="21"/>
  <c r="J32" i="21"/>
  <c r="K32" i="21"/>
  <c r="L32" i="21"/>
  <c r="M32" i="21"/>
  <c r="N32" i="21"/>
  <c r="O32" i="21"/>
  <c r="P32" i="21"/>
  <c r="Q32" i="21"/>
  <c r="R32" i="21"/>
  <c r="S32" i="21"/>
  <c r="T32" i="21"/>
  <c r="U32" i="21"/>
  <c r="F33" i="21"/>
  <c r="G33" i="21"/>
  <c r="H33" i="21"/>
  <c r="I33" i="21"/>
  <c r="J33" i="21"/>
  <c r="K33" i="21"/>
  <c r="L33" i="21"/>
  <c r="M33" i="21"/>
  <c r="N33" i="21"/>
  <c r="O33" i="21"/>
  <c r="P33" i="21"/>
  <c r="Q33" i="21"/>
  <c r="R33" i="21"/>
  <c r="S33" i="21"/>
  <c r="T33" i="21"/>
  <c r="U33" i="21"/>
  <c r="F34" i="21"/>
  <c r="G34" i="21"/>
  <c r="H34" i="21"/>
  <c r="I34" i="21"/>
  <c r="J34" i="21"/>
  <c r="K34" i="21"/>
  <c r="L34" i="21"/>
  <c r="M34" i="21"/>
  <c r="N34" i="21"/>
  <c r="O34" i="21"/>
  <c r="P34" i="21"/>
  <c r="Q34" i="21"/>
  <c r="R34" i="21"/>
  <c r="S34" i="21"/>
  <c r="T34" i="21"/>
  <c r="U34" i="21"/>
  <c r="E30" i="21"/>
  <c r="E31" i="21"/>
  <c r="E32" i="21"/>
  <c r="E33" i="21"/>
  <c r="E34" i="21"/>
  <c r="E29" i="21"/>
  <c r="D29" i="20"/>
  <c r="D30" i="20"/>
  <c r="D31" i="20"/>
  <c r="D32" i="20"/>
  <c r="D33" i="20"/>
  <c r="D34" i="20"/>
  <c r="L60" i="18"/>
  <c r="L61" i="18"/>
  <c r="L62" i="18"/>
  <c r="L63" i="18"/>
  <c r="L64" i="18"/>
  <c r="L65" i="18"/>
  <c r="L66" i="18"/>
  <c r="L68" i="18"/>
  <c r="L69" i="18"/>
  <c r="L70" i="18"/>
  <c r="L71" i="18"/>
  <c r="L72" i="18"/>
  <c r="L73" i="18"/>
  <c r="L74" i="18"/>
  <c r="K8" i="18"/>
  <c r="L8" i="18" s="1"/>
  <c r="B165" i="20"/>
  <c r="Z62" i="2"/>
  <c r="Y61" i="2"/>
  <c r="X60" i="2"/>
  <c r="W59" i="2"/>
  <c r="V58" i="2"/>
  <c r="U57" i="2"/>
  <c r="T56" i="2"/>
  <c r="S55" i="2"/>
  <c r="R54" i="2"/>
  <c r="Q53" i="2"/>
  <c r="P52" i="2"/>
  <c r="O51" i="2"/>
  <c r="N50" i="2"/>
  <c r="M49" i="2"/>
  <c r="L48" i="2"/>
  <c r="L76" i="2" s="1"/>
  <c r="Z40" i="2"/>
  <c r="X39" i="2"/>
  <c r="Z41" i="2"/>
  <c r="Y40" i="2"/>
  <c r="W38" i="2"/>
  <c r="V37" i="2"/>
  <c r="U36" i="2"/>
  <c r="T35" i="2"/>
  <c r="S34" i="2"/>
  <c r="R33" i="2"/>
  <c r="Q32" i="2"/>
  <c r="P31" i="2"/>
  <c r="O30" i="2"/>
  <c r="N29" i="2"/>
  <c r="M28" i="2"/>
  <c r="L27" i="2"/>
  <c r="L81" i="2" s="1"/>
  <c r="Z9" i="2"/>
  <c r="Y9" i="2"/>
  <c r="X9" i="2"/>
  <c r="W9" i="2"/>
  <c r="V9" i="2"/>
  <c r="U9" i="2"/>
  <c r="T9" i="2"/>
  <c r="S9" i="2"/>
  <c r="R9" i="2"/>
  <c r="Q9" i="2"/>
  <c r="P9" i="2"/>
  <c r="O9" i="2"/>
  <c r="Z8" i="2"/>
  <c r="Y8" i="2"/>
  <c r="X8" i="2"/>
  <c r="W8" i="2"/>
  <c r="V8" i="2"/>
  <c r="U8" i="2"/>
  <c r="T8" i="2"/>
  <c r="S8" i="2"/>
  <c r="R8" i="2"/>
  <c r="Q8" i="2"/>
  <c r="P8" i="2"/>
  <c r="O8" i="2"/>
  <c r="N8" i="2"/>
  <c r="Z7" i="2"/>
  <c r="Y7" i="2"/>
  <c r="X7" i="2"/>
  <c r="W7" i="2"/>
  <c r="V7" i="2"/>
  <c r="U7" i="2"/>
  <c r="T7" i="2"/>
  <c r="S7" i="2"/>
  <c r="R7" i="2"/>
  <c r="Q7" i="2"/>
  <c r="P7" i="2"/>
  <c r="O7" i="2"/>
  <c r="N7" i="2"/>
  <c r="M7" i="2"/>
  <c r="M6" i="2"/>
  <c r="N6" i="2"/>
  <c r="O6" i="2"/>
  <c r="P6" i="2"/>
  <c r="Q6" i="2"/>
  <c r="R6" i="2"/>
  <c r="S6" i="2"/>
  <c r="T6" i="2"/>
  <c r="U6" i="2"/>
  <c r="V6" i="2"/>
  <c r="W6" i="2"/>
  <c r="X6" i="2"/>
  <c r="Y6" i="2"/>
  <c r="Z6" i="2"/>
  <c r="L6" i="2"/>
  <c r="K80" i="2"/>
  <c r="D80" i="5"/>
  <c r="E80" i="5"/>
  <c r="F80" i="5"/>
  <c r="G80" i="5"/>
  <c r="H80" i="5"/>
  <c r="C80" i="5"/>
  <c r="D81" i="5"/>
  <c r="E81" i="5"/>
  <c r="F81" i="5"/>
  <c r="G81" i="5"/>
  <c r="H81" i="5"/>
  <c r="D82" i="5"/>
  <c r="E82" i="5"/>
  <c r="F82" i="5"/>
  <c r="G82" i="5"/>
  <c r="H82" i="5"/>
  <c r="C82" i="5"/>
  <c r="C81" i="5"/>
  <c r="D74" i="5"/>
  <c r="E74" i="5"/>
  <c r="D75" i="5"/>
  <c r="E75" i="5"/>
  <c r="D76" i="5"/>
  <c r="E76" i="5"/>
  <c r="C76" i="5"/>
  <c r="C75" i="5"/>
  <c r="C74" i="5"/>
  <c r="D80" i="2"/>
  <c r="E80" i="2"/>
  <c r="F80" i="2"/>
  <c r="G80" i="2"/>
  <c r="H80" i="2"/>
  <c r="I80" i="2"/>
  <c r="J80" i="2"/>
  <c r="D81" i="2"/>
  <c r="E81" i="2"/>
  <c r="F81" i="2"/>
  <c r="G81" i="2"/>
  <c r="H81" i="2"/>
  <c r="I81" i="2"/>
  <c r="J81" i="2"/>
  <c r="K81" i="2"/>
  <c r="D82" i="2"/>
  <c r="E82" i="2"/>
  <c r="F82" i="2"/>
  <c r="G82" i="2"/>
  <c r="H82" i="2"/>
  <c r="I82" i="2"/>
  <c r="J82" i="2"/>
  <c r="K82" i="2"/>
  <c r="C82" i="2"/>
  <c r="C81" i="2"/>
  <c r="C80" i="2"/>
  <c r="D74" i="2"/>
  <c r="E74" i="2"/>
  <c r="F74" i="2"/>
  <c r="G74" i="2"/>
  <c r="H74" i="2"/>
  <c r="I74" i="2"/>
  <c r="J74" i="2"/>
  <c r="K74" i="2"/>
  <c r="L74" i="2"/>
  <c r="M74" i="2"/>
  <c r="N74" i="2"/>
  <c r="O74" i="2"/>
  <c r="Q74" i="2"/>
  <c r="S74" i="2"/>
  <c r="T74" i="2"/>
  <c r="U74" i="2"/>
  <c r="V74" i="2"/>
  <c r="W74" i="2"/>
  <c r="Y74" i="2"/>
  <c r="D75" i="2"/>
  <c r="E75" i="2"/>
  <c r="F75" i="2"/>
  <c r="G75" i="2"/>
  <c r="H75" i="2"/>
  <c r="I75" i="2"/>
  <c r="J75" i="2"/>
  <c r="D76" i="2"/>
  <c r="E76" i="2"/>
  <c r="F76" i="2"/>
  <c r="G76" i="2"/>
  <c r="H76" i="2"/>
  <c r="I76" i="2"/>
  <c r="J76" i="2"/>
  <c r="K76" i="2"/>
  <c r="C76" i="2"/>
  <c r="C75" i="2"/>
  <c r="C74" i="2"/>
  <c r="L82" i="2" l="1"/>
  <c r="N80" i="2"/>
  <c r="O80" i="2"/>
  <c r="M80" i="2"/>
  <c r="P80" i="2"/>
  <c r="U80" i="2"/>
  <c r="Q80" i="2"/>
  <c r="R80" i="2"/>
  <c r="Z80" i="2"/>
  <c r="Y80" i="2"/>
  <c r="X80" i="2"/>
  <c r="W80" i="2"/>
  <c r="V80" i="2"/>
  <c r="T80" i="2"/>
  <c r="S80" i="2"/>
  <c r="L80" i="2"/>
  <c r="E6" i="1" l="1"/>
  <c r="F6" i="1"/>
  <c r="F9" i="1" s="1"/>
  <c r="G6" i="1"/>
  <c r="G10" i="1" s="1"/>
  <c r="H6" i="1"/>
  <c r="H10" i="1" s="1"/>
  <c r="I6" i="1"/>
  <c r="I10" i="1" s="1"/>
  <c r="J6" i="1"/>
  <c r="J9" i="1" s="1"/>
  <c r="K6" i="1"/>
  <c r="K9" i="1" s="1"/>
  <c r="L6" i="1"/>
  <c r="L15" i="1" s="1"/>
  <c r="M6" i="1"/>
  <c r="M11" i="1" s="1"/>
  <c r="N6" i="1"/>
  <c r="N10" i="1" s="1"/>
  <c r="O6" i="1"/>
  <c r="O9" i="1" s="1"/>
  <c r="P6" i="1"/>
  <c r="P16" i="1" s="1"/>
  <c r="Q6" i="1"/>
  <c r="Q9" i="1" s="1"/>
  <c r="R6" i="1"/>
  <c r="R17" i="1" s="1"/>
  <c r="S6" i="1"/>
  <c r="S9" i="1" s="1"/>
  <c r="T6" i="1"/>
  <c r="T15" i="1" s="1"/>
  <c r="U6" i="1"/>
  <c r="U10" i="1" s="1"/>
  <c r="V6" i="1"/>
  <c r="V18" i="1" s="1"/>
  <c r="W6" i="1"/>
  <c r="W10" i="1" s="1"/>
  <c r="X6" i="1"/>
  <c r="X10" i="1" s="1"/>
  <c r="I9" i="1"/>
  <c r="P10" i="1"/>
  <c r="P13" i="1"/>
  <c r="J76" i="8"/>
  <c r="J43" i="8"/>
  <c r="F8" i="10"/>
  <c r="N13" i="1" l="1"/>
  <c r="V20" i="1"/>
  <c r="W16" i="1"/>
  <c r="V13" i="1"/>
  <c r="Q17" i="1"/>
  <c r="Q18" i="1"/>
  <c r="V10" i="1"/>
  <c r="V19" i="1"/>
  <c r="V16" i="1"/>
  <c r="U17" i="1"/>
  <c r="U9" i="1"/>
  <c r="V9" i="1"/>
  <c r="V17" i="1"/>
  <c r="V15" i="1"/>
  <c r="V12" i="1"/>
  <c r="W15" i="1"/>
  <c r="N9" i="1"/>
  <c r="N15" i="1"/>
  <c r="V21" i="1"/>
  <c r="V14" i="1"/>
  <c r="V11" i="1"/>
  <c r="N12" i="1"/>
  <c r="W20" i="1"/>
  <c r="N17" i="1"/>
  <c r="N14" i="1"/>
  <c r="N11" i="1"/>
  <c r="N16" i="1"/>
  <c r="O13" i="1"/>
  <c r="O11" i="1"/>
  <c r="J13" i="1"/>
  <c r="Q10" i="1"/>
  <c r="O10" i="1"/>
  <c r="L12" i="1"/>
  <c r="X13" i="1"/>
  <c r="W18" i="1"/>
  <c r="P15" i="1"/>
  <c r="W13" i="1"/>
  <c r="O12" i="1"/>
  <c r="X18" i="1"/>
  <c r="P12" i="1"/>
  <c r="O15" i="1"/>
  <c r="X19" i="1"/>
  <c r="W17" i="1"/>
  <c r="O16" i="1"/>
  <c r="P14" i="1"/>
  <c r="Q11" i="1"/>
  <c r="X17" i="1"/>
  <c r="W19" i="1"/>
  <c r="O14" i="1"/>
  <c r="P11" i="1"/>
  <c r="X9" i="1"/>
  <c r="M14" i="1"/>
  <c r="Q20" i="1"/>
  <c r="M15" i="1"/>
  <c r="L14" i="1"/>
  <c r="M9" i="1"/>
  <c r="M16" i="1"/>
  <c r="U18" i="1"/>
  <c r="M13" i="1"/>
  <c r="M12" i="1"/>
  <c r="L9" i="1"/>
  <c r="U20" i="1"/>
  <c r="U14" i="1"/>
  <c r="U15" i="1"/>
  <c r="Q14" i="1"/>
  <c r="I12" i="1"/>
  <c r="I11" i="1"/>
  <c r="L10" i="1"/>
  <c r="M10" i="1"/>
  <c r="U21" i="1"/>
  <c r="Q15" i="1"/>
  <c r="U13" i="1"/>
  <c r="U12" i="1"/>
  <c r="U19" i="1"/>
  <c r="U16" i="1"/>
  <c r="Q19" i="1"/>
  <c r="Q16" i="1"/>
  <c r="Q13" i="1"/>
  <c r="Q12" i="1"/>
  <c r="U11" i="1"/>
  <c r="T21" i="1"/>
  <c r="T14" i="1"/>
  <c r="T12" i="1"/>
  <c r="X11" i="1"/>
  <c r="T10" i="1"/>
  <c r="H9" i="1"/>
  <c r="X20" i="1"/>
  <c r="X15" i="1"/>
  <c r="W11" i="1"/>
  <c r="G9" i="1"/>
  <c r="T18" i="1"/>
  <c r="T17" i="1"/>
  <c r="L13" i="1"/>
  <c r="L11" i="1"/>
  <c r="T9" i="1"/>
  <c r="P9" i="1"/>
  <c r="X21" i="1"/>
  <c r="P18" i="1"/>
  <c r="P17" i="1"/>
  <c r="X14" i="1"/>
  <c r="R13" i="1"/>
  <c r="X12" i="1"/>
  <c r="T11" i="1"/>
  <c r="H11" i="1"/>
  <c r="T19" i="1"/>
  <c r="T16" i="1"/>
  <c r="T13" i="1"/>
  <c r="W21" i="1"/>
  <c r="T20" i="1"/>
  <c r="P19" i="1"/>
  <c r="O18" i="1"/>
  <c r="O17" i="1"/>
  <c r="W14" i="1"/>
  <c r="W12" i="1"/>
  <c r="R10" i="1"/>
  <c r="R11" i="1"/>
  <c r="R9" i="1"/>
  <c r="J12" i="1"/>
  <c r="W9" i="1"/>
  <c r="R12" i="1"/>
  <c r="S13" i="1"/>
  <c r="K13" i="1"/>
  <c r="R16" i="1"/>
  <c r="S14" i="1"/>
  <c r="K14" i="1"/>
  <c r="S20" i="1"/>
  <c r="S19" i="1"/>
  <c r="R14" i="1"/>
  <c r="S21" i="1"/>
  <c r="R20" i="1"/>
  <c r="R19" i="1"/>
  <c r="S18" i="1"/>
  <c r="R21" i="1"/>
  <c r="R18" i="1"/>
  <c r="S15" i="1"/>
  <c r="S16" i="1"/>
  <c r="S17" i="1"/>
  <c r="R15" i="1"/>
  <c r="S12" i="1"/>
  <c r="K12" i="1"/>
  <c r="S11" i="1"/>
  <c r="J11" i="1"/>
  <c r="S10" i="1"/>
  <c r="K11" i="1"/>
  <c r="K10" i="1"/>
  <c r="J10" i="1"/>
  <c r="G8" i="18" l="1"/>
  <c r="I10" i="8"/>
  <c r="J11" i="8"/>
  <c r="I11" i="8"/>
  <c r="H11" i="8" l="1"/>
  <c r="C176" i="21"/>
  <c r="D176" i="21"/>
  <c r="B166" i="21"/>
  <c r="B183" i="21"/>
  <c r="B182" i="21"/>
  <c r="B181" i="21"/>
  <c r="C181" i="21"/>
  <c r="B180" i="21"/>
  <c r="B179" i="21"/>
  <c r="B178" i="21"/>
  <c r="B177" i="21"/>
  <c r="B176" i="21"/>
  <c r="B175" i="21"/>
  <c r="N10" i="12" l="1"/>
  <c r="Z4" i="10" l="1"/>
  <c r="E149" i="8"/>
  <c r="E141" i="8"/>
  <c r="C149" i="8"/>
  <c r="AA31" i="10"/>
  <c r="G9" i="8"/>
  <c r="G5" i="8"/>
  <c r="F5" i="8"/>
  <c r="K36" i="8"/>
  <c r="K106" i="8"/>
  <c r="K105" i="8"/>
  <c r="H5" i="8"/>
  <c r="H6" i="8"/>
  <c r="H7" i="8"/>
  <c r="H8" i="8"/>
  <c r="H9" i="8"/>
  <c r="H12" i="8"/>
  <c r="H13" i="8"/>
  <c r="H14" i="8"/>
  <c r="H15" i="8"/>
  <c r="H16" i="8"/>
  <c r="H17" i="8"/>
  <c r="H18" i="8"/>
  <c r="H19" i="8"/>
  <c r="H20" i="8"/>
  <c r="H21" i="8"/>
  <c r="H22" i="8"/>
  <c r="H23" i="8"/>
  <c r="H24" i="8"/>
  <c r="H25" i="8"/>
  <c r="H26" i="8"/>
  <c r="H27" i="8"/>
  <c r="H28" i="8"/>
  <c r="H29" i="8"/>
  <c r="H4" i="8"/>
  <c r="J5" i="8"/>
  <c r="J6" i="8"/>
  <c r="J7" i="8"/>
  <c r="J8" i="8"/>
  <c r="J9" i="8"/>
  <c r="J12" i="8"/>
  <c r="J13" i="8"/>
  <c r="J14" i="8"/>
  <c r="J15" i="8"/>
  <c r="J16" i="8"/>
  <c r="J17" i="8"/>
  <c r="J18" i="8"/>
  <c r="J19" i="8"/>
  <c r="J20" i="8"/>
  <c r="J21" i="8"/>
  <c r="J22" i="8"/>
  <c r="J23" i="8"/>
  <c r="J24" i="8"/>
  <c r="J25" i="8"/>
  <c r="J26" i="8"/>
  <c r="J27" i="8"/>
  <c r="J28" i="8"/>
  <c r="J29" i="8"/>
  <c r="J4" i="8"/>
  <c r="I5" i="8"/>
  <c r="I6" i="8"/>
  <c r="I7" i="8"/>
  <c r="I8" i="8"/>
  <c r="I9" i="8"/>
  <c r="I12" i="8"/>
  <c r="I13" i="8"/>
  <c r="I14" i="8"/>
  <c r="I15" i="8"/>
  <c r="I16" i="8"/>
  <c r="I17" i="8"/>
  <c r="I18" i="8"/>
  <c r="I19" i="8"/>
  <c r="I20" i="8"/>
  <c r="I21" i="8"/>
  <c r="I22" i="8"/>
  <c r="I23" i="8"/>
  <c r="I24" i="8"/>
  <c r="I25" i="8"/>
  <c r="I26" i="8"/>
  <c r="I27" i="8"/>
  <c r="I28" i="8"/>
  <c r="I29" i="8"/>
  <c r="I4" i="8"/>
  <c r="F4" i="8"/>
  <c r="E5" i="8"/>
  <c r="E6" i="8"/>
  <c r="E7" i="8"/>
  <c r="E8" i="8"/>
  <c r="E9" i="8"/>
  <c r="E10" i="8"/>
  <c r="E11" i="8"/>
  <c r="E12" i="8"/>
  <c r="E13" i="8"/>
  <c r="E14" i="8"/>
  <c r="E15" i="8"/>
  <c r="E16" i="8"/>
  <c r="E17" i="8"/>
  <c r="E18" i="8"/>
  <c r="E19" i="8"/>
  <c r="E20" i="8"/>
  <c r="E21" i="8"/>
  <c r="E22" i="8"/>
  <c r="E23" i="8"/>
  <c r="E24" i="8"/>
  <c r="E25" i="8"/>
  <c r="E26" i="8"/>
  <c r="E27" i="8"/>
  <c r="E28" i="8"/>
  <c r="E29" i="8"/>
  <c r="E4" i="8"/>
  <c r="M4" i="9" l="1"/>
  <c r="T33" i="9"/>
  <c r="T61" i="9"/>
  <c r="G86" i="18" l="1"/>
  <c r="G85" i="18"/>
  <c r="G84" i="18"/>
  <c r="G83" i="18"/>
  <c r="G81" i="18"/>
  <c r="G80" i="18"/>
  <c r="G79" i="18"/>
  <c r="G78" i="18"/>
  <c r="G77" i="18"/>
  <c r="G74" i="18"/>
  <c r="G72" i="18"/>
  <c r="G71" i="18"/>
  <c r="G70" i="18"/>
  <c r="G69" i="18"/>
  <c r="G68" i="18"/>
  <c r="G66" i="18"/>
  <c r="G64" i="18"/>
  <c r="G63" i="18"/>
  <c r="G62" i="18"/>
  <c r="G61" i="18"/>
  <c r="G60" i="18"/>
  <c r="G56" i="18"/>
  <c r="G55" i="18"/>
  <c r="G54" i="18"/>
  <c r="G53" i="18"/>
  <c r="G52" i="18"/>
  <c r="G49" i="18"/>
  <c r="G48" i="18"/>
  <c r="G47" i="18"/>
  <c r="G46" i="18"/>
  <c r="G45" i="18"/>
  <c r="G42" i="18"/>
  <c r="G40" i="18"/>
  <c r="G39" i="18"/>
  <c r="G38" i="18"/>
  <c r="G37" i="18"/>
  <c r="G36" i="18"/>
  <c r="G34" i="18"/>
  <c r="G32" i="18"/>
  <c r="G31" i="18"/>
  <c r="G30" i="18"/>
  <c r="G29" i="18"/>
  <c r="G28" i="18"/>
  <c r="G24" i="18"/>
  <c r="G23" i="18"/>
  <c r="G22" i="18"/>
  <c r="G21" i="18"/>
  <c r="G18" i="18"/>
  <c r="G17" i="18"/>
  <c r="G16" i="18"/>
  <c r="G15" i="18"/>
  <c r="G12" i="18"/>
  <c r="G11" i="18"/>
  <c r="G9" i="18"/>
  <c r="I8" i="18"/>
  <c r="I5" i="10" l="1"/>
  <c r="I6" i="10"/>
  <c r="I7" i="10"/>
  <c r="E200" i="7" s="1"/>
  <c r="I8" i="10"/>
  <c r="I9" i="10"/>
  <c r="I10" i="10"/>
  <c r="I11" i="10"/>
  <c r="I12" i="10"/>
  <c r="I13" i="10"/>
  <c r="I14" i="10"/>
  <c r="I15" i="10"/>
  <c r="I16" i="10"/>
  <c r="I17" i="10"/>
  <c r="I18" i="10"/>
  <c r="I19" i="10"/>
  <c r="I20" i="10"/>
  <c r="I21" i="10"/>
  <c r="I22" i="10"/>
  <c r="I23" i="10"/>
  <c r="I24" i="10"/>
  <c r="I25" i="10"/>
  <c r="I26" i="10"/>
  <c r="I27" i="10"/>
  <c r="M5" i="9"/>
  <c r="M6" i="9"/>
  <c r="M7" i="9"/>
  <c r="M8" i="9"/>
  <c r="M9" i="9"/>
  <c r="M10" i="9"/>
  <c r="M11" i="9"/>
  <c r="M12" i="9"/>
  <c r="M13" i="9"/>
  <c r="M14" i="9"/>
  <c r="M15" i="9"/>
  <c r="M16" i="9"/>
  <c r="M17" i="9"/>
  <c r="M18" i="9"/>
  <c r="M19" i="9"/>
  <c r="M20" i="9"/>
  <c r="M21" i="9"/>
  <c r="M22" i="9"/>
  <c r="M23" i="9"/>
  <c r="M24" i="9"/>
  <c r="M25" i="9"/>
  <c r="M26" i="9"/>
  <c r="M27" i="9"/>
  <c r="I4" i="10"/>
  <c r="D110" i="12"/>
  <c r="E42" i="8" l="1"/>
  <c r="J42" i="8"/>
  <c r="Y86" i="10"/>
  <c r="X86" i="10"/>
  <c r="W86" i="10"/>
  <c r="Y59" i="10"/>
  <c r="X59" i="10"/>
  <c r="W59" i="10"/>
  <c r="Y32" i="10"/>
  <c r="X32" i="10"/>
  <c r="W32" i="10"/>
  <c r="W31" i="10"/>
  <c r="K42" i="8" l="1"/>
  <c r="B5" i="10"/>
  <c r="C5" i="10"/>
  <c r="D5" i="10"/>
  <c r="Z5" i="10"/>
  <c r="B6" i="10"/>
  <c r="C6" i="10"/>
  <c r="D6" i="10"/>
  <c r="B7" i="10"/>
  <c r="D200" i="7" s="1"/>
  <c r="C7" i="10"/>
  <c r="D7" i="10"/>
  <c r="B8" i="10"/>
  <c r="C8" i="10"/>
  <c r="D8" i="10"/>
  <c r="E8" i="10"/>
  <c r="C9" i="10"/>
  <c r="D202" i="7" s="1"/>
  <c r="D9" i="10"/>
  <c r="E9" i="10"/>
  <c r="F9" i="10"/>
  <c r="C10" i="10"/>
  <c r="D10" i="10"/>
  <c r="E10" i="10"/>
  <c r="F10" i="10"/>
  <c r="F129" i="12" s="1"/>
  <c r="F159" i="12" s="1"/>
  <c r="C11" i="10"/>
  <c r="D204" i="7" s="1"/>
  <c r="D11" i="10"/>
  <c r="E11" i="10"/>
  <c r="F11" i="10"/>
  <c r="C12" i="10"/>
  <c r="D12" i="10"/>
  <c r="E12" i="10"/>
  <c r="F12" i="10"/>
  <c r="C13" i="10"/>
  <c r="D206" i="7" s="1"/>
  <c r="D13" i="10"/>
  <c r="E13" i="10"/>
  <c r="F13" i="10"/>
  <c r="C14" i="10"/>
  <c r="D14" i="10"/>
  <c r="E14" i="10"/>
  <c r="F14" i="10"/>
  <c r="D15" i="10"/>
  <c r="D208" i="7" s="1"/>
  <c r="E15" i="10"/>
  <c r="D16" i="10"/>
  <c r="D209" i="7" s="1"/>
  <c r="E16" i="10"/>
  <c r="D17" i="10"/>
  <c r="D210" i="7" s="1"/>
  <c r="E17" i="10"/>
  <c r="F136" i="12" s="1"/>
  <c r="F166" i="12" s="1"/>
  <c r="D18" i="10"/>
  <c r="E18" i="10"/>
  <c r="D19" i="10"/>
  <c r="D212" i="7" s="1"/>
  <c r="E19" i="10"/>
  <c r="D20" i="10"/>
  <c r="D213" i="7" s="1"/>
  <c r="E20" i="10"/>
  <c r="D21" i="10"/>
  <c r="E21" i="10"/>
  <c r="F140" i="12" s="1"/>
  <c r="F170" i="12" s="1"/>
  <c r="D22" i="10"/>
  <c r="E22" i="10"/>
  <c r="D23" i="10"/>
  <c r="D216" i="7" s="1"/>
  <c r="E23" i="10"/>
  <c r="D24" i="10"/>
  <c r="D217" i="7" s="1"/>
  <c r="E24" i="10"/>
  <c r="D25" i="10"/>
  <c r="D218" i="7" s="1"/>
  <c r="E25" i="10"/>
  <c r="D26" i="10"/>
  <c r="E26" i="10"/>
  <c r="D27" i="10"/>
  <c r="E27" i="10"/>
  <c r="D6" i="1"/>
  <c r="I123" i="12"/>
  <c r="I153" i="12" s="1"/>
  <c r="H123" i="12"/>
  <c r="H153" i="12" s="1"/>
  <c r="G124" i="12"/>
  <c r="G154" i="12" s="1"/>
  <c r="G125" i="12"/>
  <c r="G155" i="12" s="1"/>
  <c r="G126" i="12"/>
  <c r="G156" i="12" s="1"/>
  <c r="G123" i="12"/>
  <c r="G153" i="12" s="1"/>
  <c r="F123" i="12"/>
  <c r="F153" i="12" s="1"/>
  <c r="C123" i="12"/>
  <c r="C153" i="12" s="1"/>
  <c r="H69" i="2"/>
  <c r="I124" i="12"/>
  <c r="I154" i="12" s="1"/>
  <c r="H124" i="12"/>
  <c r="H154" i="12" s="1"/>
  <c r="H125" i="12"/>
  <c r="H155" i="12" s="1"/>
  <c r="H126" i="12"/>
  <c r="H156" i="12" s="1"/>
  <c r="F124" i="12"/>
  <c r="F154" i="12" s="1"/>
  <c r="F125" i="12"/>
  <c r="F155" i="12" s="1"/>
  <c r="F126" i="12"/>
  <c r="F156" i="12" s="1"/>
  <c r="F128" i="12"/>
  <c r="F158" i="12" s="1"/>
  <c r="F132" i="12"/>
  <c r="F162" i="12" s="1"/>
  <c r="F138" i="12"/>
  <c r="F168" i="12" s="1"/>
  <c r="E124" i="12"/>
  <c r="E154" i="12" s="1"/>
  <c r="E125" i="12"/>
  <c r="E155" i="12" s="1"/>
  <c r="E126" i="12"/>
  <c r="E156" i="12" s="1"/>
  <c r="E127" i="12"/>
  <c r="E157" i="12" s="1"/>
  <c r="E128" i="12"/>
  <c r="E158" i="12" s="1"/>
  <c r="E129" i="12"/>
  <c r="E159" i="12" s="1"/>
  <c r="E130" i="12"/>
  <c r="E160" i="12" s="1"/>
  <c r="E131" i="12"/>
  <c r="E161" i="12" s="1"/>
  <c r="E132" i="12"/>
  <c r="E162" i="12" s="1"/>
  <c r="E133" i="12"/>
  <c r="E163" i="12" s="1"/>
  <c r="E134" i="12"/>
  <c r="E164" i="12" s="1"/>
  <c r="E135" i="12"/>
  <c r="E165" i="12" s="1"/>
  <c r="E136" i="12"/>
  <c r="E166" i="12" s="1"/>
  <c r="E137" i="12"/>
  <c r="E167" i="12" s="1"/>
  <c r="E138" i="12"/>
  <c r="E168" i="12" s="1"/>
  <c r="E139" i="12"/>
  <c r="E169" i="12" s="1"/>
  <c r="E140" i="12"/>
  <c r="E170" i="12" s="1"/>
  <c r="E141" i="12"/>
  <c r="E171" i="12" s="1"/>
  <c r="E142" i="12"/>
  <c r="E172" i="12" s="1"/>
  <c r="E143" i="12"/>
  <c r="E173" i="12" s="1"/>
  <c r="E144" i="12"/>
  <c r="E174" i="12" s="1"/>
  <c r="E145" i="12"/>
  <c r="E175" i="12" s="1"/>
  <c r="E123" i="12"/>
  <c r="E153" i="12" s="1"/>
  <c r="D135" i="12"/>
  <c r="D165" i="12" s="1"/>
  <c r="D139" i="12"/>
  <c r="D169" i="12" s="1"/>
  <c r="C124" i="12"/>
  <c r="C125" i="12"/>
  <c r="C155" i="12" s="1"/>
  <c r="C126" i="12"/>
  <c r="C156" i="12" s="1"/>
  <c r="C127" i="12"/>
  <c r="C157" i="12" s="1"/>
  <c r="C128" i="12"/>
  <c r="C158" i="12" s="1"/>
  <c r="C129" i="12"/>
  <c r="C159" i="12" s="1"/>
  <c r="C130" i="12"/>
  <c r="C160" i="12" s="1"/>
  <c r="C131" i="12"/>
  <c r="C161" i="12" s="1"/>
  <c r="C132" i="12"/>
  <c r="C162" i="12" s="1"/>
  <c r="C133" i="12"/>
  <c r="C163" i="12" s="1"/>
  <c r="C134" i="12"/>
  <c r="C164" i="12" s="1"/>
  <c r="C135" i="12"/>
  <c r="C165" i="12" s="1"/>
  <c r="C136" i="12"/>
  <c r="C166" i="12" s="1"/>
  <c r="C137" i="12"/>
  <c r="C167" i="12" s="1"/>
  <c r="C138" i="12"/>
  <c r="C168" i="12" s="1"/>
  <c r="C139" i="12"/>
  <c r="C169" i="12" s="1"/>
  <c r="C140" i="12"/>
  <c r="C170" i="12" s="1"/>
  <c r="C141" i="12"/>
  <c r="C171" i="12" s="1"/>
  <c r="C142" i="12"/>
  <c r="C172" i="12" s="1"/>
  <c r="C143" i="12"/>
  <c r="C173" i="12" s="1"/>
  <c r="C144" i="12"/>
  <c r="C174" i="12" s="1"/>
  <c r="C145" i="12"/>
  <c r="C175" i="12" s="1"/>
  <c r="D145" i="12" l="1"/>
  <c r="D175" i="12" s="1"/>
  <c r="D219" i="7"/>
  <c r="D215" i="7"/>
  <c r="D211" i="7"/>
  <c r="D140" i="12"/>
  <c r="D170" i="12" s="1"/>
  <c r="D214" i="7"/>
  <c r="D207" i="7"/>
  <c r="D205" i="7"/>
  <c r="D203" i="7"/>
  <c r="D201" i="7"/>
  <c r="D131" i="12"/>
  <c r="D161" i="12" s="1"/>
  <c r="D127" i="12"/>
  <c r="D157" i="12" s="1"/>
  <c r="D125" i="12"/>
  <c r="D155" i="12" s="1"/>
  <c r="F137" i="12"/>
  <c r="F167" i="12" s="1"/>
  <c r="D143" i="12"/>
  <c r="D173" i="12" s="1"/>
  <c r="F135" i="12"/>
  <c r="F165" i="12" s="1"/>
  <c r="D141" i="12"/>
  <c r="D171" i="12" s="1"/>
  <c r="F145" i="12"/>
  <c r="F175" i="12" s="1"/>
  <c r="F139" i="12"/>
  <c r="F169" i="12" s="1"/>
  <c r="D137" i="12"/>
  <c r="D167" i="12" s="1"/>
  <c r="F134" i="12"/>
  <c r="F164" i="12" s="1"/>
  <c r="F144" i="12"/>
  <c r="F174" i="12" s="1"/>
  <c r="F142" i="12"/>
  <c r="F172" i="12" s="1"/>
  <c r="F141" i="12"/>
  <c r="F171" i="12" s="1"/>
  <c r="D129" i="12"/>
  <c r="D159" i="12" s="1"/>
  <c r="D124" i="12"/>
  <c r="D154" i="12" s="1"/>
  <c r="F143" i="12"/>
  <c r="F173" i="12" s="1"/>
  <c r="F130" i="12"/>
  <c r="F160" i="12" s="1"/>
  <c r="F133" i="12"/>
  <c r="F163" i="12" s="1"/>
  <c r="D133" i="12"/>
  <c r="D163" i="12" s="1"/>
  <c r="F131" i="12"/>
  <c r="F161" i="12" s="1"/>
  <c r="D132" i="12"/>
  <c r="D162" i="12" s="1"/>
  <c r="D126" i="12"/>
  <c r="D156" i="12" s="1"/>
  <c r="D138" i="12"/>
  <c r="D168" i="12" s="1"/>
  <c r="D130" i="12"/>
  <c r="D160" i="12" s="1"/>
  <c r="F127" i="12"/>
  <c r="F157" i="12" s="1"/>
  <c r="D144" i="12"/>
  <c r="D174" i="12" s="1"/>
  <c r="D136" i="12"/>
  <c r="D166" i="12" s="1"/>
  <c r="D128" i="12"/>
  <c r="D158" i="12" s="1"/>
  <c r="D142" i="12"/>
  <c r="D172" i="12" s="1"/>
  <c r="D134" i="12"/>
  <c r="D164" i="12" s="1"/>
  <c r="C154" i="12"/>
  <c r="B3" i="21"/>
  <c r="C4" i="21"/>
  <c r="B2" i="21"/>
  <c r="B164" i="21" s="1"/>
  <c r="C6" i="21"/>
  <c r="K60" i="18"/>
  <c r="F3" i="5"/>
  <c r="G37" i="5"/>
  <c r="G33" i="12"/>
  <c r="B168" i="20"/>
  <c r="B167" i="20"/>
  <c r="D33" i="1"/>
  <c r="B168" i="21"/>
  <c r="B165" i="21"/>
  <c r="I9" i="18"/>
  <c r="C6" i="18"/>
  <c r="D60" i="1"/>
  <c r="C68" i="2"/>
  <c r="J68" i="2"/>
  <c r="D68" i="2"/>
  <c r="E68" i="2"/>
  <c r="F68" i="2"/>
  <c r="G68" i="2"/>
  <c r="H68" i="2"/>
  <c r="I68" i="2"/>
  <c r="K68" i="2"/>
  <c r="L68" i="2"/>
  <c r="M68" i="2"/>
  <c r="N68" i="2"/>
  <c r="O68" i="2"/>
  <c r="P68" i="2"/>
  <c r="Q68" i="2"/>
  <c r="R68" i="2"/>
  <c r="S68" i="2"/>
  <c r="T68" i="2"/>
  <c r="U68" i="2"/>
  <c r="V68" i="2"/>
  <c r="W68" i="2"/>
  <c r="X68" i="2"/>
  <c r="Y68" i="2"/>
  <c r="Z68" i="2"/>
  <c r="D69" i="2"/>
  <c r="E69" i="2"/>
  <c r="E71" i="2" s="1"/>
  <c r="F69" i="2"/>
  <c r="G69" i="2"/>
  <c r="I69" i="2"/>
  <c r="D70" i="2"/>
  <c r="E70" i="2"/>
  <c r="F70" i="2"/>
  <c r="G70" i="2"/>
  <c r="H70" i="2"/>
  <c r="I70" i="2"/>
  <c r="C70" i="2"/>
  <c r="C69" i="2"/>
  <c r="F89" i="12"/>
  <c r="G89" i="12"/>
  <c r="H89" i="12"/>
  <c r="I89" i="12"/>
  <c r="J89" i="12"/>
  <c r="K89" i="12"/>
  <c r="L89" i="12"/>
  <c r="M89" i="12"/>
  <c r="G90" i="12"/>
  <c r="H90" i="12"/>
  <c r="I90" i="12"/>
  <c r="J90" i="12"/>
  <c r="K90" i="12"/>
  <c r="L90" i="12"/>
  <c r="M90" i="12"/>
  <c r="F91" i="12"/>
  <c r="G91" i="12"/>
  <c r="H91" i="12"/>
  <c r="I91" i="12"/>
  <c r="J91" i="12"/>
  <c r="K91" i="12"/>
  <c r="L91" i="12"/>
  <c r="M91" i="12"/>
  <c r="F92" i="12"/>
  <c r="G92" i="12"/>
  <c r="H92" i="12"/>
  <c r="I92" i="12"/>
  <c r="J92" i="12"/>
  <c r="K92" i="12"/>
  <c r="L92" i="12"/>
  <c r="M92" i="12"/>
  <c r="F93" i="12"/>
  <c r="G93" i="12"/>
  <c r="H93" i="12"/>
  <c r="I93" i="12"/>
  <c r="J93" i="12"/>
  <c r="K93" i="12"/>
  <c r="L93" i="12"/>
  <c r="M93" i="12"/>
  <c r="F94" i="12"/>
  <c r="G94" i="12"/>
  <c r="H94" i="12"/>
  <c r="I94" i="12"/>
  <c r="J94" i="12"/>
  <c r="K94" i="12"/>
  <c r="L94" i="12"/>
  <c r="M94" i="12"/>
  <c r="G88" i="12"/>
  <c r="H88" i="12"/>
  <c r="I88" i="12"/>
  <c r="J88" i="12"/>
  <c r="K88" i="12"/>
  <c r="L88" i="12"/>
  <c r="M88" i="12"/>
  <c r="F88" i="12"/>
  <c r="E89" i="12"/>
  <c r="E90" i="12"/>
  <c r="E91" i="12"/>
  <c r="E92" i="12"/>
  <c r="E88" i="12"/>
  <c r="E60" i="12"/>
  <c r="C89" i="12"/>
  <c r="C90" i="12"/>
  <c r="C91" i="12"/>
  <c r="C92" i="12"/>
  <c r="C93" i="12"/>
  <c r="C94" i="12"/>
  <c r="C95" i="12"/>
  <c r="C96" i="12"/>
  <c r="C97" i="12"/>
  <c r="C98" i="12"/>
  <c r="C99" i="12"/>
  <c r="C100" i="12"/>
  <c r="C101" i="12"/>
  <c r="C102" i="12"/>
  <c r="C103" i="12"/>
  <c r="C104" i="12"/>
  <c r="C105" i="12"/>
  <c r="C106" i="12"/>
  <c r="C107" i="12"/>
  <c r="C108" i="12"/>
  <c r="C109" i="12"/>
  <c r="C110" i="12"/>
  <c r="C88" i="12"/>
  <c r="C82" i="12"/>
  <c r="D27" i="9"/>
  <c r="E27" i="9"/>
  <c r="F27" i="9"/>
  <c r="G27" i="9"/>
  <c r="C27" i="9"/>
  <c r="B27" i="9"/>
  <c r="C4" i="12"/>
  <c r="C60" i="12"/>
  <c r="C32" i="12"/>
  <c r="B4" i="9"/>
  <c r="D4" i="9"/>
  <c r="E86" i="10"/>
  <c r="F86" i="10"/>
  <c r="G86" i="10"/>
  <c r="J86" i="10"/>
  <c r="K86" i="10"/>
  <c r="L86" i="10"/>
  <c r="O86" i="10"/>
  <c r="Q86" i="10"/>
  <c r="R86" i="10"/>
  <c r="S86" i="10"/>
  <c r="T86" i="10"/>
  <c r="U86" i="10"/>
  <c r="V86" i="10"/>
  <c r="E87" i="10"/>
  <c r="F87" i="10"/>
  <c r="G87" i="10"/>
  <c r="J87" i="10"/>
  <c r="K87" i="10"/>
  <c r="L87" i="10"/>
  <c r="O87" i="10"/>
  <c r="Q87" i="10"/>
  <c r="R87" i="10"/>
  <c r="S87" i="10"/>
  <c r="T87" i="10"/>
  <c r="U87" i="10"/>
  <c r="V87" i="10"/>
  <c r="E88" i="10"/>
  <c r="F88" i="10"/>
  <c r="G88" i="10"/>
  <c r="J88" i="10"/>
  <c r="K88" i="10"/>
  <c r="L88" i="10"/>
  <c r="O88" i="10"/>
  <c r="Q88" i="10"/>
  <c r="R88" i="10"/>
  <c r="S88" i="10"/>
  <c r="T88" i="10"/>
  <c r="U88" i="10"/>
  <c r="V88" i="10"/>
  <c r="E89" i="10"/>
  <c r="F89" i="10"/>
  <c r="G89" i="10"/>
  <c r="O89" i="10"/>
  <c r="E90" i="10"/>
  <c r="F90" i="10"/>
  <c r="G90" i="10"/>
  <c r="O90" i="10"/>
  <c r="E91" i="10"/>
  <c r="F91" i="10"/>
  <c r="G91" i="10"/>
  <c r="O91" i="10"/>
  <c r="E92" i="10"/>
  <c r="F92" i="10"/>
  <c r="G92" i="10"/>
  <c r="O92" i="10"/>
  <c r="E93" i="10"/>
  <c r="F93" i="10"/>
  <c r="G93" i="10"/>
  <c r="O93" i="10"/>
  <c r="E94" i="10"/>
  <c r="F94" i="10"/>
  <c r="G94" i="10"/>
  <c r="O94" i="10"/>
  <c r="E95" i="10"/>
  <c r="F95" i="10"/>
  <c r="G95" i="10"/>
  <c r="O95" i="10"/>
  <c r="E96" i="10"/>
  <c r="F96" i="10"/>
  <c r="G96" i="10"/>
  <c r="O96" i="10"/>
  <c r="E97" i="10"/>
  <c r="F97" i="10"/>
  <c r="G97" i="10"/>
  <c r="O97" i="10"/>
  <c r="E98" i="10"/>
  <c r="F98" i="10"/>
  <c r="G98" i="10"/>
  <c r="O98" i="10"/>
  <c r="E99" i="10"/>
  <c r="F99" i="10"/>
  <c r="G99" i="10"/>
  <c r="O99" i="10"/>
  <c r="E100" i="10"/>
  <c r="F100" i="10"/>
  <c r="G100" i="10"/>
  <c r="O100" i="10"/>
  <c r="E101" i="10"/>
  <c r="F101" i="10"/>
  <c r="G101" i="10"/>
  <c r="O101" i="10"/>
  <c r="E102" i="10"/>
  <c r="F102" i="10"/>
  <c r="G102" i="10"/>
  <c r="O102" i="10"/>
  <c r="E103" i="10"/>
  <c r="F103" i="10"/>
  <c r="G103" i="10"/>
  <c r="O103" i="10"/>
  <c r="E104" i="10"/>
  <c r="F104" i="10"/>
  <c r="G104" i="10"/>
  <c r="O104" i="10"/>
  <c r="E105" i="10"/>
  <c r="F105" i="10"/>
  <c r="G105" i="10"/>
  <c r="O105" i="10"/>
  <c r="E106" i="10"/>
  <c r="F106" i="10"/>
  <c r="G106" i="10"/>
  <c r="O106" i="10"/>
  <c r="E107" i="10"/>
  <c r="F107" i="10"/>
  <c r="G107" i="10"/>
  <c r="O107" i="10"/>
  <c r="E108" i="10"/>
  <c r="F108" i="10"/>
  <c r="G108" i="10"/>
  <c r="O108" i="10"/>
  <c r="B86" i="10"/>
  <c r="C86" i="10"/>
  <c r="D86" i="10"/>
  <c r="B87" i="10"/>
  <c r="C87" i="10"/>
  <c r="D87" i="10"/>
  <c r="B88" i="10"/>
  <c r="C88" i="10"/>
  <c r="D88" i="10"/>
  <c r="B89" i="10"/>
  <c r="C89" i="10"/>
  <c r="D89" i="10"/>
  <c r="B90" i="10"/>
  <c r="C90" i="10"/>
  <c r="D90" i="10"/>
  <c r="B91" i="10"/>
  <c r="C91" i="10"/>
  <c r="D91" i="10"/>
  <c r="B92" i="10"/>
  <c r="C92" i="10"/>
  <c r="D92" i="10"/>
  <c r="B93" i="10"/>
  <c r="C93" i="10"/>
  <c r="D93" i="10"/>
  <c r="B94" i="10"/>
  <c r="C94" i="10"/>
  <c r="D94" i="10"/>
  <c r="B95" i="10"/>
  <c r="C95" i="10"/>
  <c r="D95" i="10"/>
  <c r="B96" i="10"/>
  <c r="C96" i="10"/>
  <c r="D96" i="10"/>
  <c r="B97" i="10"/>
  <c r="C97" i="10"/>
  <c r="D97" i="10"/>
  <c r="B98" i="10"/>
  <c r="C98" i="10"/>
  <c r="D98" i="10"/>
  <c r="B99" i="10"/>
  <c r="C99" i="10"/>
  <c r="D99" i="10"/>
  <c r="B100" i="10"/>
  <c r="C100" i="10"/>
  <c r="D100" i="10"/>
  <c r="B101" i="10"/>
  <c r="C101" i="10"/>
  <c r="D101" i="10"/>
  <c r="B102" i="10"/>
  <c r="C102" i="10"/>
  <c r="D102" i="10"/>
  <c r="B103" i="10"/>
  <c r="C103" i="10"/>
  <c r="D103" i="10"/>
  <c r="B104" i="10"/>
  <c r="C104" i="10"/>
  <c r="D104" i="10"/>
  <c r="B105" i="10"/>
  <c r="C105" i="10"/>
  <c r="D105" i="10"/>
  <c r="B106" i="10"/>
  <c r="C106" i="10"/>
  <c r="D106" i="10"/>
  <c r="B107" i="10"/>
  <c r="C107" i="10"/>
  <c r="D107" i="10"/>
  <c r="B108" i="10"/>
  <c r="C108" i="10"/>
  <c r="D108" i="10"/>
  <c r="O85" i="10"/>
  <c r="R85" i="10"/>
  <c r="S85" i="10"/>
  <c r="Q85" i="10"/>
  <c r="T85" i="10"/>
  <c r="U85" i="10"/>
  <c r="V85" i="10"/>
  <c r="W85" i="10"/>
  <c r="X85" i="10"/>
  <c r="Y85" i="10"/>
  <c r="D145" i="8"/>
  <c r="D170" i="8"/>
  <c r="D171" i="8"/>
  <c r="B152" i="8"/>
  <c r="J75" i="8"/>
  <c r="Q61" i="10"/>
  <c r="J77" i="18"/>
  <c r="K77" i="18" s="1"/>
  <c r="L77" i="18" s="1"/>
  <c r="J78" i="18"/>
  <c r="J79" i="18"/>
  <c r="J80" i="18"/>
  <c r="J81" i="18"/>
  <c r="K75" i="8" l="1"/>
  <c r="AB7" i="10" s="1"/>
  <c r="J10" i="8"/>
  <c r="H10" i="8" s="1"/>
  <c r="C2" i="21"/>
  <c r="H27" i="9"/>
  <c r="D88" i="12"/>
  <c r="Z85" i="10"/>
  <c r="D89" i="12"/>
  <c r="Z86" i="10"/>
  <c r="C71" i="2"/>
  <c r="D71" i="2"/>
  <c r="B144" i="8"/>
  <c r="B145" i="8" s="1"/>
  <c r="C152" i="8" l="1"/>
  <c r="E33" i="1"/>
  <c r="E60" i="1"/>
  <c r="E143" i="8"/>
  <c r="E142" i="8"/>
  <c r="C144" i="8"/>
  <c r="E144" i="8" s="1"/>
  <c r="G33" i="1" l="1"/>
  <c r="F2" i="5"/>
  <c r="F74" i="5" s="1"/>
  <c r="F60" i="1"/>
  <c r="F63" i="1" s="1"/>
  <c r="F44" i="5" s="1"/>
  <c r="F76" i="5" s="1"/>
  <c r="F33" i="1"/>
  <c r="F36" i="1" s="1"/>
  <c r="C145" i="8"/>
  <c r="E145" i="8" s="1"/>
  <c r="N5" i="12"/>
  <c r="N7" i="12"/>
  <c r="N8" i="12"/>
  <c r="N9" i="12"/>
  <c r="N4" i="12"/>
  <c r="D196" i="7"/>
  <c r="F196" i="7" s="1"/>
  <c r="D195" i="7"/>
  <c r="F195" i="7" s="1"/>
  <c r="D194" i="7"/>
  <c r="K50" i="8"/>
  <c r="I56" i="18"/>
  <c r="I55" i="18"/>
  <c r="I54" i="18"/>
  <c r="I53" i="18"/>
  <c r="I52" i="18"/>
  <c r="I49" i="18"/>
  <c r="I48" i="18"/>
  <c r="I47" i="18"/>
  <c r="I46" i="18"/>
  <c r="I45" i="18"/>
  <c r="I42" i="18"/>
  <c r="I41" i="18"/>
  <c r="I40" i="18"/>
  <c r="I39" i="18"/>
  <c r="I38" i="18"/>
  <c r="I37" i="18"/>
  <c r="I36" i="18"/>
  <c r="I34" i="18"/>
  <c r="I33" i="18"/>
  <c r="I32" i="18"/>
  <c r="I31" i="18"/>
  <c r="I30" i="18"/>
  <c r="I29" i="18"/>
  <c r="I28" i="18"/>
  <c r="I86" i="18"/>
  <c r="I85" i="18"/>
  <c r="I84" i="18"/>
  <c r="I83" i="18"/>
  <c r="I81" i="18"/>
  <c r="I80" i="18"/>
  <c r="I79" i="18"/>
  <c r="I78" i="18"/>
  <c r="I77" i="18"/>
  <c r="I74" i="18"/>
  <c r="I73" i="18"/>
  <c r="I72" i="18"/>
  <c r="I71" i="18"/>
  <c r="I70" i="18"/>
  <c r="I69" i="18"/>
  <c r="I68" i="18"/>
  <c r="I66" i="18"/>
  <c r="I65" i="18"/>
  <c r="I64" i="18"/>
  <c r="I63" i="18"/>
  <c r="I62" i="18"/>
  <c r="I61" i="18"/>
  <c r="I60" i="18"/>
  <c r="I24" i="18"/>
  <c r="I23" i="18"/>
  <c r="I22" i="18"/>
  <c r="I21" i="18"/>
  <c r="I18" i="18"/>
  <c r="I17" i="18"/>
  <c r="I16" i="18"/>
  <c r="I15" i="18"/>
  <c r="I12" i="18"/>
  <c r="I11" i="18"/>
  <c r="I6" i="18" s="1"/>
  <c r="B2" i="20" s="1"/>
  <c r="I67" i="18"/>
  <c r="I19" i="18"/>
  <c r="D6" i="21"/>
  <c r="E6" i="21" s="1"/>
  <c r="F6" i="21" s="1"/>
  <c r="G6" i="21" s="1"/>
  <c r="H6" i="21" s="1"/>
  <c r="I6" i="21" s="1"/>
  <c r="J6" i="21" s="1"/>
  <c r="K6" i="21" s="1"/>
  <c r="L6" i="21" s="1"/>
  <c r="M6" i="21" s="1"/>
  <c r="N6" i="21" s="1"/>
  <c r="O6" i="21" s="1"/>
  <c r="P6" i="21" s="1"/>
  <c r="Q6" i="21" s="1"/>
  <c r="R6" i="21" s="1"/>
  <c r="S6" i="21" s="1"/>
  <c r="T6" i="21" s="1"/>
  <c r="U6" i="21" s="1"/>
  <c r="D4" i="21"/>
  <c r="E4" i="21" s="1"/>
  <c r="F4" i="21" s="1"/>
  <c r="G4" i="21" s="1"/>
  <c r="H4" i="21" s="1"/>
  <c r="I4" i="21" s="1"/>
  <c r="J4" i="21" s="1"/>
  <c r="K4" i="21" s="1"/>
  <c r="L4" i="21" s="1"/>
  <c r="M4" i="21" s="1"/>
  <c r="N4" i="21" s="1"/>
  <c r="O4" i="21" s="1"/>
  <c r="P4" i="21" s="1"/>
  <c r="Q4" i="21" s="1"/>
  <c r="R4" i="21" s="1"/>
  <c r="S4" i="21" s="1"/>
  <c r="T4" i="21" s="1"/>
  <c r="U4" i="21" s="1"/>
  <c r="H87" i="18"/>
  <c r="H86" i="18"/>
  <c r="H85" i="18"/>
  <c r="H84" i="18"/>
  <c r="H83" i="18"/>
  <c r="H81" i="18"/>
  <c r="H80" i="18"/>
  <c r="H79" i="18"/>
  <c r="H78" i="18"/>
  <c r="H77" i="18"/>
  <c r="L85" i="10"/>
  <c r="K85" i="10"/>
  <c r="J85" i="10"/>
  <c r="F85" i="10"/>
  <c r="G85" i="10"/>
  <c r="E85" i="10"/>
  <c r="O81" i="10"/>
  <c r="G81" i="10"/>
  <c r="F81" i="10"/>
  <c r="C81" i="10"/>
  <c r="B81" i="10"/>
  <c r="O73" i="10"/>
  <c r="O74" i="10"/>
  <c r="O75" i="10"/>
  <c r="O76" i="10"/>
  <c r="O77" i="10"/>
  <c r="O78" i="10"/>
  <c r="O79" i="10"/>
  <c r="O80" i="10"/>
  <c r="L61" i="10"/>
  <c r="L60" i="10"/>
  <c r="L59" i="10"/>
  <c r="L58" i="10"/>
  <c r="K61" i="10"/>
  <c r="K60" i="10"/>
  <c r="K59" i="10"/>
  <c r="K58" i="10"/>
  <c r="J61" i="10"/>
  <c r="J60" i="10"/>
  <c r="J59" i="10"/>
  <c r="J58" i="10"/>
  <c r="G80" i="10"/>
  <c r="G79" i="10"/>
  <c r="G78" i="10"/>
  <c r="G77" i="10"/>
  <c r="G76" i="10"/>
  <c r="G75" i="10"/>
  <c r="G74" i="10"/>
  <c r="G73" i="10"/>
  <c r="G72" i="10"/>
  <c r="G71" i="10"/>
  <c r="G70" i="10"/>
  <c r="G69" i="10"/>
  <c r="G68" i="10"/>
  <c r="G67" i="10"/>
  <c r="G66" i="10"/>
  <c r="G65" i="10"/>
  <c r="G64" i="10"/>
  <c r="G63" i="10"/>
  <c r="G62" i="10"/>
  <c r="G61" i="10"/>
  <c r="G60" i="10"/>
  <c r="G59" i="10"/>
  <c r="G58" i="10"/>
  <c r="F80" i="10"/>
  <c r="F79" i="10"/>
  <c r="F78" i="10"/>
  <c r="F77" i="10"/>
  <c r="F76" i="10"/>
  <c r="F75" i="10"/>
  <c r="F74" i="10"/>
  <c r="F73" i="10"/>
  <c r="F72" i="10"/>
  <c r="F71" i="10"/>
  <c r="F70" i="10"/>
  <c r="F69" i="10"/>
  <c r="F61" i="10"/>
  <c r="F60" i="10"/>
  <c r="F59" i="10"/>
  <c r="F58" i="10"/>
  <c r="E59" i="10"/>
  <c r="E60" i="10"/>
  <c r="E61" i="10"/>
  <c r="E58" i="10"/>
  <c r="O49" i="10"/>
  <c r="O50" i="10"/>
  <c r="O51" i="10"/>
  <c r="O52" i="10"/>
  <c r="O53" i="10"/>
  <c r="O54" i="10"/>
  <c r="J32" i="10"/>
  <c r="K32" i="10"/>
  <c r="L32" i="10"/>
  <c r="J33" i="10"/>
  <c r="K33" i="10"/>
  <c r="L33" i="10"/>
  <c r="J34" i="10"/>
  <c r="K34" i="10"/>
  <c r="L34" i="10"/>
  <c r="K31" i="10"/>
  <c r="L31" i="10"/>
  <c r="J31" i="10"/>
  <c r="E31" i="10"/>
  <c r="F31" i="10"/>
  <c r="G31" i="10"/>
  <c r="E32" i="10"/>
  <c r="F32" i="10"/>
  <c r="G32" i="10"/>
  <c r="E33" i="10"/>
  <c r="F33" i="10"/>
  <c r="G33" i="10"/>
  <c r="E34" i="10"/>
  <c r="F34" i="10"/>
  <c r="G34" i="10"/>
  <c r="G35" i="10"/>
  <c r="G36" i="10"/>
  <c r="G37" i="10"/>
  <c r="G38" i="10"/>
  <c r="G39" i="10"/>
  <c r="G40" i="10"/>
  <c r="G41" i="10"/>
  <c r="F42" i="10"/>
  <c r="G42" i="10"/>
  <c r="F43" i="10"/>
  <c r="G43" i="10"/>
  <c r="F44" i="10"/>
  <c r="G44" i="10"/>
  <c r="F45" i="10"/>
  <c r="G45" i="10"/>
  <c r="F46" i="10"/>
  <c r="G46" i="10"/>
  <c r="F47" i="10"/>
  <c r="G47" i="10"/>
  <c r="F48" i="10"/>
  <c r="G48" i="10"/>
  <c r="F49" i="10"/>
  <c r="G49" i="10"/>
  <c r="F50" i="10"/>
  <c r="G50" i="10"/>
  <c r="F51" i="10"/>
  <c r="G51" i="10"/>
  <c r="F52" i="10"/>
  <c r="G52" i="10"/>
  <c r="F53" i="10"/>
  <c r="G53" i="10"/>
  <c r="F54" i="10"/>
  <c r="G54" i="10"/>
  <c r="B54" i="10"/>
  <c r="C54" i="10"/>
  <c r="E61" i="12"/>
  <c r="F61" i="12"/>
  <c r="G61" i="12"/>
  <c r="H61" i="12"/>
  <c r="I61" i="12"/>
  <c r="J61" i="12"/>
  <c r="K61" i="12"/>
  <c r="L61" i="12"/>
  <c r="M61" i="12"/>
  <c r="E62" i="12"/>
  <c r="G62" i="12"/>
  <c r="H62" i="12"/>
  <c r="I62" i="12"/>
  <c r="J62" i="12"/>
  <c r="K62" i="12"/>
  <c r="L62" i="12"/>
  <c r="M62" i="12"/>
  <c r="E63" i="12"/>
  <c r="F63" i="12"/>
  <c r="G63" i="12"/>
  <c r="H63" i="12"/>
  <c r="I63" i="12"/>
  <c r="J63" i="12"/>
  <c r="K63" i="12"/>
  <c r="L63" i="12"/>
  <c r="M63" i="12"/>
  <c r="E64" i="12"/>
  <c r="F64" i="12"/>
  <c r="G64" i="12"/>
  <c r="H64" i="12"/>
  <c r="I64" i="12"/>
  <c r="J64" i="12"/>
  <c r="K64" i="12"/>
  <c r="L64" i="12"/>
  <c r="M64" i="12"/>
  <c r="F65" i="12"/>
  <c r="G65" i="12"/>
  <c r="H65" i="12"/>
  <c r="I65" i="12"/>
  <c r="J65" i="12"/>
  <c r="K65" i="12"/>
  <c r="L65" i="12"/>
  <c r="M65" i="12"/>
  <c r="F66" i="12"/>
  <c r="G66" i="12"/>
  <c r="H66" i="12"/>
  <c r="I66" i="12"/>
  <c r="J66" i="12"/>
  <c r="K66" i="12"/>
  <c r="L66" i="12"/>
  <c r="M66" i="12"/>
  <c r="F60" i="12"/>
  <c r="G60" i="12"/>
  <c r="H60" i="12"/>
  <c r="I60" i="12"/>
  <c r="J60" i="12"/>
  <c r="K60" i="12"/>
  <c r="L60" i="12"/>
  <c r="M60" i="12"/>
  <c r="E33" i="12"/>
  <c r="F33" i="12"/>
  <c r="H33" i="12"/>
  <c r="I33" i="12"/>
  <c r="J33" i="12"/>
  <c r="K33" i="12"/>
  <c r="L33" i="12"/>
  <c r="M33" i="12"/>
  <c r="E34" i="12"/>
  <c r="G34" i="12"/>
  <c r="H34" i="12"/>
  <c r="I34" i="12"/>
  <c r="J34" i="12"/>
  <c r="K34" i="12"/>
  <c r="L34" i="12"/>
  <c r="M34" i="12"/>
  <c r="E35" i="12"/>
  <c r="F35" i="12"/>
  <c r="G35" i="12"/>
  <c r="H35" i="12"/>
  <c r="I35" i="12"/>
  <c r="J35" i="12"/>
  <c r="K35" i="12"/>
  <c r="L35" i="12"/>
  <c r="M35" i="12"/>
  <c r="E36" i="12"/>
  <c r="F36" i="12"/>
  <c r="G36" i="12"/>
  <c r="H36" i="12"/>
  <c r="I36" i="12"/>
  <c r="J36" i="12"/>
  <c r="K36" i="12"/>
  <c r="L36" i="12"/>
  <c r="M36" i="12"/>
  <c r="F37" i="12"/>
  <c r="G37" i="12"/>
  <c r="H37" i="12"/>
  <c r="I37" i="12"/>
  <c r="J37" i="12"/>
  <c r="K37" i="12"/>
  <c r="L37" i="12"/>
  <c r="M37" i="12"/>
  <c r="F38" i="12"/>
  <c r="G38" i="12"/>
  <c r="H38" i="12"/>
  <c r="I38" i="12"/>
  <c r="J38" i="12"/>
  <c r="K38" i="12"/>
  <c r="L38" i="12"/>
  <c r="M38" i="12"/>
  <c r="F32" i="12"/>
  <c r="G32" i="12"/>
  <c r="H32" i="12"/>
  <c r="I32" i="12"/>
  <c r="J32" i="12"/>
  <c r="K32" i="12"/>
  <c r="L32" i="12"/>
  <c r="M32" i="12"/>
  <c r="E32" i="12"/>
  <c r="C61" i="12"/>
  <c r="C62" i="12"/>
  <c r="C63" i="12"/>
  <c r="C64" i="12"/>
  <c r="C65" i="12"/>
  <c r="C66" i="12"/>
  <c r="C67" i="12"/>
  <c r="C68" i="12"/>
  <c r="C69" i="12"/>
  <c r="C70" i="12"/>
  <c r="C71" i="12"/>
  <c r="C72" i="12"/>
  <c r="C73" i="12"/>
  <c r="C74" i="12"/>
  <c r="C75" i="12"/>
  <c r="C76" i="12"/>
  <c r="C77" i="12"/>
  <c r="C78" i="12"/>
  <c r="C79" i="12"/>
  <c r="C80" i="12"/>
  <c r="C81" i="12"/>
  <c r="C54" i="12"/>
  <c r="C53" i="12"/>
  <c r="C52" i="12"/>
  <c r="C51" i="12"/>
  <c r="C50" i="12"/>
  <c r="C49" i="12"/>
  <c r="C48" i="12"/>
  <c r="C47" i="12"/>
  <c r="C46" i="12"/>
  <c r="C45" i="12"/>
  <c r="C44" i="12"/>
  <c r="C43" i="12"/>
  <c r="C42" i="12"/>
  <c r="C41" i="12"/>
  <c r="C40" i="12"/>
  <c r="C39" i="12"/>
  <c r="C38" i="12"/>
  <c r="C37" i="12"/>
  <c r="C36" i="12"/>
  <c r="C35" i="12"/>
  <c r="C34" i="12"/>
  <c r="C33" i="12"/>
  <c r="X94" i="12"/>
  <c r="X93" i="12"/>
  <c r="X92" i="12"/>
  <c r="W92" i="12"/>
  <c r="X91" i="12"/>
  <c r="W91" i="12"/>
  <c r="W90" i="12"/>
  <c r="X89" i="12"/>
  <c r="W89" i="12"/>
  <c r="X88" i="12"/>
  <c r="W88" i="12"/>
  <c r="G31" i="7"/>
  <c r="F31" i="7"/>
  <c r="C26" i="12"/>
  <c r="C25" i="12"/>
  <c r="V5" i="12"/>
  <c r="W5" i="12"/>
  <c r="X5" i="12"/>
  <c r="V6" i="12"/>
  <c r="W6" i="12"/>
  <c r="V7" i="12"/>
  <c r="W7" i="12"/>
  <c r="X7" i="12"/>
  <c r="W8" i="12"/>
  <c r="X8" i="12"/>
  <c r="X9" i="12"/>
  <c r="X10" i="12"/>
  <c r="X4" i="12"/>
  <c r="W4" i="12"/>
  <c r="V4" i="12"/>
  <c r="D173" i="20"/>
  <c r="E173" i="20"/>
  <c r="F173" i="20"/>
  <c r="G173" i="20"/>
  <c r="H173" i="20"/>
  <c r="I173" i="20"/>
  <c r="J173" i="20"/>
  <c r="K173" i="20"/>
  <c r="L173" i="20"/>
  <c r="M173" i="20"/>
  <c r="N173" i="20"/>
  <c r="O173" i="20"/>
  <c r="P173" i="20"/>
  <c r="Q173" i="20"/>
  <c r="R173" i="20"/>
  <c r="S173" i="20"/>
  <c r="T173" i="20"/>
  <c r="U173" i="20"/>
  <c r="C173" i="20"/>
  <c r="C5" i="12"/>
  <c r="D5" i="12"/>
  <c r="C6" i="12"/>
  <c r="D6" i="12"/>
  <c r="C7" i="12"/>
  <c r="D7" i="12"/>
  <c r="C8" i="12"/>
  <c r="C9" i="12"/>
  <c r="C10" i="12"/>
  <c r="C11" i="12"/>
  <c r="C12" i="12"/>
  <c r="C13" i="12"/>
  <c r="C14" i="12"/>
  <c r="C15" i="12"/>
  <c r="C16" i="12"/>
  <c r="C17" i="12"/>
  <c r="C18" i="12"/>
  <c r="C19" i="12"/>
  <c r="C20" i="12"/>
  <c r="C21" i="12"/>
  <c r="C22" i="12"/>
  <c r="C23" i="12"/>
  <c r="C24" i="12"/>
  <c r="D4" i="12"/>
  <c r="Q152" i="21"/>
  <c r="P152" i="21"/>
  <c r="O152" i="21"/>
  <c r="N152" i="21"/>
  <c r="M152" i="21"/>
  <c r="L152" i="21"/>
  <c r="K152" i="21"/>
  <c r="J152" i="21"/>
  <c r="I152" i="21"/>
  <c r="H152" i="21"/>
  <c r="G152" i="21"/>
  <c r="F152" i="21"/>
  <c r="E152" i="21"/>
  <c r="D152" i="21"/>
  <c r="C152" i="21"/>
  <c r="D142" i="7"/>
  <c r="E142" i="7"/>
  <c r="D143" i="7"/>
  <c r="E143" i="7"/>
  <c r="D144" i="7"/>
  <c r="E144" i="7"/>
  <c r="D145" i="7"/>
  <c r="E145" i="7"/>
  <c r="D146" i="7"/>
  <c r="E146" i="7"/>
  <c r="D147" i="7"/>
  <c r="E147" i="7"/>
  <c r="D148" i="7"/>
  <c r="E148" i="7"/>
  <c r="D149" i="7"/>
  <c r="E149" i="7"/>
  <c r="D150" i="7"/>
  <c r="E150" i="7"/>
  <c r="D151" i="7"/>
  <c r="E151" i="7"/>
  <c r="D152" i="7"/>
  <c r="E152" i="7"/>
  <c r="D153" i="7"/>
  <c r="E153" i="7"/>
  <c r="D154" i="7"/>
  <c r="E154" i="7"/>
  <c r="D155" i="7"/>
  <c r="E155" i="7"/>
  <c r="D156" i="7"/>
  <c r="E156" i="7"/>
  <c r="D157" i="7"/>
  <c r="E157" i="7"/>
  <c r="D158" i="7"/>
  <c r="E158" i="7"/>
  <c r="D159" i="7"/>
  <c r="E159" i="7"/>
  <c r="D160" i="7"/>
  <c r="E160" i="7"/>
  <c r="D161" i="7"/>
  <c r="E161" i="7"/>
  <c r="D162" i="7"/>
  <c r="E162" i="7"/>
  <c r="D163" i="7"/>
  <c r="E163" i="7"/>
  <c r="D141" i="7"/>
  <c r="D109" i="7"/>
  <c r="F109" i="7"/>
  <c r="G109" i="7"/>
  <c r="I109" i="7"/>
  <c r="D88" i="7"/>
  <c r="F88" i="7"/>
  <c r="G88" i="7"/>
  <c r="I88" i="7"/>
  <c r="D89" i="7"/>
  <c r="F89" i="7"/>
  <c r="G89" i="7"/>
  <c r="I89" i="7"/>
  <c r="D90" i="7"/>
  <c r="F90" i="7"/>
  <c r="G90" i="7"/>
  <c r="I90" i="7"/>
  <c r="D91" i="7"/>
  <c r="F91" i="7"/>
  <c r="G91" i="7"/>
  <c r="I91" i="7"/>
  <c r="D92" i="7"/>
  <c r="F92" i="7"/>
  <c r="G92" i="7"/>
  <c r="I92" i="7"/>
  <c r="D93" i="7"/>
  <c r="F93" i="7"/>
  <c r="G93" i="7"/>
  <c r="I93" i="7"/>
  <c r="D94" i="7"/>
  <c r="F94" i="7"/>
  <c r="G94" i="7"/>
  <c r="I94" i="7"/>
  <c r="D95" i="7"/>
  <c r="F95" i="7"/>
  <c r="G95" i="7"/>
  <c r="I95" i="7"/>
  <c r="D96" i="7"/>
  <c r="F96" i="7"/>
  <c r="G96" i="7"/>
  <c r="I96" i="7"/>
  <c r="D97" i="7"/>
  <c r="F97" i="7"/>
  <c r="G97" i="7"/>
  <c r="I97" i="7"/>
  <c r="D98" i="7"/>
  <c r="F98" i="7"/>
  <c r="G98" i="7"/>
  <c r="I98" i="7"/>
  <c r="D99" i="7"/>
  <c r="F99" i="7"/>
  <c r="G99" i="7"/>
  <c r="I99" i="7"/>
  <c r="D100" i="7"/>
  <c r="F100" i="7"/>
  <c r="G100" i="7"/>
  <c r="I100" i="7"/>
  <c r="D101" i="7"/>
  <c r="F101" i="7"/>
  <c r="G101" i="7"/>
  <c r="I101" i="7"/>
  <c r="D102" i="7"/>
  <c r="F102" i="7"/>
  <c r="G102" i="7"/>
  <c r="I102" i="7"/>
  <c r="D103" i="7"/>
  <c r="F103" i="7"/>
  <c r="G103" i="7"/>
  <c r="I103" i="7"/>
  <c r="D104" i="7"/>
  <c r="F104" i="7"/>
  <c r="G104" i="7"/>
  <c r="I104" i="7"/>
  <c r="D105" i="7"/>
  <c r="F105" i="7"/>
  <c r="G105" i="7"/>
  <c r="I105" i="7"/>
  <c r="D106" i="7"/>
  <c r="F106" i="7"/>
  <c r="G106" i="7"/>
  <c r="I106" i="7"/>
  <c r="D107" i="7"/>
  <c r="F107" i="7"/>
  <c r="G107" i="7"/>
  <c r="I107" i="7"/>
  <c r="D108" i="7"/>
  <c r="F108" i="7"/>
  <c r="G108" i="7"/>
  <c r="I108" i="7"/>
  <c r="I87" i="7"/>
  <c r="G87" i="7"/>
  <c r="F87" i="7"/>
  <c r="D87" i="7"/>
  <c r="D54" i="10"/>
  <c r="E54" i="10"/>
  <c r="E35" i="10"/>
  <c r="F64" i="10"/>
  <c r="E65" i="10"/>
  <c r="F65" i="10"/>
  <c r="E66" i="10"/>
  <c r="E67" i="10"/>
  <c r="F67" i="10"/>
  <c r="E41" i="10"/>
  <c r="F41" i="10"/>
  <c r="E69" i="10"/>
  <c r="E43" i="10"/>
  <c r="E73" i="10"/>
  <c r="E74" i="10"/>
  <c r="E75" i="10"/>
  <c r="E49" i="10"/>
  <c r="E77" i="10"/>
  <c r="E51" i="10"/>
  <c r="E53" i="10"/>
  <c r="C4" i="10"/>
  <c r="C85" i="10" s="1"/>
  <c r="D4" i="10"/>
  <c r="D85" i="10" s="1"/>
  <c r="B4" i="10"/>
  <c r="AG112" i="9"/>
  <c r="AH112" i="9" s="1"/>
  <c r="AG84" i="9"/>
  <c r="AH84" i="9" s="1"/>
  <c r="AE56" i="9"/>
  <c r="AF56" i="9"/>
  <c r="F79" i="2"/>
  <c r="G79" i="2" s="1"/>
  <c r="H79" i="2" s="1"/>
  <c r="I79" i="2" s="1"/>
  <c r="J79" i="2" s="1"/>
  <c r="J89" i="2" s="1"/>
  <c r="T90" i="9"/>
  <c r="T92" i="9"/>
  <c r="L105" i="9"/>
  <c r="L106" i="9"/>
  <c r="L107" i="9"/>
  <c r="L108" i="9"/>
  <c r="L109" i="9"/>
  <c r="L110" i="9"/>
  <c r="L111" i="9"/>
  <c r="L112" i="9"/>
  <c r="T89" i="9"/>
  <c r="T62" i="9"/>
  <c r="T63" i="9"/>
  <c r="T64" i="9"/>
  <c r="L77" i="9"/>
  <c r="L78" i="9"/>
  <c r="L79" i="9"/>
  <c r="L80" i="9"/>
  <c r="L81" i="9"/>
  <c r="L82" i="9"/>
  <c r="L83" i="9"/>
  <c r="L84" i="9"/>
  <c r="T36" i="9"/>
  <c r="L49" i="9"/>
  <c r="L50" i="9"/>
  <c r="L51" i="9"/>
  <c r="L52" i="9"/>
  <c r="L53" i="9"/>
  <c r="L54" i="9"/>
  <c r="L55" i="9"/>
  <c r="L56" i="9"/>
  <c r="T91" i="9"/>
  <c r="U112" i="9"/>
  <c r="U32" i="9"/>
  <c r="U60" i="9"/>
  <c r="U84" i="9"/>
  <c r="T32" i="9"/>
  <c r="T34" i="9"/>
  <c r="T35" i="9"/>
  <c r="D62" i="7" s="1"/>
  <c r="T60" i="9"/>
  <c r="X21" i="5"/>
  <c r="X22" i="5"/>
  <c r="X42" i="5"/>
  <c r="X43" i="5"/>
  <c r="X63" i="5"/>
  <c r="X64" i="5"/>
  <c r="Z61" i="2"/>
  <c r="C87" i="9"/>
  <c r="D87" i="9"/>
  <c r="E87" i="9"/>
  <c r="F87" i="9"/>
  <c r="G87" i="9"/>
  <c r="B87" i="9"/>
  <c r="B90" i="9"/>
  <c r="C90" i="9"/>
  <c r="D90" i="9"/>
  <c r="E90" i="9"/>
  <c r="F90" i="9"/>
  <c r="G90" i="9"/>
  <c r="B91" i="9"/>
  <c r="C91" i="9"/>
  <c r="D91" i="9"/>
  <c r="E91" i="9"/>
  <c r="F91" i="9"/>
  <c r="G91" i="9"/>
  <c r="B92" i="9"/>
  <c r="C92" i="9"/>
  <c r="D92" i="9"/>
  <c r="E92" i="9"/>
  <c r="F92" i="9"/>
  <c r="G92" i="9"/>
  <c r="B93" i="9"/>
  <c r="C93" i="9"/>
  <c r="D93" i="9"/>
  <c r="E93" i="9"/>
  <c r="F93" i="9"/>
  <c r="G93" i="9"/>
  <c r="B94" i="9"/>
  <c r="C94" i="9"/>
  <c r="D94" i="9"/>
  <c r="E94" i="9"/>
  <c r="F94" i="9"/>
  <c r="G94" i="9"/>
  <c r="B95" i="9"/>
  <c r="C95" i="9"/>
  <c r="D95" i="9"/>
  <c r="E95" i="9"/>
  <c r="F95" i="9"/>
  <c r="G95" i="9"/>
  <c r="B96" i="9"/>
  <c r="C96" i="9"/>
  <c r="D96" i="9"/>
  <c r="E96" i="9"/>
  <c r="F96" i="9"/>
  <c r="G96" i="9"/>
  <c r="B97" i="9"/>
  <c r="C97" i="9"/>
  <c r="D97" i="9"/>
  <c r="E97" i="9"/>
  <c r="F97" i="9"/>
  <c r="G97" i="9"/>
  <c r="B98" i="9"/>
  <c r="C98" i="9"/>
  <c r="D98" i="9"/>
  <c r="E98" i="9"/>
  <c r="F98" i="9"/>
  <c r="G98" i="9"/>
  <c r="B99" i="9"/>
  <c r="C99" i="9"/>
  <c r="D99" i="9"/>
  <c r="E99" i="9"/>
  <c r="F99" i="9"/>
  <c r="G99" i="9"/>
  <c r="B100" i="9"/>
  <c r="C100" i="9"/>
  <c r="D100" i="9"/>
  <c r="E100" i="9"/>
  <c r="F100" i="9"/>
  <c r="G100" i="9"/>
  <c r="B101" i="9"/>
  <c r="C101" i="9"/>
  <c r="D101" i="9"/>
  <c r="E101" i="9"/>
  <c r="F101" i="9"/>
  <c r="G101" i="9"/>
  <c r="B102" i="9"/>
  <c r="C102" i="9"/>
  <c r="D102" i="9"/>
  <c r="E102" i="9"/>
  <c r="F102" i="9"/>
  <c r="G102" i="9"/>
  <c r="B103" i="9"/>
  <c r="C103" i="9"/>
  <c r="D103" i="9"/>
  <c r="E103" i="9"/>
  <c r="F103" i="9"/>
  <c r="G103" i="9"/>
  <c r="B104" i="9"/>
  <c r="C104" i="9"/>
  <c r="D104" i="9"/>
  <c r="E104" i="9"/>
  <c r="F104" i="9"/>
  <c r="G104" i="9"/>
  <c r="B105" i="9"/>
  <c r="C105" i="9"/>
  <c r="D105" i="9"/>
  <c r="E105" i="9"/>
  <c r="F105" i="9"/>
  <c r="G105" i="9"/>
  <c r="B106" i="9"/>
  <c r="C106" i="9"/>
  <c r="D106" i="9"/>
  <c r="E106" i="9"/>
  <c r="F106" i="9"/>
  <c r="G106" i="9"/>
  <c r="B107" i="9"/>
  <c r="C107" i="9"/>
  <c r="D107" i="9"/>
  <c r="E107" i="9"/>
  <c r="F107" i="9"/>
  <c r="G107" i="9"/>
  <c r="B108" i="9"/>
  <c r="C108" i="9"/>
  <c r="D108" i="9"/>
  <c r="E108" i="9"/>
  <c r="F108" i="9"/>
  <c r="G108" i="9"/>
  <c r="B109" i="9"/>
  <c r="C109" i="9"/>
  <c r="D109" i="9"/>
  <c r="E109" i="9"/>
  <c r="F109" i="9"/>
  <c r="G109" i="9"/>
  <c r="B110" i="9"/>
  <c r="C110" i="9"/>
  <c r="D110" i="9"/>
  <c r="E110" i="9"/>
  <c r="F110" i="9"/>
  <c r="G110" i="9"/>
  <c r="B111" i="9"/>
  <c r="C111" i="9"/>
  <c r="D111" i="9"/>
  <c r="E111" i="9"/>
  <c r="F111" i="9"/>
  <c r="G111" i="9"/>
  <c r="C89" i="9"/>
  <c r="D89" i="9"/>
  <c r="E89" i="9"/>
  <c r="F89" i="9"/>
  <c r="G89" i="9"/>
  <c r="B89" i="9"/>
  <c r="C59" i="9"/>
  <c r="D59" i="9"/>
  <c r="E59" i="9"/>
  <c r="F59" i="9"/>
  <c r="G59" i="9"/>
  <c r="B59" i="9"/>
  <c r="B62" i="9"/>
  <c r="C62" i="9"/>
  <c r="D62" i="9"/>
  <c r="E62" i="9"/>
  <c r="F62" i="9"/>
  <c r="G62" i="9"/>
  <c r="B63" i="9"/>
  <c r="C63" i="9"/>
  <c r="D63" i="9"/>
  <c r="E63" i="9"/>
  <c r="F63" i="9"/>
  <c r="G63" i="9"/>
  <c r="B64" i="9"/>
  <c r="C64" i="9"/>
  <c r="D64" i="9"/>
  <c r="E64" i="9"/>
  <c r="F64" i="9"/>
  <c r="G64" i="9"/>
  <c r="B65" i="9"/>
  <c r="C65" i="9"/>
  <c r="D65" i="9"/>
  <c r="E65" i="9"/>
  <c r="F65" i="9"/>
  <c r="G65" i="9"/>
  <c r="B66" i="9"/>
  <c r="C66" i="9"/>
  <c r="D66" i="9"/>
  <c r="E66" i="9"/>
  <c r="F66" i="9"/>
  <c r="G66" i="9"/>
  <c r="B67" i="9"/>
  <c r="C67" i="9"/>
  <c r="D67" i="9"/>
  <c r="E67" i="9"/>
  <c r="F67" i="9"/>
  <c r="G67" i="9"/>
  <c r="B68" i="9"/>
  <c r="C68" i="9"/>
  <c r="D68" i="9"/>
  <c r="E68" i="9"/>
  <c r="F68" i="9"/>
  <c r="G68" i="9"/>
  <c r="B69" i="9"/>
  <c r="C69" i="9"/>
  <c r="D69" i="9"/>
  <c r="E69" i="9"/>
  <c r="F69" i="9"/>
  <c r="G69" i="9"/>
  <c r="B70" i="9"/>
  <c r="C70" i="9"/>
  <c r="D70" i="9"/>
  <c r="E70" i="9"/>
  <c r="F70" i="9"/>
  <c r="G70" i="9"/>
  <c r="B71" i="9"/>
  <c r="C71" i="9"/>
  <c r="D71" i="9"/>
  <c r="E71" i="9"/>
  <c r="F71" i="9"/>
  <c r="G71" i="9"/>
  <c r="B72" i="9"/>
  <c r="C72" i="9"/>
  <c r="D72" i="9"/>
  <c r="E72" i="9"/>
  <c r="F72" i="9"/>
  <c r="G72" i="9"/>
  <c r="B73" i="9"/>
  <c r="C73" i="9"/>
  <c r="D73" i="9"/>
  <c r="E73" i="9"/>
  <c r="F73" i="9"/>
  <c r="G73" i="9"/>
  <c r="B74" i="9"/>
  <c r="C74" i="9"/>
  <c r="D74" i="9"/>
  <c r="E74" i="9"/>
  <c r="F74" i="9"/>
  <c r="G74" i="9"/>
  <c r="B75" i="9"/>
  <c r="C75" i="9"/>
  <c r="D75" i="9"/>
  <c r="E75" i="9"/>
  <c r="F75" i="9"/>
  <c r="G75" i="9"/>
  <c r="B76" i="9"/>
  <c r="C76" i="9"/>
  <c r="D76" i="9"/>
  <c r="E76" i="9"/>
  <c r="F76" i="9"/>
  <c r="G76" i="9"/>
  <c r="B77" i="9"/>
  <c r="C77" i="9"/>
  <c r="D77" i="9"/>
  <c r="E77" i="9"/>
  <c r="F77" i="9"/>
  <c r="G77" i="9"/>
  <c r="B78" i="9"/>
  <c r="C78" i="9"/>
  <c r="D78" i="9"/>
  <c r="E78" i="9"/>
  <c r="F78" i="9"/>
  <c r="G78" i="9"/>
  <c r="B79" i="9"/>
  <c r="C79" i="9"/>
  <c r="D79" i="9"/>
  <c r="E79" i="9"/>
  <c r="F79" i="9"/>
  <c r="G79" i="9"/>
  <c r="B80" i="9"/>
  <c r="C80" i="9"/>
  <c r="D80" i="9"/>
  <c r="E80" i="9"/>
  <c r="F80" i="9"/>
  <c r="G80" i="9"/>
  <c r="B81" i="9"/>
  <c r="C81" i="9"/>
  <c r="D81" i="9"/>
  <c r="E81" i="9"/>
  <c r="F81" i="9"/>
  <c r="G81" i="9"/>
  <c r="B82" i="9"/>
  <c r="C82" i="9"/>
  <c r="D82" i="9"/>
  <c r="E82" i="9"/>
  <c r="F82" i="9"/>
  <c r="G82" i="9"/>
  <c r="B83" i="9"/>
  <c r="C83" i="9"/>
  <c r="D83" i="9"/>
  <c r="E83" i="9"/>
  <c r="F83" i="9"/>
  <c r="G83" i="9"/>
  <c r="C61" i="9"/>
  <c r="D61" i="9"/>
  <c r="E61" i="9"/>
  <c r="F61" i="9"/>
  <c r="G61" i="9"/>
  <c r="B61" i="9"/>
  <c r="B34" i="9"/>
  <c r="C34" i="9"/>
  <c r="D34" i="9"/>
  <c r="E34" i="9"/>
  <c r="F34" i="9"/>
  <c r="G34" i="9"/>
  <c r="B35" i="9"/>
  <c r="C35" i="9"/>
  <c r="D35" i="9"/>
  <c r="E35" i="9"/>
  <c r="F35" i="9"/>
  <c r="G35" i="9"/>
  <c r="B36" i="9"/>
  <c r="C36" i="9"/>
  <c r="D36" i="9"/>
  <c r="E36" i="9"/>
  <c r="F36" i="9"/>
  <c r="G36" i="9"/>
  <c r="B37" i="9"/>
  <c r="C37" i="9"/>
  <c r="D37" i="9"/>
  <c r="E37" i="9"/>
  <c r="F37" i="9"/>
  <c r="G37" i="9"/>
  <c r="B38" i="9"/>
  <c r="C38" i="9"/>
  <c r="D38" i="9"/>
  <c r="E38" i="9"/>
  <c r="F38" i="9"/>
  <c r="G38" i="9"/>
  <c r="B39" i="9"/>
  <c r="C39" i="9"/>
  <c r="D39" i="9"/>
  <c r="E39" i="9"/>
  <c r="F39" i="9"/>
  <c r="G39" i="9"/>
  <c r="B40" i="9"/>
  <c r="C40" i="9"/>
  <c r="D40" i="9"/>
  <c r="E40" i="9"/>
  <c r="F40" i="9"/>
  <c r="G40" i="9"/>
  <c r="B41" i="9"/>
  <c r="C41" i="9"/>
  <c r="D41" i="9"/>
  <c r="E41" i="9"/>
  <c r="F41" i="9"/>
  <c r="G41" i="9"/>
  <c r="B42" i="9"/>
  <c r="C42" i="9"/>
  <c r="D42" i="9"/>
  <c r="E42" i="9"/>
  <c r="F42" i="9"/>
  <c r="G42" i="9"/>
  <c r="B43" i="9"/>
  <c r="C43" i="9"/>
  <c r="D43" i="9"/>
  <c r="E43" i="9"/>
  <c r="F43" i="9"/>
  <c r="G43" i="9"/>
  <c r="B44" i="9"/>
  <c r="C44" i="9"/>
  <c r="D44" i="9"/>
  <c r="E44" i="9"/>
  <c r="F44" i="9"/>
  <c r="G44" i="9"/>
  <c r="B45" i="9"/>
  <c r="C45" i="9"/>
  <c r="D45" i="9"/>
  <c r="E45" i="9"/>
  <c r="F45" i="9"/>
  <c r="G45" i="9"/>
  <c r="B46" i="9"/>
  <c r="C46" i="9"/>
  <c r="D46" i="9"/>
  <c r="E46" i="9"/>
  <c r="F46" i="9"/>
  <c r="G46" i="9"/>
  <c r="B47" i="9"/>
  <c r="C47" i="9"/>
  <c r="D47" i="9"/>
  <c r="E47" i="9"/>
  <c r="F47" i="9"/>
  <c r="G47" i="9"/>
  <c r="B48" i="9"/>
  <c r="C48" i="9"/>
  <c r="D48" i="9"/>
  <c r="E48" i="9"/>
  <c r="F48" i="9"/>
  <c r="G48" i="9"/>
  <c r="B49" i="9"/>
  <c r="C49" i="9"/>
  <c r="D49" i="9"/>
  <c r="E49" i="9"/>
  <c r="F49" i="9"/>
  <c r="G49" i="9"/>
  <c r="B50" i="9"/>
  <c r="C50" i="9"/>
  <c r="D50" i="9"/>
  <c r="E50" i="9"/>
  <c r="F50" i="9"/>
  <c r="G50" i="9"/>
  <c r="B51" i="9"/>
  <c r="C51" i="9"/>
  <c r="D51" i="9"/>
  <c r="E51" i="9"/>
  <c r="F51" i="9"/>
  <c r="G51" i="9"/>
  <c r="B52" i="9"/>
  <c r="C52" i="9"/>
  <c r="D52" i="9"/>
  <c r="E52" i="9"/>
  <c r="F52" i="9"/>
  <c r="G52" i="9"/>
  <c r="B53" i="9"/>
  <c r="C53" i="9"/>
  <c r="D53" i="9"/>
  <c r="E53" i="9"/>
  <c r="F53" i="9"/>
  <c r="G53" i="9"/>
  <c r="B54" i="9"/>
  <c r="C54" i="9"/>
  <c r="D54" i="9"/>
  <c r="E54" i="9"/>
  <c r="F54" i="9"/>
  <c r="G54" i="9"/>
  <c r="B55" i="9"/>
  <c r="C55" i="9"/>
  <c r="D55" i="9"/>
  <c r="E55" i="9"/>
  <c r="F55" i="9"/>
  <c r="G55" i="9"/>
  <c r="C33" i="9"/>
  <c r="D33" i="9"/>
  <c r="E33" i="9"/>
  <c r="F33" i="9"/>
  <c r="G33" i="9"/>
  <c r="B33" i="9"/>
  <c r="G31" i="9"/>
  <c r="F31" i="9"/>
  <c r="E31" i="9"/>
  <c r="D31" i="9"/>
  <c r="C31" i="9"/>
  <c r="B31" i="9"/>
  <c r="B5" i="9"/>
  <c r="C5" i="9"/>
  <c r="D5" i="9"/>
  <c r="E5" i="9"/>
  <c r="F5" i="9"/>
  <c r="G5" i="9"/>
  <c r="B6" i="9"/>
  <c r="C6" i="9"/>
  <c r="D6" i="9"/>
  <c r="E6" i="9"/>
  <c r="F6" i="9"/>
  <c r="G6" i="9"/>
  <c r="B7" i="9"/>
  <c r="C7" i="9"/>
  <c r="D7" i="9"/>
  <c r="E7" i="9"/>
  <c r="F7" i="9"/>
  <c r="G7" i="9"/>
  <c r="B8" i="9"/>
  <c r="C8" i="9"/>
  <c r="D8" i="9"/>
  <c r="E8" i="9"/>
  <c r="F8" i="9"/>
  <c r="G8" i="9"/>
  <c r="B9" i="9"/>
  <c r="C9" i="9"/>
  <c r="D9" i="9"/>
  <c r="E9" i="9"/>
  <c r="F9" i="9"/>
  <c r="G9" i="9"/>
  <c r="B10" i="9"/>
  <c r="C10" i="9"/>
  <c r="D10" i="9"/>
  <c r="E10" i="9"/>
  <c r="F10" i="9"/>
  <c r="G10" i="9"/>
  <c r="B11" i="9"/>
  <c r="C11" i="9"/>
  <c r="D11" i="9"/>
  <c r="E11" i="9"/>
  <c r="F11" i="9"/>
  <c r="G11" i="9"/>
  <c r="B12" i="9"/>
  <c r="C12" i="9"/>
  <c r="D12" i="9"/>
  <c r="E12" i="9"/>
  <c r="F12" i="9"/>
  <c r="G12" i="9"/>
  <c r="B13" i="9"/>
  <c r="C13" i="9"/>
  <c r="D13" i="9"/>
  <c r="E13" i="9"/>
  <c r="F13" i="9"/>
  <c r="G13" i="9"/>
  <c r="B14" i="9"/>
  <c r="C14" i="9"/>
  <c r="D14" i="9"/>
  <c r="E14" i="9"/>
  <c r="F14" i="9"/>
  <c r="G14" i="9"/>
  <c r="B15" i="9"/>
  <c r="C15" i="9"/>
  <c r="D15" i="9"/>
  <c r="E15" i="9"/>
  <c r="F15" i="9"/>
  <c r="G15" i="9"/>
  <c r="B16" i="9"/>
  <c r="C16" i="9"/>
  <c r="D16" i="9"/>
  <c r="E16" i="9"/>
  <c r="F16" i="9"/>
  <c r="G16" i="9"/>
  <c r="B17" i="9"/>
  <c r="C17" i="9"/>
  <c r="D17" i="9"/>
  <c r="E17" i="9"/>
  <c r="F17" i="9"/>
  <c r="G17" i="9"/>
  <c r="B18" i="9"/>
  <c r="C18" i="9"/>
  <c r="D18" i="9"/>
  <c r="E18" i="9"/>
  <c r="F18" i="9"/>
  <c r="G18" i="9"/>
  <c r="B19" i="9"/>
  <c r="C19" i="9"/>
  <c r="D19" i="9"/>
  <c r="E19" i="9"/>
  <c r="F19" i="9"/>
  <c r="G19" i="9"/>
  <c r="B20" i="9"/>
  <c r="C20" i="9"/>
  <c r="D20" i="9"/>
  <c r="E20" i="9"/>
  <c r="F20" i="9"/>
  <c r="G20" i="9"/>
  <c r="B21" i="9"/>
  <c r="C21" i="9"/>
  <c r="D21" i="9"/>
  <c r="E21" i="9"/>
  <c r="F21" i="9"/>
  <c r="G21" i="9"/>
  <c r="B22" i="9"/>
  <c r="C22" i="9"/>
  <c r="D22" i="9"/>
  <c r="E22" i="9"/>
  <c r="F22" i="9"/>
  <c r="G22" i="9"/>
  <c r="B23" i="9"/>
  <c r="C23" i="9"/>
  <c r="D23" i="9"/>
  <c r="E23" i="9"/>
  <c r="F23" i="9"/>
  <c r="G23" i="9"/>
  <c r="B24" i="9"/>
  <c r="C24" i="9"/>
  <c r="D24" i="9"/>
  <c r="E24" i="9"/>
  <c r="F24" i="9"/>
  <c r="G24" i="9"/>
  <c r="B25" i="9"/>
  <c r="C25" i="9"/>
  <c r="D25" i="9"/>
  <c r="E25" i="9"/>
  <c r="F25" i="9"/>
  <c r="G25" i="9"/>
  <c r="B26" i="9"/>
  <c r="C26" i="9"/>
  <c r="D26" i="9"/>
  <c r="E26" i="9"/>
  <c r="F26" i="9"/>
  <c r="G26" i="9"/>
  <c r="C4" i="9"/>
  <c r="E4" i="9"/>
  <c r="F4" i="9"/>
  <c r="G4" i="9"/>
  <c r="E43" i="20"/>
  <c r="F52" i="20" s="1"/>
  <c r="G61" i="20" s="1"/>
  <c r="H70" i="20" s="1"/>
  <c r="I79" i="20" s="1"/>
  <c r="J88" i="20" s="1"/>
  <c r="K97" i="20" s="1"/>
  <c r="L106" i="20" s="1"/>
  <c r="M115" i="20" s="1"/>
  <c r="N124" i="20" s="1"/>
  <c r="O133" i="20" s="1"/>
  <c r="P142" i="20" s="1"/>
  <c r="Q151" i="20" s="1"/>
  <c r="R160" i="20" s="1"/>
  <c r="E42" i="20"/>
  <c r="F51" i="20" s="1"/>
  <c r="G60" i="20" s="1"/>
  <c r="H69" i="20" s="1"/>
  <c r="I78" i="20" s="1"/>
  <c r="J87" i="20" s="1"/>
  <c r="K96" i="20" s="1"/>
  <c r="L105" i="20" s="1"/>
  <c r="M114" i="20" s="1"/>
  <c r="N123" i="20" s="1"/>
  <c r="O132" i="20" s="1"/>
  <c r="P141" i="20" s="1"/>
  <c r="Q150" i="20" s="1"/>
  <c r="R159" i="20" s="1"/>
  <c r="E41" i="20"/>
  <c r="F50" i="20" s="1"/>
  <c r="G59" i="20" s="1"/>
  <c r="H68" i="20" s="1"/>
  <c r="I77" i="20" s="1"/>
  <c r="J86" i="20" s="1"/>
  <c r="K95" i="20" s="1"/>
  <c r="L104" i="20" s="1"/>
  <c r="M113" i="20" s="1"/>
  <c r="N122" i="20" s="1"/>
  <c r="O131" i="20" s="1"/>
  <c r="P140" i="20" s="1"/>
  <c r="Q149" i="20" s="1"/>
  <c r="R158" i="20" s="1"/>
  <c r="E40" i="20"/>
  <c r="F49" i="20" s="1"/>
  <c r="G58" i="20" s="1"/>
  <c r="H67" i="20" s="1"/>
  <c r="I76" i="20" s="1"/>
  <c r="J85" i="20" s="1"/>
  <c r="K94" i="20" s="1"/>
  <c r="L103" i="20" s="1"/>
  <c r="M112" i="20" s="1"/>
  <c r="N121" i="20" s="1"/>
  <c r="O130" i="20" s="1"/>
  <c r="P139" i="20" s="1"/>
  <c r="Q148" i="20" s="1"/>
  <c r="R157" i="20" s="1"/>
  <c r="E39" i="20"/>
  <c r="F48" i="20" s="1"/>
  <c r="G57" i="20" s="1"/>
  <c r="H66" i="20" s="1"/>
  <c r="I75" i="20" s="1"/>
  <c r="J84" i="20" s="1"/>
  <c r="K93" i="20" s="1"/>
  <c r="L102" i="20" s="1"/>
  <c r="M111" i="20" s="1"/>
  <c r="N120" i="20" s="1"/>
  <c r="O129" i="20" s="1"/>
  <c r="P138" i="20" s="1"/>
  <c r="Q147" i="20" s="1"/>
  <c r="R156" i="20" s="1"/>
  <c r="E38" i="20"/>
  <c r="F47" i="20" s="1"/>
  <c r="G56" i="20" s="1"/>
  <c r="H65" i="20" s="1"/>
  <c r="I74" i="20" s="1"/>
  <c r="J83" i="20" s="1"/>
  <c r="K92" i="20" s="1"/>
  <c r="L101" i="20" s="1"/>
  <c r="M110" i="20" s="1"/>
  <c r="N119" i="20" s="1"/>
  <c r="O128" i="20" s="1"/>
  <c r="P137" i="20" s="1"/>
  <c r="Q146" i="20" s="1"/>
  <c r="R155" i="20" s="1"/>
  <c r="U19" i="21"/>
  <c r="U28" i="21" s="1"/>
  <c r="D19" i="21"/>
  <c r="D28" i="21" s="1"/>
  <c r="D37" i="21" s="1"/>
  <c r="D46" i="21" s="1"/>
  <c r="D55" i="21" s="1"/>
  <c r="D64" i="21" s="1"/>
  <c r="D73" i="21" s="1"/>
  <c r="D82" i="21" s="1"/>
  <c r="D91" i="21" s="1"/>
  <c r="D100" i="21" s="1"/>
  <c r="D109" i="21" s="1"/>
  <c r="D118" i="21" s="1"/>
  <c r="D127" i="21" s="1"/>
  <c r="D136" i="21" s="1"/>
  <c r="D145" i="21" s="1"/>
  <c r="D154" i="21" s="1"/>
  <c r="D163" i="21" s="1"/>
  <c r="D173" i="21" s="1"/>
  <c r="E19" i="21"/>
  <c r="E28" i="21" s="1"/>
  <c r="E37" i="21" s="1"/>
  <c r="E46" i="21" s="1"/>
  <c r="E55" i="21" s="1"/>
  <c r="E64" i="21" s="1"/>
  <c r="E73" i="21" s="1"/>
  <c r="E82" i="21" s="1"/>
  <c r="E91" i="21" s="1"/>
  <c r="E100" i="21" s="1"/>
  <c r="E109" i="21" s="1"/>
  <c r="E118" i="21" s="1"/>
  <c r="E127" i="21" s="1"/>
  <c r="E136" i="21" s="1"/>
  <c r="E145" i="21" s="1"/>
  <c r="E154" i="21" s="1"/>
  <c r="E163" i="21" s="1"/>
  <c r="E173" i="21" s="1"/>
  <c r="F19" i="21"/>
  <c r="F28" i="21" s="1"/>
  <c r="F37" i="21" s="1"/>
  <c r="F46" i="21" s="1"/>
  <c r="F55" i="21" s="1"/>
  <c r="F64" i="21" s="1"/>
  <c r="F73" i="21" s="1"/>
  <c r="F82" i="21" s="1"/>
  <c r="F91" i="21" s="1"/>
  <c r="F100" i="21" s="1"/>
  <c r="F109" i="21" s="1"/>
  <c r="F118" i="21" s="1"/>
  <c r="F127" i="21" s="1"/>
  <c r="F136" i="21" s="1"/>
  <c r="F145" i="21" s="1"/>
  <c r="F154" i="21" s="1"/>
  <c r="F163" i="21" s="1"/>
  <c r="F173" i="21" s="1"/>
  <c r="G19" i="21"/>
  <c r="G28" i="21" s="1"/>
  <c r="G37" i="21" s="1"/>
  <c r="G46" i="21" s="1"/>
  <c r="G55" i="21" s="1"/>
  <c r="G64" i="21" s="1"/>
  <c r="G73" i="21" s="1"/>
  <c r="G82" i="21" s="1"/>
  <c r="G91" i="21" s="1"/>
  <c r="G100" i="21" s="1"/>
  <c r="G109" i="21" s="1"/>
  <c r="G118" i="21" s="1"/>
  <c r="G127" i="21" s="1"/>
  <c r="G136" i="21" s="1"/>
  <c r="G145" i="21" s="1"/>
  <c r="G154" i="21" s="1"/>
  <c r="G163" i="21" s="1"/>
  <c r="G173" i="21" s="1"/>
  <c r="H19" i="21"/>
  <c r="H28" i="21" s="1"/>
  <c r="H37" i="21" s="1"/>
  <c r="H46" i="21" s="1"/>
  <c r="H55" i="21" s="1"/>
  <c r="H64" i="21" s="1"/>
  <c r="H73" i="21" s="1"/>
  <c r="H82" i="21" s="1"/>
  <c r="H91" i="21" s="1"/>
  <c r="H100" i="21" s="1"/>
  <c r="H109" i="21" s="1"/>
  <c r="H118" i="21" s="1"/>
  <c r="H127" i="21" s="1"/>
  <c r="H136" i="21" s="1"/>
  <c r="H145" i="21" s="1"/>
  <c r="H154" i="21" s="1"/>
  <c r="H163" i="21" s="1"/>
  <c r="H173" i="21" s="1"/>
  <c r="I19" i="21"/>
  <c r="I28" i="21" s="1"/>
  <c r="I37" i="21" s="1"/>
  <c r="I46" i="21" s="1"/>
  <c r="I55" i="21" s="1"/>
  <c r="I64" i="21" s="1"/>
  <c r="I73" i="21" s="1"/>
  <c r="I82" i="21" s="1"/>
  <c r="I91" i="21" s="1"/>
  <c r="I100" i="21" s="1"/>
  <c r="I109" i="21" s="1"/>
  <c r="I118" i="21" s="1"/>
  <c r="I127" i="21" s="1"/>
  <c r="I136" i="21" s="1"/>
  <c r="I145" i="21" s="1"/>
  <c r="I154" i="21" s="1"/>
  <c r="I163" i="21" s="1"/>
  <c r="I173" i="21" s="1"/>
  <c r="J19" i="21"/>
  <c r="J28" i="21" s="1"/>
  <c r="J37" i="21" s="1"/>
  <c r="J46" i="21" s="1"/>
  <c r="J55" i="21" s="1"/>
  <c r="J64" i="21" s="1"/>
  <c r="J73" i="21" s="1"/>
  <c r="J82" i="21" s="1"/>
  <c r="J91" i="21" s="1"/>
  <c r="J100" i="21" s="1"/>
  <c r="J109" i="21" s="1"/>
  <c r="J118" i="21" s="1"/>
  <c r="J127" i="21" s="1"/>
  <c r="J136" i="21" s="1"/>
  <c r="J145" i="21" s="1"/>
  <c r="J154" i="21" s="1"/>
  <c r="J163" i="21" s="1"/>
  <c r="J173" i="21" s="1"/>
  <c r="K19" i="21"/>
  <c r="K28" i="21" s="1"/>
  <c r="K37" i="21" s="1"/>
  <c r="K46" i="21" s="1"/>
  <c r="K55" i="21" s="1"/>
  <c r="K64" i="21" s="1"/>
  <c r="K73" i="21" s="1"/>
  <c r="K82" i="21" s="1"/>
  <c r="K91" i="21" s="1"/>
  <c r="K100" i="21" s="1"/>
  <c r="K109" i="21" s="1"/>
  <c r="K118" i="21" s="1"/>
  <c r="K127" i="21" s="1"/>
  <c r="K136" i="21" s="1"/>
  <c r="K145" i="21" s="1"/>
  <c r="K154" i="21" s="1"/>
  <c r="K163" i="21" s="1"/>
  <c r="K173" i="21" s="1"/>
  <c r="L19" i="21"/>
  <c r="L28" i="21" s="1"/>
  <c r="L37" i="21" s="1"/>
  <c r="L46" i="21" s="1"/>
  <c r="L55" i="21" s="1"/>
  <c r="L64" i="21" s="1"/>
  <c r="L73" i="21" s="1"/>
  <c r="L82" i="21" s="1"/>
  <c r="L91" i="21" s="1"/>
  <c r="L100" i="21" s="1"/>
  <c r="L109" i="21" s="1"/>
  <c r="L118" i="21" s="1"/>
  <c r="L127" i="21" s="1"/>
  <c r="L136" i="21" s="1"/>
  <c r="L145" i="21" s="1"/>
  <c r="L154" i="21" s="1"/>
  <c r="L163" i="21" s="1"/>
  <c r="L173" i="21" s="1"/>
  <c r="M19" i="21"/>
  <c r="M28" i="21" s="1"/>
  <c r="M37" i="21" s="1"/>
  <c r="M46" i="21" s="1"/>
  <c r="M55" i="21" s="1"/>
  <c r="M64" i="21" s="1"/>
  <c r="M73" i="21" s="1"/>
  <c r="M82" i="21" s="1"/>
  <c r="M91" i="21" s="1"/>
  <c r="M100" i="21" s="1"/>
  <c r="M109" i="21" s="1"/>
  <c r="M118" i="21" s="1"/>
  <c r="M127" i="21" s="1"/>
  <c r="M136" i="21" s="1"/>
  <c r="M145" i="21" s="1"/>
  <c r="M154" i="21" s="1"/>
  <c r="M163" i="21" s="1"/>
  <c r="M173" i="21" s="1"/>
  <c r="N19" i="21"/>
  <c r="N28" i="21" s="1"/>
  <c r="N37" i="21" s="1"/>
  <c r="N46" i="21" s="1"/>
  <c r="N55" i="21" s="1"/>
  <c r="N64" i="21" s="1"/>
  <c r="N73" i="21" s="1"/>
  <c r="N82" i="21" s="1"/>
  <c r="N91" i="21" s="1"/>
  <c r="N100" i="21" s="1"/>
  <c r="N109" i="21" s="1"/>
  <c r="N118" i="21" s="1"/>
  <c r="N127" i="21" s="1"/>
  <c r="N136" i="21" s="1"/>
  <c r="N145" i="21" s="1"/>
  <c r="N154" i="21" s="1"/>
  <c r="N163" i="21" s="1"/>
  <c r="N173" i="21" s="1"/>
  <c r="O19" i="21"/>
  <c r="O28" i="21" s="1"/>
  <c r="O37" i="21" s="1"/>
  <c r="O46" i="21" s="1"/>
  <c r="O55" i="21" s="1"/>
  <c r="O64" i="21" s="1"/>
  <c r="O73" i="21" s="1"/>
  <c r="O82" i="21" s="1"/>
  <c r="O91" i="21" s="1"/>
  <c r="O100" i="21" s="1"/>
  <c r="O109" i="21" s="1"/>
  <c r="O118" i="21" s="1"/>
  <c r="O127" i="21" s="1"/>
  <c r="O136" i="21" s="1"/>
  <c r="O145" i="21" s="1"/>
  <c r="O154" i="21" s="1"/>
  <c r="O163" i="21" s="1"/>
  <c r="O173" i="21" s="1"/>
  <c r="P19" i="21"/>
  <c r="P28" i="21" s="1"/>
  <c r="P37" i="21" s="1"/>
  <c r="P46" i="21" s="1"/>
  <c r="P55" i="21" s="1"/>
  <c r="P64" i="21" s="1"/>
  <c r="P73" i="21" s="1"/>
  <c r="P82" i="21" s="1"/>
  <c r="P91" i="21" s="1"/>
  <c r="P100" i="21" s="1"/>
  <c r="P109" i="21" s="1"/>
  <c r="P118" i="21" s="1"/>
  <c r="P127" i="21" s="1"/>
  <c r="P136" i="21" s="1"/>
  <c r="P145" i="21" s="1"/>
  <c r="P154" i="21" s="1"/>
  <c r="P163" i="21" s="1"/>
  <c r="P173" i="21" s="1"/>
  <c r="Q19" i="21"/>
  <c r="Q28" i="21" s="1"/>
  <c r="Q37" i="21" s="1"/>
  <c r="Q46" i="21" s="1"/>
  <c r="Q55" i="21" s="1"/>
  <c r="Q64" i="21" s="1"/>
  <c r="Q73" i="21" s="1"/>
  <c r="Q82" i="21" s="1"/>
  <c r="Q91" i="21" s="1"/>
  <c r="Q100" i="21" s="1"/>
  <c r="Q109" i="21" s="1"/>
  <c r="Q118" i="21" s="1"/>
  <c r="Q127" i="21" s="1"/>
  <c r="Q136" i="21" s="1"/>
  <c r="Q145" i="21" s="1"/>
  <c r="Q154" i="21" s="1"/>
  <c r="Q163" i="21" s="1"/>
  <c r="Q173" i="21" s="1"/>
  <c r="R19" i="21"/>
  <c r="R28" i="21" s="1"/>
  <c r="R37" i="21" s="1"/>
  <c r="R46" i="21" s="1"/>
  <c r="R55" i="21" s="1"/>
  <c r="R64" i="21" s="1"/>
  <c r="R73" i="21" s="1"/>
  <c r="R82" i="21" s="1"/>
  <c r="R91" i="21" s="1"/>
  <c r="R100" i="21" s="1"/>
  <c r="R109" i="21" s="1"/>
  <c r="R118" i="21" s="1"/>
  <c r="R127" i="21" s="1"/>
  <c r="R136" i="21" s="1"/>
  <c r="R145" i="21" s="1"/>
  <c r="R154" i="21" s="1"/>
  <c r="R163" i="21" s="1"/>
  <c r="R173" i="21" s="1"/>
  <c r="S19" i="21"/>
  <c r="S28" i="21" s="1"/>
  <c r="S37" i="21" s="1"/>
  <c r="S46" i="21" s="1"/>
  <c r="S55" i="21" s="1"/>
  <c r="S64" i="21" s="1"/>
  <c r="S73" i="21" s="1"/>
  <c r="S82" i="21" s="1"/>
  <c r="S91" i="21" s="1"/>
  <c r="S100" i="21" s="1"/>
  <c r="S109" i="21" s="1"/>
  <c r="S118" i="21" s="1"/>
  <c r="S127" i="21" s="1"/>
  <c r="S136" i="21" s="1"/>
  <c r="S145" i="21" s="1"/>
  <c r="S154" i="21" s="1"/>
  <c r="S163" i="21" s="1"/>
  <c r="S173" i="21" s="1"/>
  <c r="T19" i="21"/>
  <c r="T28" i="21" s="1"/>
  <c r="T37" i="21" s="1"/>
  <c r="T46" i="21" s="1"/>
  <c r="T55" i="21" s="1"/>
  <c r="T64" i="21" s="1"/>
  <c r="C19" i="21"/>
  <c r="C28" i="21" s="1"/>
  <c r="C37" i="21" s="1"/>
  <c r="C46" i="21" s="1"/>
  <c r="C55" i="21" s="1"/>
  <c r="C64" i="21" s="1"/>
  <c r="C73" i="21" s="1"/>
  <c r="C82" i="21" s="1"/>
  <c r="C91" i="21" s="1"/>
  <c r="C100" i="21" s="1"/>
  <c r="C109" i="21" s="1"/>
  <c r="C118" i="21" s="1"/>
  <c r="C127" i="21" s="1"/>
  <c r="C136" i="21" s="1"/>
  <c r="C145" i="21" s="1"/>
  <c r="C154" i="21" s="1"/>
  <c r="C163" i="21" s="1"/>
  <c r="C173" i="21" s="1"/>
  <c r="D62" i="19"/>
  <c r="D61" i="19"/>
  <c r="D60" i="19"/>
  <c r="D59" i="19"/>
  <c r="D58" i="19"/>
  <c r="D56" i="19"/>
  <c r="D55" i="19"/>
  <c r="D54" i="19"/>
  <c r="D53" i="19"/>
  <c r="D52" i="19"/>
  <c r="D49" i="19"/>
  <c r="D48" i="19"/>
  <c r="D46" i="19"/>
  <c r="D45" i="19"/>
  <c r="D44" i="19"/>
  <c r="D43" i="19"/>
  <c r="D42" i="19"/>
  <c r="D41" i="19"/>
  <c r="D39" i="19"/>
  <c r="D38" i="19"/>
  <c r="D37" i="19"/>
  <c r="D36" i="19"/>
  <c r="D35" i="19"/>
  <c r="D34" i="19"/>
  <c r="D31" i="19"/>
  <c r="D30" i="19"/>
  <c r="D28" i="19"/>
  <c r="D27" i="19"/>
  <c r="D26" i="19"/>
  <c r="D25" i="19"/>
  <c r="D24" i="19"/>
  <c r="D22" i="19"/>
  <c r="D21" i="19"/>
  <c r="D20" i="19"/>
  <c r="D19" i="19"/>
  <c r="D18" i="19"/>
  <c r="D15" i="19"/>
  <c r="D14" i="19"/>
  <c r="D12" i="19"/>
  <c r="D11" i="19"/>
  <c r="C1" i="22"/>
  <c r="C10" i="22" s="1"/>
  <c r="D1" i="22"/>
  <c r="D10" i="22" s="1"/>
  <c r="E1" i="22"/>
  <c r="E10" i="22" s="1"/>
  <c r="F1" i="22"/>
  <c r="F10" i="22" s="1"/>
  <c r="G1" i="22"/>
  <c r="G10" i="22" s="1"/>
  <c r="H1" i="22"/>
  <c r="H10" i="22" s="1"/>
  <c r="I1" i="22"/>
  <c r="I10" i="22" s="1"/>
  <c r="J1" i="22"/>
  <c r="J10" i="22" s="1"/>
  <c r="K1" i="22"/>
  <c r="K10" i="22" s="1"/>
  <c r="L1" i="22"/>
  <c r="L10" i="22" s="1"/>
  <c r="M1" i="22"/>
  <c r="M10" i="22" s="1"/>
  <c r="N1" i="22"/>
  <c r="N10" i="22" s="1"/>
  <c r="O1" i="22"/>
  <c r="O10" i="22" s="1"/>
  <c r="P1" i="22"/>
  <c r="P10" i="22" s="1"/>
  <c r="Q1" i="22"/>
  <c r="Q10" i="22" s="1"/>
  <c r="R1" i="22"/>
  <c r="R10" i="22" s="1"/>
  <c r="S1" i="22"/>
  <c r="S10" i="22" s="1"/>
  <c r="T1" i="22"/>
  <c r="T10" i="22" s="1"/>
  <c r="B1" i="22"/>
  <c r="B10" i="22" s="1"/>
  <c r="B15" i="22"/>
  <c r="C15" i="20" s="1"/>
  <c r="C26" i="21"/>
  <c r="C35" i="21"/>
  <c r="D35" i="21"/>
  <c r="C44" i="21"/>
  <c r="D44" i="21"/>
  <c r="E44" i="21"/>
  <c r="C53" i="21"/>
  <c r="D53" i="21"/>
  <c r="E53" i="21"/>
  <c r="F53" i="21"/>
  <c r="C62" i="21"/>
  <c r="D62" i="21"/>
  <c r="E62" i="21"/>
  <c r="F62" i="21"/>
  <c r="G62" i="21"/>
  <c r="C71" i="21"/>
  <c r="D71" i="21"/>
  <c r="E71" i="21"/>
  <c r="F71" i="21"/>
  <c r="G71" i="21"/>
  <c r="H71" i="21"/>
  <c r="C80" i="21"/>
  <c r="D80" i="21"/>
  <c r="E80" i="21"/>
  <c r="F80" i="21"/>
  <c r="G80" i="21"/>
  <c r="H80" i="21"/>
  <c r="I80" i="21"/>
  <c r="C89" i="21"/>
  <c r="D89" i="21"/>
  <c r="E89" i="21"/>
  <c r="F89" i="21"/>
  <c r="G89" i="21"/>
  <c r="H89" i="21"/>
  <c r="I89" i="21"/>
  <c r="J89" i="21"/>
  <c r="C98" i="21"/>
  <c r="D98" i="21"/>
  <c r="E98" i="21"/>
  <c r="F98" i="21"/>
  <c r="G98" i="21"/>
  <c r="H98" i="21"/>
  <c r="I98" i="21"/>
  <c r="J98" i="21"/>
  <c r="K98" i="21"/>
  <c r="C107" i="21"/>
  <c r="D107" i="21"/>
  <c r="E107" i="21"/>
  <c r="F107" i="21"/>
  <c r="F180" i="21" s="1"/>
  <c r="G107" i="21"/>
  <c r="H107" i="21"/>
  <c r="I107" i="21"/>
  <c r="J107" i="21"/>
  <c r="J180" i="21" s="1"/>
  <c r="K107" i="21"/>
  <c r="L107" i="21"/>
  <c r="C116" i="21"/>
  <c r="D116" i="21"/>
  <c r="E116" i="21"/>
  <c r="F116" i="21"/>
  <c r="G116" i="21"/>
  <c r="H116" i="21"/>
  <c r="I116" i="21"/>
  <c r="J116" i="21"/>
  <c r="K116" i="21"/>
  <c r="L116" i="21"/>
  <c r="M116" i="21"/>
  <c r="C125" i="21"/>
  <c r="D125" i="21"/>
  <c r="E125" i="21"/>
  <c r="F125" i="21"/>
  <c r="G125" i="21"/>
  <c r="G181" i="21" s="1"/>
  <c r="H125" i="21"/>
  <c r="I125" i="21"/>
  <c r="J125" i="21"/>
  <c r="K125" i="21"/>
  <c r="L125" i="21"/>
  <c r="M125" i="21"/>
  <c r="N125" i="21"/>
  <c r="C134" i="21"/>
  <c r="D134" i="21"/>
  <c r="E134" i="21"/>
  <c r="F134" i="21"/>
  <c r="G134" i="21"/>
  <c r="H134" i="21"/>
  <c r="I134" i="21"/>
  <c r="J134" i="21"/>
  <c r="K134" i="21"/>
  <c r="L134" i="21"/>
  <c r="M134" i="21"/>
  <c r="N134" i="21"/>
  <c r="O134" i="21"/>
  <c r="C143" i="21"/>
  <c r="C182" i="21" s="1"/>
  <c r="D143" i="21"/>
  <c r="D182" i="21" s="1"/>
  <c r="E143" i="21"/>
  <c r="E182" i="21" s="1"/>
  <c r="F143" i="21"/>
  <c r="F182" i="21" s="1"/>
  <c r="G143" i="21"/>
  <c r="G182" i="21" s="1"/>
  <c r="H143" i="21"/>
  <c r="H182" i="21" s="1"/>
  <c r="I143" i="21"/>
  <c r="I182" i="21" s="1"/>
  <c r="J143" i="21"/>
  <c r="K143" i="21"/>
  <c r="K182" i="21" s="1"/>
  <c r="L143" i="21"/>
  <c r="L182" i="21" s="1"/>
  <c r="M143" i="21"/>
  <c r="M182" i="21" s="1"/>
  <c r="N143" i="21"/>
  <c r="N182" i="21" s="1"/>
  <c r="O143" i="21"/>
  <c r="O182" i="21" s="1"/>
  <c r="P143" i="21"/>
  <c r="P182" i="21" s="1"/>
  <c r="C161" i="21"/>
  <c r="C183" i="21" s="1"/>
  <c r="D161" i="21"/>
  <c r="D183" i="21" s="1"/>
  <c r="E161" i="21"/>
  <c r="E183" i="21" s="1"/>
  <c r="F161" i="21"/>
  <c r="F183" i="21" s="1"/>
  <c r="G161" i="21"/>
  <c r="G183" i="21" s="1"/>
  <c r="H161" i="21"/>
  <c r="H183" i="21" s="1"/>
  <c r="I161" i="21"/>
  <c r="I183" i="21" s="1"/>
  <c r="J161" i="21"/>
  <c r="J183" i="21" s="1"/>
  <c r="K161" i="21"/>
  <c r="K183" i="21" s="1"/>
  <c r="L161" i="21"/>
  <c r="L183" i="21" s="1"/>
  <c r="M161" i="21"/>
  <c r="M183" i="21" s="1"/>
  <c r="N161" i="21"/>
  <c r="N183" i="21" s="1"/>
  <c r="O161" i="21"/>
  <c r="O183" i="21" s="1"/>
  <c r="P161" i="21"/>
  <c r="P183" i="21" s="1"/>
  <c r="Q161" i="21"/>
  <c r="Q183" i="21" s="1"/>
  <c r="R161" i="21"/>
  <c r="R183" i="21" s="1"/>
  <c r="C35" i="20"/>
  <c r="C176" i="20" s="1"/>
  <c r="C44" i="20"/>
  <c r="D44" i="20"/>
  <c r="C53" i="20"/>
  <c r="D53" i="20"/>
  <c r="E53" i="20"/>
  <c r="C62" i="20"/>
  <c r="D62" i="20"/>
  <c r="E62" i="20"/>
  <c r="F62" i="20"/>
  <c r="C71" i="20"/>
  <c r="D71" i="20"/>
  <c r="E71" i="20"/>
  <c r="E178" i="20" s="1"/>
  <c r="F71" i="20"/>
  <c r="G71" i="20"/>
  <c r="C80" i="20"/>
  <c r="D80" i="20"/>
  <c r="E80" i="20"/>
  <c r="F80" i="20"/>
  <c r="G80" i="20"/>
  <c r="H80" i="20"/>
  <c r="C89" i="20"/>
  <c r="D89" i="20"/>
  <c r="E89" i="20"/>
  <c r="F89" i="20"/>
  <c r="G89" i="20"/>
  <c r="H89" i="20"/>
  <c r="I89" i="20"/>
  <c r="C98" i="20"/>
  <c r="D98" i="20"/>
  <c r="D179" i="20" s="1"/>
  <c r="E98" i="20"/>
  <c r="F98" i="20"/>
  <c r="G98" i="20"/>
  <c r="H98" i="20"/>
  <c r="I98" i="20"/>
  <c r="J98" i="20"/>
  <c r="C107" i="20"/>
  <c r="D107" i="20"/>
  <c r="E107" i="20"/>
  <c r="F107" i="20"/>
  <c r="G107" i="20"/>
  <c r="H107" i="20"/>
  <c r="I107" i="20"/>
  <c r="J107" i="20"/>
  <c r="K107" i="20"/>
  <c r="C125" i="20"/>
  <c r="C181" i="20" s="1"/>
  <c r="C134" i="20"/>
  <c r="D134" i="20"/>
  <c r="C143" i="20"/>
  <c r="D143" i="20"/>
  <c r="E143" i="20"/>
  <c r="C152" i="20"/>
  <c r="D152" i="20"/>
  <c r="E152" i="20"/>
  <c r="F152" i="20"/>
  <c r="C161" i="20"/>
  <c r="C183" i="20" s="1"/>
  <c r="D161" i="20"/>
  <c r="D183" i="20" s="1"/>
  <c r="E161" i="20"/>
  <c r="E183" i="20" s="1"/>
  <c r="F161" i="20"/>
  <c r="F183" i="20" s="1"/>
  <c r="G161" i="20"/>
  <c r="G183" i="20" s="1"/>
  <c r="G67" i="19"/>
  <c r="H67" i="19" s="1"/>
  <c r="I67" i="19" s="1"/>
  <c r="J67" i="19" s="1"/>
  <c r="K67" i="19" s="1"/>
  <c r="L67" i="19" s="1"/>
  <c r="M67" i="19" s="1"/>
  <c r="N67" i="19" s="1"/>
  <c r="O67" i="19" s="1"/>
  <c r="P67" i="19" s="1"/>
  <c r="Q67" i="19" s="1"/>
  <c r="R67" i="19" s="1"/>
  <c r="S67" i="19" s="1"/>
  <c r="T67" i="19" s="1"/>
  <c r="U67" i="19" s="1"/>
  <c r="V67" i="19" s="1"/>
  <c r="W67" i="19" s="1"/>
  <c r="X67" i="19" s="1"/>
  <c r="D110" i="19"/>
  <c r="D109" i="19"/>
  <c r="D107" i="19"/>
  <c r="D106" i="19"/>
  <c r="D105" i="19"/>
  <c r="D104" i="19"/>
  <c r="D103" i="19"/>
  <c r="D102" i="19"/>
  <c r="D100" i="19"/>
  <c r="D99" i="19"/>
  <c r="D98" i="19"/>
  <c r="D97" i="19"/>
  <c r="D96" i="19"/>
  <c r="D95" i="19"/>
  <c r="D92" i="19"/>
  <c r="D91" i="19"/>
  <c r="D89" i="19"/>
  <c r="D88" i="19"/>
  <c r="D87" i="19"/>
  <c r="D86" i="19"/>
  <c r="D85" i="19"/>
  <c r="D83" i="19"/>
  <c r="D82" i="19"/>
  <c r="D81" i="19"/>
  <c r="D80" i="19"/>
  <c r="D79" i="19"/>
  <c r="D76" i="19"/>
  <c r="D75" i="19"/>
  <c r="D73" i="19"/>
  <c r="D72" i="19"/>
  <c r="G5" i="19"/>
  <c r="H5" i="19" s="1"/>
  <c r="I5" i="19" s="1"/>
  <c r="J5" i="19" s="1"/>
  <c r="K5" i="19" s="1"/>
  <c r="L5" i="19" s="1"/>
  <c r="M5" i="19" s="1"/>
  <c r="N5" i="19" s="1"/>
  <c r="O5" i="19" s="1"/>
  <c r="P5" i="19" s="1"/>
  <c r="Q5" i="19" s="1"/>
  <c r="R5" i="19" s="1"/>
  <c r="S5" i="19" s="1"/>
  <c r="T5" i="19" s="1"/>
  <c r="U5" i="19" s="1"/>
  <c r="V5" i="19" s="1"/>
  <c r="W5" i="19" s="1"/>
  <c r="X5" i="19" s="1"/>
  <c r="U9" i="19"/>
  <c r="Q2" i="22" s="1"/>
  <c r="R11" i="21" s="1"/>
  <c r="V9" i="19"/>
  <c r="R2" i="22" s="1"/>
  <c r="S11" i="21" s="1"/>
  <c r="W9" i="19"/>
  <c r="S2" i="22" s="1"/>
  <c r="T11" i="21" s="1"/>
  <c r="X9" i="19"/>
  <c r="T2" i="22" s="1"/>
  <c r="U11" i="21" s="1"/>
  <c r="U16" i="19"/>
  <c r="Q3" i="22" s="1"/>
  <c r="R12" i="21" s="1"/>
  <c r="V16" i="19"/>
  <c r="R3" i="22" s="1"/>
  <c r="S12" i="21" s="1"/>
  <c r="W16" i="19"/>
  <c r="S3" i="22" s="1"/>
  <c r="T12" i="21" s="1"/>
  <c r="X16" i="19"/>
  <c r="T3" i="22" s="1"/>
  <c r="U12" i="21" s="1"/>
  <c r="F29" i="19"/>
  <c r="B4" i="22" s="1"/>
  <c r="C13" i="21" s="1"/>
  <c r="C166" i="21" s="1"/>
  <c r="F47" i="19"/>
  <c r="B6" i="22" s="1"/>
  <c r="C15" i="21" s="1"/>
  <c r="C168" i="21" s="1"/>
  <c r="V47" i="19"/>
  <c r="R6" i="22" s="1"/>
  <c r="S15" i="21" s="1"/>
  <c r="W47" i="19"/>
  <c r="S6" i="22" s="1"/>
  <c r="T15" i="21" s="1"/>
  <c r="X47" i="19"/>
  <c r="T6" i="22" s="1"/>
  <c r="U15" i="21" s="1"/>
  <c r="U50" i="19"/>
  <c r="Q7" i="22" s="1"/>
  <c r="R16" i="21" s="1"/>
  <c r="V50" i="19"/>
  <c r="R7" i="22" s="1"/>
  <c r="S16" i="21" s="1"/>
  <c r="W50" i="19"/>
  <c r="S7" i="22" s="1"/>
  <c r="T16" i="21" s="1"/>
  <c r="X50" i="19"/>
  <c r="T7" i="22" s="1"/>
  <c r="U16" i="21" s="1"/>
  <c r="G70" i="19"/>
  <c r="H70" i="19"/>
  <c r="D11" i="22" s="1"/>
  <c r="E11" i="20" s="1"/>
  <c r="I70" i="19"/>
  <c r="E11" i="22" s="1"/>
  <c r="F11" i="20" s="1"/>
  <c r="J70" i="19"/>
  <c r="F11" i="22" s="1"/>
  <c r="G11" i="20" s="1"/>
  <c r="K70" i="19"/>
  <c r="G11" i="22" s="1"/>
  <c r="H11" i="20" s="1"/>
  <c r="L70" i="19"/>
  <c r="H11" i="22" s="1"/>
  <c r="I11" i="20" s="1"/>
  <c r="M70" i="19"/>
  <c r="I11" i="22" s="1"/>
  <c r="J11" i="20" s="1"/>
  <c r="N70" i="19"/>
  <c r="J11" i="22" s="1"/>
  <c r="K11" i="20" s="1"/>
  <c r="O70" i="19"/>
  <c r="K11" i="22" s="1"/>
  <c r="L11" i="20" s="1"/>
  <c r="P70" i="19"/>
  <c r="L11" i="22" s="1"/>
  <c r="M11" i="20" s="1"/>
  <c r="Q70" i="19"/>
  <c r="M11" i="22" s="1"/>
  <c r="N11" i="20" s="1"/>
  <c r="R70" i="19"/>
  <c r="N11" i="22" s="1"/>
  <c r="O11" i="20" s="1"/>
  <c r="S70" i="19"/>
  <c r="O11" i="22" s="1"/>
  <c r="P11" i="20" s="1"/>
  <c r="T70" i="19"/>
  <c r="P11" i="22" s="1"/>
  <c r="Q11" i="20" s="1"/>
  <c r="U70" i="19"/>
  <c r="Q11" i="22" s="1"/>
  <c r="R11" i="20" s="1"/>
  <c r="V70" i="19"/>
  <c r="R11" i="22" s="1"/>
  <c r="S11" i="20" s="1"/>
  <c r="M77" i="19"/>
  <c r="I12" i="22" s="1"/>
  <c r="J12" i="20" s="1"/>
  <c r="N77" i="19"/>
  <c r="J12" i="22" s="1"/>
  <c r="K12" i="20" s="1"/>
  <c r="O77" i="19"/>
  <c r="K12" i="22" s="1"/>
  <c r="L12" i="20" s="1"/>
  <c r="P77" i="19"/>
  <c r="L12" i="22" s="1"/>
  <c r="M12" i="20" s="1"/>
  <c r="Q77" i="19"/>
  <c r="M12" i="22" s="1"/>
  <c r="N12" i="20" s="1"/>
  <c r="R77" i="19"/>
  <c r="N12" i="22" s="1"/>
  <c r="O12" i="20" s="1"/>
  <c r="S77" i="19"/>
  <c r="O12" i="22" s="1"/>
  <c r="P12" i="20" s="1"/>
  <c r="T77" i="19"/>
  <c r="P12" i="22" s="1"/>
  <c r="Q12" i="20" s="1"/>
  <c r="U77" i="19"/>
  <c r="Q12" i="22" s="1"/>
  <c r="R12" i="20" s="1"/>
  <c r="V77" i="19"/>
  <c r="R12" i="22" s="1"/>
  <c r="S12" i="20" s="1"/>
  <c r="F90" i="19"/>
  <c r="B13" i="22" s="1"/>
  <c r="C13" i="20" s="1"/>
  <c r="N108" i="19"/>
  <c r="J15" i="22" s="1"/>
  <c r="K15" i="20" s="1"/>
  <c r="O108" i="19"/>
  <c r="K15" i="22" s="1"/>
  <c r="L15" i="20" s="1"/>
  <c r="P108" i="19"/>
  <c r="L15" i="22" s="1"/>
  <c r="M15" i="20" s="1"/>
  <c r="Q108" i="19"/>
  <c r="M15" i="22" s="1"/>
  <c r="N15" i="20" s="1"/>
  <c r="R108" i="19"/>
  <c r="N15" i="22" s="1"/>
  <c r="O15" i="20" s="1"/>
  <c r="S108" i="19"/>
  <c r="O15" i="22" s="1"/>
  <c r="P15" i="20" s="1"/>
  <c r="T108" i="19"/>
  <c r="P15" i="22" s="1"/>
  <c r="Q15" i="20" s="1"/>
  <c r="U108" i="19"/>
  <c r="Q15" i="22" s="1"/>
  <c r="R15" i="20" s="1"/>
  <c r="V108" i="19"/>
  <c r="R15" i="22" s="1"/>
  <c r="S15" i="20" s="1"/>
  <c r="M111" i="19"/>
  <c r="I16" i="22" s="1"/>
  <c r="J16" i="20" s="1"/>
  <c r="N111" i="19"/>
  <c r="J16" i="22" s="1"/>
  <c r="K16" i="20" s="1"/>
  <c r="O111" i="19"/>
  <c r="K16" i="22" s="1"/>
  <c r="L16" i="20" s="1"/>
  <c r="P111" i="19"/>
  <c r="L16" i="22" s="1"/>
  <c r="M16" i="20" s="1"/>
  <c r="Q111" i="19"/>
  <c r="M16" i="22" s="1"/>
  <c r="N16" i="20" s="1"/>
  <c r="R111" i="19"/>
  <c r="N16" i="22" s="1"/>
  <c r="O16" i="20" s="1"/>
  <c r="S111" i="19"/>
  <c r="O16" i="22" s="1"/>
  <c r="P16" i="20" s="1"/>
  <c r="T111" i="19"/>
  <c r="P16" i="22" s="1"/>
  <c r="Q16" i="20" s="1"/>
  <c r="U111" i="19"/>
  <c r="Q16" i="22" s="1"/>
  <c r="R16" i="20" s="1"/>
  <c r="K84" i="18"/>
  <c r="D121" i="19"/>
  <c r="D122" i="19"/>
  <c r="K87" i="18"/>
  <c r="K78" i="18"/>
  <c r="K79" i="18"/>
  <c r="D116" i="19"/>
  <c r="D117" i="19"/>
  <c r="M77" i="18"/>
  <c r="N77" i="18" s="1"/>
  <c r="O77" i="18" s="1"/>
  <c r="P77" i="18" s="1"/>
  <c r="Q77" i="18" s="1"/>
  <c r="R77" i="18" s="1"/>
  <c r="S77" i="18" s="1"/>
  <c r="T77" i="18" s="1"/>
  <c r="U77" i="18" s="1"/>
  <c r="V77" i="18" s="1"/>
  <c r="W77" i="18" s="1"/>
  <c r="X77" i="18" s="1"/>
  <c r="Y77" i="18" s="1"/>
  <c r="Z77" i="18" s="1"/>
  <c r="K47" i="18"/>
  <c r="K28" i="18"/>
  <c r="L28" i="18" s="1"/>
  <c r="M28" i="18" s="1"/>
  <c r="N28" i="18" s="1"/>
  <c r="O28" i="18" s="1"/>
  <c r="P28" i="18" s="1"/>
  <c r="Q28" i="18" s="1"/>
  <c r="R28" i="18" s="1"/>
  <c r="S28" i="18" s="1"/>
  <c r="T28" i="18" s="1"/>
  <c r="U28" i="18" s="1"/>
  <c r="V28" i="18" s="1"/>
  <c r="W28" i="18" s="1"/>
  <c r="X28" i="18" s="1"/>
  <c r="Y28" i="18" s="1"/>
  <c r="Z28" i="18" s="1"/>
  <c r="K29" i="18"/>
  <c r="K30" i="18"/>
  <c r="K19" i="18"/>
  <c r="E75" i="18"/>
  <c r="E82" i="18" s="1"/>
  <c r="C75" i="18"/>
  <c r="C76" i="18" s="1"/>
  <c r="C51" i="19" s="1"/>
  <c r="K74" i="18"/>
  <c r="M74" i="18" s="1"/>
  <c r="N74" i="18" s="1"/>
  <c r="O74" i="18" s="1"/>
  <c r="P74" i="18" s="1"/>
  <c r="Q74" i="18" s="1"/>
  <c r="R74" i="18" s="1"/>
  <c r="S74" i="18" s="1"/>
  <c r="T74" i="18" s="1"/>
  <c r="U74" i="18" s="1"/>
  <c r="V74" i="18" s="1"/>
  <c r="W74" i="18" s="1"/>
  <c r="X74" i="18" s="1"/>
  <c r="Y74" i="18" s="1"/>
  <c r="Z74" i="18" s="1"/>
  <c r="K73" i="18"/>
  <c r="M73" i="18" s="1"/>
  <c r="N73" i="18" s="1"/>
  <c r="O73" i="18" s="1"/>
  <c r="P73" i="18" s="1"/>
  <c r="Q73" i="18" s="1"/>
  <c r="R73" i="18" s="1"/>
  <c r="S73" i="18" s="1"/>
  <c r="T73" i="18" s="1"/>
  <c r="U73" i="18" s="1"/>
  <c r="V73" i="18" s="1"/>
  <c r="W73" i="18" s="1"/>
  <c r="X73" i="18" s="1"/>
  <c r="Y73" i="18" s="1"/>
  <c r="Z73" i="18" s="1"/>
  <c r="K72" i="18"/>
  <c r="M72" i="18" s="1"/>
  <c r="N72" i="18" s="1"/>
  <c r="O72" i="18" s="1"/>
  <c r="P72" i="18" s="1"/>
  <c r="Q72" i="18" s="1"/>
  <c r="R72" i="18" s="1"/>
  <c r="S72" i="18" s="1"/>
  <c r="T72" i="18" s="1"/>
  <c r="U72" i="18" s="1"/>
  <c r="V72" i="18" s="1"/>
  <c r="W72" i="18" s="1"/>
  <c r="X72" i="18" s="1"/>
  <c r="Y72" i="18" s="1"/>
  <c r="Z72" i="18" s="1"/>
  <c r="K71" i="18"/>
  <c r="M71" i="18" s="1"/>
  <c r="N71" i="18" s="1"/>
  <c r="O71" i="18" s="1"/>
  <c r="P71" i="18" s="1"/>
  <c r="Q71" i="18" s="1"/>
  <c r="R71" i="18" s="1"/>
  <c r="S71" i="18" s="1"/>
  <c r="T71" i="18" s="1"/>
  <c r="U71" i="18" s="1"/>
  <c r="V71" i="18" s="1"/>
  <c r="W71" i="18" s="1"/>
  <c r="X71" i="18" s="1"/>
  <c r="Y71" i="18" s="1"/>
  <c r="Z71" i="18" s="1"/>
  <c r="K70" i="18"/>
  <c r="M70" i="18" s="1"/>
  <c r="N70" i="18" s="1"/>
  <c r="O70" i="18" s="1"/>
  <c r="P70" i="18" s="1"/>
  <c r="Q70" i="18" s="1"/>
  <c r="R70" i="18" s="1"/>
  <c r="S70" i="18" s="1"/>
  <c r="T70" i="18" s="1"/>
  <c r="U70" i="18" s="1"/>
  <c r="V70" i="18" s="1"/>
  <c r="W70" i="18" s="1"/>
  <c r="X70" i="18" s="1"/>
  <c r="Y70" i="18" s="1"/>
  <c r="Z70" i="18" s="1"/>
  <c r="K69" i="18"/>
  <c r="M69" i="18" s="1"/>
  <c r="N69" i="18" s="1"/>
  <c r="O69" i="18" s="1"/>
  <c r="P69" i="18" s="1"/>
  <c r="Q69" i="18" s="1"/>
  <c r="R69" i="18" s="1"/>
  <c r="S69" i="18" s="1"/>
  <c r="T69" i="18" s="1"/>
  <c r="U69" i="18" s="1"/>
  <c r="V69" i="18" s="1"/>
  <c r="W69" i="18" s="1"/>
  <c r="X69" i="18" s="1"/>
  <c r="Y69" i="18" s="1"/>
  <c r="Z69" i="18" s="1"/>
  <c r="K68" i="18"/>
  <c r="M68" i="18" s="1"/>
  <c r="N68" i="18" s="1"/>
  <c r="O68" i="18" s="1"/>
  <c r="P68" i="18" s="1"/>
  <c r="Q68" i="18" s="1"/>
  <c r="R68" i="18" s="1"/>
  <c r="S68" i="18" s="1"/>
  <c r="T68" i="18" s="1"/>
  <c r="U68" i="18" s="1"/>
  <c r="V68" i="18" s="1"/>
  <c r="W68" i="18" s="1"/>
  <c r="X68" i="18" s="1"/>
  <c r="Y68" i="18" s="1"/>
  <c r="Z68" i="18" s="1"/>
  <c r="K66" i="18"/>
  <c r="M66" i="18" s="1"/>
  <c r="N66" i="18" s="1"/>
  <c r="O66" i="18" s="1"/>
  <c r="P66" i="18" s="1"/>
  <c r="Q66" i="18" s="1"/>
  <c r="R66" i="18" s="1"/>
  <c r="S66" i="18" s="1"/>
  <c r="T66" i="18" s="1"/>
  <c r="U66" i="18" s="1"/>
  <c r="V66" i="18" s="1"/>
  <c r="W66" i="18" s="1"/>
  <c r="X66" i="18" s="1"/>
  <c r="Y66" i="18" s="1"/>
  <c r="Z66" i="18" s="1"/>
  <c r="K65" i="18"/>
  <c r="M65" i="18" s="1"/>
  <c r="N65" i="18" s="1"/>
  <c r="O65" i="18" s="1"/>
  <c r="P65" i="18" s="1"/>
  <c r="Q65" i="18" s="1"/>
  <c r="R65" i="18" s="1"/>
  <c r="S65" i="18" s="1"/>
  <c r="T65" i="18" s="1"/>
  <c r="U65" i="18" s="1"/>
  <c r="V65" i="18" s="1"/>
  <c r="W65" i="18" s="1"/>
  <c r="X65" i="18" s="1"/>
  <c r="Y65" i="18" s="1"/>
  <c r="Z65" i="18" s="1"/>
  <c r="K64" i="18"/>
  <c r="M64" i="18" s="1"/>
  <c r="N64" i="18" s="1"/>
  <c r="O64" i="18" s="1"/>
  <c r="P64" i="18" s="1"/>
  <c r="Q64" i="18" s="1"/>
  <c r="R64" i="18" s="1"/>
  <c r="S64" i="18" s="1"/>
  <c r="T64" i="18" s="1"/>
  <c r="U64" i="18" s="1"/>
  <c r="V64" i="18" s="1"/>
  <c r="W64" i="18" s="1"/>
  <c r="X64" i="18" s="1"/>
  <c r="Y64" i="18" s="1"/>
  <c r="Z64" i="18" s="1"/>
  <c r="K63" i="18"/>
  <c r="M63" i="18" s="1"/>
  <c r="N63" i="18" s="1"/>
  <c r="O63" i="18" s="1"/>
  <c r="P63" i="18" s="1"/>
  <c r="Q63" i="18" s="1"/>
  <c r="R63" i="18" s="1"/>
  <c r="S63" i="18" s="1"/>
  <c r="T63" i="18" s="1"/>
  <c r="U63" i="18" s="1"/>
  <c r="V63" i="18" s="1"/>
  <c r="W63" i="18" s="1"/>
  <c r="X63" i="18" s="1"/>
  <c r="Y63" i="18" s="1"/>
  <c r="Z63" i="18" s="1"/>
  <c r="K62" i="18"/>
  <c r="M62" i="18" s="1"/>
  <c r="N62" i="18" s="1"/>
  <c r="O62" i="18" s="1"/>
  <c r="P62" i="18" s="1"/>
  <c r="Q62" i="18" s="1"/>
  <c r="R62" i="18" s="1"/>
  <c r="S62" i="18" s="1"/>
  <c r="T62" i="18" s="1"/>
  <c r="U62" i="18" s="1"/>
  <c r="V62" i="18" s="1"/>
  <c r="W62" i="18" s="1"/>
  <c r="X62" i="18" s="1"/>
  <c r="Y62" i="18" s="1"/>
  <c r="Z62" i="18" s="1"/>
  <c r="K61" i="18"/>
  <c r="M61" i="18" s="1"/>
  <c r="N61" i="18" s="1"/>
  <c r="O61" i="18" s="1"/>
  <c r="P61" i="18" s="1"/>
  <c r="Q61" i="18" s="1"/>
  <c r="R61" i="18" s="1"/>
  <c r="S61" i="18" s="1"/>
  <c r="T61" i="18" s="1"/>
  <c r="U61" i="18" s="1"/>
  <c r="V61" i="18" s="1"/>
  <c r="W61" i="18" s="1"/>
  <c r="X61" i="18" s="1"/>
  <c r="Y61" i="18" s="1"/>
  <c r="Z61" i="18" s="1"/>
  <c r="M60" i="18"/>
  <c r="N60" i="18" s="1"/>
  <c r="O60" i="18" s="1"/>
  <c r="P60" i="18" s="1"/>
  <c r="Q60" i="18" s="1"/>
  <c r="R60" i="18" s="1"/>
  <c r="S60" i="18" s="1"/>
  <c r="T60" i="18" s="1"/>
  <c r="U60" i="18" s="1"/>
  <c r="V60" i="18" s="1"/>
  <c r="W60" i="18" s="1"/>
  <c r="X60" i="18" s="1"/>
  <c r="Y60" i="18" s="1"/>
  <c r="Z60" i="18" s="1"/>
  <c r="E58" i="18"/>
  <c r="E67" i="18" s="1"/>
  <c r="C58" i="18"/>
  <c r="C67" i="18" s="1"/>
  <c r="C110" i="19" s="1"/>
  <c r="K57" i="18"/>
  <c r="K56" i="18"/>
  <c r="K55" i="18"/>
  <c r="K54" i="18"/>
  <c r="K53" i="18"/>
  <c r="K52" i="18"/>
  <c r="K50" i="18"/>
  <c r="K49" i="18"/>
  <c r="K48" i="18"/>
  <c r="K46" i="18"/>
  <c r="K45" i="18"/>
  <c r="Q44" i="18"/>
  <c r="R44" i="18" s="1"/>
  <c r="S44" i="18" s="1"/>
  <c r="T44" i="18" s="1"/>
  <c r="U44" i="18" s="1"/>
  <c r="V44" i="18" s="1"/>
  <c r="W44" i="18" s="1"/>
  <c r="X44" i="18" s="1"/>
  <c r="Y44" i="18" s="1"/>
  <c r="Z44" i="18" s="1"/>
  <c r="E43" i="18"/>
  <c r="E51" i="18" s="1"/>
  <c r="E52" i="18" s="1"/>
  <c r="C43" i="18"/>
  <c r="C32" i="19" s="1"/>
  <c r="K42" i="18"/>
  <c r="K41" i="18"/>
  <c r="K40" i="18"/>
  <c r="K39" i="18"/>
  <c r="K38" i="18"/>
  <c r="K37" i="18"/>
  <c r="K36" i="18"/>
  <c r="K34" i="18"/>
  <c r="K33" i="18"/>
  <c r="K32" i="18"/>
  <c r="K31" i="18"/>
  <c r="E26" i="18"/>
  <c r="E27" i="18" s="1"/>
  <c r="C26" i="18"/>
  <c r="C35" i="18" s="1"/>
  <c r="C92" i="19" s="1"/>
  <c r="K25" i="18"/>
  <c r="K24" i="18"/>
  <c r="K23" i="18"/>
  <c r="K22" i="18"/>
  <c r="K21" i="18"/>
  <c r="K18" i="18"/>
  <c r="K17" i="18"/>
  <c r="K16" i="18"/>
  <c r="K15" i="18"/>
  <c r="E13" i="18"/>
  <c r="E20" i="18" s="1"/>
  <c r="E21" i="18" s="1"/>
  <c r="C13" i="18"/>
  <c r="K12" i="18"/>
  <c r="K11" i="18"/>
  <c r="K9" i="18"/>
  <c r="M8" i="18"/>
  <c r="N8" i="18" s="1"/>
  <c r="O8" i="18" s="1"/>
  <c r="P8" i="18" s="1"/>
  <c r="Q8" i="18" s="1"/>
  <c r="R8" i="18" s="1"/>
  <c r="S8" i="18" s="1"/>
  <c r="T8" i="18" s="1"/>
  <c r="U8" i="18" s="1"/>
  <c r="V8" i="18" s="1"/>
  <c r="W8" i="18" s="1"/>
  <c r="X8" i="18" s="1"/>
  <c r="Y8" i="18" s="1"/>
  <c r="Z8" i="18" s="1"/>
  <c r="E6" i="18"/>
  <c r="E10" i="18" s="1"/>
  <c r="E11" i="18" s="1"/>
  <c r="C7" i="18"/>
  <c r="W87" i="2"/>
  <c r="Y60" i="2"/>
  <c r="Z60" i="2" s="1"/>
  <c r="W88" i="2"/>
  <c r="W86" i="2"/>
  <c r="B160" i="8" l="1"/>
  <c r="L9" i="18"/>
  <c r="M9" i="18" s="1"/>
  <c r="N9" i="18" s="1"/>
  <c r="O9" i="18" s="1"/>
  <c r="P9" i="18" s="1"/>
  <c r="Q9" i="18" s="1"/>
  <c r="R9" i="18" s="1"/>
  <c r="S9" i="18" s="1"/>
  <c r="T9" i="18" s="1"/>
  <c r="U9" i="18" s="1"/>
  <c r="V9" i="18" s="1"/>
  <c r="W9" i="18" s="1"/>
  <c r="X9" i="18" s="1"/>
  <c r="Y9" i="18" s="1"/>
  <c r="Z9" i="18" s="1"/>
  <c r="L18" i="18"/>
  <c r="M18" i="18" s="1"/>
  <c r="N18" i="18" s="1"/>
  <c r="O18" i="18" s="1"/>
  <c r="P18" i="18" s="1"/>
  <c r="Q18" i="18" s="1"/>
  <c r="R18" i="18" s="1"/>
  <c r="S18" i="18" s="1"/>
  <c r="T18" i="18" s="1"/>
  <c r="U18" i="18" s="1"/>
  <c r="V18" i="18" s="1"/>
  <c r="W18" i="18" s="1"/>
  <c r="X18" i="18" s="1"/>
  <c r="Y18" i="18" s="1"/>
  <c r="Z18" i="18" s="1"/>
  <c r="L39" i="18"/>
  <c r="M39" i="18" s="1"/>
  <c r="N39" i="18" s="1"/>
  <c r="O39" i="18" s="1"/>
  <c r="P39" i="18" s="1"/>
  <c r="Q39" i="18" s="1"/>
  <c r="R39" i="18" s="1"/>
  <c r="S39" i="18" s="1"/>
  <c r="T39" i="18" s="1"/>
  <c r="U39" i="18" s="1"/>
  <c r="V39" i="18" s="1"/>
  <c r="W39" i="18" s="1"/>
  <c r="X39" i="18" s="1"/>
  <c r="Y39" i="18" s="1"/>
  <c r="Z39" i="18" s="1"/>
  <c r="L46" i="18"/>
  <c r="M46" i="18" s="1"/>
  <c r="N46" i="18" s="1"/>
  <c r="O46" i="18" s="1"/>
  <c r="P46" i="18" s="1"/>
  <c r="Q46" i="18" s="1"/>
  <c r="R46" i="18" s="1"/>
  <c r="S46" i="18" s="1"/>
  <c r="T46" i="18" s="1"/>
  <c r="U46" i="18" s="1"/>
  <c r="V46" i="18" s="1"/>
  <c r="W46" i="18" s="1"/>
  <c r="X46" i="18" s="1"/>
  <c r="Y46" i="18" s="1"/>
  <c r="Z46" i="18" s="1"/>
  <c r="L56" i="18"/>
  <c r="M56" i="18" s="1"/>
  <c r="N56" i="18" s="1"/>
  <c r="O56" i="18" s="1"/>
  <c r="P56" i="18" s="1"/>
  <c r="Q56" i="18" s="1"/>
  <c r="R56" i="18" s="1"/>
  <c r="S56" i="18" s="1"/>
  <c r="T56" i="18" s="1"/>
  <c r="U56" i="18" s="1"/>
  <c r="V56" i="18" s="1"/>
  <c r="W56" i="18" s="1"/>
  <c r="X56" i="18" s="1"/>
  <c r="Y56" i="18" s="1"/>
  <c r="Z56" i="18" s="1"/>
  <c r="L47" i="18"/>
  <c r="M47" i="18" s="1"/>
  <c r="N47" i="18" s="1"/>
  <c r="O47" i="18" s="1"/>
  <c r="P47" i="18" s="1"/>
  <c r="Q47" i="18" s="1"/>
  <c r="R47" i="18" s="1"/>
  <c r="S47" i="18" s="1"/>
  <c r="T47" i="18" s="1"/>
  <c r="U47" i="18" s="1"/>
  <c r="V47" i="18" s="1"/>
  <c r="W47" i="18" s="1"/>
  <c r="X47" i="18" s="1"/>
  <c r="Y47" i="18" s="1"/>
  <c r="Z47" i="18" s="1"/>
  <c r="L45" i="18"/>
  <c r="M45" i="18" s="1"/>
  <c r="N45" i="18" s="1"/>
  <c r="O45" i="18" s="1"/>
  <c r="P45" i="18" s="1"/>
  <c r="Q45" i="18" s="1"/>
  <c r="R45" i="18" s="1"/>
  <c r="S45" i="18" s="1"/>
  <c r="T45" i="18" s="1"/>
  <c r="U45" i="18" s="1"/>
  <c r="V45" i="18" s="1"/>
  <c r="W45" i="18" s="1"/>
  <c r="X45" i="18" s="1"/>
  <c r="Y45" i="18" s="1"/>
  <c r="Z45" i="18" s="1"/>
  <c r="L11" i="18"/>
  <c r="M11" i="18" s="1"/>
  <c r="N11" i="18" s="1"/>
  <c r="O11" i="18" s="1"/>
  <c r="P11" i="18" s="1"/>
  <c r="Q11" i="18" s="1"/>
  <c r="R11" i="18" s="1"/>
  <c r="S11" i="18" s="1"/>
  <c r="T11" i="18" s="1"/>
  <c r="U11" i="18" s="1"/>
  <c r="V11" i="18" s="1"/>
  <c r="W11" i="18" s="1"/>
  <c r="X11" i="18" s="1"/>
  <c r="Y11" i="18" s="1"/>
  <c r="Z11" i="18" s="1"/>
  <c r="L48" i="18"/>
  <c r="M48" i="18" s="1"/>
  <c r="N48" i="18" s="1"/>
  <c r="O48" i="18" s="1"/>
  <c r="P48" i="18" s="1"/>
  <c r="Q48" i="18" s="1"/>
  <c r="R48" i="18" s="1"/>
  <c r="S48" i="18" s="1"/>
  <c r="T48" i="18" s="1"/>
  <c r="U48" i="18" s="1"/>
  <c r="V48" i="18" s="1"/>
  <c r="W48" i="18" s="1"/>
  <c r="X48" i="18" s="1"/>
  <c r="Y48" i="18" s="1"/>
  <c r="Z48" i="18" s="1"/>
  <c r="L84" i="18"/>
  <c r="M84" i="18" s="1"/>
  <c r="N84" i="18" s="1"/>
  <c r="O84" i="18" s="1"/>
  <c r="P84" i="18" s="1"/>
  <c r="Q84" i="18" s="1"/>
  <c r="R84" i="18" s="1"/>
  <c r="S84" i="18" s="1"/>
  <c r="T84" i="18" s="1"/>
  <c r="U84" i="18" s="1"/>
  <c r="V84" i="18" s="1"/>
  <c r="W84" i="18" s="1"/>
  <c r="X84" i="18" s="1"/>
  <c r="Y84" i="18" s="1"/>
  <c r="Z84" i="18" s="1"/>
  <c r="L12" i="18"/>
  <c r="M12" i="18" s="1"/>
  <c r="N12" i="18" s="1"/>
  <c r="O12" i="18" s="1"/>
  <c r="P12" i="18" s="1"/>
  <c r="Q12" i="18" s="1"/>
  <c r="R12" i="18" s="1"/>
  <c r="S12" i="18" s="1"/>
  <c r="T12" i="18" s="1"/>
  <c r="U12" i="18" s="1"/>
  <c r="V12" i="18" s="1"/>
  <c r="W12" i="18" s="1"/>
  <c r="X12" i="18" s="1"/>
  <c r="Y12" i="18" s="1"/>
  <c r="Z12" i="18" s="1"/>
  <c r="L22" i="18"/>
  <c r="M22" i="18" s="1"/>
  <c r="N22" i="18" s="1"/>
  <c r="O22" i="18" s="1"/>
  <c r="P22" i="18" s="1"/>
  <c r="Q22" i="18" s="1"/>
  <c r="R22" i="18" s="1"/>
  <c r="S22" i="18" s="1"/>
  <c r="T22" i="18" s="1"/>
  <c r="U22" i="18" s="1"/>
  <c r="V22" i="18" s="1"/>
  <c r="W22" i="18" s="1"/>
  <c r="X22" i="18" s="1"/>
  <c r="Y22" i="18" s="1"/>
  <c r="Z22" i="18" s="1"/>
  <c r="L32" i="18"/>
  <c r="M32" i="18" s="1"/>
  <c r="N32" i="18" s="1"/>
  <c r="O32" i="18" s="1"/>
  <c r="P32" i="18" s="1"/>
  <c r="Q32" i="18" s="1"/>
  <c r="R32" i="18" s="1"/>
  <c r="S32" i="18" s="1"/>
  <c r="T32" i="18" s="1"/>
  <c r="U32" i="18" s="1"/>
  <c r="V32" i="18" s="1"/>
  <c r="W32" i="18" s="1"/>
  <c r="X32" i="18" s="1"/>
  <c r="Y32" i="18" s="1"/>
  <c r="Z32" i="18" s="1"/>
  <c r="L41" i="18"/>
  <c r="M41" i="18" s="1"/>
  <c r="N41" i="18" s="1"/>
  <c r="O41" i="18" s="1"/>
  <c r="P41" i="18" s="1"/>
  <c r="Q41" i="18" s="1"/>
  <c r="R41" i="18" s="1"/>
  <c r="S41" i="18" s="1"/>
  <c r="T41" i="18" s="1"/>
  <c r="U41" i="18" s="1"/>
  <c r="V41" i="18" s="1"/>
  <c r="W41" i="18" s="1"/>
  <c r="X41" i="18" s="1"/>
  <c r="Y41" i="18" s="1"/>
  <c r="Z41" i="18" s="1"/>
  <c r="L49" i="18"/>
  <c r="M49" i="18" s="1"/>
  <c r="N49" i="18" s="1"/>
  <c r="O49" i="18" s="1"/>
  <c r="P49" i="18" s="1"/>
  <c r="Q49" i="18" s="1"/>
  <c r="R49" i="18" s="1"/>
  <c r="S49" i="18" s="1"/>
  <c r="T49" i="18" s="1"/>
  <c r="U49" i="18" s="1"/>
  <c r="V49" i="18" s="1"/>
  <c r="W49" i="18" s="1"/>
  <c r="X49" i="18" s="1"/>
  <c r="Y49" i="18" s="1"/>
  <c r="Z49" i="18" s="1"/>
  <c r="L16" i="18"/>
  <c r="M16" i="18" s="1"/>
  <c r="N16" i="18" s="1"/>
  <c r="O16" i="18" s="1"/>
  <c r="P16" i="18" s="1"/>
  <c r="Q16" i="18" s="1"/>
  <c r="R16" i="18" s="1"/>
  <c r="S16" i="18" s="1"/>
  <c r="T16" i="18" s="1"/>
  <c r="U16" i="18" s="1"/>
  <c r="V16" i="18" s="1"/>
  <c r="W16" i="18" s="1"/>
  <c r="X16" i="18" s="1"/>
  <c r="Y16" i="18" s="1"/>
  <c r="Z16" i="18" s="1"/>
  <c r="L37" i="18"/>
  <c r="M37" i="18" s="1"/>
  <c r="N37" i="18" s="1"/>
  <c r="O37" i="18" s="1"/>
  <c r="P37" i="18" s="1"/>
  <c r="Q37" i="18" s="1"/>
  <c r="R37" i="18" s="1"/>
  <c r="S37" i="18" s="1"/>
  <c r="T37" i="18" s="1"/>
  <c r="U37" i="18" s="1"/>
  <c r="V37" i="18" s="1"/>
  <c r="W37" i="18" s="1"/>
  <c r="X37" i="18" s="1"/>
  <c r="Y37" i="18" s="1"/>
  <c r="Z37" i="18" s="1"/>
  <c r="L54" i="18"/>
  <c r="M54" i="18" s="1"/>
  <c r="N54" i="18" s="1"/>
  <c r="O54" i="18" s="1"/>
  <c r="P54" i="18" s="1"/>
  <c r="Q54" i="18" s="1"/>
  <c r="R54" i="18" s="1"/>
  <c r="S54" i="18" s="1"/>
  <c r="T54" i="18" s="1"/>
  <c r="U54" i="18" s="1"/>
  <c r="V54" i="18" s="1"/>
  <c r="W54" i="18" s="1"/>
  <c r="X54" i="18" s="1"/>
  <c r="Y54" i="18" s="1"/>
  <c r="Z54" i="18" s="1"/>
  <c r="L21" i="18"/>
  <c r="M21" i="18" s="1"/>
  <c r="N21" i="18" s="1"/>
  <c r="O21" i="18" s="1"/>
  <c r="P21" i="18" s="1"/>
  <c r="Q21" i="18" s="1"/>
  <c r="R21" i="18" s="1"/>
  <c r="S21" i="18" s="1"/>
  <c r="T21" i="18" s="1"/>
  <c r="U21" i="18" s="1"/>
  <c r="V21" i="18" s="1"/>
  <c r="W21" i="18" s="1"/>
  <c r="X21" i="18" s="1"/>
  <c r="Y21" i="18" s="1"/>
  <c r="Z21" i="18" s="1"/>
  <c r="L31" i="18"/>
  <c r="M31" i="18" s="1"/>
  <c r="N31" i="18" s="1"/>
  <c r="O31" i="18" s="1"/>
  <c r="P31" i="18" s="1"/>
  <c r="Q31" i="18" s="1"/>
  <c r="R31" i="18" s="1"/>
  <c r="S31" i="18" s="1"/>
  <c r="T31" i="18" s="1"/>
  <c r="U31" i="18" s="1"/>
  <c r="V31" i="18" s="1"/>
  <c r="W31" i="18" s="1"/>
  <c r="X31" i="18" s="1"/>
  <c r="Y31" i="18" s="1"/>
  <c r="Z31" i="18" s="1"/>
  <c r="L40" i="18"/>
  <c r="M40" i="18" s="1"/>
  <c r="N40" i="18" s="1"/>
  <c r="O40" i="18" s="1"/>
  <c r="P40" i="18" s="1"/>
  <c r="Q40" i="18" s="1"/>
  <c r="R40" i="18" s="1"/>
  <c r="S40" i="18" s="1"/>
  <c r="T40" i="18" s="1"/>
  <c r="U40" i="18" s="1"/>
  <c r="V40" i="18" s="1"/>
  <c r="W40" i="18" s="1"/>
  <c r="X40" i="18" s="1"/>
  <c r="Y40" i="18" s="1"/>
  <c r="Z40" i="18" s="1"/>
  <c r="L57" i="18"/>
  <c r="M57" i="18" s="1"/>
  <c r="N57" i="18" s="1"/>
  <c r="O57" i="18" s="1"/>
  <c r="P57" i="18" s="1"/>
  <c r="Q57" i="18" s="1"/>
  <c r="R57" i="18" s="1"/>
  <c r="S57" i="18" s="1"/>
  <c r="T57" i="18" s="1"/>
  <c r="U57" i="18" s="1"/>
  <c r="V57" i="18" s="1"/>
  <c r="W57" i="18" s="1"/>
  <c r="X57" i="18" s="1"/>
  <c r="Y57" i="18" s="1"/>
  <c r="Z57" i="18" s="1"/>
  <c r="L23" i="18"/>
  <c r="M23" i="18" s="1"/>
  <c r="N23" i="18" s="1"/>
  <c r="O23" i="18" s="1"/>
  <c r="P23" i="18" s="1"/>
  <c r="Q23" i="18" s="1"/>
  <c r="R23" i="18" s="1"/>
  <c r="S23" i="18" s="1"/>
  <c r="T23" i="18" s="1"/>
  <c r="U23" i="18" s="1"/>
  <c r="V23" i="18" s="1"/>
  <c r="W23" i="18" s="1"/>
  <c r="X23" i="18" s="1"/>
  <c r="Y23" i="18" s="1"/>
  <c r="Z23" i="18" s="1"/>
  <c r="L33" i="18"/>
  <c r="M33" i="18" s="1"/>
  <c r="N33" i="18" s="1"/>
  <c r="O33" i="18" s="1"/>
  <c r="P33" i="18" s="1"/>
  <c r="Q33" i="18" s="1"/>
  <c r="R33" i="18" s="1"/>
  <c r="S33" i="18" s="1"/>
  <c r="T33" i="18" s="1"/>
  <c r="U33" i="18" s="1"/>
  <c r="V33" i="18" s="1"/>
  <c r="W33" i="18" s="1"/>
  <c r="X33" i="18" s="1"/>
  <c r="Y33" i="18" s="1"/>
  <c r="Z33" i="18" s="1"/>
  <c r="L42" i="18"/>
  <c r="M42" i="18" s="1"/>
  <c r="N42" i="18" s="1"/>
  <c r="O42" i="18" s="1"/>
  <c r="P42" i="18" s="1"/>
  <c r="Q42" i="18" s="1"/>
  <c r="R42" i="18" s="1"/>
  <c r="S42" i="18" s="1"/>
  <c r="T42" i="18" s="1"/>
  <c r="U42" i="18" s="1"/>
  <c r="V42" i="18" s="1"/>
  <c r="W42" i="18" s="1"/>
  <c r="X42" i="18" s="1"/>
  <c r="Y42" i="18" s="1"/>
  <c r="Z42" i="18" s="1"/>
  <c r="L50" i="18"/>
  <c r="M50" i="18" s="1"/>
  <c r="N50" i="18" s="1"/>
  <c r="O50" i="18" s="1"/>
  <c r="P50" i="18" s="1"/>
  <c r="Q50" i="18" s="1"/>
  <c r="R50" i="18" s="1"/>
  <c r="S50" i="18" s="1"/>
  <c r="T50" i="18" s="1"/>
  <c r="U50" i="18" s="1"/>
  <c r="V50" i="18" s="1"/>
  <c r="W50" i="18" s="1"/>
  <c r="X50" i="18" s="1"/>
  <c r="Y50" i="18" s="1"/>
  <c r="Z50" i="18" s="1"/>
  <c r="L29" i="18"/>
  <c r="M29" i="18" s="1"/>
  <c r="N29" i="18" s="1"/>
  <c r="O29" i="18" s="1"/>
  <c r="P29" i="18" s="1"/>
  <c r="Q29" i="18" s="1"/>
  <c r="R29" i="18" s="1"/>
  <c r="S29" i="18" s="1"/>
  <c r="T29" i="18" s="1"/>
  <c r="U29" i="18" s="1"/>
  <c r="V29" i="18" s="1"/>
  <c r="W29" i="18" s="1"/>
  <c r="X29" i="18" s="1"/>
  <c r="Y29" i="18" s="1"/>
  <c r="Z29" i="18" s="1"/>
  <c r="L38" i="18"/>
  <c r="M38" i="18" s="1"/>
  <c r="N38" i="18" s="1"/>
  <c r="O38" i="18" s="1"/>
  <c r="P38" i="18" s="1"/>
  <c r="Q38" i="18" s="1"/>
  <c r="R38" i="18" s="1"/>
  <c r="S38" i="18" s="1"/>
  <c r="T38" i="18" s="1"/>
  <c r="U38" i="18" s="1"/>
  <c r="V38" i="18" s="1"/>
  <c r="W38" i="18" s="1"/>
  <c r="X38" i="18" s="1"/>
  <c r="Y38" i="18" s="1"/>
  <c r="Z38" i="18" s="1"/>
  <c r="L24" i="18"/>
  <c r="M24" i="18" s="1"/>
  <c r="N24" i="18" s="1"/>
  <c r="O24" i="18" s="1"/>
  <c r="P24" i="18" s="1"/>
  <c r="Q24" i="18" s="1"/>
  <c r="R24" i="18" s="1"/>
  <c r="S24" i="18" s="1"/>
  <c r="T24" i="18" s="1"/>
  <c r="U24" i="18" s="1"/>
  <c r="V24" i="18" s="1"/>
  <c r="W24" i="18" s="1"/>
  <c r="X24" i="18" s="1"/>
  <c r="Y24" i="18" s="1"/>
  <c r="Z24" i="18" s="1"/>
  <c r="L34" i="18"/>
  <c r="M34" i="18" s="1"/>
  <c r="N34" i="18" s="1"/>
  <c r="O34" i="18" s="1"/>
  <c r="P34" i="18" s="1"/>
  <c r="Q34" i="18" s="1"/>
  <c r="R34" i="18" s="1"/>
  <c r="S34" i="18" s="1"/>
  <c r="T34" i="18" s="1"/>
  <c r="U34" i="18" s="1"/>
  <c r="V34" i="18" s="1"/>
  <c r="W34" i="18" s="1"/>
  <c r="X34" i="18" s="1"/>
  <c r="Y34" i="18" s="1"/>
  <c r="Z34" i="18" s="1"/>
  <c r="L52" i="18"/>
  <c r="M52" i="18" s="1"/>
  <c r="N52" i="18" s="1"/>
  <c r="O52" i="18" s="1"/>
  <c r="P52" i="18" s="1"/>
  <c r="Q52" i="18" s="1"/>
  <c r="R52" i="18" s="1"/>
  <c r="S52" i="18" s="1"/>
  <c r="T52" i="18" s="1"/>
  <c r="U52" i="18" s="1"/>
  <c r="V52" i="18" s="1"/>
  <c r="W52" i="18" s="1"/>
  <c r="X52" i="18" s="1"/>
  <c r="Y52" i="18" s="1"/>
  <c r="Z52" i="18" s="1"/>
  <c r="L19" i="18"/>
  <c r="M19" i="18" s="1"/>
  <c r="N19" i="18" s="1"/>
  <c r="O19" i="18" s="1"/>
  <c r="P19" i="18" s="1"/>
  <c r="Q19" i="18" s="1"/>
  <c r="R19" i="18" s="1"/>
  <c r="S19" i="18" s="1"/>
  <c r="T19" i="18" s="1"/>
  <c r="U19" i="18" s="1"/>
  <c r="V19" i="18" s="1"/>
  <c r="W19" i="18" s="1"/>
  <c r="X19" i="18" s="1"/>
  <c r="Y19" i="18" s="1"/>
  <c r="Z19" i="18" s="1"/>
  <c r="L79" i="18"/>
  <c r="M79" i="18" s="1"/>
  <c r="N79" i="18" s="1"/>
  <c r="O79" i="18" s="1"/>
  <c r="P79" i="18" s="1"/>
  <c r="Q79" i="18" s="1"/>
  <c r="R79" i="18" s="1"/>
  <c r="S79" i="18" s="1"/>
  <c r="T79" i="18" s="1"/>
  <c r="U79" i="18" s="1"/>
  <c r="V79" i="18" s="1"/>
  <c r="W79" i="18" s="1"/>
  <c r="X79" i="18" s="1"/>
  <c r="Y79" i="18" s="1"/>
  <c r="Z79" i="18" s="1"/>
  <c r="M87" i="18"/>
  <c r="N87" i="18" s="1"/>
  <c r="O87" i="18" s="1"/>
  <c r="P87" i="18" s="1"/>
  <c r="Q87" i="18" s="1"/>
  <c r="R87" i="18" s="1"/>
  <c r="S87" i="18" s="1"/>
  <c r="T87" i="18" s="1"/>
  <c r="U87" i="18" s="1"/>
  <c r="V87" i="18" s="1"/>
  <c r="W87" i="18" s="1"/>
  <c r="X87" i="18" s="1"/>
  <c r="Y87" i="18" s="1"/>
  <c r="Z87" i="18" s="1"/>
  <c r="L87" i="18"/>
  <c r="L17" i="18"/>
  <c r="M17" i="18" s="1"/>
  <c r="N17" i="18" s="1"/>
  <c r="O17" i="18" s="1"/>
  <c r="P17" i="18" s="1"/>
  <c r="Q17" i="18" s="1"/>
  <c r="R17" i="18" s="1"/>
  <c r="S17" i="18" s="1"/>
  <c r="T17" i="18" s="1"/>
  <c r="U17" i="18" s="1"/>
  <c r="V17" i="18" s="1"/>
  <c r="W17" i="18" s="1"/>
  <c r="X17" i="18" s="1"/>
  <c r="Y17" i="18" s="1"/>
  <c r="Z17" i="18" s="1"/>
  <c r="L55" i="18"/>
  <c r="M55" i="18" s="1"/>
  <c r="N55" i="18" s="1"/>
  <c r="O55" i="18" s="1"/>
  <c r="P55" i="18" s="1"/>
  <c r="Q55" i="18" s="1"/>
  <c r="R55" i="18" s="1"/>
  <c r="S55" i="18" s="1"/>
  <c r="T55" i="18" s="1"/>
  <c r="U55" i="18" s="1"/>
  <c r="V55" i="18" s="1"/>
  <c r="W55" i="18" s="1"/>
  <c r="X55" i="18" s="1"/>
  <c r="Y55" i="18" s="1"/>
  <c r="Z55" i="18" s="1"/>
  <c r="L15" i="18"/>
  <c r="M15" i="18" s="1"/>
  <c r="N15" i="18" s="1"/>
  <c r="O15" i="18" s="1"/>
  <c r="P15" i="18" s="1"/>
  <c r="Q15" i="18" s="1"/>
  <c r="R15" i="18" s="1"/>
  <c r="S15" i="18" s="1"/>
  <c r="T15" i="18" s="1"/>
  <c r="U15" i="18" s="1"/>
  <c r="V15" i="18" s="1"/>
  <c r="W15" i="18" s="1"/>
  <c r="X15" i="18" s="1"/>
  <c r="Y15" i="18" s="1"/>
  <c r="Z15" i="18" s="1"/>
  <c r="M25" i="18"/>
  <c r="N25" i="18" s="1"/>
  <c r="O25" i="18" s="1"/>
  <c r="P25" i="18" s="1"/>
  <c r="Q25" i="18" s="1"/>
  <c r="R25" i="18" s="1"/>
  <c r="S25" i="18" s="1"/>
  <c r="T25" i="18" s="1"/>
  <c r="U25" i="18" s="1"/>
  <c r="V25" i="18" s="1"/>
  <c r="W25" i="18" s="1"/>
  <c r="X25" i="18" s="1"/>
  <c r="Y25" i="18" s="1"/>
  <c r="Z25" i="18" s="1"/>
  <c r="L25" i="18"/>
  <c r="L36" i="18"/>
  <c r="M36" i="18" s="1"/>
  <c r="N36" i="18" s="1"/>
  <c r="O36" i="18" s="1"/>
  <c r="P36" i="18" s="1"/>
  <c r="Q36" i="18" s="1"/>
  <c r="R36" i="18" s="1"/>
  <c r="S36" i="18" s="1"/>
  <c r="T36" i="18" s="1"/>
  <c r="U36" i="18" s="1"/>
  <c r="V36" i="18" s="1"/>
  <c r="W36" i="18" s="1"/>
  <c r="X36" i="18" s="1"/>
  <c r="Y36" i="18" s="1"/>
  <c r="Z36" i="18" s="1"/>
  <c r="L53" i="18"/>
  <c r="M53" i="18" s="1"/>
  <c r="N53" i="18" s="1"/>
  <c r="O53" i="18" s="1"/>
  <c r="P53" i="18" s="1"/>
  <c r="Q53" i="18" s="1"/>
  <c r="R53" i="18" s="1"/>
  <c r="S53" i="18" s="1"/>
  <c r="T53" i="18" s="1"/>
  <c r="U53" i="18" s="1"/>
  <c r="V53" i="18" s="1"/>
  <c r="W53" i="18" s="1"/>
  <c r="X53" i="18" s="1"/>
  <c r="Y53" i="18" s="1"/>
  <c r="Z53" i="18" s="1"/>
  <c r="L30" i="18"/>
  <c r="M30" i="18" s="1"/>
  <c r="N30" i="18" s="1"/>
  <c r="O30" i="18" s="1"/>
  <c r="P30" i="18" s="1"/>
  <c r="Q30" i="18" s="1"/>
  <c r="R30" i="18" s="1"/>
  <c r="S30" i="18" s="1"/>
  <c r="T30" i="18" s="1"/>
  <c r="U30" i="18" s="1"/>
  <c r="V30" i="18" s="1"/>
  <c r="W30" i="18" s="1"/>
  <c r="X30" i="18" s="1"/>
  <c r="Y30" i="18" s="1"/>
  <c r="Z30" i="18" s="1"/>
  <c r="L78" i="18"/>
  <c r="M78" i="18" s="1"/>
  <c r="N78" i="18" s="1"/>
  <c r="O78" i="18" s="1"/>
  <c r="P78" i="18" s="1"/>
  <c r="Q78" i="18" s="1"/>
  <c r="R78" i="18" s="1"/>
  <c r="S78" i="18" s="1"/>
  <c r="T78" i="18" s="1"/>
  <c r="U78" i="18" s="1"/>
  <c r="V78" i="18" s="1"/>
  <c r="W78" i="18" s="1"/>
  <c r="X78" i="18" s="1"/>
  <c r="Y78" i="18" s="1"/>
  <c r="Z78" i="18" s="1"/>
  <c r="I13" i="18"/>
  <c r="F194" i="7"/>
  <c r="H4" i="9"/>
  <c r="H33" i="9"/>
  <c r="D119" i="19"/>
  <c r="K83" i="18"/>
  <c r="K86" i="18"/>
  <c r="C77" i="19"/>
  <c r="C14" i="18"/>
  <c r="C4" i="18"/>
  <c r="C9" i="18"/>
  <c r="C73" i="19" s="1"/>
  <c r="C8" i="18"/>
  <c r="I26" i="18"/>
  <c r="C4" i="20" s="1"/>
  <c r="D4" i="20" s="1"/>
  <c r="E4" i="20" s="1"/>
  <c r="F4" i="20" s="1"/>
  <c r="G4" i="20" s="1"/>
  <c r="H4" i="20" s="1"/>
  <c r="I4" i="20" s="1"/>
  <c r="J4" i="20" s="1"/>
  <c r="K4" i="20" s="1"/>
  <c r="L4" i="20" s="1"/>
  <c r="M4" i="20" s="1"/>
  <c r="N4" i="20" s="1"/>
  <c r="O4" i="20" s="1"/>
  <c r="P4" i="20" s="1"/>
  <c r="Q4" i="20" s="1"/>
  <c r="R4" i="20" s="1"/>
  <c r="S4" i="20" s="1"/>
  <c r="T4" i="20" s="1"/>
  <c r="U4" i="20" s="1"/>
  <c r="B3" i="20"/>
  <c r="B166" i="20" s="1"/>
  <c r="I59" i="18"/>
  <c r="B6" i="20" s="1"/>
  <c r="B169" i="20" s="1"/>
  <c r="C167" i="20"/>
  <c r="M151" i="7"/>
  <c r="D60" i="7"/>
  <c r="H60" i="7"/>
  <c r="I89" i="2"/>
  <c r="F179" i="20"/>
  <c r="L151" i="7"/>
  <c r="D63" i="7"/>
  <c r="H63" i="7"/>
  <c r="H62" i="7"/>
  <c r="H181" i="21"/>
  <c r="E180" i="21"/>
  <c r="F177" i="21"/>
  <c r="D61" i="7"/>
  <c r="H61" i="7"/>
  <c r="F60" i="7"/>
  <c r="D177" i="20"/>
  <c r="N150" i="7"/>
  <c r="N181" i="21"/>
  <c r="F181" i="21"/>
  <c r="F63" i="7"/>
  <c r="M150" i="7"/>
  <c r="F62" i="7"/>
  <c r="C178" i="20"/>
  <c r="N151" i="7"/>
  <c r="L150" i="7"/>
  <c r="F61" i="7"/>
  <c r="D34" i="12"/>
  <c r="B31" i="10"/>
  <c r="D123" i="12"/>
  <c r="D153" i="12" s="1"/>
  <c r="B85" i="10"/>
  <c r="D60" i="12"/>
  <c r="D62" i="12"/>
  <c r="G60" i="1"/>
  <c r="D2" i="21"/>
  <c r="O21" i="20"/>
  <c r="L25" i="20"/>
  <c r="N24" i="20"/>
  <c r="M24" i="20"/>
  <c r="R25" i="20"/>
  <c r="H20" i="20"/>
  <c r="S25" i="20"/>
  <c r="Q20" i="20"/>
  <c r="N21" i="20"/>
  <c r="Q25" i="20"/>
  <c r="S24" i="20"/>
  <c r="M21" i="20"/>
  <c r="O20" i="20"/>
  <c r="G20" i="20"/>
  <c r="P25" i="20"/>
  <c r="R24" i="20"/>
  <c r="T21" i="20"/>
  <c r="U30" i="20" s="1"/>
  <c r="L21" i="20"/>
  <c r="N20" i="20"/>
  <c r="F20" i="20"/>
  <c r="I20" i="20"/>
  <c r="L24" i="20"/>
  <c r="K21" i="20"/>
  <c r="K25" i="20"/>
  <c r="T24" i="20"/>
  <c r="U33" i="20" s="1"/>
  <c r="P20" i="20"/>
  <c r="O25" i="20"/>
  <c r="Q24" i="20"/>
  <c r="S21" i="20"/>
  <c r="M20" i="20"/>
  <c r="R21" i="20"/>
  <c r="T20" i="20"/>
  <c r="U29" i="20" s="1"/>
  <c r="L20" i="20"/>
  <c r="D22" i="20"/>
  <c r="Q21" i="20"/>
  <c r="D24" i="20"/>
  <c r="M25" i="20"/>
  <c r="P21" i="20"/>
  <c r="J20" i="20"/>
  <c r="N25" i="20"/>
  <c r="O24" i="20"/>
  <c r="R20" i="20"/>
  <c r="C11" i="22"/>
  <c r="D11" i="20" s="1"/>
  <c r="S20" i="20"/>
  <c r="P24" i="20"/>
  <c r="K20" i="20"/>
  <c r="H60" i="1"/>
  <c r="H33" i="1"/>
  <c r="F37" i="10"/>
  <c r="D35" i="12"/>
  <c r="D61" i="12"/>
  <c r="D33" i="12"/>
  <c r="E80" i="10"/>
  <c r="E40" i="10"/>
  <c r="E72" i="10"/>
  <c r="D63" i="12"/>
  <c r="E48" i="10"/>
  <c r="E64" i="10"/>
  <c r="F68" i="10"/>
  <c r="E45" i="10"/>
  <c r="E37" i="10"/>
  <c r="E79" i="10"/>
  <c r="E71" i="10"/>
  <c r="E63" i="10"/>
  <c r="E50" i="10"/>
  <c r="E42" i="10"/>
  <c r="F39" i="10"/>
  <c r="E78" i="10"/>
  <c r="E70" i="10"/>
  <c r="E62" i="10"/>
  <c r="F62" i="10"/>
  <c r="D81" i="10"/>
  <c r="E47" i="10"/>
  <c r="E39" i="10"/>
  <c r="F36" i="10"/>
  <c r="F63" i="10"/>
  <c r="E81" i="10"/>
  <c r="E52" i="10"/>
  <c r="E44" i="10"/>
  <c r="E36" i="10"/>
  <c r="E76" i="10"/>
  <c r="E68" i="10"/>
  <c r="F38" i="10"/>
  <c r="E46" i="10"/>
  <c r="E38" i="10"/>
  <c r="F35" i="10"/>
  <c r="F66" i="10"/>
  <c r="F40" i="10"/>
  <c r="D197" i="7"/>
  <c r="G194" i="7" s="1"/>
  <c r="C177" i="20"/>
  <c r="C3" i="21"/>
  <c r="D3" i="21" s="1"/>
  <c r="E3" i="21" s="1"/>
  <c r="F3" i="21" s="1"/>
  <c r="G3" i="21" s="1"/>
  <c r="H3" i="21" s="1"/>
  <c r="I3" i="21" s="1"/>
  <c r="J3" i="21" s="1"/>
  <c r="K3" i="21" s="1"/>
  <c r="L3" i="21" s="1"/>
  <c r="M3" i="21" s="1"/>
  <c r="N3" i="21" s="1"/>
  <c r="O3" i="21" s="1"/>
  <c r="P3" i="21" s="1"/>
  <c r="R3" i="21" s="1"/>
  <c r="S3" i="21" s="1"/>
  <c r="T3" i="21" s="1"/>
  <c r="U3" i="21" s="1"/>
  <c r="U6" i="12"/>
  <c r="E178" i="21"/>
  <c r="J182" i="21"/>
  <c r="C182" i="20"/>
  <c r="C179" i="20"/>
  <c r="F178" i="20"/>
  <c r="K80" i="18"/>
  <c r="W108" i="19"/>
  <c r="S15" i="22" s="1"/>
  <c r="T15" i="20" s="1"/>
  <c r="E4" i="18"/>
  <c r="C27" i="18"/>
  <c r="C91" i="19" s="1"/>
  <c r="E53" i="18"/>
  <c r="C82" i="18"/>
  <c r="C87" i="18" s="1"/>
  <c r="C10" i="18"/>
  <c r="C11" i="18" s="1"/>
  <c r="E35" i="18"/>
  <c r="K81" i="18"/>
  <c r="E7" i="18"/>
  <c r="E9" i="18" s="1"/>
  <c r="E44" i="18"/>
  <c r="E48" i="18" s="1"/>
  <c r="E47" i="18"/>
  <c r="D115" i="19"/>
  <c r="E5" i="18"/>
  <c r="E76" i="18"/>
  <c r="E79" i="18" s="1"/>
  <c r="K85" i="18"/>
  <c r="C29" i="19"/>
  <c r="C93" i="19"/>
  <c r="C111" i="19"/>
  <c r="D120" i="19"/>
  <c r="C5" i="18"/>
  <c r="C112" i="19"/>
  <c r="E12" i="18"/>
  <c r="C31" i="19"/>
  <c r="G31" i="19" s="1"/>
  <c r="H31" i="19" s="1"/>
  <c r="I31" i="19" s="1"/>
  <c r="J31" i="19" s="1"/>
  <c r="K31" i="19" s="1"/>
  <c r="L31" i="19" s="1"/>
  <c r="M31" i="19" s="1"/>
  <c r="N31" i="19" s="1"/>
  <c r="O31" i="19" s="1"/>
  <c r="P31" i="19" s="1"/>
  <c r="Q31" i="19" s="1"/>
  <c r="R31" i="19" s="1"/>
  <c r="S31" i="19" s="1"/>
  <c r="T31" i="19" s="1"/>
  <c r="U31" i="19" s="1"/>
  <c r="V31" i="19" s="1"/>
  <c r="W31" i="19" s="1"/>
  <c r="X31" i="19" s="1"/>
  <c r="C47" i="19"/>
  <c r="C70" i="19"/>
  <c r="C16" i="19"/>
  <c r="C71" i="19"/>
  <c r="C90" i="19"/>
  <c r="C108" i="19"/>
  <c r="D113" i="19"/>
  <c r="C9" i="19"/>
  <c r="C49" i="19"/>
  <c r="G49" i="19" s="1"/>
  <c r="H49" i="19" s="1"/>
  <c r="I49" i="19" s="1"/>
  <c r="J49" i="19" s="1"/>
  <c r="K49" i="19" s="1"/>
  <c r="L49" i="19" s="1"/>
  <c r="M49" i="19" s="1"/>
  <c r="N49" i="19" s="1"/>
  <c r="O49" i="19" s="1"/>
  <c r="P49" i="19" s="1"/>
  <c r="Q49" i="19" s="1"/>
  <c r="R49" i="19" s="1"/>
  <c r="S49" i="19" s="1"/>
  <c r="T49" i="19" s="1"/>
  <c r="U49" i="19" s="1"/>
  <c r="C59" i="18"/>
  <c r="C10" i="19"/>
  <c r="C50" i="19"/>
  <c r="D114" i="19"/>
  <c r="D123" i="19"/>
  <c r="E177" i="20"/>
  <c r="E182" i="20"/>
  <c r="D182" i="20"/>
  <c r="I179" i="20"/>
  <c r="D178" i="20"/>
  <c r="H179" i="20"/>
  <c r="G179" i="20"/>
  <c r="E179" i="20"/>
  <c r="G178" i="20"/>
  <c r="E177" i="21"/>
  <c r="L180" i="21"/>
  <c r="D180" i="21"/>
  <c r="E179" i="21"/>
  <c r="D178" i="21"/>
  <c r="F179" i="21"/>
  <c r="K180" i="21"/>
  <c r="C180" i="21"/>
  <c r="D179" i="21"/>
  <c r="C178" i="21"/>
  <c r="D177" i="21"/>
  <c r="M181" i="21"/>
  <c r="E181" i="21"/>
  <c r="C179" i="21"/>
  <c r="C177" i="21"/>
  <c r="L181" i="21"/>
  <c r="D181" i="21"/>
  <c r="I180" i="21"/>
  <c r="J179" i="21"/>
  <c r="K181" i="21"/>
  <c r="H180" i="21"/>
  <c r="I179" i="21"/>
  <c r="H178" i="21"/>
  <c r="J181" i="21"/>
  <c r="G180" i="21"/>
  <c r="H179" i="21"/>
  <c r="G178" i="21"/>
  <c r="I181" i="21"/>
  <c r="G179" i="21"/>
  <c r="F178" i="21"/>
  <c r="H89" i="2"/>
  <c r="D32" i="12"/>
  <c r="U32" i="12" s="1"/>
  <c r="U7" i="12"/>
  <c r="U4" i="12"/>
  <c r="H12" i="9"/>
  <c r="U5" i="12"/>
  <c r="K79" i="2"/>
  <c r="K89" i="2" s="1"/>
  <c r="H19" i="9"/>
  <c r="H11" i="9"/>
  <c r="H61" i="9"/>
  <c r="H78" i="9"/>
  <c r="H94" i="9"/>
  <c r="H26" i="9"/>
  <c r="H22" i="9"/>
  <c r="H18" i="9"/>
  <c r="H14" i="9"/>
  <c r="H10" i="9"/>
  <c r="H6" i="9"/>
  <c r="H55" i="9"/>
  <c r="H51" i="9"/>
  <c r="H47" i="9"/>
  <c r="H43" i="9"/>
  <c r="H39" i="9"/>
  <c r="H35" i="9"/>
  <c r="H70" i="9"/>
  <c r="H110" i="9"/>
  <c r="H102" i="9"/>
  <c r="H23" i="9"/>
  <c r="H15" i="9"/>
  <c r="H7" i="9"/>
  <c r="H52" i="9"/>
  <c r="H48" i="9"/>
  <c r="H44" i="9"/>
  <c r="H40" i="9"/>
  <c r="H36" i="9"/>
  <c r="H89" i="9"/>
  <c r="H24" i="9"/>
  <c r="H20" i="9"/>
  <c r="H16" i="9"/>
  <c r="H8" i="9"/>
  <c r="H53" i="9"/>
  <c r="H49" i="9"/>
  <c r="H45" i="9"/>
  <c r="H41" i="9"/>
  <c r="H37" i="9"/>
  <c r="H68" i="9"/>
  <c r="H64" i="9"/>
  <c r="H25" i="9"/>
  <c r="H21" i="9"/>
  <c r="H17" i="9"/>
  <c r="H13" i="9"/>
  <c r="H9" i="9"/>
  <c r="H5" i="9"/>
  <c r="H54" i="9"/>
  <c r="H50" i="9"/>
  <c r="H46" i="9"/>
  <c r="H42" i="9"/>
  <c r="H38" i="9"/>
  <c r="H34" i="9"/>
  <c r="H77" i="9"/>
  <c r="H74" i="9"/>
  <c r="H73" i="9"/>
  <c r="H69" i="9"/>
  <c r="H62" i="9"/>
  <c r="H107" i="9"/>
  <c r="H79" i="9"/>
  <c r="H66" i="9"/>
  <c r="H65" i="9"/>
  <c r="H99" i="9"/>
  <c r="H95" i="9"/>
  <c r="H108" i="9"/>
  <c r="H104" i="9"/>
  <c r="H91" i="9"/>
  <c r="H80" i="9"/>
  <c r="H75" i="9"/>
  <c r="H71" i="9"/>
  <c r="H105" i="9"/>
  <c r="H100" i="9"/>
  <c r="H96" i="9"/>
  <c r="H109" i="9"/>
  <c r="H106" i="9"/>
  <c r="H97" i="9"/>
  <c r="H92" i="9"/>
  <c r="H82" i="9"/>
  <c r="H81" i="9"/>
  <c r="H76" i="9"/>
  <c r="H72" i="9"/>
  <c r="H67" i="9"/>
  <c r="H63" i="9"/>
  <c r="H111" i="9"/>
  <c r="H101" i="9"/>
  <c r="H98" i="9"/>
  <c r="H83" i="9"/>
  <c r="H103" i="9"/>
  <c r="H93" i="9"/>
  <c r="H90" i="9"/>
  <c r="U37" i="21"/>
  <c r="U46" i="21" s="1"/>
  <c r="U55" i="21" s="1"/>
  <c r="U64" i="21" s="1"/>
  <c r="U73" i="21" s="1"/>
  <c r="U82" i="21" s="1"/>
  <c r="U91" i="21" s="1"/>
  <c r="U100" i="21" s="1"/>
  <c r="U109" i="21" s="1"/>
  <c r="U118" i="21" s="1"/>
  <c r="U127" i="21" s="1"/>
  <c r="U136" i="21" s="1"/>
  <c r="U145" i="21" s="1"/>
  <c r="U154" i="21" s="1"/>
  <c r="U163" i="21" s="1"/>
  <c r="U173" i="21" s="1"/>
  <c r="T73" i="21"/>
  <c r="T82" i="21" s="1"/>
  <c r="T91" i="21" s="1"/>
  <c r="T100" i="21" s="1"/>
  <c r="T109" i="21" s="1"/>
  <c r="T118" i="21" s="1"/>
  <c r="T127" i="21" s="1"/>
  <c r="T136" i="21" s="1"/>
  <c r="T145" i="21" s="1"/>
  <c r="T154" i="21" s="1"/>
  <c r="T163" i="21" s="1"/>
  <c r="T173" i="21" s="1"/>
  <c r="F116" i="20"/>
  <c r="F180" i="20" s="1"/>
  <c r="J116" i="20"/>
  <c r="J180" i="20" s="1"/>
  <c r="H116" i="20"/>
  <c r="H180" i="20" s="1"/>
  <c r="L116" i="20"/>
  <c r="D116" i="20"/>
  <c r="D180" i="20" s="1"/>
  <c r="K125" i="20"/>
  <c r="G125" i="20"/>
  <c r="F125" i="20"/>
  <c r="I125" i="20"/>
  <c r="G116" i="20"/>
  <c r="G180" i="20" s="1"/>
  <c r="I116" i="20"/>
  <c r="I180" i="20" s="1"/>
  <c r="E116" i="20"/>
  <c r="E180" i="20" s="1"/>
  <c r="E125" i="20"/>
  <c r="K116" i="20"/>
  <c r="K180" i="20" s="1"/>
  <c r="C116" i="20"/>
  <c r="C180" i="20" s="1"/>
  <c r="M125" i="20"/>
  <c r="E24" i="18"/>
  <c r="E23" i="18"/>
  <c r="E25" i="18"/>
  <c r="E22" i="18"/>
  <c r="C51" i="18"/>
  <c r="C44" i="18"/>
  <c r="E57" i="18"/>
  <c r="G57" i="18" s="1"/>
  <c r="I57" i="18" s="1"/>
  <c r="E56" i="18"/>
  <c r="E55" i="18"/>
  <c r="E54" i="18"/>
  <c r="C20" i="18"/>
  <c r="C79" i="18"/>
  <c r="C81" i="18"/>
  <c r="C78" i="18"/>
  <c r="C80" i="18"/>
  <c r="C77" i="18"/>
  <c r="E87" i="18"/>
  <c r="G87" i="18" s="1"/>
  <c r="E84" i="18"/>
  <c r="E86" i="18"/>
  <c r="E83" i="18"/>
  <c r="E85" i="18"/>
  <c r="E14" i="18"/>
  <c r="E59" i="18"/>
  <c r="O34" i="20" l="1"/>
  <c r="P43" i="20" s="1"/>
  <c r="Q52" i="20" s="1"/>
  <c r="R61" i="20" s="1"/>
  <c r="S70" i="20" s="1"/>
  <c r="T79" i="20" s="1"/>
  <c r="U88" i="20" s="1"/>
  <c r="L34" i="20"/>
  <c r="M43" i="20" s="1"/>
  <c r="N52" i="20" s="1"/>
  <c r="O61" i="20" s="1"/>
  <c r="P70" i="20" s="1"/>
  <c r="Q79" i="20" s="1"/>
  <c r="R88" i="20" s="1"/>
  <c r="S97" i="20" s="1"/>
  <c r="T106" i="20" s="1"/>
  <c r="U115" i="20" s="1"/>
  <c r="S33" i="20"/>
  <c r="T42" i="20" s="1"/>
  <c r="U51" i="20" s="1"/>
  <c r="R29" i="20"/>
  <c r="S38" i="20" s="1"/>
  <c r="T47" i="20" s="1"/>
  <c r="U56" i="20" s="1"/>
  <c r="P33" i="20"/>
  <c r="Q42" i="20" s="1"/>
  <c r="R51" i="20" s="1"/>
  <c r="S60" i="20" s="1"/>
  <c r="T69" i="20" s="1"/>
  <c r="U78" i="20" s="1"/>
  <c r="L29" i="20"/>
  <c r="M38" i="20" s="1"/>
  <c r="N47" i="20" s="1"/>
  <c r="O56" i="20" s="1"/>
  <c r="P65" i="20" s="1"/>
  <c r="Q74" i="20" s="1"/>
  <c r="R83" i="20" s="1"/>
  <c r="S92" i="20" s="1"/>
  <c r="T101" i="20" s="1"/>
  <c r="U110" i="20" s="1"/>
  <c r="Q30" i="20"/>
  <c r="R39" i="20" s="1"/>
  <c r="S48" i="20" s="1"/>
  <c r="T57" i="20" s="1"/>
  <c r="U66" i="20" s="1"/>
  <c r="N29" i="20"/>
  <c r="O38" i="20" s="1"/>
  <c r="P47" i="20" s="1"/>
  <c r="Q56" i="20" s="1"/>
  <c r="R65" i="20" s="1"/>
  <c r="S74" i="20" s="1"/>
  <c r="T83" i="20" s="1"/>
  <c r="U92" i="20" s="1"/>
  <c r="M33" i="20"/>
  <c r="N42" i="20" s="1"/>
  <c r="O51" i="20" s="1"/>
  <c r="P60" i="20" s="1"/>
  <c r="Q69" i="20" s="1"/>
  <c r="R78" i="20" s="1"/>
  <c r="S87" i="20" s="1"/>
  <c r="T96" i="20" s="1"/>
  <c r="U105" i="20" s="1"/>
  <c r="H29" i="20"/>
  <c r="I38" i="20" s="1"/>
  <c r="J47" i="20" s="1"/>
  <c r="K56" i="20" s="1"/>
  <c r="L65" i="20" s="1"/>
  <c r="M74" i="20" s="1"/>
  <c r="N83" i="20" s="1"/>
  <c r="O92" i="20" s="1"/>
  <c r="P101" i="20" s="1"/>
  <c r="Q110" i="20" s="1"/>
  <c r="R119" i="20" s="1"/>
  <c r="S128" i="20" s="1"/>
  <c r="T137" i="20" s="1"/>
  <c r="U146" i="20" s="1"/>
  <c r="I29" i="20"/>
  <c r="J38" i="20" s="1"/>
  <c r="K47" i="20" s="1"/>
  <c r="L56" i="20" s="1"/>
  <c r="M65" i="20" s="1"/>
  <c r="N74" i="20" s="1"/>
  <c r="O83" i="20" s="1"/>
  <c r="P92" i="20" s="1"/>
  <c r="Q101" i="20" s="1"/>
  <c r="R110" i="20" s="1"/>
  <c r="S119" i="20" s="1"/>
  <c r="T128" i="20" s="1"/>
  <c r="U137" i="20" s="1"/>
  <c r="P30" i="20"/>
  <c r="Q39" i="20" s="1"/>
  <c r="R48" i="20" s="1"/>
  <c r="S57" i="20" s="1"/>
  <c r="T66" i="20" s="1"/>
  <c r="U75" i="20" s="1"/>
  <c r="K29" i="20"/>
  <c r="L38" i="20" s="1"/>
  <c r="M47" i="20" s="1"/>
  <c r="N56" i="20" s="1"/>
  <c r="O65" i="20" s="1"/>
  <c r="P74" i="20" s="1"/>
  <c r="Q83" i="20" s="1"/>
  <c r="R92" i="20" s="1"/>
  <c r="S101" i="20" s="1"/>
  <c r="T110" i="20" s="1"/>
  <c r="U119" i="20" s="1"/>
  <c r="S30" i="20"/>
  <c r="T39" i="20" s="1"/>
  <c r="U48" i="20" s="1"/>
  <c r="L30" i="20"/>
  <c r="M39" i="20" s="1"/>
  <c r="N48" i="20" s="1"/>
  <c r="O57" i="20" s="1"/>
  <c r="P66" i="20" s="1"/>
  <c r="Q75" i="20" s="1"/>
  <c r="R84" i="20" s="1"/>
  <c r="S93" i="20" s="1"/>
  <c r="T102" i="20" s="1"/>
  <c r="U111" i="20" s="1"/>
  <c r="Q34" i="20"/>
  <c r="R43" i="20" s="1"/>
  <c r="S52" i="20" s="1"/>
  <c r="T61" i="20" s="1"/>
  <c r="U70" i="20" s="1"/>
  <c r="T34" i="20"/>
  <c r="U43" i="20" s="1"/>
  <c r="Q33" i="20"/>
  <c r="R42" i="20" s="1"/>
  <c r="S51" i="20" s="1"/>
  <c r="T60" i="20" s="1"/>
  <c r="U69" i="20" s="1"/>
  <c r="N34" i="20"/>
  <c r="O43" i="20" s="1"/>
  <c r="P52" i="20" s="1"/>
  <c r="Q61" i="20" s="1"/>
  <c r="R70" i="20" s="1"/>
  <c r="S79" i="20" s="1"/>
  <c r="T88" i="20" s="1"/>
  <c r="U97" i="20" s="1"/>
  <c r="T30" i="20"/>
  <c r="U39" i="20" s="1"/>
  <c r="J29" i="20"/>
  <c r="K38" i="20" s="1"/>
  <c r="L47" i="20" s="1"/>
  <c r="M56" i="20" s="1"/>
  <c r="N65" i="20" s="1"/>
  <c r="O74" i="20" s="1"/>
  <c r="P83" i="20" s="1"/>
  <c r="Q92" i="20" s="1"/>
  <c r="R101" i="20" s="1"/>
  <c r="S110" i="20" s="1"/>
  <c r="T119" i="20" s="1"/>
  <c r="U128" i="20" s="1"/>
  <c r="P29" i="20"/>
  <c r="Q38" i="20" s="1"/>
  <c r="R47" i="20" s="1"/>
  <c r="S56" i="20" s="1"/>
  <c r="T65" i="20" s="1"/>
  <c r="U74" i="20" s="1"/>
  <c r="S34" i="20"/>
  <c r="T43" i="20" s="1"/>
  <c r="U52" i="20" s="1"/>
  <c r="L86" i="18"/>
  <c r="M86" i="18" s="1"/>
  <c r="N86" i="18" s="1"/>
  <c r="O86" i="18" s="1"/>
  <c r="P86" i="18" s="1"/>
  <c r="Q86" i="18" s="1"/>
  <c r="R86" i="18" s="1"/>
  <c r="S86" i="18" s="1"/>
  <c r="T86" i="18" s="1"/>
  <c r="U86" i="18" s="1"/>
  <c r="V86" i="18" s="1"/>
  <c r="W86" i="18" s="1"/>
  <c r="X86" i="18" s="1"/>
  <c r="Y86" i="18" s="1"/>
  <c r="Z86" i="18" s="1"/>
  <c r="R33" i="20"/>
  <c r="S42" i="20" s="1"/>
  <c r="T51" i="20" s="1"/>
  <c r="U60" i="20" s="1"/>
  <c r="N33" i="20"/>
  <c r="O42" i="20" s="1"/>
  <c r="P51" i="20" s="1"/>
  <c r="Q60" i="20" s="1"/>
  <c r="R69" i="20" s="1"/>
  <c r="S78" i="20" s="1"/>
  <c r="T87" i="20" s="1"/>
  <c r="U96" i="20" s="1"/>
  <c r="M29" i="20"/>
  <c r="N38" i="20" s="1"/>
  <c r="O47" i="20" s="1"/>
  <c r="P56" i="20" s="1"/>
  <c r="Q65" i="20" s="1"/>
  <c r="R74" i="20" s="1"/>
  <c r="S83" i="20" s="1"/>
  <c r="T92" i="20" s="1"/>
  <c r="U101" i="20" s="1"/>
  <c r="T29" i="20"/>
  <c r="U38" i="20" s="1"/>
  <c r="R30" i="20"/>
  <c r="S39" i="20" s="1"/>
  <c r="T48" i="20" s="1"/>
  <c r="U57" i="20" s="1"/>
  <c r="P34" i="20"/>
  <c r="Q43" i="20" s="1"/>
  <c r="R52" i="20" s="1"/>
  <c r="S61" i="20" s="1"/>
  <c r="T70" i="20" s="1"/>
  <c r="U79" i="20" s="1"/>
  <c r="O29" i="20"/>
  <c r="P38" i="20" s="1"/>
  <c r="Q47" i="20" s="1"/>
  <c r="R56" i="20" s="1"/>
  <c r="S65" i="20" s="1"/>
  <c r="T74" i="20" s="1"/>
  <c r="U83" i="20" s="1"/>
  <c r="T33" i="20"/>
  <c r="U42" i="20" s="1"/>
  <c r="O33" i="20"/>
  <c r="P42" i="20" s="1"/>
  <c r="Q51" i="20" s="1"/>
  <c r="R60" i="20" s="1"/>
  <c r="S69" i="20" s="1"/>
  <c r="T78" i="20" s="1"/>
  <c r="U87" i="20" s="1"/>
  <c r="L85" i="18"/>
  <c r="M85" i="18" s="1"/>
  <c r="N85" i="18" s="1"/>
  <c r="O85" i="18" s="1"/>
  <c r="P85" i="18" s="1"/>
  <c r="Q85" i="18" s="1"/>
  <c r="R85" i="18" s="1"/>
  <c r="S85" i="18" s="1"/>
  <c r="T85" i="18" s="1"/>
  <c r="U85" i="18" s="1"/>
  <c r="V85" i="18" s="1"/>
  <c r="W85" i="18" s="1"/>
  <c r="X85" i="18" s="1"/>
  <c r="Y85" i="18" s="1"/>
  <c r="Z85" i="18" s="1"/>
  <c r="O30" i="20"/>
  <c r="P39" i="20" s="1"/>
  <c r="Q48" i="20" s="1"/>
  <c r="R57" i="20" s="1"/>
  <c r="S66" i="20" s="1"/>
  <c r="T75" i="20" s="1"/>
  <c r="U84" i="20" s="1"/>
  <c r="E33" i="20"/>
  <c r="F42" i="20" s="1"/>
  <c r="G51" i="20" s="1"/>
  <c r="H60" i="20" s="1"/>
  <c r="I69" i="20" s="1"/>
  <c r="J78" i="20" s="1"/>
  <c r="K87" i="20" s="1"/>
  <c r="L96" i="20" s="1"/>
  <c r="M105" i="20" s="1"/>
  <c r="N114" i="20" s="1"/>
  <c r="O123" i="20" s="1"/>
  <c r="P132" i="20" s="1"/>
  <c r="Q141" i="20" s="1"/>
  <c r="R150" i="20" s="1"/>
  <c r="S159" i="20" s="1"/>
  <c r="G29" i="20"/>
  <c r="H38" i="20" s="1"/>
  <c r="I47" i="20" s="1"/>
  <c r="J56" i="20" s="1"/>
  <c r="K65" i="20" s="1"/>
  <c r="L74" i="20" s="1"/>
  <c r="M83" i="20" s="1"/>
  <c r="N92" i="20" s="1"/>
  <c r="O101" i="20" s="1"/>
  <c r="P110" i="20" s="1"/>
  <c r="Q119" i="20" s="1"/>
  <c r="R128" i="20" s="1"/>
  <c r="S137" i="20" s="1"/>
  <c r="T146" i="20" s="1"/>
  <c r="U155" i="20" s="1"/>
  <c r="N30" i="20"/>
  <c r="O39" i="20" s="1"/>
  <c r="P48" i="20" s="1"/>
  <c r="Q57" i="20" s="1"/>
  <c r="R66" i="20" s="1"/>
  <c r="S75" i="20" s="1"/>
  <c r="T84" i="20" s="1"/>
  <c r="U93" i="20" s="1"/>
  <c r="L83" i="18"/>
  <c r="M83" i="18" s="1"/>
  <c r="N83" i="18" s="1"/>
  <c r="O83" i="18" s="1"/>
  <c r="P83" i="18" s="1"/>
  <c r="Q83" i="18" s="1"/>
  <c r="R83" i="18" s="1"/>
  <c r="S83" i="18" s="1"/>
  <c r="T83" i="18" s="1"/>
  <c r="U83" i="18" s="1"/>
  <c r="V83" i="18" s="1"/>
  <c r="W83" i="18" s="1"/>
  <c r="X83" i="18" s="1"/>
  <c r="Y83" i="18" s="1"/>
  <c r="Z83" i="18" s="1"/>
  <c r="L81" i="18"/>
  <c r="M81" i="18" s="1"/>
  <c r="N81" i="18" s="1"/>
  <c r="O81" i="18" s="1"/>
  <c r="P81" i="18" s="1"/>
  <c r="Q81" i="18" s="1"/>
  <c r="R81" i="18" s="1"/>
  <c r="S81" i="18" s="1"/>
  <c r="T81" i="18" s="1"/>
  <c r="U81" i="18" s="1"/>
  <c r="V81" i="18" s="1"/>
  <c r="W81" i="18" s="1"/>
  <c r="X81" i="18" s="1"/>
  <c r="Y81" i="18" s="1"/>
  <c r="Z81" i="18" s="1"/>
  <c r="L80" i="18"/>
  <c r="M80" i="18" s="1"/>
  <c r="N80" i="18" s="1"/>
  <c r="O80" i="18" s="1"/>
  <c r="P80" i="18" s="1"/>
  <c r="Q80" i="18" s="1"/>
  <c r="R80" i="18" s="1"/>
  <c r="S80" i="18" s="1"/>
  <c r="T80" i="18" s="1"/>
  <c r="U80" i="18" s="1"/>
  <c r="V80" i="18" s="1"/>
  <c r="W80" i="18" s="1"/>
  <c r="X80" i="18" s="1"/>
  <c r="Y80" i="18" s="1"/>
  <c r="Z80" i="18" s="1"/>
  <c r="S29" i="20"/>
  <c r="T38" i="20" s="1"/>
  <c r="U47" i="20" s="1"/>
  <c r="E31" i="20"/>
  <c r="F40" i="20" s="1"/>
  <c r="G49" i="20" s="1"/>
  <c r="H58" i="20" s="1"/>
  <c r="I67" i="20" s="1"/>
  <c r="J76" i="20" s="1"/>
  <c r="K85" i="20" s="1"/>
  <c r="L94" i="20" s="1"/>
  <c r="M103" i="20" s="1"/>
  <c r="N112" i="20" s="1"/>
  <c r="O121" i="20" s="1"/>
  <c r="P130" i="20" s="1"/>
  <c r="Q139" i="20" s="1"/>
  <c r="R148" i="20" s="1"/>
  <c r="S157" i="20" s="1"/>
  <c r="Q29" i="20"/>
  <c r="R38" i="20" s="1"/>
  <c r="S47" i="20" s="1"/>
  <c r="T56" i="20" s="1"/>
  <c r="U65" i="20" s="1"/>
  <c r="M30" i="20"/>
  <c r="N39" i="20" s="1"/>
  <c r="O48" i="20" s="1"/>
  <c r="P57" i="20" s="1"/>
  <c r="Q66" i="20" s="1"/>
  <c r="R75" i="20" s="1"/>
  <c r="S84" i="20" s="1"/>
  <c r="T93" i="20" s="1"/>
  <c r="U102" i="20" s="1"/>
  <c r="R34" i="20"/>
  <c r="S43" i="20" s="1"/>
  <c r="T52" i="20" s="1"/>
  <c r="U61" i="20" s="1"/>
  <c r="M34" i="20"/>
  <c r="N43" i="20" s="1"/>
  <c r="O52" i="20" s="1"/>
  <c r="P61" i="20" s="1"/>
  <c r="Q70" i="20" s="1"/>
  <c r="R79" i="20" s="1"/>
  <c r="S88" i="20" s="1"/>
  <c r="T97" i="20" s="1"/>
  <c r="U106" i="20" s="1"/>
  <c r="C6" i="20"/>
  <c r="D6" i="20" s="1"/>
  <c r="E6" i="20" s="1"/>
  <c r="F6" i="20" s="1"/>
  <c r="G6" i="20" s="1"/>
  <c r="H6" i="20" s="1"/>
  <c r="C169" i="20"/>
  <c r="C12" i="19"/>
  <c r="E50" i="18"/>
  <c r="G50" i="18" s="1"/>
  <c r="E45" i="18"/>
  <c r="E49" i="18"/>
  <c r="E46" i="18"/>
  <c r="I87" i="18"/>
  <c r="I75" i="18" s="1"/>
  <c r="B7" i="21"/>
  <c r="B5" i="21"/>
  <c r="I50" i="18"/>
  <c r="C57" i="19"/>
  <c r="C83" i="18"/>
  <c r="C86" i="18"/>
  <c r="C122" i="19" s="1"/>
  <c r="C84" i="18"/>
  <c r="C120" i="19" s="1"/>
  <c r="C30" i="19"/>
  <c r="G30" i="19" s="1"/>
  <c r="G29" i="19" s="1"/>
  <c r="C4" i="22" s="1"/>
  <c r="D13" i="21" s="1"/>
  <c r="C3" i="20"/>
  <c r="D3" i="20" s="1"/>
  <c r="E3" i="20" s="1"/>
  <c r="F3" i="20" s="1"/>
  <c r="G3" i="20" s="1"/>
  <c r="H3" i="20" s="1"/>
  <c r="I43" i="18"/>
  <c r="C5" i="20" s="1"/>
  <c r="G196" i="7"/>
  <c r="E94" i="7"/>
  <c r="N145" i="7"/>
  <c r="E91" i="7"/>
  <c r="E98" i="7"/>
  <c r="E109" i="7"/>
  <c r="N149" i="7"/>
  <c r="M146" i="7"/>
  <c r="M144" i="7"/>
  <c r="E93" i="7"/>
  <c r="M147" i="7"/>
  <c r="E96" i="7"/>
  <c r="N147" i="7"/>
  <c r="M149" i="7"/>
  <c r="E97" i="7"/>
  <c r="E107" i="7"/>
  <c r="E95" i="7"/>
  <c r="E106" i="7"/>
  <c r="E100" i="7"/>
  <c r="M145" i="7"/>
  <c r="M148" i="7"/>
  <c r="F12" i="19"/>
  <c r="G12" i="19" s="1"/>
  <c r="E108" i="7"/>
  <c r="E92" i="7"/>
  <c r="E104" i="7"/>
  <c r="L146" i="7"/>
  <c r="N146" i="7"/>
  <c r="L144" i="7"/>
  <c r="E102" i="7"/>
  <c r="E99" i="7"/>
  <c r="E101" i="7"/>
  <c r="L145" i="7"/>
  <c r="G195" i="7"/>
  <c r="N148" i="7"/>
  <c r="L148" i="7"/>
  <c r="E103" i="7"/>
  <c r="E105" i="7"/>
  <c r="L149" i="7"/>
  <c r="L147" i="7"/>
  <c r="E2" i="21"/>
  <c r="F2" i="21" s="1"/>
  <c r="G2" i="21" s="1"/>
  <c r="C7" i="19"/>
  <c r="U24" i="20"/>
  <c r="E20" i="20"/>
  <c r="F29" i="20" s="1"/>
  <c r="G92" i="19"/>
  <c r="I60" i="1"/>
  <c r="I33" i="1"/>
  <c r="X108" i="19"/>
  <c r="T15" i="22" s="1"/>
  <c r="U15" i="20" s="1"/>
  <c r="X70" i="19"/>
  <c r="T11" i="22" s="1"/>
  <c r="U11" i="20" s="1"/>
  <c r="C12" i="18"/>
  <c r="C76" i="19" s="1"/>
  <c r="C74" i="19"/>
  <c r="C13" i="19"/>
  <c r="E78" i="18"/>
  <c r="E8" i="18"/>
  <c r="C118" i="19"/>
  <c r="C85" i="18"/>
  <c r="W70" i="19"/>
  <c r="S11" i="22" s="1"/>
  <c r="T11" i="20" s="1"/>
  <c r="C68" i="19"/>
  <c r="C61" i="19"/>
  <c r="F61" i="19" s="1"/>
  <c r="C56" i="19"/>
  <c r="C117" i="19"/>
  <c r="C101" i="19"/>
  <c r="C40" i="19"/>
  <c r="W77" i="19"/>
  <c r="S12" i="22" s="1"/>
  <c r="T12" i="20" s="1"/>
  <c r="C23" i="19"/>
  <c r="C84" i="19"/>
  <c r="C55" i="19"/>
  <c r="F55" i="19" s="1"/>
  <c r="G55" i="19" s="1"/>
  <c r="H55" i="19" s="1"/>
  <c r="I55" i="19" s="1"/>
  <c r="J55" i="19" s="1"/>
  <c r="K55" i="19" s="1"/>
  <c r="L55" i="19" s="1"/>
  <c r="M55" i="19" s="1"/>
  <c r="N55" i="19" s="1"/>
  <c r="O55" i="19" s="1"/>
  <c r="P55" i="19" s="1"/>
  <c r="Q55" i="19" s="1"/>
  <c r="R55" i="19" s="1"/>
  <c r="S55" i="19" s="1"/>
  <c r="T55" i="19" s="1"/>
  <c r="C116" i="19"/>
  <c r="C114" i="19"/>
  <c r="C53" i="19"/>
  <c r="F53" i="19" s="1"/>
  <c r="G53" i="19" s="1"/>
  <c r="H53" i="19" s="1"/>
  <c r="I53" i="19" s="1"/>
  <c r="J53" i="19" s="1"/>
  <c r="K53" i="19" s="1"/>
  <c r="L53" i="19" s="1"/>
  <c r="M53" i="19" s="1"/>
  <c r="N53" i="19" s="1"/>
  <c r="O53" i="19" s="1"/>
  <c r="P53" i="19" s="1"/>
  <c r="Q53" i="19" s="1"/>
  <c r="R53" i="19" s="1"/>
  <c r="S53" i="19" s="1"/>
  <c r="T53" i="19" s="1"/>
  <c r="C33" i="19"/>
  <c r="C94" i="19"/>
  <c r="E77" i="18"/>
  <c r="C115" i="19"/>
  <c r="C54" i="19"/>
  <c r="F54" i="19" s="1"/>
  <c r="G54" i="19" s="1"/>
  <c r="H54" i="19" s="1"/>
  <c r="I54" i="19" s="1"/>
  <c r="J54" i="19" s="1"/>
  <c r="K54" i="19" s="1"/>
  <c r="L54" i="19" s="1"/>
  <c r="M54" i="19" s="1"/>
  <c r="N54" i="19" s="1"/>
  <c r="O54" i="19" s="1"/>
  <c r="P54" i="19" s="1"/>
  <c r="Q54" i="19" s="1"/>
  <c r="R54" i="19" s="1"/>
  <c r="S54" i="19" s="1"/>
  <c r="T54" i="19" s="1"/>
  <c r="C123" i="19"/>
  <c r="C62" i="19"/>
  <c r="E80" i="18"/>
  <c r="C119" i="19"/>
  <c r="C58" i="19"/>
  <c r="F58" i="19" s="1"/>
  <c r="G58" i="19" s="1"/>
  <c r="H58" i="19" s="1"/>
  <c r="I58" i="19" s="1"/>
  <c r="J58" i="19" s="1"/>
  <c r="K58" i="19" s="1"/>
  <c r="L58" i="19" s="1"/>
  <c r="M58" i="19" s="1"/>
  <c r="N58" i="19" s="1"/>
  <c r="O58" i="19" s="1"/>
  <c r="P58" i="19" s="1"/>
  <c r="Q58" i="19" s="1"/>
  <c r="R58" i="19" s="1"/>
  <c r="S58" i="19" s="1"/>
  <c r="T58" i="19" s="1"/>
  <c r="C52" i="19"/>
  <c r="F52" i="19" s="1"/>
  <c r="G52" i="19" s="1"/>
  <c r="H52" i="19" s="1"/>
  <c r="I52" i="19" s="1"/>
  <c r="J52" i="19" s="1"/>
  <c r="K52" i="19" s="1"/>
  <c r="L52" i="19" s="1"/>
  <c r="M52" i="19" s="1"/>
  <c r="N52" i="19" s="1"/>
  <c r="O52" i="19" s="1"/>
  <c r="P52" i="19" s="1"/>
  <c r="Q52" i="19" s="1"/>
  <c r="R52" i="19" s="1"/>
  <c r="S52" i="19" s="1"/>
  <c r="T52" i="19" s="1"/>
  <c r="C113" i="19"/>
  <c r="C11" i="19"/>
  <c r="F11" i="19" s="1"/>
  <c r="C72" i="19"/>
  <c r="C14" i="19"/>
  <c r="F14" i="19" s="1"/>
  <c r="C75" i="19"/>
  <c r="E81" i="18"/>
  <c r="C78" i="19"/>
  <c r="C17" i="19"/>
  <c r="C109" i="19"/>
  <c r="C48" i="19"/>
  <c r="G48" i="19" s="1"/>
  <c r="E88" i="7"/>
  <c r="E90" i="7"/>
  <c r="E87" i="7"/>
  <c r="E89" i="7"/>
  <c r="L79" i="2"/>
  <c r="L89" i="2" s="1"/>
  <c r="L134" i="20"/>
  <c r="H134" i="20"/>
  <c r="X77" i="19"/>
  <c r="T12" i="22" s="1"/>
  <c r="U12" i="20" s="1"/>
  <c r="D125" i="20"/>
  <c r="D181" i="20" s="1"/>
  <c r="F134" i="20"/>
  <c r="F181" i="20" s="1"/>
  <c r="J134" i="20"/>
  <c r="G134" i="20"/>
  <c r="G181" i="20" s="1"/>
  <c r="J125" i="20"/>
  <c r="I143" i="20"/>
  <c r="M143" i="20"/>
  <c r="L125" i="20"/>
  <c r="N152" i="20"/>
  <c r="O161" i="20"/>
  <c r="O183" i="20" s="1"/>
  <c r="H125" i="20"/>
  <c r="N134" i="20"/>
  <c r="H92" i="19"/>
  <c r="E49" i="19"/>
  <c r="E17" i="18"/>
  <c r="E19" i="18"/>
  <c r="E18" i="18"/>
  <c r="E16" i="18"/>
  <c r="E15" i="18"/>
  <c r="C52" i="18"/>
  <c r="C54" i="18"/>
  <c r="C53" i="18"/>
  <c r="C57" i="18"/>
  <c r="C55" i="18"/>
  <c r="C56" i="18"/>
  <c r="C49" i="18"/>
  <c r="C50" i="18"/>
  <c r="C48" i="18"/>
  <c r="C47" i="18"/>
  <c r="C46" i="18"/>
  <c r="C45" i="18"/>
  <c r="C16" i="18"/>
  <c r="C15" i="18"/>
  <c r="C17" i="18"/>
  <c r="C19" i="18"/>
  <c r="C18" i="18"/>
  <c r="C23" i="18"/>
  <c r="C25" i="18"/>
  <c r="C22" i="18"/>
  <c r="C24" i="18"/>
  <c r="C21" i="18"/>
  <c r="H30" i="19" l="1"/>
  <c r="I30" i="19" s="1"/>
  <c r="J30" i="19" s="1"/>
  <c r="K30" i="19" s="1"/>
  <c r="L30" i="19" s="1"/>
  <c r="M30" i="19" s="1"/>
  <c r="N30" i="19" s="1"/>
  <c r="O30" i="19" s="1"/>
  <c r="P30" i="19" s="1"/>
  <c r="Q30" i="19" s="1"/>
  <c r="R30" i="19" s="1"/>
  <c r="S30" i="19" s="1"/>
  <c r="T30" i="19" s="1"/>
  <c r="U30" i="19" s="1"/>
  <c r="V30" i="19" s="1"/>
  <c r="W30" i="19" s="1"/>
  <c r="X30" i="19" s="1"/>
  <c r="G91" i="19"/>
  <c r="C15" i="19"/>
  <c r="F15" i="19" s="1"/>
  <c r="B169" i="21"/>
  <c r="C7" i="21"/>
  <c r="D7" i="21" s="1"/>
  <c r="E7" i="21" s="1"/>
  <c r="F7" i="21" s="1"/>
  <c r="G7" i="21" s="1"/>
  <c r="H7" i="21" s="1"/>
  <c r="I7" i="21" s="1"/>
  <c r="J7" i="21" s="1"/>
  <c r="K7" i="21" s="1"/>
  <c r="L7" i="21" s="1"/>
  <c r="M7" i="21" s="1"/>
  <c r="N7" i="21" s="1"/>
  <c r="O7" i="21" s="1"/>
  <c r="P7" i="21" s="1"/>
  <c r="B7" i="20"/>
  <c r="C7" i="20" s="1"/>
  <c r="C59" i="19"/>
  <c r="F59" i="19" s="1"/>
  <c r="G59" i="19" s="1"/>
  <c r="H59" i="19" s="1"/>
  <c r="I59" i="19" s="1"/>
  <c r="J59" i="19" s="1"/>
  <c r="K59" i="19" s="1"/>
  <c r="L59" i="19" s="1"/>
  <c r="M59" i="19" s="1"/>
  <c r="N59" i="19" s="1"/>
  <c r="O59" i="19" s="1"/>
  <c r="P59" i="19" s="1"/>
  <c r="Q59" i="19" s="1"/>
  <c r="R59" i="19" s="1"/>
  <c r="S59" i="19" s="1"/>
  <c r="T59" i="19" s="1"/>
  <c r="C5" i="21"/>
  <c r="B167" i="21"/>
  <c r="C8" i="21"/>
  <c r="F9" i="19"/>
  <c r="H12" i="19"/>
  <c r="I12" i="19" s="1"/>
  <c r="J12" i="19" s="1"/>
  <c r="K12" i="19" s="1"/>
  <c r="L12" i="19" s="1"/>
  <c r="M12" i="19" s="1"/>
  <c r="N12" i="19" s="1"/>
  <c r="O12" i="19" s="1"/>
  <c r="P12" i="19" s="1"/>
  <c r="Q12" i="19" s="1"/>
  <c r="R12" i="19" s="1"/>
  <c r="S12" i="19" s="1"/>
  <c r="T12" i="19" s="1"/>
  <c r="D5" i="20"/>
  <c r="E5" i="20" s="1"/>
  <c r="F114" i="7"/>
  <c r="F132" i="7"/>
  <c r="F130" i="7"/>
  <c r="F128" i="7"/>
  <c r="F126" i="7"/>
  <c r="F129" i="7"/>
  <c r="F131" i="7"/>
  <c r="F119" i="7"/>
  <c r="F135" i="7"/>
  <c r="F127" i="7"/>
  <c r="F133" i="7"/>
  <c r="F122" i="7"/>
  <c r="F134" i="7"/>
  <c r="F124" i="7"/>
  <c r="F123" i="7"/>
  <c r="F120" i="7"/>
  <c r="F125" i="7"/>
  <c r="F118" i="7"/>
  <c r="F121" i="7"/>
  <c r="G90" i="19"/>
  <c r="C13" i="22" s="1"/>
  <c r="D13" i="20" s="1"/>
  <c r="D167" i="20" s="1"/>
  <c r="C8" i="19"/>
  <c r="G14" i="19"/>
  <c r="H14" i="19" s="1"/>
  <c r="I14" i="19" s="1"/>
  <c r="J14" i="19" s="1"/>
  <c r="K14" i="19" s="1"/>
  <c r="L14" i="19" s="1"/>
  <c r="M14" i="19" s="1"/>
  <c r="N14" i="19" s="1"/>
  <c r="O14" i="19" s="1"/>
  <c r="P14" i="19" s="1"/>
  <c r="Q14" i="19" s="1"/>
  <c r="R14" i="19" s="1"/>
  <c r="S14" i="19" s="1"/>
  <c r="T14" i="19" s="1"/>
  <c r="U20" i="20"/>
  <c r="J60" i="1"/>
  <c r="J64" i="1" s="1"/>
  <c r="J33" i="1"/>
  <c r="F117" i="7"/>
  <c r="F115" i="7"/>
  <c r="F116" i="7"/>
  <c r="L181" i="20"/>
  <c r="G37" i="1"/>
  <c r="H2" i="21"/>
  <c r="X111" i="19"/>
  <c r="T16" i="22" s="1"/>
  <c r="U16" i="20" s="1"/>
  <c r="C60" i="19"/>
  <c r="F60" i="19" s="1"/>
  <c r="C121" i="19"/>
  <c r="E53" i="19"/>
  <c r="F114" i="19" s="1"/>
  <c r="G114" i="19" s="1"/>
  <c r="H114" i="19" s="1"/>
  <c r="I114" i="19" s="1"/>
  <c r="J114" i="19" s="1"/>
  <c r="K114" i="19" s="1"/>
  <c r="L114" i="19" s="1"/>
  <c r="V111" i="19"/>
  <c r="R16" i="22" s="1"/>
  <c r="S16" i="20" s="1"/>
  <c r="W111" i="19"/>
  <c r="S16" i="22" s="1"/>
  <c r="T16" i="20" s="1"/>
  <c r="C24" i="19"/>
  <c r="F24" i="19" s="1"/>
  <c r="G24" i="19" s="1"/>
  <c r="C85" i="19"/>
  <c r="C79" i="19"/>
  <c r="C18" i="19"/>
  <c r="F18" i="19" s="1"/>
  <c r="C97" i="19"/>
  <c r="C36" i="19"/>
  <c r="F36" i="19" s="1"/>
  <c r="C43" i="19"/>
  <c r="F43" i="19" s="1"/>
  <c r="C104" i="19"/>
  <c r="C42" i="19"/>
  <c r="F42" i="19" s="1"/>
  <c r="C103" i="19"/>
  <c r="C19" i="19"/>
  <c r="F19" i="19" s="1"/>
  <c r="C80" i="19"/>
  <c r="C102" i="19"/>
  <c r="C41" i="19"/>
  <c r="F41" i="19" s="1"/>
  <c r="U21" i="20"/>
  <c r="G61" i="19"/>
  <c r="H61" i="19" s="1"/>
  <c r="I61" i="19" s="1"/>
  <c r="J61" i="19" s="1"/>
  <c r="K61" i="19" s="1"/>
  <c r="L61" i="19" s="1"/>
  <c r="M61" i="19" s="1"/>
  <c r="N61" i="19" s="1"/>
  <c r="O61" i="19" s="1"/>
  <c r="P61" i="19" s="1"/>
  <c r="Q61" i="19" s="1"/>
  <c r="R61" i="19" s="1"/>
  <c r="S61" i="19" s="1"/>
  <c r="T61" i="19" s="1"/>
  <c r="C107" i="19"/>
  <c r="C46" i="19"/>
  <c r="C20" i="19"/>
  <c r="F20" i="19" s="1"/>
  <c r="C81" i="19"/>
  <c r="C27" i="19"/>
  <c r="F27" i="19" s="1"/>
  <c r="G27" i="19" s="1"/>
  <c r="H27" i="19" s="1"/>
  <c r="I27" i="19" s="1"/>
  <c r="J27" i="19" s="1"/>
  <c r="K27" i="19" s="1"/>
  <c r="L27" i="19" s="1"/>
  <c r="M27" i="19" s="1"/>
  <c r="N27" i="19" s="1"/>
  <c r="O27" i="19" s="1"/>
  <c r="P27" i="19" s="1"/>
  <c r="Q27" i="19" s="1"/>
  <c r="R27" i="19" s="1"/>
  <c r="S27" i="19" s="1"/>
  <c r="T27" i="19" s="1"/>
  <c r="C88" i="19"/>
  <c r="C98" i="19"/>
  <c r="C37" i="19"/>
  <c r="F37" i="19" s="1"/>
  <c r="C25" i="19"/>
  <c r="F25" i="19" s="1"/>
  <c r="C86" i="19"/>
  <c r="C100" i="19"/>
  <c r="C39" i="19"/>
  <c r="E55" i="19"/>
  <c r="F116" i="19" s="1"/>
  <c r="G116" i="19" s="1"/>
  <c r="H116" i="19" s="1"/>
  <c r="I116" i="19" s="1"/>
  <c r="J116" i="19" s="1"/>
  <c r="K116" i="19" s="1"/>
  <c r="L116" i="19" s="1"/>
  <c r="C34" i="19"/>
  <c r="F34" i="19" s="1"/>
  <c r="C95" i="19"/>
  <c r="C89" i="19"/>
  <c r="C28" i="19"/>
  <c r="C99" i="19"/>
  <c r="C38" i="19"/>
  <c r="F38" i="19" s="1"/>
  <c r="H48" i="19"/>
  <c r="G47" i="19"/>
  <c r="C6" i="22" s="1"/>
  <c r="D15" i="21" s="1"/>
  <c r="C83" i="19"/>
  <c r="C22" i="19"/>
  <c r="C87" i="19"/>
  <c r="C26" i="19"/>
  <c r="F26" i="19" s="1"/>
  <c r="C106" i="19"/>
  <c r="C45" i="19"/>
  <c r="F45" i="19" s="1"/>
  <c r="E54" i="19"/>
  <c r="F115" i="19" s="1"/>
  <c r="G115" i="19" s="1"/>
  <c r="H115" i="19" s="1"/>
  <c r="I115" i="19" s="1"/>
  <c r="J115" i="19" s="1"/>
  <c r="K115" i="19" s="1"/>
  <c r="L115" i="19" s="1"/>
  <c r="C35" i="19"/>
  <c r="F35" i="19" s="1"/>
  <c r="C96" i="19"/>
  <c r="C82" i="19"/>
  <c r="C21" i="19"/>
  <c r="F21" i="19" s="1"/>
  <c r="C105" i="19"/>
  <c r="C44" i="19"/>
  <c r="F44" i="19" s="1"/>
  <c r="J181" i="20"/>
  <c r="H181" i="20"/>
  <c r="M79" i="2"/>
  <c r="M89" i="2" s="1"/>
  <c r="O143" i="20"/>
  <c r="H143" i="20"/>
  <c r="M134" i="20"/>
  <c r="M181" i="20" s="1"/>
  <c r="I134" i="20"/>
  <c r="I181" i="20" s="1"/>
  <c r="E134" i="20"/>
  <c r="E181" i="20" s="1"/>
  <c r="K134" i="20"/>
  <c r="K181" i="20" s="1"/>
  <c r="K143" i="20"/>
  <c r="J152" i="20"/>
  <c r="K161" i="20"/>
  <c r="K183" i="20" s="1"/>
  <c r="G143" i="20"/>
  <c r="I29" i="19"/>
  <c r="E4" i="22" s="1"/>
  <c r="F13" i="21" s="1"/>
  <c r="I92" i="19"/>
  <c r="G110" i="19"/>
  <c r="H110" i="19" s="1"/>
  <c r="I110" i="19" s="1"/>
  <c r="J110" i="19" s="1"/>
  <c r="K110" i="19" s="1"/>
  <c r="L110" i="19" s="1"/>
  <c r="M110" i="19" s="1"/>
  <c r="E58" i="19"/>
  <c r="Q31" i="10"/>
  <c r="H64" i="1"/>
  <c r="I64" i="1"/>
  <c r="G64" i="1"/>
  <c r="V89" i="12"/>
  <c r="V90" i="12"/>
  <c r="V91" i="12"/>
  <c r="V92" i="12"/>
  <c r="V93" i="12"/>
  <c r="V94" i="12"/>
  <c r="V95" i="12"/>
  <c r="V96" i="12"/>
  <c r="V97" i="12"/>
  <c r="V98" i="12"/>
  <c r="V99" i="12"/>
  <c r="V100" i="12"/>
  <c r="V101" i="12"/>
  <c r="V102" i="12"/>
  <c r="V103" i="12"/>
  <c r="V104" i="12"/>
  <c r="V105" i="12"/>
  <c r="V106" i="12"/>
  <c r="V107" i="12"/>
  <c r="V108" i="12"/>
  <c r="V109" i="12"/>
  <c r="V110" i="12"/>
  <c r="V88" i="12"/>
  <c r="X61" i="12"/>
  <c r="X60" i="12"/>
  <c r="W60" i="12"/>
  <c r="W61" i="12"/>
  <c r="W62" i="12"/>
  <c r="W63" i="12"/>
  <c r="W64" i="12"/>
  <c r="V61" i="12"/>
  <c r="V62" i="12"/>
  <c r="V63" i="12"/>
  <c r="V64" i="12"/>
  <c r="V65" i="12"/>
  <c r="V66" i="12"/>
  <c r="V67" i="12"/>
  <c r="V68" i="12"/>
  <c r="V69" i="12"/>
  <c r="V70" i="12"/>
  <c r="V71" i="12"/>
  <c r="V72" i="12"/>
  <c r="V73" i="12"/>
  <c r="V74" i="12"/>
  <c r="V75" i="12"/>
  <c r="V76" i="12"/>
  <c r="V77" i="12"/>
  <c r="V78" i="12"/>
  <c r="V79" i="12"/>
  <c r="V80" i="12"/>
  <c r="V81" i="12"/>
  <c r="V82" i="12"/>
  <c r="V60" i="12"/>
  <c r="U61" i="12"/>
  <c r="U62" i="12"/>
  <c r="U63" i="12"/>
  <c r="U60" i="12"/>
  <c r="X33" i="12"/>
  <c r="X32" i="12"/>
  <c r="W33" i="12"/>
  <c r="W34" i="12"/>
  <c r="W35" i="12"/>
  <c r="W36" i="12"/>
  <c r="W32" i="12"/>
  <c r="V33" i="12"/>
  <c r="V34" i="12"/>
  <c r="V35" i="12"/>
  <c r="V36" i="12"/>
  <c r="V37" i="12"/>
  <c r="V38" i="12"/>
  <c r="V39" i="12"/>
  <c r="V40" i="12"/>
  <c r="V41" i="12"/>
  <c r="V42" i="12"/>
  <c r="V43" i="12"/>
  <c r="V44" i="12"/>
  <c r="V45" i="12"/>
  <c r="V46" i="12"/>
  <c r="V47" i="12"/>
  <c r="V48" i="12"/>
  <c r="V49" i="12"/>
  <c r="V50" i="12"/>
  <c r="V51" i="12"/>
  <c r="V52" i="12"/>
  <c r="V53" i="12"/>
  <c r="V54" i="12"/>
  <c r="V32" i="12"/>
  <c r="U33" i="12"/>
  <c r="U34" i="12"/>
  <c r="U35" i="12"/>
  <c r="F6" i="12"/>
  <c r="D67" i="5"/>
  <c r="D79" i="5"/>
  <c r="E141" i="7"/>
  <c r="G115" i="7"/>
  <c r="G116" i="7"/>
  <c r="G117" i="7"/>
  <c r="G118" i="7"/>
  <c r="G119" i="7"/>
  <c r="G120" i="7"/>
  <c r="G121" i="7"/>
  <c r="G122" i="7"/>
  <c r="G123" i="7"/>
  <c r="G124" i="7"/>
  <c r="G125" i="7"/>
  <c r="G126" i="7"/>
  <c r="G127" i="7"/>
  <c r="G128" i="7"/>
  <c r="G129" i="7"/>
  <c r="G130" i="7"/>
  <c r="G131" i="7"/>
  <c r="G132" i="7"/>
  <c r="G133" i="7"/>
  <c r="G134" i="7"/>
  <c r="G135" i="7"/>
  <c r="G136" i="7"/>
  <c r="G114" i="7"/>
  <c r="H29" i="19" l="1"/>
  <c r="D4" i="22" s="1"/>
  <c r="E13" i="21" s="1"/>
  <c r="I91" i="19"/>
  <c r="I90" i="19" s="1"/>
  <c r="E13" i="22" s="1"/>
  <c r="F13" i="20" s="1"/>
  <c r="H91" i="19"/>
  <c r="H90" i="19" s="1"/>
  <c r="D13" i="22" s="1"/>
  <c r="E13" i="20" s="1"/>
  <c r="F22" i="20" s="1"/>
  <c r="D7" i="20"/>
  <c r="E7" i="20" s="1"/>
  <c r="F7" i="20" s="1"/>
  <c r="G7" i="20" s="1"/>
  <c r="H7" i="20" s="1"/>
  <c r="C8" i="20"/>
  <c r="C174" i="20" s="1"/>
  <c r="B170" i="21"/>
  <c r="B174" i="21" s="1"/>
  <c r="C174" i="21"/>
  <c r="L142" i="7" s="1"/>
  <c r="F50" i="19"/>
  <c r="B7" i="22" s="1"/>
  <c r="C16" i="21" s="1"/>
  <c r="C169" i="21" s="1"/>
  <c r="E59" i="19"/>
  <c r="F120" i="19" s="1"/>
  <c r="G120" i="19" s="1"/>
  <c r="H120" i="19" s="1"/>
  <c r="I120" i="19" s="1"/>
  <c r="J120" i="19" s="1"/>
  <c r="K120" i="19" s="1"/>
  <c r="L120" i="19" s="1"/>
  <c r="B170" i="20"/>
  <c r="B8" i="20"/>
  <c r="D5" i="21"/>
  <c r="D8" i="21"/>
  <c r="E22" i="20"/>
  <c r="E12" i="19"/>
  <c r="F73" i="19" s="1"/>
  <c r="E8" i="20"/>
  <c r="E174" i="20" s="1"/>
  <c r="F5" i="20"/>
  <c r="E67" i="5"/>
  <c r="E79" i="5"/>
  <c r="N6" i="12"/>
  <c r="F90" i="12"/>
  <c r="X90" i="12" s="1"/>
  <c r="F7" i="19"/>
  <c r="F16" i="19"/>
  <c r="G11" i="19"/>
  <c r="T25" i="20"/>
  <c r="U34" i="20" s="1"/>
  <c r="G38" i="20"/>
  <c r="G15" i="19"/>
  <c r="H15" i="19" s="1"/>
  <c r="I15" i="19" s="1"/>
  <c r="J15" i="19" s="1"/>
  <c r="K15" i="19" s="1"/>
  <c r="L15" i="19" s="1"/>
  <c r="M15" i="19" s="1"/>
  <c r="N15" i="19" s="1"/>
  <c r="O15" i="19" s="1"/>
  <c r="P15" i="19" s="1"/>
  <c r="Q15" i="19" s="1"/>
  <c r="R15" i="19" s="1"/>
  <c r="S15" i="19" s="1"/>
  <c r="T15" i="19" s="1"/>
  <c r="E14" i="19"/>
  <c r="F75" i="19" s="1"/>
  <c r="U165" i="20"/>
  <c r="U25" i="20"/>
  <c r="K60" i="1"/>
  <c r="K64" i="1" s="1"/>
  <c r="K33" i="1"/>
  <c r="U88" i="12"/>
  <c r="U89" i="12"/>
  <c r="I2" i="21"/>
  <c r="G60" i="19"/>
  <c r="H60" i="19" s="1"/>
  <c r="I60" i="19" s="1"/>
  <c r="J60" i="19" s="1"/>
  <c r="K60" i="19" s="1"/>
  <c r="L60" i="19" s="1"/>
  <c r="M60" i="19" s="1"/>
  <c r="N60" i="19" s="1"/>
  <c r="O60" i="19" s="1"/>
  <c r="P60" i="19" s="1"/>
  <c r="Q60" i="19" s="1"/>
  <c r="R60" i="19" s="1"/>
  <c r="S60" i="19" s="1"/>
  <c r="T60" i="19" s="1"/>
  <c r="E27" i="19"/>
  <c r="F88" i="19" s="1"/>
  <c r="G88" i="19" s="1"/>
  <c r="H88" i="19" s="1"/>
  <c r="I88" i="19" s="1"/>
  <c r="J88" i="19" s="1"/>
  <c r="K88" i="19" s="1"/>
  <c r="L88" i="19" s="1"/>
  <c r="C69" i="19"/>
  <c r="F96" i="19"/>
  <c r="G35" i="19"/>
  <c r="G37" i="19"/>
  <c r="F98" i="19"/>
  <c r="E61" i="19"/>
  <c r="F122" i="19" s="1"/>
  <c r="G122" i="19" s="1"/>
  <c r="H122" i="19" s="1"/>
  <c r="I122" i="19" s="1"/>
  <c r="J122" i="19" s="1"/>
  <c r="K122" i="19" s="1"/>
  <c r="L122" i="19" s="1"/>
  <c r="G41" i="19"/>
  <c r="F102" i="19"/>
  <c r="H24" i="19"/>
  <c r="I24" i="19" s="1"/>
  <c r="J24" i="19" s="1"/>
  <c r="K24" i="19" s="1"/>
  <c r="L24" i="19" s="1"/>
  <c r="M24" i="19" s="1"/>
  <c r="N24" i="19" s="1"/>
  <c r="O24" i="19" s="1"/>
  <c r="P24" i="19" s="1"/>
  <c r="Q24" i="19" s="1"/>
  <c r="R24" i="19" s="1"/>
  <c r="S24" i="19" s="1"/>
  <c r="T24" i="19" s="1"/>
  <c r="F104" i="19"/>
  <c r="G43" i="19"/>
  <c r="F105" i="19"/>
  <c r="G44" i="19"/>
  <c r="I48" i="19"/>
  <c r="H47" i="19"/>
  <c r="D6" i="22" s="1"/>
  <c r="E15" i="21" s="1"/>
  <c r="G34" i="19"/>
  <c r="F95" i="19"/>
  <c r="F32" i="19"/>
  <c r="B5" i="22" s="1"/>
  <c r="C14" i="21" s="1"/>
  <c r="C167" i="21" s="1"/>
  <c r="G19" i="19"/>
  <c r="H19" i="19" s="1"/>
  <c r="I19" i="19" s="1"/>
  <c r="J19" i="19" s="1"/>
  <c r="K19" i="19" s="1"/>
  <c r="L19" i="19" s="1"/>
  <c r="M19" i="19" s="1"/>
  <c r="N19" i="19" s="1"/>
  <c r="O19" i="19" s="1"/>
  <c r="P19" i="19" s="1"/>
  <c r="Q19" i="19" s="1"/>
  <c r="R19" i="19" s="1"/>
  <c r="S19" i="19" s="1"/>
  <c r="T19" i="19" s="1"/>
  <c r="G36" i="19"/>
  <c r="F97" i="19"/>
  <c r="F106" i="19"/>
  <c r="G45" i="19"/>
  <c r="G25" i="19"/>
  <c r="H25" i="19" s="1"/>
  <c r="I25" i="19" s="1"/>
  <c r="J25" i="19" s="1"/>
  <c r="K25" i="19" s="1"/>
  <c r="L25" i="19" s="1"/>
  <c r="M25" i="19" s="1"/>
  <c r="N25" i="19" s="1"/>
  <c r="O25" i="19" s="1"/>
  <c r="P25" i="19" s="1"/>
  <c r="Q25" i="19" s="1"/>
  <c r="R25" i="19" s="1"/>
  <c r="S25" i="19" s="1"/>
  <c r="T25" i="19" s="1"/>
  <c r="G21" i="19"/>
  <c r="H21" i="19" s="1"/>
  <c r="I21" i="19" s="1"/>
  <c r="J21" i="19" s="1"/>
  <c r="K21" i="19" s="1"/>
  <c r="L21" i="19" s="1"/>
  <c r="M21" i="19" s="1"/>
  <c r="N21" i="19" s="1"/>
  <c r="O21" i="19" s="1"/>
  <c r="P21" i="19" s="1"/>
  <c r="Q21" i="19" s="1"/>
  <c r="R21" i="19" s="1"/>
  <c r="S21" i="19" s="1"/>
  <c r="T21" i="19" s="1"/>
  <c r="G20" i="19"/>
  <c r="H20" i="19" s="1"/>
  <c r="I20" i="19" s="1"/>
  <c r="J20" i="19" s="1"/>
  <c r="K20" i="19" s="1"/>
  <c r="L20" i="19" s="1"/>
  <c r="M20" i="19" s="1"/>
  <c r="N20" i="19" s="1"/>
  <c r="O20" i="19" s="1"/>
  <c r="P20" i="19" s="1"/>
  <c r="Q20" i="19" s="1"/>
  <c r="R20" i="19" s="1"/>
  <c r="S20" i="19" s="1"/>
  <c r="T20" i="19" s="1"/>
  <c r="G42" i="19"/>
  <c r="F103" i="19"/>
  <c r="G18" i="19"/>
  <c r="G26" i="19"/>
  <c r="H26" i="19" s="1"/>
  <c r="I26" i="19" s="1"/>
  <c r="J26" i="19" s="1"/>
  <c r="K26" i="19" s="1"/>
  <c r="L26" i="19" s="1"/>
  <c r="M26" i="19" s="1"/>
  <c r="N26" i="19" s="1"/>
  <c r="O26" i="19" s="1"/>
  <c r="P26" i="19" s="1"/>
  <c r="Q26" i="19" s="1"/>
  <c r="R26" i="19" s="1"/>
  <c r="S26" i="19" s="1"/>
  <c r="T26" i="19" s="1"/>
  <c r="G38" i="19"/>
  <c r="F99" i="19"/>
  <c r="F67" i="5"/>
  <c r="G79" i="5" s="1"/>
  <c r="F79" i="5"/>
  <c r="F62" i="12"/>
  <c r="F34" i="12"/>
  <c r="X6" i="12"/>
  <c r="N79" i="2"/>
  <c r="N89" i="2" s="1"/>
  <c r="N143" i="20"/>
  <c r="N182" i="20" s="1"/>
  <c r="H152" i="20"/>
  <c r="H182" i="20" s="1"/>
  <c r="I161" i="20"/>
  <c r="I183" i="20" s="1"/>
  <c r="M161" i="20"/>
  <c r="M183" i="20" s="1"/>
  <c r="L152" i="20"/>
  <c r="J161" i="20"/>
  <c r="J183" i="20" s="1"/>
  <c r="I152" i="20"/>
  <c r="I182" i="20" s="1"/>
  <c r="L143" i="20"/>
  <c r="F143" i="20"/>
  <c r="F182" i="20" s="1"/>
  <c r="J143" i="20"/>
  <c r="J182" i="20" s="1"/>
  <c r="P152" i="20"/>
  <c r="Q161" i="20"/>
  <c r="Q183" i="20" s="1"/>
  <c r="F119" i="19"/>
  <c r="G119" i="19" s="1"/>
  <c r="H119" i="19" s="1"/>
  <c r="I119" i="19" s="1"/>
  <c r="J119" i="19" s="1"/>
  <c r="K119" i="19" s="1"/>
  <c r="L119" i="19" s="1"/>
  <c r="J92" i="19"/>
  <c r="J29" i="19"/>
  <c r="F4" i="22" s="1"/>
  <c r="G13" i="21" s="1"/>
  <c r="J91" i="19"/>
  <c r="G67" i="5"/>
  <c r="H79" i="5" s="1"/>
  <c r="H89" i="5" s="1"/>
  <c r="F31" i="20" l="1"/>
  <c r="G40" i="20" s="1"/>
  <c r="H49" i="20" s="1"/>
  <c r="I58" i="20" s="1"/>
  <c r="J67" i="20" s="1"/>
  <c r="K76" i="20" s="1"/>
  <c r="L85" i="20" s="1"/>
  <c r="M94" i="20" s="1"/>
  <c r="N103" i="20" s="1"/>
  <c r="O112" i="20" s="1"/>
  <c r="P121" i="20" s="1"/>
  <c r="Q130" i="20" s="1"/>
  <c r="R139" i="20" s="1"/>
  <c r="S148" i="20" s="1"/>
  <c r="T157" i="20" s="1"/>
  <c r="G31" i="20"/>
  <c r="H40" i="20" s="1"/>
  <c r="I49" i="20" s="1"/>
  <c r="J58" i="20" s="1"/>
  <c r="K67" i="20" s="1"/>
  <c r="L76" i="20" s="1"/>
  <c r="M85" i="20" s="1"/>
  <c r="N94" i="20" s="1"/>
  <c r="O103" i="20" s="1"/>
  <c r="P112" i="20" s="1"/>
  <c r="Q121" i="20" s="1"/>
  <c r="R130" i="20" s="1"/>
  <c r="S139" i="20" s="1"/>
  <c r="T148" i="20" s="1"/>
  <c r="U157" i="20" s="1"/>
  <c r="F167" i="20"/>
  <c r="E167" i="20"/>
  <c r="D174" i="21"/>
  <c r="M142" i="7" s="1"/>
  <c r="B171" i="20"/>
  <c r="B174" i="20"/>
  <c r="E8" i="21"/>
  <c r="E174" i="21" s="1"/>
  <c r="E5" i="21"/>
  <c r="G5" i="20"/>
  <c r="F8" i="20"/>
  <c r="F174" i="20" s="1"/>
  <c r="I50" i="19"/>
  <c r="E7" i="22" s="1"/>
  <c r="F16" i="21" s="1"/>
  <c r="H47" i="20"/>
  <c r="F8" i="19"/>
  <c r="B2" i="22"/>
  <c r="H50" i="19"/>
  <c r="D7" i="22" s="1"/>
  <c r="E16" i="21" s="1"/>
  <c r="G7" i="19"/>
  <c r="H11" i="19"/>
  <c r="G9" i="19"/>
  <c r="C2" i="22" s="1"/>
  <c r="D11" i="21" s="1"/>
  <c r="E15" i="19"/>
  <c r="F76" i="19" s="1"/>
  <c r="G50" i="19"/>
  <c r="C7" i="22" s="1"/>
  <c r="D16" i="21" s="1"/>
  <c r="L60" i="1"/>
  <c r="L64" i="1" s="1"/>
  <c r="L33" i="1"/>
  <c r="H67" i="5"/>
  <c r="H37" i="1"/>
  <c r="J2" i="21"/>
  <c r="E60" i="19"/>
  <c r="F121" i="19" s="1"/>
  <c r="G121" i="19" s="1"/>
  <c r="H121" i="19" s="1"/>
  <c r="I121" i="19" s="1"/>
  <c r="J121" i="19" s="1"/>
  <c r="K121" i="19" s="1"/>
  <c r="L121" i="19" s="1"/>
  <c r="E25" i="19"/>
  <c r="F86" i="19" s="1"/>
  <c r="G86" i="19" s="1"/>
  <c r="H86" i="19" s="1"/>
  <c r="I86" i="19" s="1"/>
  <c r="J86" i="19" s="1"/>
  <c r="K86" i="19" s="1"/>
  <c r="L86" i="19" s="1"/>
  <c r="E24" i="19"/>
  <c r="F85" i="19" s="1"/>
  <c r="G85" i="19" s="1"/>
  <c r="H85" i="19" s="1"/>
  <c r="I85" i="19" s="1"/>
  <c r="J85" i="19" s="1"/>
  <c r="K85" i="19" s="1"/>
  <c r="L85" i="19" s="1"/>
  <c r="E21" i="19"/>
  <c r="F82" i="19" s="1"/>
  <c r="G82" i="19" s="1"/>
  <c r="H82" i="19" s="1"/>
  <c r="I82" i="19" s="1"/>
  <c r="J82" i="19" s="1"/>
  <c r="K82" i="19" s="1"/>
  <c r="L82" i="19" s="1"/>
  <c r="H37" i="19"/>
  <c r="G98" i="19"/>
  <c r="H18" i="19"/>
  <c r="G16" i="19"/>
  <c r="C3" i="22" s="1"/>
  <c r="D12" i="21" s="1"/>
  <c r="H36" i="19"/>
  <c r="G97" i="19"/>
  <c r="H44" i="19"/>
  <c r="G105" i="19"/>
  <c r="H35" i="19"/>
  <c r="G96" i="19"/>
  <c r="E19" i="19"/>
  <c r="F80" i="19" s="1"/>
  <c r="G80" i="19" s="1"/>
  <c r="H80" i="19" s="1"/>
  <c r="I80" i="19" s="1"/>
  <c r="J80" i="19" s="1"/>
  <c r="K80" i="19" s="1"/>
  <c r="L80" i="19" s="1"/>
  <c r="H34" i="19"/>
  <c r="G32" i="19"/>
  <c r="C5" i="22" s="1"/>
  <c r="D14" i="21" s="1"/>
  <c r="G95" i="19"/>
  <c r="G22" i="20"/>
  <c r="H38" i="19"/>
  <c r="G99" i="19"/>
  <c r="H42" i="19"/>
  <c r="G103" i="19"/>
  <c r="H43" i="19"/>
  <c r="G104" i="19"/>
  <c r="B3" i="22"/>
  <c r="C12" i="21" s="1"/>
  <c r="C165" i="21" s="1"/>
  <c r="J48" i="19"/>
  <c r="I47" i="19"/>
  <c r="E6" i="22" s="1"/>
  <c r="F15" i="21" s="1"/>
  <c r="E26" i="19"/>
  <c r="F87" i="19" s="1"/>
  <c r="G87" i="19" s="1"/>
  <c r="H87" i="19" s="1"/>
  <c r="I87" i="19" s="1"/>
  <c r="J87" i="19" s="1"/>
  <c r="K87" i="19" s="1"/>
  <c r="L87" i="19" s="1"/>
  <c r="E20" i="19"/>
  <c r="F81" i="19" s="1"/>
  <c r="G81" i="19" s="1"/>
  <c r="H81" i="19" s="1"/>
  <c r="I81" i="19" s="1"/>
  <c r="J81" i="19" s="1"/>
  <c r="K81" i="19" s="1"/>
  <c r="L81" i="19" s="1"/>
  <c r="H41" i="19"/>
  <c r="G102" i="19"/>
  <c r="H45" i="19"/>
  <c r="G106" i="19"/>
  <c r="F93" i="19"/>
  <c r="B14" i="22" s="1"/>
  <c r="C14" i="20" s="1"/>
  <c r="C168" i="20" s="1"/>
  <c r="L182" i="20"/>
  <c r="O79" i="2"/>
  <c r="O89" i="2" s="1"/>
  <c r="J90" i="19"/>
  <c r="F13" i="22" s="1"/>
  <c r="G13" i="20" s="1"/>
  <c r="O152" i="20"/>
  <c r="O182" i="20" s="1"/>
  <c r="P161" i="20"/>
  <c r="P183" i="20" s="1"/>
  <c r="L161" i="20"/>
  <c r="L183" i="20" s="1"/>
  <c r="K152" i="20"/>
  <c r="K182" i="20" s="1"/>
  <c r="G152" i="20"/>
  <c r="G182" i="20" s="1"/>
  <c r="H161" i="20"/>
  <c r="H183" i="20" s="1"/>
  <c r="N161" i="20"/>
  <c r="N183" i="20" s="1"/>
  <c r="M152" i="20"/>
  <c r="M182" i="20" s="1"/>
  <c r="K29" i="19"/>
  <c r="G4" i="22" s="1"/>
  <c r="H13" i="21" s="1"/>
  <c r="K91" i="19"/>
  <c r="K92" i="19"/>
  <c r="J50" i="19"/>
  <c r="F7" i="22" s="1"/>
  <c r="G16" i="21" s="1"/>
  <c r="I67" i="5"/>
  <c r="I79" i="5"/>
  <c r="I89" i="5" s="1"/>
  <c r="H31" i="20" l="1"/>
  <c r="I40" i="20" s="1"/>
  <c r="J49" i="20" s="1"/>
  <c r="K58" i="20" s="1"/>
  <c r="L67" i="20" s="1"/>
  <c r="M76" i="20" s="1"/>
  <c r="N85" i="20" s="1"/>
  <c r="O94" i="20" s="1"/>
  <c r="P103" i="20" s="1"/>
  <c r="Q112" i="20" s="1"/>
  <c r="R121" i="20" s="1"/>
  <c r="S130" i="20" s="1"/>
  <c r="T139" i="20" s="1"/>
  <c r="U148" i="20" s="1"/>
  <c r="D17" i="21"/>
  <c r="F8" i="21"/>
  <c r="F174" i="21" s="1"/>
  <c r="F5" i="21"/>
  <c r="H5" i="20"/>
  <c r="G8" i="20"/>
  <c r="G174" i="20" s="1"/>
  <c r="E20" i="21"/>
  <c r="C11" i="21"/>
  <c r="G167" i="20"/>
  <c r="H9" i="19"/>
  <c r="D2" i="22" s="1"/>
  <c r="E11" i="21" s="1"/>
  <c r="F20" i="21" s="1"/>
  <c r="I11" i="19"/>
  <c r="I56" i="20"/>
  <c r="M60" i="1"/>
  <c r="M64" i="1" s="1"/>
  <c r="M33" i="1"/>
  <c r="I37" i="1"/>
  <c r="K2" i="21"/>
  <c r="D23" i="20"/>
  <c r="K48" i="19"/>
  <c r="J47" i="19"/>
  <c r="F6" i="22" s="1"/>
  <c r="G15" i="21" s="1"/>
  <c r="I36" i="19"/>
  <c r="H97" i="19"/>
  <c r="G93" i="19"/>
  <c r="C14" i="22" s="1"/>
  <c r="D14" i="20" s="1"/>
  <c r="I43" i="19"/>
  <c r="H104" i="19"/>
  <c r="I45" i="19"/>
  <c r="H106" i="19"/>
  <c r="I34" i="19"/>
  <c r="H32" i="19"/>
  <c r="D5" i="22" s="1"/>
  <c r="E14" i="21" s="1"/>
  <c r="H95" i="19"/>
  <c r="I41" i="19"/>
  <c r="H102" i="19"/>
  <c r="I18" i="19"/>
  <c r="H16" i="19"/>
  <c r="D3" i="22" s="1"/>
  <c r="E12" i="21" s="1"/>
  <c r="H7" i="19"/>
  <c r="I42" i="19"/>
  <c r="H103" i="19"/>
  <c r="I38" i="19"/>
  <c r="H99" i="19"/>
  <c r="I35" i="19"/>
  <c r="H96" i="19"/>
  <c r="I44" i="19"/>
  <c r="H105" i="19"/>
  <c r="H22" i="20"/>
  <c r="I37" i="19"/>
  <c r="H98" i="19"/>
  <c r="P79" i="2"/>
  <c r="P89" i="2" s="1"/>
  <c r="K90" i="19"/>
  <c r="G13" i="22" s="1"/>
  <c r="H13" i="20" s="1"/>
  <c r="K50" i="19"/>
  <c r="G7" i="22" s="1"/>
  <c r="H16" i="21" s="1"/>
  <c r="L29" i="19"/>
  <c r="H4" i="22" s="1"/>
  <c r="I13" i="21" s="1"/>
  <c r="L91" i="19"/>
  <c r="L92" i="19"/>
  <c r="J79" i="5"/>
  <c r="J89" i="5" s="1"/>
  <c r="J67" i="5"/>
  <c r="I31" i="20" l="1"/>
  <c r="J40" i="20" s="1"/>
  <c r="K49" i="20" s="1"/>
  <c r="L58" i="20" s="1"/>
  <c r="M67" i="20" s="1"/>
  <c r="N76" i="20" s="1"/>
  <c r="O85" i="20" s="1"/>
  <c r="P94" i="20" s="1"/>
  <c r="Q103" i="20" s="1"/>
  <c r="R112" i="20" s="1"/>
  <c r="S121" i="20" s="1"/>
  <c r="T130" i="20" s="1"/>
  <c r="U139" i="20" s="1"/>
  <c r="E32" i="20"/>
  <c r="F41" i="20" s="1"/>
  <c r="G50" i="20" s="1"/>
  <c r="H59" i="20" s="1"/>
  <c r="I68" i="20" s="1"/>
  <c r="J77" i="20" s="1"/>
  <c r="K86" i="20" s="1"/>
  <c r="L95" i="20" s="1"/>
  <c r="M104" i="20" s="1"/>
  <c r="N113" i="20" s="1"/>
  <c r="O122" i="20" s="1"/>
  <c r="P131" i="20" s="1"/>
  <c r="Q140" i="20" s="1"/>
  <c r="R149" i="20" s="1"/>
  <c r="S158" i="20" s="1"/>
  <c r="D20" i="21"/>
  <c r="C164" i="21"/>
  <c r="C170" i="21" s="1"/>
  <c r="G8" i="21"/>
  <c r="G174" i="21" s="1"/>
  <c r="G5" i="21"/>
  <c r="I5" i="20"/>
  <c r="H8" i="20"/>
  <c r="H174" i="20" s="1"/>
  <c r="H167" i="20"/>
  <c r="D168" i="20"/>
  <c r="J65" i="20"/>
  <c r="J11" i="19"/>
  <c r="I9" i="19"/>
  <c r="E2" i="22" s="1"/>
  <c r="F11" i="21" s="1"/>
  <c r="G20" i="21" s="1"/>
  <c r="N60" i="1"/>
  <c r="N64" i="1" s="1"/>
  <c r="N33" i="1"/>
  <c r="J37" i="1"/>
  <c r="L2" i="21"/>
  <c r="H93" i="19"/>
  <c r="D14" i="22" s="1"/>
  <c r="E14" i="20" s="1"/>
  <c r="J44" i="19"/>
  <c r="I105" i="19"/>
  <c r="J18" i="19"/>
  <c r="I16" i="19"/>
  <c r="E3" i="22" s="1"/>
  <c r="F12" i="21" s="1"/>
  <c r="I7" i="19"/>
  <c r="J34" i="19"/>
  <c r="I32" i="19"/>
  <c r="E5" i="22" s="1"/>
  <c r="F14" i="21" s="1"/>
  <c r="I95" i="19"/>
  <c r="J36" i="19"/>
  <c r="I97" i="19"/>
  <c r="I22" i="20"/>
  <c r="J37" i="19"/>
  <c r="I98" i="19"/>
  <c r="J35" i="19"/>
  <c r="I96" i="19"/>
  <c r="J41" i="19"/>
  <c r="I102" i="19"/>
  <c r="J38" i="19"/>
  <c r="I99" i="19"/>
  <c r="L48" i="19"/>
  <c r="K47" i="19"/>
  <c r="G6" i="22" s="1"/>
  <c r="H15" i="21" s="1"/>
  <c r="J43" i="19"/>
  <c r="I104" i="19"/>
  <c r="J45" i="19"/>
  <c r="I106" i="19"/>
  <c r="J42" i="19"/>
  <c r="I103" i="19"/>
  <c r="E23" i="20"/>
  <c r="Q79" i="2"/>
  <c r="Q89" i="2" s="1"/>
  <c r="M29" i="19"/>
  <c r="I4" i="22" s="1"/>
  <c r="J13" i="21" s="1"/>
  <c r="M91" i="19"/>
  <c r="L90" i="19"/>
  <c r="H13" i="22" s="1"/>
  <c r="I13" i="20" s="1"/>
  <c r="M92" i="19"/>
  <c r="L50" i="19"/>
  <c r="H7" i="22" s="1"/>
  <c r="I16" i="21" s="1"/>
  <c r="K67" i="5"/>
  <c r="K79" i="5"/>
  <c r="K89" i="5" s="1"/>
  <c r="F32" i="20" l="1"/>
  <c r="G41" i="20" s="1"/>
  <c r="H50" i="20" s="1"/>
  <c r="I59" i="20" s="1"/>
  <c r="J68" i="20" s="1"/>
  <c r="K77" i="20" s="1"/>
  <c r="L86" i="20" s="1"/>
  <c r="M95" i="20" s="1"/>
  <c r="N104" i="20" s="1"/>
  <c r="O113" i="20" s="1"/>
  <c r="P122" i="20" s="1"/>
  <c r="Q131" i="20" s="1"/>
  <c r="R140" i="20" s="1"/>
  <c r="S149" i="20" s="1"/>
  <c r="T158" i="20" s="1"/>
  <c r="J31" i="20"/>
  <c r="K40" i="20" s="1"/>
  <c r="L49" i="20" s="1"/>
  <c r="M58" i="20" s="1"/>
  <c r="N67" i="20" s="1"/>
  <c r="O76" i="20" s="1"/>
  <c r="P85" i="20" s="1"/>
  <c r="Q94" i="20" s="1"/>
  <c r="R103" i="20" s="1"/>
  <c r="S112" i="20" s="1"/>
  <c r="T121" i="20" s="1"/>
  <c r="U130" i="20" s="1"/>
  <c r="F38" i="21"/>
  <c r="G47" i="21" s="1"/>
  <c r="H56" i="21" s="1"/>
  <c r="I65" i="21" s="1"/>
  <c r="D164" i="21"/>
  <c r="H5" i="21"/>
  <c r="H8" i="21"/>
  <c r="H174" i="21" s="1"/>
  <c r="J5" i="20"/>
  <c r="I8" i="20"/>
  <c r="I174" i="20" s="1"/>
  <c r="I167" i="20"/>
  <c r="K11" i="19"/>
  <c r="J9" i="19"/>
  <c r="F2" i="22" s="1"/>
  <c r="G11" i="21" s="1"/>
  <c r="E168" i="20"/>
  <c r="K74" i="20"/>
  <c r="O33" i="1"/>
  <c r="O60" i="1"/>
  <c r="O64" i="1" s="1"/>
  <c r="K37" i="1"/>
  <c r="M2" i="21"/>
  <c r="K18" i="19"/>
  <c r="J7" i="19"/>
  <c r="J16" i="19"/>
  <c r="F3" i="22" s="1"/>
  <c r="G12" i="21" s="1"/>
  <c r="J22" i="20"/>
  <c r="M48" i="19"/>
  <c r="L47" i="19"/>
  <c r="H6" i="22" s="1"/>
  <c r="I15" i="21" s="1"/>
  <c r="K37" i="19"/>
  <c r="J98" i="19"/>
  <c r="K38" i="19"/>
  <c r="J99" i="19"/>
  <c r="K45" i="19"/>
  <c r="J106" i="19"/>
  <c r="K41" i="19"/>
  <c r="J102" i="19"/>
  <c r="K36" i="19"/>
  <c r="J97" i="19"/>
  <c r="K44" i="19"/>
  <c r="J105" i="19"/>
  <c r="K42" i="19"/>
  <c r="J103" i="19"/>
  <c r="K34" i="19"/>
  <c r="J32" i="19"/>
  <c r="F5" i="22" s="1"/>
  <c r="G14" i="21" s="1"/>
  <c r="J95" i="19"/>
  <c r="K43" i="19"/>
  <c r="J104" i="19"/>
  <c r="K35" i="19"/>
  <c r="J96" i="19"/>
  <c r="I93" i="19"/>
  <c r="E14" i="22" s="1"/>
  <c r="F14" i="20" s="1"/>
  <c r="F23" i="20"/>
  <c r="R79" i="2"/>
  <c r="R89" i="2" s="1"/>
  <c r="N92" i="19"/>
  <c r="M90" i="19"/>
  <c r="I13" i="22" s="1"/>
  <c r="J13" i="20" s="1"/>
  <c r="J167" i="20" s="1"/>
  <c r="N29" i="19"/>
  <c r="J4" i="22" s="1"/>
  <c r="K13" i="21" s="1"/>
  <c r="N91" i="19"/>
  <c r="M50" i="19"/>
  <c r="I7" i="22" s="1"/>
  <c r="J16" i="21" s="1"/>
  <c r="L67" i="5"/>
  <c r="L79" i="5"/>
  <c r="L89" i="5" s="1"/>
  <c r="G32" i="20" l="1"/>
  <c r="H41" i="20" s="1"/>
  <c r="I50" i="20" s="1"/>
  <c r="J59" i="20" s="1"/>
  <c r="K68" i="20" s="1"/>
  <c r="L77" i="20" s="1"/>
  <c r="M86" i="20" s="1"/>
  <c r="N95" i="20" s="1"/>
  <c r="O104" i="20" s="1"/>
  <c r="P113" i="20" s="1"/>
  <c r="Q122" i="20" s="1"/>
  <c r="R131" i="20" s="1"/>
  <c r="S140" i="20" s="1"/>
  <c r="T149" i="20" s="1"/>
  <c r="U158" i="20" s="1"/>
  <c r="K31" i="20"/>
  <c r="L40" i="20" s="1"/>
  <c r="M49" i="20" s="1"/>
  <c r="N58" i="20" s="1"/>
  <c r="O67" i="20" s="1"/>
  <c r="P76" i="20" s="1"/>
  <c r="Q85" i="20" s="1"/>
  <c r="R94" i="20" s="1"/>
  <c r="S103" i="20" s="1"/>
  <c r="T112" i="20" s="1"/>
  <c r="U121" i="20" s="1"/>
  <c r="J74" i="21"/>
  <c r="I5" i="21"/>
  <c r="I8" i="21"/>
  <c r="I174" i="21" s="1"/>
  <c r="K5" i="20"/>
  <c r="J8" i="20"/>
  <c r="J174" i="20" s="1"/>
  <c r="F168" i="20"/>
  <c r="L83" i="20"/>
  <c r="L11" i="19"/>
  <c r="K9" i="19"/>
  <c r="G2" i="22" s="1"/>
  <c r="H11" i="21" s="1"/>
  <c r="P60" i="1"/>
  <c r="P64" i="1" s="1"/>
  <c r="P33" i="1"/>
  <c r="L37" i="1"/>
  <c r="N2" i="21"/>
  <c r="L45" i="19"/>
  <c r="K106" i="19"/>
  <c r="L41" i="19"/>
  <c r="K102" i="19"/>
  <c r="L43" i="19"/>
  <c r="K104" i="19"/>
  <c r="L44" i="19"/>
  <c r="K105" i="19"/>
  <c r="N48" i="19"/>
  <c r="M47" i="19"/>
  <c r="I6" i="22" s="1"/>
  <c r="J15" i="21" s="1"/>
  <c r="J93" i="19"/>
  <c r="F14" i="22" s="1"/>
  <c r="G14" i="20" s="1"/>
  <c r="L38" i="19"/>
  <c r="K99" i="19"/>
  <c r="L42" i="19"/>
  <c r="K103" i="19"/>
  <c r="L36" i="19"/>
  <c r="K97" i="19"/>
  <c r="L18" i="19"/>
  <c r="K7" i="19"/>
  <c r="K16" i="19"/>
  <c r="G3" i="22" s="1"/>
  <c r="H12" i="21" s="1"/>
  <c r="L35" i="19"/>
  <c r="K96" i="19"/>
  <c r="K22" i="20"/>
  <c r="G23" i="20"/>
  <c r="L34" i="19"/>
  <c r="K32" i="19"/>
  <c r="G5" i="22" s="1"/>
  <c r="H14" i="21" s="1"/>
  <c r="K95" i="19"/>
  <c r="L37" i="19"/>
  <c r="K98" i="19"/>
  <c r="S79" i="2"/>
  <c r="S89" i="2" s="1"/>
  <c r="N50" i="19"/>
  <c r="J7" i="22" s="1"/>
  <c r="K16" i="21" s="1"/>
  <c r="O92" i="19"/>
  <c r="O29" i="19"/>
  <c r="K4" i="22" s="1"/>
  <c r="L13" i="21" s="1"/>
  <c r="O91" i="19"/>
  <c r="N90" i="19"/>
  <c r="J13" i="22" s="1"/>
  <c r="K13" i="20" s="1"/>
  <c r="K167" i="20" s="1"/>
  <c r="M67" i="5"/>
  <c r="M79" i="5"/>
  <c r="M89" i="5" s="1"/>
  <c r="L31" i="20" l="1"/>
  <c r="M40" i="20" s="1"/>
  <c r="N49" i="20" s="1"/>
  <c r="O58" i="20" s="1"/>
  <c r="P67" i="20" s="1"/>
  <c r="Q76" i="20" s="1"/>
  <c r="R85" i="20" s="1"/>
  <c r="S94" i="20" s="1"/>
  <c r="T103" i="20" s="1"/>
  <c r="U112" i="20" s="1"/>
  <c r="H32" i="20"/>
  <c r="I41" i="20" s="1"/>
  <c r="J50" i="20" s="1"/>
  <c r="K59" i="20" s="1"/>
  <c r="L68" i="20" s="1"/>
  <c r="M77" i="20" s="1"/>
  <c r="N86" i="20" s="1"/>
  <c r="O95" i="20" s="1"/>
  <c r="P104" i="20" s="1"/>
  <c r="Q113" i="20" s="1"/>
  <c r="R122" i="20" s="1"/>
  <c r="S131" i="20" s="1"/>
  <c r="T140" i="20" s="1"/>
  <c r="U149" i="20" s="1"/>
  <c r="K83" i="21"/>
  <c r="J5" i="21"/>
  <c r="J8" i="21"/>
  <c r="J174" i="21" s="1"/>
  <c r="G168" i="20"/>
  <c r="K8" i="20"/>
  <c r="K174" i="20" s="1"/>
  <c r="L5" i="20"/>
  <c r="M11" i="19"/>
  <c r="L9" i="19"/>
  <c r="H2" i="22" s="1"/>
  <c r="I11" i="21" s="1"/>
  <c r="M92" i="20"/>
  <c r="Q60" i="1"/>
  <c r="Q64" i="1" s="1"/>
  <c r="Q33" i="1"/>
  <c r="M37" i="1"/>
  <c r="O2" i="21"/>
  <c r="M35" i="19"/>
  <c r="L96" i="19"/>
  <c r="M38" i="19"/>
  <c r="L99" i="19"/>
  <c r="M43" i="19"/>
  <c r="L104" i="19"/>
  <c r="H23" i="20"/>
  <c r="M41" i="19"/>
  <c r="L102" i="19"/>
  <c r="O48" i="19"/>
  <c r="N47" i="19"/>
  <c r="J6" i="22" s="1"/>
  <c r="K15" i="21" s="1"/>
  <c r="M44" i="19"/>
  <c r="L105" i="19"/>
  <c r="M18" i="19"/>
  <c r="L7" i="19"/>
  <c r="L16" i="19"/>
  <c r="H3" i="22" s="1"/>
  <c r="I12" i="21" s="1"/>
  <c r="M36" i="19"/>
  <c r="L97" i="19"/>
  <c r="M45" i="19"/>
  <c r="L106" i="19"/>
  <c r="M42" i="19"/>
  <c r="L103" i="19"/>
  <c r="M34" i="19"/>
  <c r="L32" i="19"/>
  <c r="H5" i="22" s="1"/>
  <c r="I14" i="21" s="1"/>
  <c r="L95" i="19"/>
  <c r="M37" i="19"/>
  <c r="L98" i="19"/>
  <c r="L22" i="20"/>
  <c r="K93" i="19"/>
  <c r="G14" i="22" s="1"/>
  <c r="H14" i="20" s="1"/>
  <c r="T79" i="2"/>
  <c r="T89" i="2" s="1"/>
  <c r="P92" i="19"/>
  <c r="O90" i="19"/>
  <c r="K13" i="22" s="1"/>
  <c r="L13" i="20" s="1"/>
  <c r="P29" i="19"/>
  <c r="L4" i="22" s="1"/>
  <c r="M13" i="21" s="1"/>
  <c r="P91" i="19"/>
  <c r="O50" i="19"/>
  <c r="K7" i="22" s="1"/>
  <c r="L16" i="21" s="1"/>
  <c r="N67" i="5"/>
  <c r="N79" i="5"/>
  <c r="N89" i="5" s="1"/>
  <c r="I32" i="20" l="1"/>
  <c r="J41" i="20" s="1"/>
  <c r="K50" i="20" s="1"/>
  <c r="L59" i="20" s="1"/>
  <c r="M68" i="20" s="1"/>
  <c r="N77" i="20" s="1"/>
  <c r="O86" i="20" s="1"/>
  <c r="P95" i="20" s="1"/>
  <c r="Q104" i="20" s="1"/>
  <c r="R113" i="20" s="1"/>
  <c r="S122" i="20" s="1"/>
  <c r="T131" i="20" s="1"/>
  <c r="U140" i="20" s="1"/>
  <c r="M31" i="20"/>
  <c r="N40" i="20" s="1"/>
  <c r="O49" i="20" s="1"/>
  <c r="P58" i="20" s="1"/>
  <c r="Q67" i="20" s="1"/>
  <c r="R76" i="20" s="1"/>
  <c r="S85" i="20" s="1"/>
  <c r="T94" i="20" s="1"/>
  <c r="U103" i="20" s="1"/>
  <c r="L92" i="21"/>
  <c r="K5" i="21"/>
  <c r="K8" i="21"/>
  <c r="K174" i="21" s="1"/>
  <c r="M5" i="20"/>
  <c r="L8" i="20"/>
  <c r="L174" i="20" s="1"/>
  <c r="L167" i="20"/>
  <c r="H168" i="20"/>
  <c r="N11" i="19"/>
  <c r="M9" i="19"/>
  <c r="I2" i="22" s="1"/>
  <c r="J11" i="21" s="1"/>
  <c r="N101" i="20"/>
  <c r="R60" i="1"/>
  <c r="R64" i="1" s="1"/>
  <c r="R33" i="1"/>
  <c r="P2" i="21"/>
  <c r="N44" i="19"/>
  <c r="M105" i="19"/>
  <c r="N43" i="19"/>
  <c r="M104" i="19"/>
  <c r="I23" i="20"/>
  <c r="L93" i="19"/>
  <c r="H14" i="22" s="1"/>
  <c r="I14" i="20" s="1"/>
  <c r="N36" i="19"/>
  <c r="M97" i="19"/>
  <c r="N45" i="19"/>
  <c r="M106" i="19"/>
  <c r="P48" i="19"/>
  <c r="O47" i="19"/>
  <c r="K6" i="22" s="1"/>
  <c r="L15" i="21" s="1"/>
  <c r="N38" i="19"/>
  <c r="M99" i="19"/>
  <c r="N34" i="19"/>
  <c r="M32" i="19"/>
  <c r="I5" i="22" s="1"/>
  <c r="J14" i="21" s="1"/>
  <c r="M95" i="19"/>
  <c r="N41" i="19"/>
  <c r="M102" i="19"/>
  <c r="N18" i="19"/>
  <c r="M7" i="19"/>
  <c r="M16" i="19"/>
  <c r="I3" i="22" s="1"/>
  <c r="J12" i="21" s="1"/>
  <c r="M22" i="20"/>
  <c r="N37" i="19"/>
  <c r="M98" i="19"/>
  <c r="N42" i="19"/>
  <c r="M103" i="19"/>
  <c r="N35" i="19"/>
  <c r="M96" i="19"/>
  <c r="U79" i="2"/>
  <c r="U89" i="2" s="1"/>
  <c r="P90" i="19"/>
  <c r="L13" i="22" s="1"/>
  <c r="M13" i="20" s="1"/>
  <c r="M167" i="20" s="1"/>
  <c r="Q29" i="19"/>
  <c r="M4" i="22" s="1"/>
  <c r="N13" i="21" s="1"/>
  <c r="Q91" i="19"/>
  <c r="P50" i="19"/>
  <c r="L7" i="22" s="1"/>
  <c r="M16" i="21" s="1"/>
  <c r="Q92" i="19"/>
  <c r="O67" i="5"/>
  <c r="O79" i="5"/>
  <c r="O89" i="5" s="1"/>
  <c r="N31" i="20" l="1"/>
  <c r="O40" i="20" s="1"/>
  <c r="P49" i="20" s="1"/>
  <c r="Q58" i="20" s="1"/>
  <c r="R67" i="20" s="1"/>
  <c r="S76" i="20" s="1"/>
  <c r="T85" i="20" s="1"/>
  <c r="U94" i="20" s="1"/>
  <c r="J32" i="20"/>
  <c r="K41" i="20" s="1"/>
  <c r="L50" i="20" s="1"/>
  <c r="M59" i="20" s="1"/>
  <c r="N68" i="20" s="1"/>
  <c r="O77" i="20" s="1"/>
  <c r="P86" i="20" s="1"/>
  <c r="Q95" i="20" s="1"/>
  <c r="R104" i="20" s="1"/>
  <c r="S113" i="20" s="1"/>
  <c r="T122" i="20" s="1"/>
  <c r="U131" i="20" s="1"/>
  <c r="M101" i="21"/>
  <c r="L5" i="21"/>
  <c r="L8" i="21"/>
  <c r="L174" i="21" s="1"/>
  <c r="N5" i="20"/>
  <c r="M8" i="20"/>
  <c r="M174" i="20" s="1"/>
  <c r="O11" i="19"/>
  <c r="N9" i="19"/>
  <c r="J2" i="22" s="1"/>
  <c r="K11" i="21" s="1"/>
  <c r="I168" i="20"/>
  <c r="O110" i="20"/>
  <c r="S60" i="1"/>
  <c r="S64" i="1" s="1"/>
  <c r="S33" i="1"/>
  <c r="O37" i="1"/>
  <c r="N43" i="1"/>
  <c r="N37" i="1"/>
  <c r="O38" i="19"/>
  <c r="N99" i="19"/>
  <c r="O35" i="19"/>
  <c r="N96" i="19"/>
  <c r="N22" i="20"/>
  <c r="O18" i="19"/>
  <c r="N16" i="19"/>
  <c r="J3" i="22" s="1"/>
  <c r="K12" i="21" s="1"/>
  <c r="N7" i="19"/>
  <c r="O34" i="19"/>
  <c r="N32" i="19"/>
  <c r="J5" i="22" s="1"/>
  <c r="K14" i="21" s="1"/>
  <c r="N95" i="19"/>
  <c r="O42" i="19"/>
  <c r="N103" i="19"/>
  <c r="O45" i="19"/>
  <c r="N106" i="19"/>
  <c r="J23" i="20"/>
  <c r="M93" i="19"/>
  <c r="I14" i="22" s="1"/>
  <c r="J14" i="20" s="1"/>
  <c r="O41" i="19"/>
  <c r="N102" i="19"/>
  <c r="O43" i="19"/>
  <c r="N104" i="19"/>
  <c r="O37" i="19"/>
  <c r="N98" i="19"/>
  <c r="Q48" i="19"/>
  <c r="P47" i="19"/>
  <c r="L6" i="22" s="1"/>
  <c r="M15" i="21" s="1"/>
  <c r="O36" i="19"/>
  <c r="N97" i="19"/>
  <c r="O44" i="19"/>
  <c r="N105" i="19"/>
  <c r="V79" i="2"/>
  <c r="V89" i="2" s="1"/>
  <c r="Q90" i="19"/>
  <c r="M13" i="22" s="1"/>
  <c r="N13" i="20" s="1"/>
  <c r="R92" i="19"/>
  <c r="Q50" i="19"/>
  <c r="M7" i="22" s="1"/>
  <c r="N16" i="21" s="1"/>
  <c r="R29" i="19"/>
  <c r="N4" i="22" s="1"/>
  <c r="O13" i="21" s="1"/>
  <c r="R91" i="19"/>
  <c r="P79" i="5"/>
  <c r="P89" i="5" s="1"/>
  <c r="P67" i="5"/>
  <c r="O31" i="20" l="1"/>
  <c r="P40" i="20" s="1"/>
  <c r="Q49" i="20" s="1"/>
  <c r="R58" i="20" s="1"/>
  <c r="S67" i="20" s="1"/>
  <c r="T76" i="20" s="1"/>
  <c r="U85" i="20" s="1"/>
  <c r="K32" i="20"/>
  <c r="L41" i="20" s="1"/>
  <c r="M50" i="20" s="1"/>
  <c r="N59" i="20" s="1"/>
  <c r="O68" i="20" s="1"/>
  <c r="P77" i="20" s="1"/>
  <c r="Q86" i="20" s="1"/>
  <c r="R95" i="20" s="1"/>
  <c r="S104" i="20" s="1"/>
  <c r="T113" i="20" s="1"/>
  <c r="U122" i="20" s="1"/>
  <c r="N110" i="21"/>
  <c r="M5" i="21"/>
  <c r="M8" i="21"/>
  <c r="M174" i="21" s="1"/>
  <c r="O5" i="20"/>
  <c r="N8" i="20"/>
  <c r="N174" i="20" s="1"/>
  <c r="N167" i="20"/>
  <c r="P11" i="19"/>
  <c r="O9" i="19"/>
  <c r="K2" i="22" s="1"/>
  <c r="L11" i="21" s="1"/>
  <c r="P119" i="20"/>
  <c r="J168" i="20"/>
  <c r="T60" i="1"/>
  <c r="T64" i="1" s="1"/>
  <c r="T33" i="1"/>
  <c r="P37" i="1"/>
  <c r="R8" i="21"/>
  <c r="R174" i="21" s="1"/>
  <c r="R2" i="21"/>
  <c r="P37" i="19"/>
  <c r="O98" i="19"/>
  <c r="K23" i="20"/>
  <c r="P18" i="19"/>
  <c r="O7" i="19"/>
  <c r="O16" i="19"/>
  <c r="K3" i="22" s="1"/>
  <c r="L12" i="21" s="1"/>
  <c r="P36" i="19"/>
  <c r="O97" i="19"/>
  <c r="N93" i="19"/>
  <c r="P42" i="19"/>
  <c r="O103" i="19"/>
  <c r="P35" i="19"/>
  <c r="O96" i="19"/>
  <c r="O22" i="20"/>
  <c r="P41" i="19"/>
  <c r="O102" i="19"/>
  <c r="R48" i="19"/>
  <c r="Q47" i="19"/>
  <c r="M6" i="22" s="1"/>
  <c r="N15" i="21" s="1"/>
  <c r="P43" i="19"/>
  <c r="O104" i="19"/>
  <c r="P34" i="19"/>
  <c r="O95" i="19"/>
  <c r="O32" i="19"/>
  <c r="K5" i="22" s="1"/>
  <c r="L14" i="21" s="1"/>
  <c r="P45" i="19"/>
  <c r="O106" i="19"/>
  <c r="P44" i="19"/>
  <c r="O105" i="19"/>
  <c r="P38" i="19"/>
  <c r="O99" i="19"/>
  <c r="W79" i="2"/>
  <c r="W89" i="2" s="1"/>
  <c r="R50" i="19"/>
  <c r="N7" i="22" s="1"/>
  <c r="O16" i="21" s="1"/>
  <c r="S92" i="19"/>
  <c r="S29" i="19"/>
  <c r="O4" i="22" s="1"/>
  <c r="P13" i="21" s="1"/>
  <c r="S91" i="19"/>
  <c r="R90" i="19"/>
  <c r="N13" i="22" s="1"/>
  <c r="O13" i="20" s="1"/>
  <c r="Q79" i="5"/>
  <c r="Q89" i="5" s="1"/>
  <c r="Q67" i="5"/>
  <c r="L32" i="20" l="1"/>
  <c r="M41" i="20" s="1"/>
  <c r="N50" i="20" s="1"/>
  <c r="O59" i="20" s="1"/>
  <c r="P68" i="20" s="1"/>
  <c r="Q77" i="20" s="1"/>
  <c r="R86" i="20" s="1"/>
  <c r="S95" i="20" s="1"/>
  <c r="T104" i="20" s="1"/>
  <c r="U113" i="20" s="1"/>
  <c r="P31" i="20"/>
  <c r="Q40" i="20" s="1"/>
  <c r="R49" i="20" s="1"/>
  <c r="S58" i="20" s="1"/>
  <c r="T67" i="20" s="1"/>
  <c r="U76" i="20" s="1"/>
  <c r="O119" i="21"/>
  <c r="N8" i="21"/>
  <c r="N174" i="21" s="1"/>
  <c r="N5" i="21"/>
  <c r="P5" i="20"/>
  <c r="O8" i="20"/>
  <c r="O174" i="20" s="1"/>
  <c r="O167" i="20"/>
  <c r="Q11" i="19"/>
  <c r="P9" i="19"/>
  <c r="L2" i="22" s="1"/>
  <c r="M11" i="21" s="1"/>
  <c r="Q128" i="20"/>
  <c r="U60" i="1"/>
  <c r="U64" i="1" s="1"/>
  <c r="U33" i="1"/>
  <c r="Q37" i="1"/>
  <c r="S2" i="21"/>
  <c r="S8" i="21"/>
  <c r="S174" i="21" s="1"/>
  <c r="Q35" i="19"/>
  <c r="P96" i="19"/>
  <c r="P22" i="20"/>
  <c r="Q38" i="19"/>
  <c r="P99" i="19"/>
  <c r="Q45" i="19"/>
  <c r="P106" i="19"/>
  <c r="Q42" i="19"/>
  <c r="P103" i="19"/>
  <c r="Q18" i="19"/>
  <c r="P7" i="19"/>
  <c r="P16" i="19"/>
  <c r="L3" i="22" s="1"/>
  <c r="M12" i="21" s="1"/>
  <c r="S48" i="19"/>
  <c r="R47" i="19"/>
  <c r="N6" i="22" s="1"/>
  <c r="O15" i="21" s="1"/>
  <c r="N69" i="19"/>
  <c r="J14" i="22"/>
  <c r="K14" i="20" s="1"/>
  <c r="K168" i="20" s="1"/>
  <c r="Q34" i="19"/>
  <c r="P32" i="19"/>
  <c r="L5" i="22" s="1"/>
  <c r="M14" i="21" s="1"/>
  <c r="P95" i="19"/>
  <c r="Q36" i="19"/>
  <c r="P97" i="19"/>
  <c r="Q41" i="19"/>
  <c r="P102" i="19"/>
  <c r="Q37" i="19"/>
  <c r="P98" i="19"/>
  <c r="O93" i="19"/>
  <c r="Q44" i="19"/>
  <c r="P105" i="19"/>
  <c r="Q43" i="19"/>
  <c r="P104" i="19"/>
  <c r="X79" i="2"/>
  <c r="X89" i="2" s="1"/>
  <c r="S50" i="19"/>
  <c r="O7" i="22" s="1"/>
  <c r="P16" i="21" s="1"/>
  <c r="S90" i="19"/>
  <c r="O13" i="22" s="1"/>
  <c r="P13" i="20" s="1"/>
  <c r="T29" i="19"/>
  <c r="P4" i="22" s="1"/>
  <c r="Q13" i="21" s="1"/>
  <c r="T91" i="19"/>
  <c r="T92" i="19"/>
  <c r="R79" i="5"/>
  <c r="R89" i="5" s="1"/>
  <c r="R67" i="5"/>
  <c r="Q31" i="20" l="1"/>
  <c r="R40" i="20" s="1"/>
  <c r="S49" i="20" s="1"/>
  <c r="T58" i="20" s="1"/>
  <c r="U67" i="20" s="1"/>
  <c r="P128" i="21"/>
  <c r="O5" i="21"/>
  <c r="O8" i="21"/>
  <c r="O174" i="21" s="1"/>
  <c r="Q5" i="20"/>
  <c r="P8" i="20"/>
  <c r="P174" i="20" s="1"/>
  <c r="P167" i="20"/>
  <c r="R11" i="19"/>
  <c r="Q9" i="19"/>
  <c r="M2" i="22" s="1"/>
  <c r="N11" i="21" s="1"/>
  <c r="R137" i="20"/>
  <c r="V60" i="1"/>
  <c r="V64" i="1" s="1"/>
  <c r="V33" i="1"/>
  <c r="R37" i="1"/>
  <c r="T2" i="21"/>
  <c r="T8" i="21"/>
  <c r="T174" i="21" s="1"/>
  <c r="Q22" i="20"/>
  <c r="R45" i="19"/>
  <c r="Q106" i="19"/>
  <c r="R18" i="19"/>
  <c r="Q16" i="19"/>
  <c r="M3" i="22" s="1"/>
  <c r="N12" i="21" s="1"/>
  <c r="Q7" i="19"/>
  <c r="R41" i="19"/>
  <c r="Q102" i="19"/>
  <c r="L23" i="20"/>
  <c r="R38" i="19"/>
  <c r="Q99" i="19"/>
  <c r="R44" i="19"/>
  <c r="Q105" i="19"/>
  <c r="O69" i="19"/>
  <c r="K14" i="22"/>
  <c r="L14" i="20" s="1"/>
  <c r="R36" i="19"/>
  <c r="Q97" i="19"/>
  <c r="R43" i="19"/>
  <c r="Q104" i="19"/>
  <c r="R34" i="19"/>
  <c r="Q95" i="19"/>
  <c r="Q32" i="19"/>
  <c r="M5" i="22" s="1"/>
  <c r="N14" i="21" s="1"/>
  <c r="P93" i="19"/>
  <c r="R37" i="19"/>
  <c r="Q98" i="19"/>
  <c r="T48" i="19"/>
  <c r="S47" i="19"/>
  <c r="O6" i="22" s="1"/>
  <c r="P15" i="21" s="1"/>
  <c r="R42" i="19"/>
  <c r="Q103" i="19"/>
  <c r="R35" i="19"/>
  <c r="Q96" i="19"/>
  <c r="Y79" i="2"/>
  <c r="Y89" i="2" s="1"/>
  <c r="U92" i="19"/>
  <c r="T50" i="19"/>
  <c r="P7" i="22" s="1"/>
  <c r="Q16" i="21" s="1"/>
  <c r="E52" i="19"/>
  <c r="T90" i="19"/>
  <c r="P13" i="22" s="1"/>
  <c r="Q13" i="20" s="1"/>
  <c r="Q167" i="20" s="1"/>
  <c r="U29" i="19"/>
  <c r="Q4" i="22" s="1"/>
  <c r="R13" i="21" s="1"/>
  <c r="U91" i="19"/>
  <c r="S67" i="5"/>
  <c r="S79" i="5"/>
  <c r="S89" i="5" s="1"/>
  <c r="M32" i="20" l="1"/>
  <c r="N41" i="20" s="1"/>
  <c r="O50" i="20" s="1"/>
  <c r="P59" i="20" s="1"/>
  <c r="Q68" i="20" s="1"/>
  <c r="R77" i="20" s="1"/>
  <c r="S86" i="20" s="1"/>
  <c r="T95" i="20" s="1"/>
  <c r="U104" i="20" s="1"/>
  <c r="U107" i="20" s="1"/>
  <c r="R31" i="20"/>
  <c r="S40" i="20" s="1"/>
  <c r="T49" i="20" s="1"/>
  <c r="U58" i="20" s="1"/>
  <c r="Q137" i="21"/>
  <c r="P8" i="21"/>
  <c r="P174" i="21" s="1"/>
  <c r="P5" i="21"/>
  <c r="Q8" i="21" s="1"/>
  <c r="Q174" i="21" s="1"/>
  <c r="R5" i="20"/>
  <c r="Q8" i="20"/>
  <c r="Q174" i="20" s="1"/>
  <c r="L168" i="20"/>
  <c r="S11" i="19"/>
  <c r="R9" i="19"/>
  <c r="N2" i="22" s="1"/>
  <c r="O11" i="21" s="1"/>
  <c r="S146" i="20"/>
  <c r="W33" i="1"/>
  <c r="W60" i="1"/>
  <c r="W64" i="1" s="1"/>
  <c r="S37" i="1"/>
  <c r="U2" i="21"/>
  <c r="U8" i="21"/>
  <c r="U174" i="21" s="1"/>
  <c r="S18" i="19"/>
  <c r="R16" i="19"/>
  <c r="N3" i="22" s="1"/>
  <c r="O12" i="21" s="1"/>
  <c r="R7" i="19"/>
  <c r="U48" i="19"/>
  <c r="T47" i="19"/>
  <c r="P6" i="22" s="1"/>
  <c r="Q15" i="21" s="1"/>
  <c r="Q93" i="19"/>
  <c r="S36" i="19"/>
  <c r="R97" i="19"/>
  <c r="S38" i="19"/>
  <c r="R99" i="19"/>
  <c r="R22" i="20"/>
  <c r="S37" i="19"/>
  <c r="R98" i="19"/>
  <c r="S34" i="19"/>
  <c r="R32" i="19"/>
  <c r="N5" i="22" s="1"/>
  <c r="O14" i="21" s="1"/>
  <c r="R95" i="19"/>
  <c r="M23" i="20"/>
  <c r="S45" i="19"/>
  <c r="R106" i="19"/>
  <c r="S43" i="19"/>
  <c r="R104" i="19"/>
  <c r="S42" i="19"/>
  <c r="R103" i="19"/>
  <c r="S35" i="19"/>
  <c r="R96" i="19"/>
  <c r="P69" i="19"/>
  <c r="L14" i="22"/>
  <c r="M14" i="20" s="1"/>
  <c r="S44" i="19"/>
  <c r="R105" i="19"/>
  <c r="S41" i="19"/>
  <c r="R102" i="19"/>
  <c r="Z79" i="2"/>
  <c r="Z89" i="2" s="1"/>
  <c r="U90" i="19"/>
  <c r="Q13" i="22" s="1"/>
  <c r="R13" i="20" s="1"/>
  <c r="F113" i="19"/>
  <c r="F111" i="19" s="1"/>
  <c r="B16" i="22" s="1"/>
  <c r="C16" i="20" s="1"/>
  <c r="C170" i="20" s="1"/>
  <c r="V92" i="19"/>
  <c r="V29" i="19"/>
  <c r="R4" i="22" s="1"/>
  <c r="S13" i="21" s="1"/>
  <c r="V91" i="19"/>
  <c r="T67" i="5"/>
  <c r="T79" i="5"/>
  <c r="T89" i="5" s="1"/>
  <c r="R167" i="20" l="1"/>
  <c r="S31" i="20"/>
  <c r="T40" i="20" s="1"/>
  <c r="U49" i="20" s="1"/>
  <c r="N32" i="20"/>
  <c r="O41" i="20" s="1"/>
  <c r="P50" i="20" s="1"/>
  <c r="Q59" i="20" s="1"/>
  <c r="R68" i="20" s="1"/>
  <c r="S77" i="20" s="1"/>
  <c r="T86" i="20" s="1"/>
  <c r="U95" i="20" s="1"/>
  <c r="U98" i="20" s="1"/>
  <c r="R146" i="21"/>
  <c r="S155" i="21" s="1"/>
  <c r="M168" i="20"/>
  <c r="S5" i="20"/>
  <c r="R8" i="20"/>
  <c r="R174" i="20" s="1"/>
  <c r="T11" i="19"/>
  <c r="T9" i="19" s="1"/>
  <c r="P2" i="22" s="1"/>
  <c r="Q11" i="21" s="1"/>
  <c r="S9" i="19"/>
  <c r="O2" i="22" s="1"/>
  <c r="P11" i="21" s="1"/>
  <c r="T155" i="20"/>
  <c r="T165" i="20" s="1"/>
  <c r="T37" i="1"/>
  <c r="R93" i="19"/>
  <c r="N14" i="22" s="1"/>
  <c r="O14" i="20" s="1"/>
  <c r="T41" i="19"/>
  <c r="S102" i="19"/>
  <c r="M14" i="22"/>
  <c r="N14" i="20" s="1"/>
  <c r="Q69" i="19"/>
  <c r="T44" i="19"/>
  <c r="S105" i="19"/>
  <c r="T34" i="19"/>
  <c r="S32" i="19"/>
  <c r="O5" i="22" s="1"/>
  <c r="P14" i="21" s="1"/>
  <c r="S95" i="19"/>
  <c r="T42" i="19"/>
  <c r="S103" i="19"/>
  <c r="T43" i="19"/>
  <c r="S104" i="19"/>
  <c r="U47" i="19"/>
  <c r="Q6" i="22" s="1"/>
  <c r="R15" i="21" s="1"/>
  <c r="E48" i="19"/>
  <c r="G109" i="19" s="1"/>
  <c r="G108" i="19" s="1"/>
  <c r="C15" i="22" s="1"/>
  <c r="D15" i="20" s="1"/>
  <c r="D169" i="20" s="1"/>
  <c r="N23" i="20"/>
  <c r="T36" i="19"/>
  <c r="S97" i="19"/>
  <c r="T45" i="19"/>
  <c r="S106" i="19"/>
  <c r="S22" i="20"/>
  <c r="T35" i="19"/>
  <c r="S96" i="19"/>
  <c r="T38" i="19"/>
  <c r="S99" i="19"/>
  <c r="T18" i="19"/>
  <c r="S7" i="19"/>
  <c r="S16" i="19"/>
  <c r="O3" i="22" s="1"/>
  <c r="P12" i="21" s="1"/>
  <c r="D25" i="20"/>
  <c r="T37" i="19"/>
  <c r="S98" i="19"/>
  <c r="W29" i="19"/>
  <c r="S4" i="22" s="1"/>
  <c r="T13" i="21" s="1"/>
  <c r="W91" i="19"/>
  <c r="W92" i="19"/>
  <c r="V90" i="19"/>
  <c r="R13" i="22" s="1"/>
  <c r="S13" i="20" s="1"/>
  <c r="G113" i="19"/>
  <c r="U67" i="5"/>
  <c r="U79" i="5"/>
  <c r="U89" i="5" s="1"/>
  <c r="O32" i="20" l="1"/>
  <c r="P41" i="20" s="1"/>
  <c r="Q50" i="20" s="1"/>
  <c r="R59" i="20" s="1"/>
  <c r="S68" i="20" s="1"/>
  <c r="T77" i="20" s="1"/>
  <c r="U86" i="20" s="1"/>
  <c r="U89" i="20" s="1"/>
  <c r="U179" i="20" s="1"/>
  <c r="E34" i="20"/>
  <c r="F43" i="20" s="1"/>
  <c r="G52" i="20" s="1"/>
  <c r="H61" i="20" s="1"/>
  <c r="I70" i="20" s="1"/>
  <c r="J79" i="20" s="1"/>
  <c r="K88" i="20" s="1"/>
  <c r="L97" i="20" s="1"/>
  <c r="M106" i="20" s="1"/>
  <c r="N115" i="20" s="1"/>
  <c r="O124" i="20" s="1"/>
  <c r="P133" i="20" s="1"/>
  <c r="Q142" i="20" s="1"/>
  <c r="R151" i="20" s="1"/>
  <c r="S160" i="20" s="1"/>
  <c r="T31" i="20"/>
  <c r="U40" i="20" s="1"/>
  <c r="T5" i="20"/>
  <c r="S8" i="20"/>
  <c r="S174" i="20" s="1"/>
  <c r="N168" i="20"/>
  <c r="R69" i="19"/>
  <c r="E11" i="19"/>
  <c r="F72" i="19" s="1"/>
  <c r="F70" i="19" s="1"/>
  <c r="B11" i="22" s="1"/>
  <c r="S167" i="20"/>
  <c r="X60" i="1"/>
  <c r="X33" i="1"/>
  <c r="U37" i="1"/>
  <c r="T16" i="19"/>
  <c r="P3" i="22" s="1"/>
  <c r="Q12" i="21" s="1"/>
  <c r="T7" i="19"/>
  <c r="E18" i="19"/>
  <c r="U37" i="19"/>
  <c r="T98" i="19"/>
  <c r="U36" i="19"/>
  <c r="T97" i="19"/>
  <c r="U38" i="19"/>
  <c r="T99" i="19"/>
  <c r="H109" i="19"/>
  <c r="I109" i="19" s="1"/>
  <c r="P23" i="20"/>
  <c r="U34" i="19"/>
  <c r="T95" i="19"/>
  <c r="T32" i="19"/>
  <c r="P5" i="22" s="1"/>
  <c r="Q14" i="21" s="1"/>
  <c r="U43" i="19"/>
  <c r="T104" i="19"/>
  <c r="U44" i="19"/>
  <c r="T105" i="19"/>
  <c r="E24" i="20"/>
  <c r="T22" i="20"/>
  <c r="U31" i="20" s="1"/>
  <c r="U35" i="19"/>
  <c r="T96" i="19"/>
  <c r="U45" i="19"/>
  <c r="T106" i="19"/>
  <c r="U42" i="19"/>
  <c r="T103" i="19"/>
  <c r="O23" i="20"/>
  <c r="S93" i="19"/>
  <c r="U41" i="19"/>
  <c r="T102" i="19"/>
  <c r="X92" i="19"/>
  <c r="W90" i="19"/>
  <c r="S13" i="22" s="1"/>
  <c r="T13" i="20" s="1"/>
  <c r="G111" i="19"/>
  <c r="C16" i="22" s="1"/>
  <c r="D16" i="20" s="1"/>
  <c r="D170" i="20" s="1"/>
  <c r="H113" i="19"/>
  <c r="X29" i="19"/>
  <c r="T4" i="22" s="1"/>
  <c r="U13" i="21" s="1"/>
  <c r="X91" i="19"/>
  <c r="V67" i="5"/>
  <c r="V79" i="5"/>
  <c r="V89" i="5" s="1"/>
  <c r="P32" i="20" l="1"/>
  <c r="Q41" i="20" s="1"/>
  <c r="R50" i="20" s="1"/>
  <c r="S59" i="20" s="1"/>
  <c r="T68" i="20" s="1"/>
  <c r="U77" i="20" s="1"/>
  <c r="U80" i="20" s="1"/>
  <c r="F33" i="20"/>
  <c r="G42" i="20" s="1"/>
  <c r="H51" i="20" s="1"/>
  <c r="I60" i="20" s="1"/>
  <c r="J69" i="20" s="1"/>
  <c r="K78" i="20" s="1"/>
  <c r="L87" i="20" s="1"/>
  <c r="M96" i="20" s="1"/>
  <c r="N105" i="20" s="1"/>
  <c r="O114" i="20" s="1"/>
  <c r="P123" i="20" s="1"/>
  <c r="Q132" i="20" s="1"/>
  <c r="R141" i="20" s="1"/>
  <c r="S150" i="20" s="1"/>
  <c r="T159" i="20" s="1"/>
  <c r="Q32" i="20"/>
  <c r="R41" i="20" s="1"/>
  <c r="S50" i="20" s="1"/>
  <c r="T59" i="20" s="1"/>
  <c r="U68" i="20" s="1"/>
  <c r="U71" i="20" s="1"/>
  <c r="T167" i="20"/>
  <c r="U5" i="20"/>
  <c r="U8" i="20" s="1"/>
  <c r="U174" i="20" s="1"/>
  <c r="T8" i="20"/>
  <c r="T174" i="20" s="1"/>
  <c r="C165" i="20"/>
  <c r="C11" i="20"/>
  <c r="D20" i="20" s="1"/>
  <c r="E70" i="19"/>
  <c r="H108" i="19"/>
  <c r="D15" i="22" s="1"/>
  <c r="E15" i="20" s="1"/>
  <c r="E169" i="20" s="1"/>
  <c r="O168" i="20"/>
  <c r="V37" i="1"/>
  <c r="V36" i="19"/>
  <c r="U97" i="19"/>
  <c r="T93" i="19"/>
  <c r="V41" i="19"/>
  <c r="U102" i="19"/>
  <c r="V43" i="19"/>
  <c r="U104" i="19"/>
  <c r="V34" i="19"/>
  <c r="U32" i="19"/>
  <c r="Q5" i="22" s="1"/>
  <c r="R14" i="21" s="1"/>
  <c r="U95" i="19"/>
  <c r="U7" i="19"/>
  <c r="O14" i="22"/>
  <c r="P14" i="20" s="1"/>
  <c r="P168" i="20" s="1"/>
  <c r="S69" i="19"/>
  <c r="V35" i="19"/>
  <c r="U96" i="19"/>
  <c r="V37" i="19"/>
  <c r="U98" i="19"/>
  <c r="E25" i="20"/>
  <c r="V42" i="19"/>
  <c r="U103" i="19"/>
  <c r="F79" i="19"/>
  <c r="F77" i="19" s="1"/>
  <c r="F69" i="19" s="1"/>
  <c r="U22" i="20"/>
  <c r="V45" i="19"/>
  <c r="U106" i="19"/>
  <c r="V44" i="19"/>
  <c r="U105" i="19"/>
  <c r="V38" i="19"/>
  <c r="U99" i="19"/>
  <c r="J109" i="19"/>
  <c r="I108" i="19"/>
  <c r="E15" i="22" s="1"/>
  <c r="F15" i="20" s="1"/>
  <c r="X90" i="19"/>
  <c r="T13" i="22" s="1"/>
  <c r="U13" i="20" s="1"/>
  <c r="H111" i="19"/>
  <c r="D16" i="22" s="1"/>
  <c r="E16" i="20" s="1"/>
  <c r="I113" i="19"/>
  <c r="W67" i="5"/>
  <c r="W79" i="5"/>
  <c r="W89" i="5" s="1"/>
  <c r="D165" i="20" l="1"/>
  <c r="E29" i="20"/>
  <c r="E165" i="20" s="1"/>
  <c r="F34" i="20"/>
  <c r="G43" i="20" s="1"/>
  <c r="H52" i="20" s="1"/>
  <c r="I61" i="20" s="1"/>
  <c r="J70" i="20" s="1"/>
  <c r="K79" i="20" s="1"/>
  <c r="L88" i="20" s="1"/>
  <c r="M97" i="20" s="1"/>
  <c r="N106" i="20" s="1"/>
  <c r="O115" i="20" s="1"/>
  <c r="P124" i="20" s="1"/>
  <c r="Q133" i="20" s="1"/>
  <c r="R142" i="20" s="1"/>
  <c r="S151" i="20" s="1"/>
  <c r="T160" i="20" s="1"/>
  <c r="U178" i="20"/>
  <c r="U167" i="20"/>
  <c r="F24" i="20"/>
  <c r="E170" i="20"/>
  <c r="G79" i="19"/>
  <c r="G77" i="19" s="1"/>
  <c r="W43" i="19"/>
  <c r="V104" i="19"/>
  <c r="W45" i="19"/>
  <c r="V106" i="19"/>
  <c r="Q23" i="20"/>
  <c r="W41" i="19"/>
  <c r="V102" i="19"/>
  <c r="P14" i="22"/>
  <c r="Q14" i="20" s="1"/>
  <c r="T69" i="19"/>
  <c r="B12" i="22"/>
  <c r="C12" i="20" s="1"/>
  <c r="C166" i="20" s="1"/>
  <c r="W42" i="19"/>
  <c r="V103" i="19"/>
  <c r="W37" i="19"/>
  <c r="V98" i="19"/>
  <c r="U93" i="19"/>
  <c r="W44" i="19"/>
  <c r="V105" i="19"/>
  <c r="F25" i="20"/>
  <c r="W38" i="19"/>
  <c r="V99" i="19"/>
  <c r="G24" i="20"/>
  <c r="W35" i="19"/>
  <c r="V96" i="19"/>
  <c r="W34" i="19"/>
  <c r="V32" i="19"/>
  <c r="R5" i="22" s="1"/>
  <c r="S14" i="21" s="1"/>
  <c r="V95" i="19"/>
  <c r="V7" i="19"/>
  <c r="W36" i="19"/>
  <c r="V97" i="19"/>
  <c r="X79" i="5"/>
  <c r="X89" i="5" s="1"/>
  <c r="X67" i="5"/>
  <c r="E30" i="19"/>
  <c r="J113" i="19"/>
  <c r="I111" i="19"/>
  <c r="E16" i="22" s="1"/>
  <c r="F16" i="20" s="1"/>
  <c r="E31" i="19"/>
  <c r="K109" i="19"/>
  <c r="J108" i="19"/>
  <c r="F15" i="22" s="1"/>
  <c r="G15" i="20" s="1"/>
  <c r="G33" i="20" l="1"/>
  <c r="H42" i="20" s="1"/>
  <c r="I51" i="20" s="1"/>
  <c r="J60" i="20" s="1"/>
  <c r="K69" i="20" s="1"/>
  <c r="L78" i="20" s="1"/>
  <c r="M87" i="20" s="1"/>
  <c r="N96" i="20" s="1"/>
  <c r="O105" i="20" s="1"/>
  <c r="P114" i="20" s="1"/>
  <c r="Q123" i="20" s="1"/>
  <c r="R132" i="20" s="1"/>
  <c r="S141" i="20" s="1"/>
  <c r="T150" i="20" s="1"/>
  <c r="U159" i="20" s="1"/>
  <c r="R32" i="20"/>
  <c r="S41" i="20" s="1"/>
  <c r="T50" i="20" s="1"/>
  <c r="U59" i="20" s="1"/>
  <c r="U62" i="20" s="1"/>
  <c r="G34" i="20"/>
  <c r="H43" i="20" s="1"/>
  <c r="I52" i="20" s="1"/>
  <c r="J61" i="20" s="1"/>
  <c r="K70" i="20" s="1"/>
  <c r="L79" i="20" s="1"/>
  <c r="M88" i="20" s="1"/>
  <c r="N97" i="20" s="1"/>
  <c r="O106" i="20" s="1"/>
  <c r="P115" i="20" s="1"/>
  <c r="Q124" i="20" s="1"/>
  <c r="R133" i="20" s="1"/>
  <c r="S142" i="20" s="1"/>
  <c r="T151" i="20" s="1"/>
  <c r="U160" i="20" s="1"/>
  <c r="H33" i="20"/>
  <c r="I42" i="20" s="1"/>
  <c r="J51" i="20" s="1"/>
  <c r="K60" i="20" s="1"/>
  <c r="L69" i="20" s="1"/>
  <c r="M78" i="20" s="1"/>
  <c r="N87" i="20" s="1"/>
  <c r="O96" i="20" s="1"/>
  <c r="P105" i="20" s="1"/>
  <c r="Q114" i="20" s="1"/>
  <c r="R123" i="20" s="1"/>
  <c r="S132" i="20" s="1"/>
  <c r="T141" i="20" s="1"/>
  <c r="U150" i="20" s="1"/>
  <c r="F38" i="20"/>
  <c r="F165" i="20" s="1"/>
  <c r="H79" i="19"/>
  <c r="G69" i="19"/>
  <c r="C12" i="22"/>
  <c r="D12" i="20" s="1"/>
  <c r="F169" i="20"/>
  <c r="F170" i="20"/>
  <c r="Q168" i="20"/>
  <c r="X50" i="1"/>
  <c r="X14" i="5"/>
  <c r="X4" i="5"/>
  <c r="X79" i="1"/>
  <c r="X60" i="5" s="1"/>
  <c r="X76" i="1"/>
  <c r="X71" i="1"/>
  <c r="X63" i="1"/>
  <c r="X44" i="5" s="1"/>
  <c r="X48" i="1"/>
  <c r="X64" i="1"/>
  <c r="X10" i="5"/>
  <c r="X41" i="1"/>
  <c r="X52" i="1"/>
  <c r="X47" i="1"/>
  <c r="X9" i="5"/>
  <c r="X51" i="1"/>
  <c r="X11" i="5"/>
  <c r="X69" i="1"/>
  <c r="X72" i="1"/>
  <c r="X38" i="1"/>
  <c r="X49" i="1"/>
  <c r="X65" i="1"/>
  <c r="X68" i="1"/>
  <c r="X36" i="1"/>
  <c r="X23" i="5" s="1"/>
  <c r="X39" i="1"/>
  <c r="X53" i="1"/>
  <c r="X40" i="5" s="1"/>
  <c r="X77" i="1"/>
  <c r="X80" i="1"/>
  <c r="X61" i="5" s="1"/>
  <c r="X46" i="1"/>
  <c r="X70" i="1"/>
  <c r="X73" i="1"/>
  <c r="X22" i="1"/>
  <c r="X15" i="5" s="1"/>
  <c r="X74" i="1"/>
  <c r="X66" i="1"/>
  <c r="X26" i="1"/>
  <c r="X19" i="5" s="1"/>
  <c r="X54" i="1"/>
  <c r="X41" i="5" s="1"/>
  <c r="X78" i="1"/>
  <c r="X81" i="1"/>
  <c r="X62" i="5" s="1"/>
  <c r="X40" i="1"/>
  <c r="X6" i="5"/>
  <c r="X3" i="5"/>
  <c r="X37" i="1"/>
  <c r="X67" i="1"/>
  <c r="X2" i="5"/>
  <c r="X7" i="5"/>
  <c r="X43" i="1"/>
  <c r="X5" i="5"/>
  <c r="X44" i="1"/>
  <c r="X23" i="1"/>
  <c r="X16" i="5" s="1"/>
  <c r="X13" i="5"/>
  <c r="X45" i="1"/>
  <c r="X75" i="1"/>
  <c r="X12" i="5"/>
  <c r="X24" i="1"/>
  <c r="X17" i="5" s="1"/>
  <c r="X8" i="5"/>
  <c r="X27" i="1"/>
  <c r="X20" i="5" s="1"/>
  <c r="X25" i="1"/>
  <c r="X18" i="5" s="1"/>
  <c r="W37" i="1"/>
  <c r="D21" i="20"/>
  <c r="X41" i="19"/>
  <c r="W102" i="19"/>
  <c r="X43" i="19"/>
  <c r="W104" i="19"/>
  <c r="X36" i="19"/>
  <c r="W97" i="19"/>
  <c r="H77" i="19"/>
  <c r="I79" i="19"/>
  <c r="G25" i="20"/>
  <c r="Q14" i="22"/>
  <c r="R14" i="20" s="1"/>
  <c r="U69" i="19"/>
  <c r="R23" i="20"/>
  <c r="V93" i="19"/>
  <c r="X44" i="19"/>
  <c r="W105" i="19"/>
  <c r="X37" i="19"/>
  <c r="W98" i="19"/>
  <c r="H24" i="20"/>
  <c r="X34" i="19"/>
  <c r="W7" i="19"/>
  <c r="W95" i="19"/>
  <c r="W32" i="19"/>
  <c r="S5" i="22" s="1"/>
  <c r="T14" i="21" s="1"/>
  <c r="X38" i="19"/>
  <c r="W99" i="19"/>
  <c r="X35" i="19"/>
  <c r="W96" i="19"/>
  <c r="X42" i="19"/>
  <c r="W103" i="19"/>
  <c r="X45" i="19"/>
  <c r="W106" i="19"/>
  <c r="L109" i="19"/>
  <c r="K108" i="19"/>
  <c r="G15" i="22" s="1"/>
  <c r="H15" i="20" s="1"/>
  <c r="K113" i="19"/>
  <c r="J111" i="19"/>
  <c r="F16" i="22" s="1"/>
  <c r="G16" i="20" s="1"/>
  <c r="D80" i="10"/>
  <c r="C80" i="10"/>
  <c r="B80" i="10"/>
  <c r="D79" i="10"/>
  <c r="C79" i="10"/>
  <c r="B79" i="10"/>
  <c r="D78" i="10"/>
  <c r="C78" i="10"/>
  <c r="B78" i="10"/>
  <c r="D77" i="10"/>
  <c r="C77" i="10"/>
  <c r="B77" i="10"/>
  <c r="D76" i="10"/>
  <c r="C76" i="10"/>
  <c r="B76" i="10"/>
  <c r="D75" i="10"/>
  <c r="C75" i="10"/>
  <c r="B75" i="10"/>
  <c r="D74" i="10"/>
  <c r="C74" i="10"/>
  <c r="B74" i="10"/>
  <c r="D73" i="10"/>
  <c r="C73" i="10"/>
  <c r="B73" i="10"/>
  <c r="O72" i="10"/>
  <c r="D72" i="10"/>
  <c r="C72" i="10"/>
  <c r="B72" i="10"/>
  <c r="O71" i="10"/>
  <c r="D71" i="10"/>
  <c r="C71" i="10"/>
  <c r="B71" i="10"/>
  <c r="O70" i="10"/>
  <c r="D70" i="10"/>
  <c r="C70" i="10"/>
  <c r="B70" i="10"/>
  <c r="O69" i="10"/>
  <c r="D69" i="10"/>
  <c r="C69" i="10"/>
  <c r="B69" i="10"/>
  <c r="O68" i="10"/>
  <c r="D68" i="10"/>
  <c r="C68" i="10"/>
  <c r="B68" i="10"/>
  <c r="O67" i="10"/>
  <c r="D67" i="10"/>
  <c r="C67" i="10"/>
  <c r="B67" i="10"/>
  <c r="O66" i="10"/>
  <c r="D66" i="10"/>
  <c r="C66" i="10"/>
  <c r="B66" i="10"/>
  <c r="O65" i="10"/>
  <c r="D65" i="10"/>
  <c r="C65" i="10"/>
  <c r="B65" i="10"/>
  <c r="O64" i="10"/>
  <c r="D64" i="10"/>
  <c r="C64" i="10"/>
  <c r="B64" i="10"/>
  <c r="O63" i="10"/>
  <c r="D63" i="10"/>
  <c r="C63" i="10"/>
  <c r="B63" i="10"/>
  <c r="O62" i="10"/>
  <c r="D62" i="10"/>
  <c r="C62" i="10"/>
  <c r="B62" i="10"/>
  <c r="V61" i="10"/>
  <c r="U61" i="10"/>
  <c r="T61" i="10"/>
  <c r="S61" i="10"/>
  <c r="R61" i="10"/>
  <c r="O61" i="10"/>
  <c r="D61" i="10"/>
  <c r="C61" i="10"/>
  <c r="B61" i="10"/>
  <c r="V60" i="10"/>
  <c r="U60" i="10"/>
  <c r="T60" i="10"/>
  <c r="S60" i="10"/>
  <c r="R60" i="10"/>
  <c r="Q60" i="10"/>
  <c r="O60" i="10"/>
  <c r="D60" i="10"/>
  <c r="C60" i="10"/>
  <c r="B60" i="10"/>
  <c r="V59" i="10"/>
  <c r="U59" i="10"/>
  <c r="T59" i="10"/>
  <c r="S59" i="10"/>
  <c r="R59" i="10"/>
  <c r="Q59" i="10"/>
  <c r="O59" i="10"/>
  <c r="D59" i="10"/>
  <c r="C59" i="10"/>
  <c r="B59" i="10"/>
  <c r="Y58" i="10"/>
  <c r="X58" i="10"/>
  <c r="W58" i="10"/>
  <c r="V58" i="10"/>
  <c r="U58" i="10"/>
  <c r="T58" i="10"/>
  <c r="S58" i="10"/>
  <c r="R58" i="10"/>
  <c r="Q58" i="10"/>
  <c r="O58" i="10"/>
  <c r="D58" i="10"/>
  <c r="C58" i="10"/>
  <c r="B58" i="10"/>
  <c r="D53" i="10"/>
  <c r="C53" i="10"/>
  <c r="B53" i="10"/>
  <c r="D52" i="10"/>
  <c r="C52" i="10"/>
  <c r="B52" i="10"/>
  <c r="D51" i="10"/>
  <c r="C51" i="10"/>
  <c r="B51" i="10"/>
  <c r="D50" i="10"/>
  <c r="C50" i="10"/>
  <c r="B50" i="10"/>
  <c r="D49" i="10"/>
  <c r="C49" i="10"/>
  <c r="B49" i="10"/>
  <c r="O48" i="10"/>
  <c r="D48" i="10"/>
  <c r="C48" i="10"/>
  <c r="B48" i="10"/>
  <c r="O47" i="10"/>
  <c r="D47" i="10"/>
  <c r="C47" i="10"/>
  <c r="B47" i="10"/>
  <c r="O46" i="10"/>
  <c r="D46" i="10"/>
  <c r="C46" i="10"/>
  <c r="B46" i="10"/>
  <c r="O45" i="10"/>
  <c r="D45" i="10"/>
  <c r="C45" i="10"/>
  <c r="B45" i="10"/>
  <c r="O44" i="10"/>
  <c r="D44" i="10"/>
  <c r="C44" i="10"/>
  <c r="B44" i="10"/>
  <c r="O43" i="10"/>
  <c r="D43" i="10"/>
  <c r="C43" i="10"/>
  <c r="B43" i="10"/>
  <c r="O42" i="10"/>
  <c r="D42" i="10"/>
  <c r="C42" i="10"/>
  <c r="B42" i="10"/>
  <c r="O41" i="10"/>
  <c r="D41" i="10"/>
  <c r="C41" i="10"/>
  <c r="B41" i="10"/>
  <c r="O40" i="10"/>
  <c r="D40" i="10"/>
  <c r="C40" i="10"/>
  <c r="B40" i="10"/>
  <c r="O39" i="10"/>
  <c r="D39" i="10"/>
  <c r="C39" i="10"/>
  <c r="B39" i="10"/>
  <c r="O38" i="10"/>
  <c r="D38" i="10"/>
  <c r="C38" i="10"/>
  <c r="B38" i="10"/>
  <c r="O37" i="10"/>
  <c r="D37" i="10"/>
  <c r="C37" i="10"/>
  <c r="B37" i="10"/>
  <c r="O36" i="10"/>
  <c r="D36" i="10"/>
  <c r="C36" i="10"/>
  <c r="B36" i="10"/>
  <c r="O35" i="10"/>
  <c r="D35" i="10"/>
  <c r="C35" i="10"/>
  <c r="B35" i="10"/>
  <c r="V34" i="10"/>
  <c r="U34" i="10"/>
  <c r="T34" i="10"/>
  <c r="S34" i="10"/>
  <c r="R34" i="10"/>
  <c r="Q34" i="10"/>
  <c r="O34" i="10"/>
  <c r="D34" i="10"/>
  <c r="C34" i="10"/>
  <c r="B34" i="10"/>
  <c r="V33" i="10"/>
  <c r="U33" i="10"/>
  <c r="T33" i="10"/>
  <c r="S33" i="10"/>
  <c r="R33" i="10"/>
  <c r="Q33" i="10"/>
  <c r="O33" i="10"/>
  <c r="D33" i="10"/>
  <c r="C33" i="10"/>
  <c r="B33" i="10"/>
  <c r="V32" i="10"/>
  <c r="U32" i="10"/>
  <c r="T32" i="10"/>
  <c r="S32" i="10"/>
  <c r="R32" i="10"/>
  <c r="Q32" i="10"/>
  <c r="O32" i="10"/>
  <c r="D32" i="10"/>
  <c r="C32" i="10"/>
  <c r="B32" i="10"/>
  <c r="Y31" i="10"/>
  <c r="X31" i="10"/>
  <c r="V31" i="10"/>
  <c r="U31" i="10"/>
  <c r="T31" i="10"/>
  <c r="S31" i="10"/>
  <c r="R31" i="10"/>
  <c r="O31" i="10"/>
  <c r="D31" i="10"/>
  <c r="C31" i="10"/>
  <c r="G169" i="20" l="1"/>
  <c r="S32" i="20"/>
  <c r="T41" i="20" s="1"/>
  <c r="U50" i="20" s="1"/>
  <c r="U53" i="20" s="1"/>
  <c r="U177" i="20" s="1"/>
  <c r="I33" i="20"/>
  <c r="J42" i="20" s="1"/>
  <c r="K51" i="20" s="1"/>
  <c r="L60" i="20" s="1"/>
  <c r="M69" i="20" s="1"/>
  <c r="N78" i="20" s="1"/>
  <c r="O87" i="20" s="1"/>
  <c r="P96" i="20" s="1"/>
  <c r="Q105" i="20" s="1"/>
  <c r="R114" i="20" s="1"/>
  <c r="S123" i="20" s="1"/>
  <c r="T132" i="20" s="1"/>
  <c r="U141" i="20" s="1"/>
  <c r="H34" i="20"/>
  <c r="I43" i="20" s="1"/>
  <c r="J52" i="20" s="1"/>
  <c r="K61" i="20" s="1"/>
  <c r="L70" i="20" s="1"/>
  <c r="M79" i="20" s="1"/>
  <c r="N88" i="20" s="1"/>
  <c r="O97" i="20" s="1"/>
  <c r="P106" i="20" s="1"/>
  <c r="Q115" i="20" s="1"/>
  <c r="R124" i="20" s="1"/>
  <c r="S133" i="20" s="1"/>
  <c r="T142" i="20" s="1"/>
  <c r="U151" i="20" s="1"/>
  <c r="E30" i="20"/>
  <c r="F39" i="20" s="1"/>
  <c r="G48" i="20" s="1"/>
  <c r="H57" i="20" s="1"/>
  <c r="I66" i="20" s="1"/>
  <c r="J75" i="20" s="1"/>
  <c r="K84" i="20" s="1"/>
  <c r="L93" i="20" s="1"/>
  <c r="M102" i="20" s="1"/>
  <c r="N111" i="20" s="1"/>
  <c r="O120" i="20" s="1"/>
  <c r="P129" i="20" s="1"/>
  <c r="Q138" i="20" s="1"/>
  <c r="R147" i="20" s="1"/>
  <c r="S156" i="20" s="1"/>
  <c r="X74" i="5"/>
  <c r="G47" i="20"/>
  <c r="G165" i="20" s="1"/>
  <c r="X80" i="5"/>
  <c r="H169" i="20"/>
  <c r="X68" i="5"/>
  <c r="R168" i="20"/>
  <c r="G170" i="20"/>
  <c r="D166" i="20"/>
  <c r="I24" i="20"/>
  <c r="X98" i="19"/>
  <c r="J79" i="19"/>
  <c r="I77" i="19"/>
  <c r="X106" i="19"/>
  <c r="X97" i="19"/>
  <c r="X102" i="19"/>
  <c r="X105" i="19"/>
  <c r="X103" i="19"/>
  <c r="W93" i="19"/>
  <c r="D12" i="22"/>
  <c r="E12" i="20" s="1"/>
  <c r="H69" i="19"/>
  <c r="X99" i="19"/>
  <c r="S23" i="20"/>
  <c r="E34" i="19"/>
  <c r="X95" i="19"/>
  <c r="X32" i="19"/>
  <c r="T5" i="22" s="1"/>
  <c r="U14" i="21" s="1"/>
  <c r="X7" i="19"/>
  <c r="R14" i="22"/>
  <c r="S14" i="20" s="1"/>
  <c r="V69" i="19"/>
  <c r="H25" i="20"/>
  <c r="X96" i="19"/>
  <c r="X104" i="19"/>
  <c r="E21" i="20"/>
  <c r="Z59" i="10"/>
  <c r="Z58" i="10"/>
  <c r="E90" i="19"/>
  <c r="K111" i="19"/>
  <c r="G16" i="22" s="1"/>
  <c r="H16" i="20" s="1"/>
  <c r="L113" i="19"/>
  <c r="L111" i="19" s="1"/>
  <c r="L108" i="19"/>
  <c r="H15" i="22" s="1"/>
  <c r="I15" i="20" s="1"/>
  <c r="I169" i="20" s="1"/>
  <c r="M109" i="19"/>
  <c r="I34" i="20" l="1"/>
  <c r="J43" i="20" s="1"/>
  <c r="K52" i="20" s="1"/>
  <c r="L61" i="20" s="1"/>
  <c r="M70" i="20" s="1"/>
  <c r="N79" i="20" s="1"/>
  <c r="O88" i="20" s="1"/>
  <c r="P97" i="20" s="1"/>
  <c r="Q106" i="20" s="1"/>
  <c r="R115" i="20" s="1"/>
  <c r="S124" i="20" s="1"/>
  <c r="T133" i="20" s="1"/>
  <c r="U142" i="20" s="1"/>
  <c r="T32" i="20"/>
  <c r="U41" i="20" s="1"/>
  <c r="U44" i="20" s="1"/>
  <c r="F30" i="20"/>
  <c r="G39" i="20" s="1"/>
  <c r="H48" i="20" s="1"/>
  <c r="I57" i="20" s="1"/>
  <c r="J66" i="20" s="1"/>
  <c r="K75" i="20" s="1"/>
  <c r="L84" i="20" s="1"/>
  <c r="M93" i="20" s="1"/>
  <c r="N102" i="20" s="1"/>
  <c r="O111" i="20" s="1"/>
  <c r="P120" i="20" s="1"/>
  <c r="Q129" i="20" s="1"/>
  <c r="R138" i="20" s="1"/>
  <c r="S147" i="20" s="1"/>
  <c r="T156" i="20" s="1"/>
  <c r="J33" i="20"/>
  <c r="K42" i="20" s="1"/>
  <c r="L51" i="20" s="1"/>
  <c r="M60" i="20" s="1"/>
  <c r="N69" i="20" s="1"/>
  <c r="O78" i="20" s="1"/>
  <c r="P87" i="20" s="1"/>
  <c r="Q96" i="20" s="1"/>
  <c r="R105" i="20" s="1"/>
  <c r="S114" i="20" s="1"/>
  <c r="T123" i="20" s="1"/>
  <c r="U132" i="20" s="1"/>
  <c r="H56" i="20"/>
  <c r="H165" i="20" s="1"/>
  <c r="H170" i="20"/>
  <c r="S168" i="20"/>
  <c r="E166" i="20"/>
  <c r="E37" i="19"/>
  <c r="E43" i="19"/>
  <c r="T23" i="20"/>
  <c r="U32" i="20" s="1"/>
  <c r="F21" i="20"/>
  <c r="I25" i="20"/>
  <c r="E44" i="19"/>
  <c r="E41" i="19"/>
  <c r="E45" i="19"/>
  <c r="W69" i="19"/>
  <c r="S14" i="22"/>
  <c r="T14" i="20" s="1"/>
  <c r="J24" i="20"/>
  <c r="E35" i="19"/>
  <c r="E42" i="19"/>
  <c r="E36" i="19"/>
  <c r="E7" i="19"/>
  <c r="E38" i="19"/>
  <c r="J77" i="19"/>
  <c r="K79" i="19"/>
  <c r="X93" i="19"/>
  <c r="E12" i="22"/>
  <c r="F12" i="20" s="1"/>
  <c r="I69" i="19"/>
  <c r="E111" i="19"/>
  <c r="H16" i="22"/>
  <c r="I16" i="20" s="1"/>
  <c r="M108" i="19"/>
  <c r="I15" i="22" s="1"/>
  <c r="J15" i="20" s="1"/>
  <c r="C44" i="5"/>
  <c r="D44" i="5"/>
  <c r="E44" i="5"/>
  <c r="C23" i="5"/>
  <c r="D23" i="5"/>
  <c r="E23" i="5"/>
  <c r="AF111" i="9"/>
  <c r="Q111" i="9"/>
  <c r="AF110" i="9"/>
  <c r="Q110" i="9"/>
  <c r="AF109" i="9"/>
  <c r="Q109" i="9"/>
  <c r="AF108" i="9"/>
  <c r="Q108" i="9"/>
  <c r="AF107" i="9"/>
  <c r="Q107" i="9"/>
  <c r="AF106" i="9"/>
  <c r="Q106" i="9"/>
  <c r="AF105" i="9"/>
  <c r="Q105" i="9"/>
  <c r="AF104" i="9"/>
  <c r="Q104" i="9"/>
  <c r="AF103" i="9"/>
  <c r="Q103" i="9"/>
  <c r="AF102" i="9"/>
  <c r="Q102" i="9"/>
  <c r="AF101" i="9"/>
  <c r="Q101" i="9"/>
  <c r="AF100" i="9"/>
  <c r="Q100" i="9"/>
  <c r="AF99" i="9"/>
  <c r="Q99" i="9"/>
  <c r="AF98" i="9"/>
  <c r="Q98" i="9"/>
  <c r="AF97" i="9"/>
  <c r="Q97" i="9"/>
  <c r="AF96" i="9"/>
  <c r="Q96" i="9"/>
  <c r="AF95" i="9"/>
  <c r="Q95" i="9"/>
  <c r="AF94" i="9"/>
  <c r="Q94" i="9"/>
  <c r="AF93" i="9"/>
  <c r="Q93" i="9"/>
  <c r="AF92" i="9"/>
  <c r="AA92" i="9"/>
  <c r="Z92" i="9"/>
  <c r="Y92" i="9"/>
  <c r="X92" i="9"/>
  <c r="W92" i="9"/>
  <c r="V92" i="9"/>
  <c r="Q92" i="9"/>
  <c r="S92" i="9" s="1"/>
  <c r="I63" i="7" s="1"/>
  <c r="AF91" i="9"/>
  <c r="AA91" i="9"/>
  <c r="Z91" i="9"/>
  <c r="Y91" i="9"/>
  <c r="X91" i="9"/>
  <c r="W91" i="9"/>
  <c r="V91" i="9"/>
  <c r="Q91" i="9"/>
  <c r="S91" i="9" s="1"/>
  <c r="I62" i="7" s="1"/>
  <c r="AF90" i="9"/>
  <c r="AA90" i="9"/>
  <c r="Z90" i="9"/>
  <c r="Y90" i="9"/>
  <c r="X90" i="9"/>
  <c r="W90" i="9"/>
  <c r="V90" i="9"/>
  <c r="Q90" i="9"/>
  <c r="S90" i="9" s="1"/>
  <c r="I61" i="7" s="1"/>
  <c r="AF89" i="9"/>
  <c r="AA89" i="9"/>
  <c r="Z89" i="9"/>
  <c r="Y89" i="9"/>
  <c r="X89" i="9"/>
  <c r="W89" i="9"/>
  <c r="V89" i="9"/>
  <c r="Q89" i="9"/>
  <c r="S89" i="9" s="1"/>
  <c r="I60" i="7" s="1"/>
  <c r="AF83" i="9"/>
  <c r="AE83" i="9"/>
  <c r="Q83" i="9"/>
  <c r="AF82" i="9"/>
  <c r="AE82" i="9"/>
  <c r="Q82" i="9"/>
  <c r="AF81" i="9"/>
  <c r="AE81" i="9"/>
  <c r="Q81" i="9"/>
  <c r="AF80" i="9"/>
  <c r="AE80" i="9"/>
  <c r="Q80" i="9"/>
  <c r="AF79" i="9"/>
  <c r="AE79" i="9"/>
  <c r="Q79" i="9"/>
  <c r="AF78" i="9"/>
  <c r="AE78" i="9"/>
  <c r="Q78" i="9"/>
  <c r="AF77" i="9"/>
  <c r="AE77" i="9"/>
  <c r="Q77" i="9"/>
  <c r="AF76" i="9"/>
  <c r="AE76" i="9"/>
  <c r="Q76" i="9"/>
  <c r="AF75" i="9"/>
  <c r="AE75" i="9"/>
  <c r="Q75" i="9"/>
  <c r="AF74" i="9"/>
  <c r="AE74" i="9"/>
  <c r="Q74" i="9"/>
  <c r="AF73" i="9"/>
  <c r="AE73" i="9"/>
  <c r="Q73" i="9"/>
  <c r="AF72" i="9"/>
  <c r="AE72" i="9"/>
  <c r="Q72" i="9"/>
  <c r="AF71" i="9"/>
  <c r="AE71" i="9"/>
  <c r="Q71" i="9"/>
  <c r="AF70" i="9"/>
  <c r="AE70" i="9"/>
  <c r="Q70" i="9"/>
  <c r="AF69" i="9"/>
  <c r="AE69" i="9"/>
  <c r="Q69" i="9"/>
  <c r="AF68" i="9"/>
  <c r="AE68" i="9"/>
  <c r="Q68" i="9"/>
  <c r="AF67" i="9"/>
  <c r="AE67" i="9"/>
  <c r="Q67" i="9"/>
  <c r="AF66" i="9"/>
  <c r="AE66" i="9"/>
  <c r="Q66" i="9"/>
  <c r="AF65" i="9"/>
  <c r="AE65" i="9"/>
  <c r="Q65" i="9"/>
  <c r="AF64" i="9"/>
  <c r="AA64" i="9"/>
  <c r="Z64" i="9"/>
  <c r="Y64" i="9"/>
  <c r="X64" i="9"/>
  <c r="W64" i="9"/>
  <c r="V64" i="9"/>
  <c r="Q64" i="9"/>
  <c r="S64" i="9" s="1"/>
  <c r="G63" i="7" s="1"/>
  <c r="AF63" i="9"/>
  <c r="AA63" i="9"/>
  <c r="Z63" i="9"/>
  <c r="Y63" i="9"/>
  <c r="X63" i="9"/>
  <c r="W63" i="9"/>
  <c r="V63" i="9"/>
  <c r="Q63" i="9"/>
  <c r="S63" i="9" s="1"/>
  <c r="G62" i="7" s="1"/>
  <c r="AF62" i="9"/>
  <c r="AA62" i="9"/>
  <c r="Z62" i="9"/>
  <c r="Y62" i="9"/>
  <c r="X62" i="9"/>
  <c r="W62" i="9"/>
  <c r="V62" i="9"/>
  <c r="Q62" i="9"/>
  <c r="S62" i="9" s="1"/>
  <c r="G61" i="7" s="1"/>
  <c r="AF61" i="9"/>
  <c r="AA61" i="9"/>
  <c r="Z61" i="9"/>
  <c r="Y61" i="9"/>
  <c r="X61" i="9"/>
  <c r="W61" i="9"/>
  <c r="V61" i="9"/>
  <c r="Q61" i="9"/>
  <c r="S61" i="9" s="1"/>
  <c r="G60" i="7" s="1"/>
  <c r="AF55" i="9"/>
  <c r="AE55" i="9"/>
  <c r="Q55" i="9"/>
  <c r="AF54" i="9"/>
  <c r="AE54" i="9"/>
  <c r="Q54" i="9"/>
  <c r="AF53" i="9"/>
  <c r="AE53" i="9"/>
  <c r="Q53" i="9"/>
  <c r="AF52" i="9"/>
  <c r="AE52" i="9"/>
  <c r="Q52" i="9"/>
  <c r="AF51" i="9"/>
  <c r="AE51" i="9"/>
  <c r="Q51" i="9"/>
  <c r="AF50" i="9"/>
  <c r="AE50" i="9"/>
  <c r="Q50" i="9"/>
  <c r="AF49" i="9"/>
  <c r="AE49" i="9"/>
  <c r="Q49" i="9"/>
  <c r="AF48" i="9"/>
  <c r="AE48" i="9"/>
  <c r="Q48" i="9"/>
  <c r="AF47" i="9"/>
  <c r="AE47" i="9"/>
  <c r="Q47" i="9"/>
  <c r="AF46" i="9"/>
  <c r="AE46" i="9"/>
  <c r="Q46" i="9"/>
  <c r="AF45" i="9"/>
  <c r="AE45" i="9"/>
  <c r="Q45" i="9"/>
  <c r="AF44" i="9"/>
  <c r="AE44" i="9"/>
  <c r="Q44" i="9"/>
  <c r="AF43" i="9"/>
  <c r="AE43" i="9"/>
  <c r="Q43" i="9"/>
  <c r="AF42" i="9"/>
  <c r="AE42" i="9"/>
  <c r="Q42" i="9"/>
  <c r="AF41" i="9"/>
  <c r="AE41" i="9"/>
  <c r="Q41" i="9"/>
  <c r="AF40" i="9"/>
  <c r="AE40" i="9"/>
  <c r="Q40" i="9"/>
  <c r="AF39" i="9"/>
  <c r="AE39" i="9"/>
  <c r="Q39" i="9"/>
  <c r="AF38" i="9"/>
  <c r="AE38" i="9"/>
  <c r="Q38" i="9"/>
  <c r="AF37" i="9"/>
  <c r="AE37" i="9"/>
  <c r="Q37" i="9"/>
  <c r="AF36" i="9"/>
  <c r="AA36" i="9"/>
  <c r="Z36" i="9"/>
  <c r="Y36" i="9"/>
  <c r="X36" i="9"/>
  <c r="W36" i="9"/>
  <c r="V36" i="9"/>
  <c r="Q36" i="9"/>
  <c r="S36" i="9" s="1"/>
  <c r="E63" i="7" s="1"/>
  <c r="AF35" i="9"/>
  <c r="AA35" i="9"/>
  <c r="Z35" i="9"/>
  <c r="Y35" i="9"/>
  <c r="X35" i="9"/>
  <c r="W35" i="9"/>
  <c r="V35" i="9"/>
  <c r="Q35" i="9"/>
  <c r="S35" i="9" s="1"/>
  <c r="E62" i="7" s="1"/>
  <c r="AF34" i="9"/>
  <c r="AA34" i="9"/>
  <c r="Z34" i="9"/>
  <c r="Y34" i="9"/>
  <c r="X34" i="9"/>
  <c r="W34" i="9"/>
  <c r="V34" i="9"/>
  <c r="Q34" i="9"/>
  <c r="S34" i="9" s="1"/>
  <c r="E61" i="7" s="1"/>
  <c r="AF33" i="9"/>
  <c r="AA33" i="9"/>
  <c r="Z33" i="9"/>
  <c r="Y33" i="9"/>
  <c r="X33" i="9"/>
  <c r="W33" i="9"/>
  <c r="V33" i="9"/>
  <c r="Q33" i="9"/>
  <c r="I65" i="20" l="1"/>
  <c r="I165" i="20" s="1"/>
  <c r="K33" i="20"/>
  <c r="L42" i="20" s="1"/>
  <c r="M51" i="20" s="1"/>
  <c r="N60" i="20" s="1"/>
  <c r="O69" i="20" s="1"/>
  <c r="P78" i="20" s="1"/>
  <c r="Q87" i="20" s="1"/>
  <c r="R96" i="20" s="1"/>
  <c r="S105" i="20" s="1"/>
  <c r="T114" i="20" s="1"/>
  <c r="U123" i="20" s="1"/>
  <c r="G30" i="20"/>
  <c r="H39" i="20" s="1"/>
  <c r="I48" i="20" s="1"/>
  <c r="J57" i="20" s="1"/>
  <c r="K66" i="20" s="1"/>
  <c r="L75" i="20" s="1"/>
  <c r="M84" i="20" s="1"/>
  <c r="N93" i="20" s="1"/>
  <c r="O102" i="20" s="1"/>
  <c r="P111" i="20" s="1"/>
  <c r="Q120" i="20" s="1"/>
  <c r="R129" i="20" s="1"/>
  <c r="S138" i="20" s="1"/>
  <c r="T147" i="20" s="1"/>
  <c r="U156" i="20" s="1"/>
  <c r="U161" i="20" s="1"/>
  <c r="U183" i="20" s="1"/>
  <c r="J34" i="20"/>
  <c r="K43" i="20" s="1"/>
  <c r="L52" i="20" s="1"/>
  <c r="M61" i="20" s="1"/>
  <c r="N70" i="20" s="1"/>
  <c r="O79" i="20" s="1"/>
  <c r="P88" i="20" s="1"/>
  <c r="Q97" i="20" s="1"/>
  <c r="R106" i="20" s="1"/>
  <c r="S115" i="20" s="1"/>
  <c r="T124" i="20" s="1"/>
  <c r="U133" i="20" s="1"/>
  <c r="J62" i="7"/>
  <c r="R33" i="9"/>
  <c r="U33" i="9" s="1"/>
  <c r="S33" i="9"/>
  <c r="E60" i="7" s="1"/>
  <c r="T168" i="20"/>
  <c r="R35" i="9"/>
  <c r="R90" i="9"/>
  <c r="R62" i="9"/>
  <c r="R34" i="9"/>
  <c r="R91" i="9"/>
  <c r="R92" i="9"/>
  <c r="R63" i="9"/>
  <c r="R64" i="9"/>
  <c r="R36" i="9"/>
  <c r="R89" i="9"/>
  <c r="R61" i="9"/>
  <c r="F166" i="20"/>
  <c r="I170" i="20"/>
  <c r="J169" i="20"/>
  <c r="E6" i="19"/>
  <c r="E8" i="19"/>
  <c r="K24" i="20"/>
  <c r="U35" i="20"/>
  <c r="U176" i="20" s="1"/>
  <c r="F12" i="22"/>
  <c r="G12" i="20" s="1"/>
  <c r="J69" i="19"/>
  <c r="J25" i="20"/>
  <c r="U23" i="20"/>
  <c r="E93" i="19"/>
  <c r="X69" i="19"/>
  <c r="T14" i="22"/>
  <c r="U14" i="20" s="1"/>
  <c r="G21" i="20"/>
  <c r="L79" i="19"/>
  <c r="L77" i="19" s="1"/>
  <c r="K77" i="19"/>
  <c r="M69" i="19"/>
  <c r="E108" i="19"/>
  <c r="B3" i="5"/>
  <c r="J74" i="20" l="1"/>
  <c r="J165" i="20" s="1"/>
  <c r="J170" i="20"/>
  <c r="K34" i="20"/>
  <c r="K170" i="20" s="1"/>
  <c r="H30" i="20"/>
  <c r="I39" i="20" s="1"/>
  <c r="J48" i="20" s="1"/>
  <c r="K57" i="20" s="1"/>
  <c r="L66" i="20" s="1"/>
  <c r="M75" i="20" s="1"/>
  <c r="N84" i="20" s="1"/>
  <c r="O93" i="20" s="1"/>
  <c r="P102" i="20" s="1"/>
  <c r="Q111" i="20" s="1"/>
  <c r="R120" i="20" s="1"/>
  <c r="S129" i="20" s="1"/>
  <c r="T138" i="20" s="1"/>
  <c r="U147" i="20" s="1"/>
  <c r="U152" i="20" s="1"/>
  <c r="K169" i="20"/>
  <c r="L33" i="20"/>
  <c r="L169" i="20" s="1"/>
  <c r="G166" i="20"/>
  <c r="U34" i="9"/>
  <c r="U92" i="9"/>
  <c r="U89" i="9"/>
  <c r="U64" i="9"/>
  <c r="U91" i="9"/>
  <c r="U35" i="9"/>
  <c r="U168" i="20"/>
  <c r="U61" i="9"/>
  <c r="U36" i="9"/>
  <c r="U63" i="9"/>
  <c r="U62" i="9"/>
  <c r="U90" i="9"/>
  <c r="E77" i="19"/>
  <c r="E67" i="19" s="1"/>
  <c r="G12" i="22"/>
  <c r="H12" i="20" s="1"/>
  <c r="K69" i="19"/>
  <c r="H21" i="20"/>
  <c r="H12" i="22"/>
  <c r="I12" i="20" s="1"/>
  <c r="K83" i="20"/>
  <c r="K165" i="20" s="1"/>
  <c r="L69" i="19"/>
  <c r="U17" i="20"/>
  <c r="U26" i="20"/>
  <c r="B24" i="2"/>
  <c r="B3" i="2"/>
  <c r="I30" i="20" l="1"/>
  <c r="J39" i="20" s="1"/>
  <c r="K48" i="20" s="1"/>
  <c r="L57" i="20" s="1"/>
  <c r="M66" i="20" s="1"/>
  <c r="N75" i="20" s="1"/>
  <c r="O84" i="20" s="1"/>
  <c r="P93" i="20" s="1"/>
  <c r="Q102" i="20" s="1"/>
  <c r="R111" i="20" s="1"/>
  <c r="S120" i="20" s="1"/>
  <c r="T129" i="20" s="1"/>
  <c r="U138" i="20" s="1"/>
  <c r="U143" i="20" s="1"/>
  <c r="U182" i="20" s="1"/>
  <c r="H166" i="20"/>
  <c r="E69" i="19"/>
  <c r="L92" i="20"/>
  <c r="L165" i="20" s="1"/>
  <c r="J21" i="20"/>
  <c r="K30" i="20" s="1"/>
  <c r="I21" i="20"/>
  <c r="M42" i="20"/>
  <c r="M169" i="20" s="1"/>
  <c r="U175" i="20"/>
  <c r="L43" i="20"/>
  <c r="L170" i="20" s="1"/>
  <c r="X59" i="2"/>
  <c r="Y59" i="2" s="1"/>
  <c r="Z59" i="2" s="1"/>
  <c r="W58" i="2"/>
  <c r="X58" i="2" s="1"/>
  <c r="Y58" i="2" s="1"/>
  <c r="Z58" i="2" s="1"/>
  <c r="V57" i="2"/>
  <c r="W57" i="2" s="1"/>
  <c r="X57" i="2" s="1"/>
  <c r="Y57" i="2" s="1"/>
  <c r="Z57" i="2" s="1"/>
  <c r="U56" i="2"/>
  <c r="V56" i="2" s="1"/>
  <c r="W56" i="2" s="1"/>
  <c r="X56" i="2" s="1"/>
  <c r="Y56" i="2" s="1"/>
  <c r="Z56" i="2" s="1"/>
  <c r="T55" i="2"/>
  <c r="U55" i="2" s="1"/>
  <c r="V55" i="2" s="1"/>
  <c r="W55" i="2" s="1"/>
  <c r="X55" i="2" s="1"/>
  <c r="Y55" i="2" s="1"/>
  <c r="Z55" i="2" s="1"/>
  <c r="S54" i="2"/>
  <c r="T54" i="2" s="1"/>
  <c r="U54" i="2" s="1"/>
  <c r="V54" i="2" s="1"/>
  <c r="W54" i="2" s="1"/>
  <c r="X54" i="2" s="1"/>
  <c r="Y54" i="2" s="1"/>
  <c r="Z54" i="2" s="1"/>
  <c r="R53" i="2"/>
  <c r="S53" i="2" s="1"/>
  <c r="T53" i="2" s="1"/>
  <c r="U53" i="2" s="1"/>
  <c r="V53" i="2" s="1"/>
  <c r="W53" i="2" s="1"/>
  <c r="X53" i="2" s="1"/>
  <c r="Y53" i="2" s="1"/>
  <c r="Z53" i="2" s="1"/>
  <c r="Q52" i="2"/>
  <c r="R52" i="2" s="1"/>
  <c r="S52" i="2" s="1"/>
  <c r="T52" i="2" s="1"/>
  <c r="U52" i="2" s="1"/>
  <c r="V52" i="2" s="1"/>
  <c r="W52" i="2" s="1"/>
  <c r="X52" i="2" s="1"/>
  <c r="Y52" i="2" s="1"/>
  <c r="Z52" i="2" s="1"/>
  <c r="P51" i="2"/>
  <c r="Q51" i="2" s="1"/>
  <c r="R51" i="2" s="1"/>
  <c r="S51" i="2" s="1"/>
  <c r="T51" i="2" s="1"/>
  <c r="U51" i="2" s="1"/>
  <c r="V51" i="2" s="1"/>
  <c r="W51" i="2" s="1"/>
  <c r="X51" i="2" s="1"/>
  <c r="Y51" i="2" s="1"/>
  <c r="Z51" i="2" s="1"/>
  <c r="O50" i="2"/>
  <c r="P50" i="2" s="1"/>
  <c r="Q50" i="2" s="1"/>
  <c r="R50" i="2" s="1"/>
  <c r="S50" i="2" s="1"/>
  <c r="T50" i="2" s="1"/>
  <c r="U50" i="2" s="1"/>
  <c r="V50" i="2" s="1"/>
  <c r="W50" i="2" s="1"/>
  <c r="X50" i="2" s="1"/>
  <c r="Y50" i="2" s="1"/>
  <c r="Z50" i="2" s="1"/>
  <c r="N49" i="2"/>
  <c r="O49" i="2" s="1"/>
  <c r="P49" i="2" s="1"/>
  <c r="Q49" i="2" s="1"/>
  <c r="R49" i="2" s="1"/>
  <c r="S49" i="2" s="1"/>
  <c r="T49" i="2" s="1"/>
  <c r="U49" i="2" s="1"/>
  <c r="V49" i="2" s="1"/>
  <c r="W49" i="2" s="1"/>
  <c r="X49" i="2" s="1"/>
  <c r="Y49" i="2" s="1"/>
  <c r="Z49" i="2" s="1"/>
  <c r="M48" i="2"/>
  <c r="L47" i="2"/>
  <c r="M47" i="2" s="1"/>
  <c r="N47" i="2" s="1"/>
  <c r="O47" i="2" s="1"/>
  <c r="P47" i="2" s="1"/>
  <c r="Q47" i="2" s="1"/>
  <c r="R47" i="2" s="1"/>
  <c r="S47" i="2" s="1"/>
  <c r="T47" i="2" s="1"/>
  <c r="U47" i="2" s="1"/>
  <c r="V47" i="2" s="1"/>
  <c r="W47" i="2" s="1"/>
  <c r="X47" i="2" s="1"/>
  <c r="Y47" i="2" s="1"/>
  <c r="Z47" i="2" s="1"/>
  <c r="K46" i="2"/>
  <c r="J45" i="2"/>
  <c r="Y39" i="2"/>
  <c r="Z39" i="2" s="1"/>
  <c r="X38" i="2"/>
  <c r="Y38" i="2" s="1"/>
  <c r="Z38" i="2" s="1"/>
  <c r="W37" i="2"/>
  <c r="X37" i="2" s="1"/>
  <c r="Y37" i="2" s="1"/>
  <c r="Z37" i="2" s="1"/>
  <c r="V36" i="2"/>
  <c r="W36" i="2" s="1"/>
  <c r="X36" i="2" s="1"/>
  <c r="Y36" i="2" s="1"/>
  <c r="Z36" i="2" s="1"/>
  <c r="U35" i="2"/>
  <c r="V35" i="2" s="1"/>
  <c r="W35" i="2" s="1"/>
  <c r="X35" i="2" s="1"/>
  <c r="Y35" i="2" s="1"/>
  <c r="Z35" i="2" s="1"/>
  <c r="T34" i="2"/>
  <c r="U34" i="2" s="1"/>
  <c r="V34" i="2" s="1"/>
  <c r="W34" i="2" s="1"/>
  <c r="X34" i="2" s="1"/>
  <c r="Y34" i="2" s="1"/>
  <c r="Z34" i="2" s="1"/>
  <c r="S33" i="2"/>
  <c r="T33" i="2" s="1"/>
  <c r="U33" i="2" s="1"/>
  <c r="V33" i="2" s="1"/>
  <c r="W33" i="2" s="1"/>
  <c r="X33" i="2" s="1"/>
  <c r="Y33" i="2" s="1"/>
  <c r="Z33" i="2" s="1"/>
  <c r="R32" i="2"/>
  <c r="S32" i="2" s="1"/>
  <c r="T32" i="2" s="1"/>
  <c r="U32" i="2" s="1"/>
  <c r="V32" i="2" s="1"/>
  <c r="W32" i="2" s="1"/>
  <c r="X32" i="2" s="1"/>
  <c r="Y32" i="2" s="1"/>
  <c r="Z32" i="2" s="1"/>
  <c r="Q31" i="2"/>
  <c r="R31" i="2" s="1"/>
  <c r="S31" i="2" s="1"/>
  <c r="T31" i="2" s="1"/>
  <c r="U31" i="2" s="1"/>
  <c r="V31" i="2" s="1"/>
  <c r="W31" i="2" s="1"/>
  <c r="X31" i="2" s="1"/>
  <c r="Y31" i="2" s="1"/>
  <c r="Z31" i="2" s="1"/>
  <c r="P30" i="2"/>
  <c r="Q30" i="2" s="1"/>
  <c r="R30" i="2" s="1"/>
  <c r="S30" i="2" s="1"/>
  <c r="T30" i="2" s="1"/>
  <c r="U30" i="2" s="1"/>
  <c r="V30" i="2" s="1"/>
  <c r="W30" i="2" s="1"/>
  <c r="X30" i="2" s="1"/>
  <c r="Y30" i="2" s="1"/>
  <c r="Z30" i="2" s="1"/>
  <c r="O29" i="2"/>
  <c r="P29" i="2" s="1"/>
  <c r="Q29" i="2" s="1"/>
  <c r="R29" i="2" s="1"/>
  <c r="S29" i="2" s="1"/>
  <c r="T29" i="2" s="1"/>
  <c r="U29" i="2" s="1"/>
  <c r="V29" i="2" s="1"/>
  <c r="W29" i="2" s="1"/>
  <c r="X29" i="2" s="1"/>
  <c r="Y29" i="2" s="1"/>
  <c r="Z29" i="2" s="1"/>
  <c r="N28" i="2"/>
  <c r="O28" i="2" s="1"/>
  <c r="P28" i="2" s="1"/>
  <c r="Q28" i="2" s="1"/>
  <c r="R28" i="2" s="1"/>
  <c r="S28" i="2" s="1"/>
  <c r="T28" i="2" s="1"/>
  <c r="U28" i="2" s="1"/>
  <c r="V28" i="2" s="1"/>
  <c r="W28" i="2" s="1"/>
  <c r="X28" i="2" s="1"/>
  <c r="Y28" i="2" s="1"/>
  <c r="Z28" i="2" s="1"/>
  <c r="M27" i="2"/>
  <c r="L26" i="2"/>
  <c r="M26" i="2" s="1"/>
  <c r="N26" i="2" s="1"/>
  <c r="O26" i="2" s="1"/>
  <c r="P26" i="2" s="1"/>
  <c r="Q26" i="2" s="1"/>
  <c r="R26" i="2" s="1"/>
  <c r="S26" i="2" s="1"/>
  <c r="T26" i="2" s="1"/>
  <c r="U26" i="2" s="1"/>
  <c r="V26" i="2" s="1"/>
  <c r="W26" i="2" s="1"/>
  <c r="X26" i="2" s="1"/>
  <c r="Y26" i="2" s="1"/>
  <c r="Z26" i="2" s="1"/>
  <c r="K25" i="2"/>
  <c r="K75" i="2" s="1"/>
  <c r="J24" i="2"/>
  <c r="J30" i="20" l="1"/>
  <c r="K39" i="20" s="1"/>
  <c r="N48" i="2"/>
  <c r="M82" i="2"/>
  <c r="M76" i="2"/>
  <c r="N27" i="2"/>
  <c r="M81" i="2"/>
  <c r="L46" i="2"/>
  <c r="L25" i="2"/>
  <c r="L75" i="2" s="1"/>
  <c r="J166" i="20"/>
  <c r="I166" i="20"/>
  <c r="J69" i="2"/>
  <c r="K45" i="2"/>
  <c r="J70" i="2"/>
  <c r="K24" i="2"/>
  <c r="N51" i="20"/>
  <c r="N169" i="20" s="1"/>
  <c r="M52" i="20"/>
  <c r="M170" i="20" s="1"/>
  <c r="M101" i="20"/>
  <c r="M165" i="20" s="1"/>
  <c r="X55" i="5"/>
  <c r="X56" i="5"/>
  <c r="X34" i="5"/>
  <c r="X35" i="5"/>
  <c r="X36" i="5"/>
  <c r="X49" i="5"/>
  <c r="X57" i="5"/>
  <c r="X47" i="5"/>
  <c r="X29" i="5"/>
  <c r="X37" i="5"/>
  <c r="X50" i="5"/>
  <c r="X58" i="5"/>
  <c r="X30" i="5"/>
  <c r="X38" i="5"/>
  <c r="X51" i="5"/>
  <c r="X59" i="5"/>
  <c r="X26" i="5"/>
  <c r="X28" i="5"/>
  <c r="X31" i="5"/>
  <c r="X39" i="5"/>
  <c r="X52" i="5"/>
  <c r="X32" i="5"/>
  <c r="X53" i="5"/>
  <c r="X33" i="5"/>
  <c r="X54" i="5"/>
  <c r="W80" i="1"/>
  <c r="W79" i="1"/>
  <c r="V79" i="1"/>
  <c r="W78" i="1"/>
  <c r="V78" i="1"/>
  <c r="U78" i="1"/>
  <c r="W77" i="1"/>
  <c r="V77" i="1"/>
  <c r="U77" i="1"/>
  <c r="T77" i="1"/>
  <c r="W76" i="1"/>
  <c r="V76" i="1"/>
  <c r="U76" i="1"/>
  <c r="T76" i="1"/>
  <c r="S76" i="1"/>
  <c r="W75" i="1"/>
  <c r="V75" i="1"/>
  <c r="U75" i="1"/>
  <c r="T75" i="1"/>
  <c r="S75" i="1"/>
  <c r="R75" i="1"/>
  <c r="W74" i="1"/>
  <c r="V74" i="1"/>
  <c r="U74" i="1"/>
  <c r="T74" i="1"/>
  <c r="S74" i="1"/>
  <c r="R74" i="1"/>
  <c r="Q74" i="1"/>
  <c r="W73" i="1"/>
  <c r="V73" i="1"/>
  <c r="U73" i="1"/>
  <c r="T73" i="1"/>
  <c r="S73" i="1"/>
  <c r="R73" i="1"/>
  <c r="Q73" i="1"/>
  <c r="P73" i="1"/>
  <c r="W72" i="1"/>
  <c r="V72" i="1"/>
  <c r="U72" i="1"/>
  <c r="T72" i="1"/>
  <c r="S72" i="1"/>
  <c r="R72" i="1"/>
  <c r="Q72" i="1"/>
  <c r="P72" i="1"/>
  <c r="O72" i="1"/>
  <c r="W71" i="1"/>
  <c r="V71" i="1"/>
  <c r="U71" i="1"/>
  <c r="T71" i="1"/>
  <c r="S71" i="1"/>
  <c r="R71" i="1"/>
  <c r="Q71" i="1"/>
  <c r="P71" i="1"/>
  <c r="O71" i="1"/>
  <c r="N71" i="1"/>
  <c r="W70" i="1"/>
  <c r="V70" i="1"/>
  <c r="U70" i="1"/>
  <c r="T70" i="1"/>
  <c r="S70" i="1"/>
  <c r="R70" i="1"/>
  <c r="Q70" i="1"/>
  <c r="P70" i="1"/>
  <c r="O70" i="1"/>
  <c r="N70" i="1"/>
  <c r="M70" i="1"/>
  <c r="W69" i="1"/>
  <c r="V69" i="1"/>
  <c r="U69" i="1"/>
  <c r="T69" i="1"/>
  <c r="S69" i="1"/>
  <c r="R69" i="1"/>
  <c r="Q69" i="1"/>
  <c r="P69" i="1"/>
  <c r="O69" i="1"/>
  <c r="N69" i="1"/>
  <c r="M69" i="1"/>
  <c r="L69" i="1"/>
  <c r="W68" i="1"/>
  <c r="V68" i="1"/>
  <c r="U68" i="1"/>
  <c r="T68" i="1"/>
  <c r="S68" i="1"/>
  <c r="R68" i="1"/>
  <c r="Q68" i="1"/>
  <c r="P68" i="1"/>
  <c r="O68" i="1"/>
  <c r="N68" i="1"/>
  <c r="M68" i="1"/>
  <c r="L68" i="1"/>
  <c r="K68" i="1"/>
  <c r="W67" i="1"/>
  <c r="V67" i="1"/>
  <c r="U67" i="1"/>
  <c r="T67" i="1"/>
  <c r="S67" i="1"/>
  <c r="R67" i="1"/>
  <c r="Q67" i="1"/>
  <c r="P67" i="1"/>
  <c r="O67" i="1"/>
  <c r="N67" i="1"/>
  <c r="M67" i="1"/>
  <c r="L67" i="1"/>
  <c r="K67" i="1"/>
  <c r="J67" i="1"/>
  <c r="W66" i="1"/>
  <c r="V66" i="1"/>
  <c r="U66" i="1"/>
  <c r="T66" i="1"/>
  <c r="S66" i="1"/>
  <c r="R66" i="1"/>
  <c r="Q66" i="1"/>
  <c r="P66" i="1"/>
  <c r="O66" i="1"/>
  <c r="N66" i="1"/>
  <c r="M66" i="1"/>
  <c r="L66" i="1"/>
  <c r="K66" i="1"/>
  <c r="J66" i="1"/>
  <c r="I66" i="1"/>
  <c r="W65" i="1"/>
  <c r="V65" i="1"/>
  <c r="U65" i="1"/>
  <c r="T65" i="1"/>
  <c r="S65" i="1"/>
  <c r="R65" i="1"/>
  <c r="Q65" i="1"/>
  <c r="P65" i="1"/>
  <c r="O65" i="1"/>
  <c r="N65" i="1"/>
  <c r="M65" i="1"/>
  <c r="L65" i="1"/>
  <c r="K65" i="1"/>
  <c r="J65" i="1"/>
  <c r="I65" i="1"/>
  <c r="H65" i="1"/>
  <c r="L48" i="20" l="1"/>
  <c r="M57" i="20" s="1"/>
  <c r="N66" i="20" s="1"/>
  <c r="O75" i="20" s="1"/>
  <c r="P84" i="20" s="1"/>
  <c r="Q93" i="20" s="1"/>
  <c r="R102" i="20" s="1"/>
  <c r="S111" i="20" s="1"/>
  <c r="T120" i="20" s="1"/>
  <c r="U129" i="20" s="1"/>
  <c r="U134" i="20" s="1"/>
  <c r="K166" i="20"/>
  <c r="O48" i="2"/>
  <c r="N82" i="2"/>
  <c r="N76" i="2"/>
  <c r="O27" i="2"/>
  <c r="N81" i="2"/>
  <c r="M46" i="2"/>
  <c r="M25" i="2"/>
  <c r="M75" i="2" s="1"/>
  <c r="K69" i="2"/>
  <c r="L45" i="2"/>
  <c r="K70" i="2"/>
  <c r="L24" i="2"/>
  <c r="N61" i="20"/>
  <c r="N170" i="20" s="1"/>
  <c r="L39" i="20"/>
  <c r="N110" i="20"/>
  <c r="N165" i="20" s="1"/>
  <c r="O60" i="20"/>
  <c r="O169" i="20" s="1"/>
  <c r="D73" i="5"/>
  <c r="E73" i="5" s="1"/>
  <c r="F73" i="5" s="1"/>
  <c r="G73" i="5" s="1"/>
  <c r="H73" i="5" s="1"/>
  <c r="I73" i="5" s="1"/>
  <c r="J73" i="5" s="1"/>
  <c r="K73" i="5" s="1"/>
  <c r="L73" i="5" s="1"/>
  <c r="M73" i="5" s="1"/>
  <c r="N73" i="5" s="1"/>
  <c r="O73" i="5" s="1"/>
  <c r="P73" i="5" s="1"/>
  <c r="Q73" i="5" s="1"/>
  <c r="R73" i="5" s="1"/>
  <c r="S73" i="5" s="1"/>
  <c r="T73" i="5" s="1"/>
  <c r="U73" i="5" s="1"/>
  <c r="V73" i="5" s="1"/>
  <c r="W73" i="5" s="1"/>
  <c r="X73" i="5" s="1"/>
  <c r="E132" i="7"/>
  <c r="E128" i="7"/>
  <c r="E123" i="7"/>
  <c r="E136" i="7"/>
  <c r="D136" i="7"/>
  <c r="E135" i="7"/>
  <c r="D135" i="7"/>
  <c r="E134" i="7"/>
  <c r="D134" i="7"/>
  <c r="E133" i="7"/>
  <c r="D133" i="7"/>
  <c r="E131" i="7"/>
  <c r="D131" i="7"/>
  <c r="E130" i="7"/>
  <c r="D130" i="7"/>
  <c r="E129" i="7"/>
  <c r="D129" i="7"/>
  <c r="D128" i="7"/>
  <c r="E127" i="7"/>
  <c r="D127" i="7"/>
  <c r="E126" i="7"/>
  <c r="D126" i="7"/>
  <c r="E125" i="7"/>
  <c r="D125" i="7"/>
  <c r="E124" i="7"/>
  <c r="D123" i="7"/>
  <c r="E122" i="7"/>
  <c r="D122" i="7"/>
  <c r="E121" i="7"/>
  <c r="D121" i="7"/>
  <c r="E120" i="7"/>
  <c r="D120" i="7"/>
  <c r="E119" i="7"/>
  <c r="D119" i="7"/>
  <c r="E118" i="7"/>
  <c r="E117" i="7"/>
  <c r="D117" i="7"/>
  <c r="E116" i="7"/>
  <c r="E115" i="7"/>
  <c r="E114" i="7"/>
  <c r="D114" i="7"/>
  <c r="W64" i="5"/>
  <c r="V64" i="5"/>
  <c r="U64" i="5"/>
  <c r="T64" i="5"/>
  <c r="S64" i="5"/>
  <c r="R64" i="5"/>
  <c r="Q64" i="5"/>
  <c r="P64" i="5"/>
  <c r="O64" i="5"/>
  <c r="N64" i="5"/>
  <c r="M64" i="5"/>
  <c r="L64" i="5"/>
  <c r="K64" i="5"/>
  <c r="J64" i="5"/>
  <c r="I64" i="5"/>
  <c r="H64" i="5"/>
  <c r="G64" i="5"/>
  <c r="F64" i="5"/>
  <c r="E64" i="5"/>
  <c r="D64" i="5"/>
  <c r="C64" i="5"/>
  <c r="W63" i="5"/>
  <c r="V63" i="5"/>
  <c r="U63" i="5"/>
  <c r="T63" i="5"/>
  <c r="S63" i="5"/>
  <c r="R63" i="5"/>
  <c r="Q63" i="5"/>
  <c r="P63" i="5"/>
  <c r="O63" i="5"/>
  <c r="N63" i="5"/>
  <c r="M63" i="5"/>
  <c r="L63" i="5"/>
  <c r="K63" i="5"/>
  <c r="J63" i="5"/>
  <c r="I63" i="5"/>
  <c r="H63" i="5"/>
  <c r="G63" i="5"/>
  <c r="F63" i="5"/>
  <c r="E63" i="5"/>
  <c r="D63" i="5"/>
  <c r="C63" i="5"/>
  <c r="W62" i="5"/>
  <c r="V62" i="5"/>
  <c r="U62" i="5"/>
  <c r="T62" i="5"/>
  <c r="S62" i="5"/>
  <c r="R62" i="5"/>
  <c r="Q62" i="5"/>
  <c r="P62" i="5"/>
  <c r="O62" i="5"/>
  <c r="N62" i="5"/>
  <c r="M62" i="5"/>
  <c r="L62" i="5"/>
  <c r="K62" i="5"/>
  <c r="J62" i="5"/>
  <c r="I62" i="5"/>
  <c r="H62" i="5"/>
  <c r="G62" i="5"/>
  <c r="F62" i="5"/>
  <c r="E62" i="5"/>
  <c r="D62" i="5"/>
  <c r="C62" i="5"/>
  <c r="V61" i="5"/>
  <c r="U61" i="5"/>
  <c r="T61" i="5"/>
  <c r="S61" i="5"/>
  <c r="R61" i="5"/>
  <c r="Q61" i="5"/>
  <c r="P61" i="5"/>
  <c r="O61" i="5"/>
  <c r="N61" i="5"/>
  <c r="M61" i="5"/>
  <c r="L61" i="5"/>
  <c r="K61" i="5"/>
  <c r="J61" i="5"/>
  <c r="I61" i="5"/>
  <c r="H61" i="5"/>
  <c r="G61" i="5"/>
  <c r="F61" i="5"/>
  <c r="E61" i="5"/>
  <c r="D61" i="5"/>
  <c r="C61" i="5"/>
  <c r="U60" i="5"/>
  <c r="T60" i="5"/>
  <c r="S60" i="5"/>
  <c r="R60" i="5"/>
  <c r="Q60" i="5"/>
  <c r="P60" i="5"/>
  <c r="O60" i="5"/>
  <c r="N60" i="5"/>
  <c r="M60" i="5"/>
  <c r="L60" i="5"/>
  <c r="K60" i="5"/>
  <c r="J60" i="5"/>
  <c r="I60" i="5"/>
  <c r="H60" i="5"/>
  <c r="G60" i="5"/>
  <c r="F60" i="5"/>
  <c r="E60" i="5"/>
  <c r="D60" i="5"/>
  <c r="C60" i="5"/>
  <c r="T59" i="5"/>
  <c r="S59" i="5"/>
  <c r="R59" i="5"/>
  <c r="Q59" i="5"/>
  <c r="P59" i="5"/>
  <c r="O59" i="5"/>
  <c r="N59" i="5"/>
  <c r="M59" i="5"/>
  <c r="L59" i="5"/>
  <c r="K59" i="5"/>
  <c r="J59" i="5"/>
  <c r="I59" i="5"/>
  <c r="H59" i="5"/>
  <c r="G59" i="5"/>
  <c r="F59" i="5"/>
  <c r="E59" i="5"/>
  <c r="D59" i="5"/>
  <c r="C59" i="5"/>
  <c r="S58" i="5"/>
  <c r="R58" i="5"/>
  <c r="Q58" i="5"/>
  <c r="P58" i="5"/>
  <c r="O58" i="5"/>
  <c r="N58" i="5"/>
  <c r="M58" i="5"/>
  <c r="L58" i="5"/>
  <c r="K58" i="5"/>
  <c r="J58" i="5"/>
  <c r="I58" i="5"/>
  <c r="H58" i="5"/>
  <c r="G58" i="5"/>
  <c r="F58" i="5"/>
  <c r="E58" i="5"/>
  <c r="D58" i="5"/>
  <c r="C58" i="5"/>
  <c r="R57" i="5"/>
  <c r="Q57" i="5"/>
  <c r="P57" i="5"/>
  <c r="O57" i="5"/>
  <c r="N57" i="5"/>
  <c r="M57" i="5"/>
  <c r="L57" i="5"/>
  <c r="K57" i="5"/>
  <c r="J57" i="5"/>
  <c r="I57" i="5"/>
  <c r="H57" i="5"/>
  <c r="G57" i="5"/>
  <c r="F57" i="5"/>
  <c r="E57" i="5"/>
  <c r="D57" i="5"/>
  <c r="C57" i="5"/>
  <c r="Q56" i="5"/>
  <c r="P56" i="5"/>
  <c r="O56" i="5"/>
  <c r="N56" i="5"/>
  <c r="M56" i="5"/>
  <c r="L56" i="5"/>
  <c r="K56" i="5"/>
  <c r="J56" i="5"/>
  <c r="I56" i="5"/>
  <c r="H56" i="5"/>
  <c r="G56" i="5"/>
  <c r="F56" i="5"/>
  <c r="E56" i="5"/>
  <c r="D56" i="5"/>
  <c r="C56" i="5"/>
  <c r="P55" i="5"/>
  <c r="O55" i="5"/>
  <c r="N55" i="5"/>
  <c r="M55" i="5"/>
  <c r="L55" i="5"/>
  <c r="K55" i="5"/>
  <c r="J55" i="5"/>
  <c r="I55" i="5"/>
  <c r="H55" i="5"/>
  <c r="G55" i="5"/>
  <c r="F55" i="5"/>
  <c r="E55" i="5"/>
  <c r="D55" i="5"/>
  <c r="C55" i="5"/>
  <c r="O54" i="5"/>
  <c r="N54" i="5"/>
  <c r="M54" i="5"/>
  <c r="L54" i="5"/>
  <c r="K54" i="5"/>
  <c r="J54" i="5"/>
  <c r="I54" i="5"/>
  <c r="H54" i="5"/>
  <c r="G54" i="5"/>
  <c r="F54" i="5"/>
  <c r="E54" i="5"/>
  <c r="D54" i="5"/>
  <c r="C54" i="5"/>
  <c r="N53" i="5"/>
  <c r="M53" i="5"/>
  <c r="L53" i="5"/>
  <c r="K53" i="5"/>
  <c r="J53" i="5"/>
  <c r="I53" i="5"/>
  <c r="H53" i="5"/>
  <c r="G53" i="5"/>
  <c r="F53" i="5"/>
  <c r="E53" i="5"/>
  <c r="D53" i="5"/>
  <c r="C53" i="5"/>
  <c r="M52" i="5"/>
  <c r="L52" i="5"/>
  <c r="K52" i="5"/>
  <c r="J52" i="5"/>
  <c r="I52" i="5"/>
  <c r="H52" i="5"/>
  <c r="G52" i="5"/>
  <c r="F52" i="5"/>
  <c r="E52" i="5"/>
  <c r="D52" i="5"/>
  <c r="C52" i="5"/>
  <c r="L51" i="5"/>
  <c r="K51" i="5"/>
  <c r="J51" i="5"/>
  <c r="I51" i="5"/>
  <c r="H51" i="5"/>
  <c r="G51" i="5"/>
  <c r="F51" i="5"/>
  <c r="E51" i="5"/>
  <c r="D51" i="5"/>
  <c r="C51" i="5"/>
  <c r="K50" i="5"/>
  <c r="J50" i="5"/>
  <c r="I50" i="5"/>
  <c r="H50" i="5"/>
  <c r="G50" i="5"/>
  <c r="F50" i="5"/>
  <c r="E50" i="5"/>
  <c r="D50" i="5"/>
  <c r="C50" i="5"/>
  <c r="J49" i="5"/>
  <c r="I49" i="5"/>
  <c r="H49" i="5"/>
  <c r="G49" i="5"/>
  <c r="F49" i="5"/>
  <c r="E49" i="5"/>
  <c r="D49" i="5"/>
  <c r="C49" i="5"/>
  <c r="I48" i="5"/>
  <c r="H48" i="5"/>
  <c r="G48" i="5"/>
  <c r="F48" i="5"/>
  <c r="E48" i="5"/>
  <c r="D48" i="5"/>
  <c r="C48" i="5"/>
  <c r="H47" i="5"/>
  <c r="G47" i="5"/>
  <c r="F47" i="5"/>
  <c r="E47" i="5"/>
  <c r="D47" i="5"/>
  <c r="C47" i="5"/>
  <c r="G46" i="5"/>
  <c r="F46" i="5"/>
  <c r="E46" i="5"/>
  <c r="D46" i="5"/>
  <c r="C46" i="5"/>
  <c r="F45" i="5"/>
  <c r="E45" i="5"/>
  <c r="D45" i="5"/>
  <c r="C45" i="5"/>
  <c r="B45" i="5"/>
  <c r="W43" i="5"/>
  <c r="V43" i="5"/>
  <c r="U43" i="5"/>
  <c r="T43" i="5"/>
  <c r="S43" i="5"/>
  <c r="R43" i="5"/>
  <c r="Q43" i="5"/>
  <c r="P43" i="5"/>
  <c r="O43" i="5"/>
  <c r="N43" i="5"/>
  <c r="M43" i="5"/>
  <c r="L43" i="5"/>
  <c r="K43" i="5"/>
  <c r="J43" i="5"/>
  <c r="I43" i="5"/>
  <c r="H43" i="5"/>
  <c r="G43" i="5"/>
  <c r="F43" i="5"/>
  <c r="E43" i="5"/>
  <c r="D43" i="5"/>
  <c r="C43" i="5"/>
  <c r="W42" i="5"/>
  <c r="V42" i="5"/>
  <c r="U42" i="5"/>
  <c r="T42" i="5"/>
  <c r="S42" i="5"/>
  <c r="R42" i="5"/>
  <c r="Q42" i="5"/>
  <c r="P42" i="5"/>
  <c r="O42" i="5"/>
  <c r="N42" i="5"/>
  <c r="M42" i="5"/>
  <c r="L42" i="5"/>
  <c r="K42" i="5"/>
  <c r="J42" i="5"/>
  <c r="I42" i="5"/>
  <c r="H42" i="5"/>
  <c r="G42" i="5"/>
  <c r="F42" i="5"/>
  <c r="E42" i="5"/>
  <c r="D42" i="5"/>
  <c r="C42" i="5"/>
  <c r="W41" i="5"/>
  <c r="V41" i="5"/>
  <c r="U41" i="5"/>
  <c r="T41" i="5"/>
  <c r="S41" i="5"/>
  <c r="R41" i="5"/>
  <c r="Q41" i="5"/>
  <c r="P41" i="5"/>
  <c r="O41" i="5"/>
  <c r="N41" i="5"/>
  <c r="M41" i="5"/>
  <c r="L41" i="5"/>
  <c r="K41" i="5"/>
  <c r="J41" i="5"/>
  <c r="I41" i="5"/>
  <c r="H41" i="5"/>
  <c r="G41" i="5"/>
  <c r="F41" i="5"/>
  <c r="E41" i="5"/>
  <c r="D41" i="5"/>
  <c r="C41" i="5"/>
  <c r="V40" i="5"/>
  <c r="U40" i="5"/>
  <c r="T40" i="5"/>
  <c r="S40" i="5"/>
  <c r="R40" i="5"/>
  <c r="Q40" i="5"/>
  <c r="P40" i="5"/>
  <c r="O40" i="5"/>
  <c r="N40" i="5"/>
  <c r="M40" i="5"/>
  <c r="L40" i="5"/>
  <c r="K40" i="5"/>
  <c r="J40" i="5"/>
  <c r="I40" i="5"/>
  <c r="H40" i="5"/>
  <c r="G40" i="5"/>
  <c r="F40" i="5"/>
  <c r="E40" i="5"/>
  <c r="D40" i="5"/>
  <c r="C40" i="5"/>
  <c r="U39" i="5"/>
  <c r="T39" i="5"/>
  <c r="S39" i="5"/>
  <c r="R39" i="5"/>
  <c r="Q39" i="5"/>
  <c r="P39" i="5"/>
  <c r="O39" i="5"/>
  <c r="N39" i="5"/>
  <c r="M39" i="5"/>
  <c r="L39" i="5"/>
  <c r="K39" i="5"/>
  <c r="J39" i="5"/>
  <c r="I39" i="5"/>
  <c r="H39" i="5"/>
  <c r="G39" i="5"/>
  <c r="F39" i="5"/>
  <c r="E39" i="5"/>
  <c r="D39" i="5"/>
  <c r="C39" i="5"/>
  <c r="T38" i="5"/>
  <c r="S38" i="5"/>
  <c r="R38" i="5"/>
  <c r="Q38" i="5"/>
  <c r="P38" i="5"/>
  <c r="O38" i="5"/>
  <c r="N38" i="5"/>
  <c r="M38" i="5"/>
  <c r="L38" i="5"/>
  <c r="K38" i="5"/>
  <c r="J38" i="5"/>
  <c r="I38" i="5"/>
  <c r="H38" i="5"/>
  <c r="G38" i="5"/>
  <c r="F38" i="5"/>
  <c r="E38" i="5"/>
  <c r="D38" i="5"/>
  <c r="C38" i="5"/>
  <c r="S37" i="5"/>
  <c r="R37" i="5"/>
  <c r="Q37" i="5"/>
  <c r="P37" i="5"/>
  <c r="O37" i="5"/>
  <c r="N37" i="5"/>
  <c r="M37" i="5"/>
  <c r="L37" i="5"/>
  <c r="K37" i="5"/>
  <c r="J37" i="5"/>
  <c r="I37" i="5"/>
  <c r="H37" i="5"/>
  <c r="F37" i="5"/>
  <c r="E37" i="5"/>
  <c r="D37" i="5"/>
  <c r="C37" i="5"/>
  <c r="R36" i="5"/>
  <c r="Q36" i="5"/>
  <c r="P36" i="5"/>
  <c r="O36" i="5"/>
  <c r="N36" i="5"/>
  <c r="M36" i="5"/>
  <c r="L36" i="5"/>
  <c r="K36" i="5"/>
  <c r="J36" i="5"/>
  <c r="I36" i="5"/>
  <c r="H36" i="5"/>
  <c r="G36" i="5"/>
  <c r="F36" i="5"/>
  <c r="E36" i="5"/>
  <c r="D36" i="5"/>
  <c r="C36" i="5"/>
  <c r="Q35" i="5"/>
  <c r="P35" i="5"/>
  <c r="O35" i="5"/>
  <c r="N35" i="5"/>
  <c r="M35" i="5"/>
  <c r="L35" i="5"/>
  <c r="K35" i="5"/>
  <c r="J35" i="5"/>
  <c r="I35" i="5"/>
  <c r="H35" i="5"/>
  <c r="G35" i="5"/>
  <c r="F35" i="5"/>
  <c r="E35" i="5"/>
  <c r="D35" i="5"/>
  <c r="C35" i="5"/>
  <c r="P34" i="5"/>
  <c r="O34" i="5"/>
  <c r="N34" i="5"/>
  <c r="M34" i="5"/>
  <c r="L34" i="5"/>
  <c r="K34" i="5"/>
  <c r="J34" i="5"/>
  <c r="I34" i="5"/>
  <c r="H34" i="5"/>
  <c r="G34" i="5"/>
  <c r="F34" i="5"/>
  <c r="E34" i="5"/>
  <c r="D34" i="5"/>
  <c r="C34" i="5"/>
  <c r="O33" i="5"/>
  <c r="N33" i="5"/>
  <c r="M33" i="5"/>
  <c r="L33" i="5"/>
  <c r="K33" i="5"/>
  <c r="J33" i="5"/>
  <c r="I33" i="5"/>
  <c r="H33" i="5"/>
  <c r="G33" i="5"/>
  <c r="F33" i="5"/>
  <c r="E33" i="5"/>
  <c r="D33" i="5"/>
  <c r="C33" i="5"/>
  <c r="N32" i="5"/>
  <c r="M32" i="5"/>
  <c r="L32" i="5"/>
  <c r="K32" i="5"/>
  <c r="J32" i="5"/>
  <c r="I32" i="5"/>
  <c r="H32" i="5"/>
  <c r="G32" i="5"/>
  <c r="F32" i="5"/>
  <c r="E32" i="5"/>
  <c r="D32" i="5"/>
  <c r="C32" i="5"/>
  <c r="M31" i="5"/>
  <c r="L31" i="5"/>
  <c r="K31" i="5"/>
  <c r="J31" i="5"/>
  <c r="I31" i="5"/>
  <c r="H31" i="5"/>
  <c r="G31" i="5"/>
  <c r="F31" i="5"/>
  <c r="E31" i="5"/>
  <c r="D31" i="5"/>
  <c r="C31" i="5"/>
  <c r="L30" i="5"/>
  <c r="K30" i="5"/>
  <c r="J30" i="5"/>
  <c r="I30" i="5"/>
  <c r="H30" i="5"/>
  <c r="G30" i="5"/>
  <c r="F30" i="5"/>
  <c r="E30" i="5"/>
  <c r="D30" i="5"/>
  <c r="C30" i="5"/>
  <c r="K29" i="5"/>
  <c r="J29" i="5"/>
  <c r="I29" i="5"/>
  <c r="H29" i="5"/>
  <c r="G29" i="5"/>
  <c r="F29" i="5"/>
  <c r="E29" i="5"/>
  <c r="D29" i="5"/>
  <c r="C29" i="5"/>
  <c r="J28" i="5"/>
  <c r="I28" i="5"/>
  <c r="H28" i="5"/>
  <c r="G28" i="5"/>
  <c r="F28" i="5"/>
  <c r="E28" i="5"/>
  <c r="D28" i="5"/>
  <c r="C28" i="5"/>
  <c r="I27" i="5"/>
  <c r="H27" i="5"/>
  <c r="G27" i="5"/>
  <c r="F27" i="5"/>
  <c r="E27" i="5"/>
  <c r="D27" i="5"/>
  <c r="C27" i="5"/>
  <c r="H26" i="5"/>
  <c r="G26" i="5"/>
  <c r="F26" i="5"/>
  <c r="E26" i="5"/>
  <c r="D26" i="5"/>
  <c r="C26" i="5"/>
  <c r="G25" i="5"/>
  <c r="F25" i="5"/>
  <c r="E25" i="5"/>
  <c r="D25" i="5"/>
  <c r="C25" i="5"/>
  <c r="F24" i="5"/>
  <c r="E24" i="5"/>
  <c r="D24" i="5"/>
  <c r="C24" i="5"/>
  <c r="B24" i="5"/>
  <c r="W22" i="5"/>
  <c r="V22" i="5"/>
  <c r="U22" i="5"/>
  <c r="T22" i="5"/>
  <c r="S22" i="5"/>
  <c r="R22" i="5"/>
  <c r="Q22" i="5"/>
  <c r="P22" i="5"/>
  <c r="O22" i="5"/>
  <c r="N22" i="5"/>
  <c r="M22" i="5"/>
  <c r="L22" i="5"/>
  <c r="K22" i="5"/>
  <c r="J22" i="5"/>
  <c r="I22" i="5"/>
  <c r="H22" i="5"/>
  <c r="G22" i="5"/>
  <c r="F22" i="5"/>
  <c r="E22" i="5"/>
  <c r="D22" i="5"/>
  <c r="C22" i="5"/>
  <c r="W21" i="5"/>
  <c r="V21" i="5"/>
  <c r="U21" i="5"/>
  <c r="T21" i="5"/>
  <c r="S21" i="5"/>
  <c r="R21" i="5"/>
  <c r="Q21" i="5"/>
  <c r="P21" i="5"/>
  <c r="O21" i="5"/>
  <c r="N21" i="5"/>
  <c r="M21" i="5"/>
  <c r="L21" i="5"/>
  <c r="K21" i="5"/>
  <c r="J21" i="5"/>
  <c r="I21" i="5"/>
  <c r="H21" i="5"/>
  <c r="G21" i="5"/>
  <c r="F21" i="5"/>
  <c r="E21" i="5"/>
  <c r="D21" i="5"/>
  <c r="C21" i="5"/>
  <c r="W20" i="5"/>
  <c r="V20" i="5"/>
  <c r="U20" i="5"/>
  <c r="T20" i="5"/>
  <c r="S20" i="5"/>
  <c r="R20" i="5"/>
  <c r="Q20" i="5"/>
  <c r="P20" i="5"/>
  <c r="O20" i="5"/>
  <c r="N20" i="5"/>
  <c r="M20" i="5"/>
  <c r="L20" i="5"/>
  <c r="K20" i="5"/>
  <c r="J20" i="5"/>
  <c r="I20" i="5"/>
  <c r="H20" i="5"/>
  <c r="G20" i="5"/>
  <c r="F20" i="5"/>
  <c r="E20" i="5"/>
  <c r="D20" i="5"/>
  <c r="C20" i="5"/>
  <c r="V19" i="5"/>
  <c r="U19" i="5"/>
  <c r="T19" i="5"/>
  <c r="S19" i="5"/>
  <c r="R19" i="5"/>
  <c r="Q19" i="5"/>
  <c r="P19" i="5"/>
  <c r="O19" i="5"/>
  <c r="N19" i="5"/>
  <c r="M19" i="5"/>
  <c r="L19" i="5"/>
  <c r="K19" i="5"/>
  <c r="J19" i="5"/>
  <c r="I19" i="5"/>
  <c r="H19" i="5"/>
  <c r="G19" i="5"/>
  <c r="F19" i="5"/>
  <c r="E19" i="5"/>
  <c r="D19" i="5"/>
  <c r="C19" i="5"/>
  <c r="U18" i="5"/>
  <c r="T18" i="5"/>
  <c r="S18" i="5"/>
  <c r="R18" i="5"/>
  <c r="Q18" i="5"/>
  <c r="P18" i="5"/>
  <c r="O18" i="5"/>
  <c r="N18" i="5"/>
  <c r="M18" i="5"/>
  <c r="L18" i="5"/>
  <c r="K18" i="5"/>
  <c r="J18" i="5"/>
  <c r="I18" i="5"/>
  <c r="H18" i="5"/>
  <c r="G18" i="5"/>
  <c r="F18" i="5"/>
  <c r="E18" i="5"/>
  <c r="D18" i="5"/>
  <c r="C18" i="5"/>
  <c r="T17" i="5"/>
  <c r="S17" i="5"/>
  <c r="R17" i="5"/>
  <c r="Q17" i="5"/>
  <c r="P17" i="5"/>
  <c r="O17" i="5"/>
  <c r="N17" i="5"/>
  <c r="M17" i="5"/>
  <c r="L17" i="5"/>
  <c r="K17" i="5"/>
  <c r="J17" i="5"/>
  <c r="I17" i="5"/>
  <c r="H17" i="5"/>
  <c r="G17" i="5"/>
  <c r="F17" i="5"/>
  <c r="E17" i="5"/>
  <c r="D17" i="5"/>
  <c r="C17" i="5"/>
  <c r="S16" i="5"/>
  <c r="R16" i="5"/>
  <c r="Q16" i="5"/>
  <c r="P16" i="5"/>
  <c r="O16" i="5"/>
  <c r="N16" i="5"/>
  <c r="M16" i="5"/>
  <c r="L16" i="5"/>
  <c r="K16" i="5"/>
  <c r="J16" i="5"/>
  <c r="I16" i="5"/>
  <c r="H16" i="5"/>
  <c r="G16" i="5"/>
  <c r="F16" i="5"/>
  <c r="E16" i="5"/>
  <c r="D16" i="5"/>
  <c r="C16" i="5"/>
  <c r="R15" i="5"/>
  <c r="Q15" i="5"/>
  <c r="P15" i="5"/>
  <c r="O15" i="5"/>
  <c r="N15" i="5"/>
  <c r="M15" i="5"/>
  <c r="L15" i="5"/>
  <c r="K15" i="5"/>
  <c r="J15" i="5"/>
  <c r="I15" i="5"/>
  <c r="H15" i="5"/>
  <c r="G15" i="5"/>
  <c r="F15" i="5"/>
  <c r="E15" i="5"/>
  <c r="D15" i="5"/>
  <c r="C15" i="5"/>
  <c r="Q14" i="5"/>
  <c r="P14" i="5"/>
  <c r="O14" i="5"/>
  <c r="N14" i="5"/>
  <c r="M14" i="5"/>
  <c r="L14" i="5"/>
  <c r="K14" i="5"/>
  <c r="J14" i="5"/>
  <c r="I14" i="5"/>
  <c r="H14" i="5"/>
  <c r="G14" i="5"/>
  <c r="F14" i="5"/>
  <c r="E14" i="5"/>
  <c r="D14" i="5"/>
  <c r="C14" i="5"/>
  <c r="P13" i="5"/>
  <c r="O13" i="5"/>
  <c r="N13" i="5"/>
  <c r="M13" i="5"/>
  <c r="L13" i="5"/>
  <c r="K13" i="5"/>
  <c r="J13" i="5"/>
  <c r="I13" i="5"/>
  <c r="H13" i="5"/>
  <c r="G13" i="5"/>
  <c r="F13" i="5"/>
  <c r="E13" i="5"/>
  <c r="D13" i="5"/>
  <c r="C13" i="5"/>
  <c r="O12" i="5"/>
  <c r="N12" i="5"/>
  <c r="M12" i="5"/>
  <c r="L12" i="5"/>
  <c r="K12" i="5"/>
  <c r="J12" i="5"/>
  <c r="I12" i="5"/>
  <c r="H12" i="5"/>
  <c r="G12" i="5"/>
  <c r="F12" i="5"/>
  <c r="E12" i="5"/>
  <c r="D12" i="5"/>
  <c r="C12" i="5"/>
  <c r="N11" i="5"/>
  <c r="M11" i="5"/>
  <c r="L11" i="5"/>
  <c r="K11" i="5"/>
  <c r="J11" i="5"/>
  <c r="I11" i="5"/>
  <c r="H11" i="5"/>
  <c r="G11" i="5"/>
  <c r="F11" i="5"/>
  <c r="E11" i="5"/>
  <c r="D11" i="5"/>
  <c r="C11" i="5"/>
  <c r="M10" i="5"/>
  <c r="L10" i="5"/>
  <c r="K10" i="5"/>
  <c r="J10" i="5"/>
  <c r="I10" i="5"/>
  <c r="H10" i="5"/>
  <c r="G10" i="5"/>
  <c r="F10" i="5"/>
  <c r="E10" i="5"/>
  <c r="D10" i="5"/>
  <c r="C10" i="5"/>
  <c r="L9" i="5"/>
  <c r="K9" i="5"/>
  <c r="J9" i="5"/>
  <c r="I9" i="5"/>
  <c r="H9" i="5"/>
  <c r="G9" i="5"/>
  <c r="F9" i="5"/>
  <c r="E9" i="5"/>
  <c r="D9" i="5"/>
  <c r="C9" i="5"/>
  <c r="K8" i="5"/>
  <c r="J8" i="5"/>
  <c r="I8" i="5"/>
  <c r="H8" i="5"/>
  <c r="G8" i="5"/>
  <c r="F8" i="5"/>
  <c r="E8" i="5"/>
  <c r="D8" i="5"/>
  <c r="C8" i="5"/>
  <c r="J7" i="5"/>
  <c r="I7" i="5"/>
  <c r="H7" i="5"/>
  <c r="G7" i="5"/>
  <c r="F7" i="5"/>
  <c r="E7" i="5"/>
  <c r="D7" i="5"/>
  <c r="C7" i="5"/>
  <c r="I6" i="5"/>
  <c r="H6" i="5"/>
  <c r="G6" i="5"/>
  <c r="F6" i="5"/>
  <c r="E6" i="5"/>
  <c r="D6" i="5"/>
  <c r="C6" i="5"/>
  <c r="H5" i="5"/>
  <c r="G5" i="5"/>
  <c r="F5" i="5"/>
  <c r="E5" i="5"/>
  <c r="D5" i="5"/>
  <c r="C5" i="5"/>
  <c r="G4" i="5"/>
  <c r="F4" i="5"/>
  <c r="E4" i="5"/>
  <c r="D4" i="5"/>
  <c r="C4" i="5"/>
  <c r="E3" i="5"/>
  <c r="D3" i="5"/>
  <c r="C3" i="5"/>
  <c r="B4" i="5"/>
  <c r="D1" i="5"/>
  <c r="E1" i="5" s="1"/>
  <c r="F1" i="5" s="1"/>
  <c r="G1" i="5" s="1"/>
  <c r="H1" i="5" s="1"/>
  <c r="I1" i="5" s="1"/>
  <c r="J1" i="5" s="1"/>
  <c r="K1" i="5" s="1"/>
  <c r="L1" i="5" s="1"/>
  <c r="M1" i="5" s="1"/>
  <c r="N1" i="5" s="1"/>
  <c r="O1" i="5" s="1"/>
  <c r="P1" i="5" s="1"/>
  <c r="Q1" i="5" s="1"/>
  <c r="R1" i="5" s="1"/>
  <c r="S1" i="5" s="1"/>
  <c r="T1" i="5" s="1"/>
  <c r="U1" i="5" s="1"/>
  <c r="V1" i="5" s="1"/>
  <c r="W1" i="5" s="1"/>
  <c r="F73" i="2"/>
  <c r="G73" i="2" s="1"/>
  <c r="H73" i="2" s="1"/>
  <c r="I73" i="2" s="1"/>
  <c r="J73" i="2" s="1"/>
  <c r="K73" i="2" s="1"/>
  <c r="L73" i="2" s="1"/>
  <c r="M73" i="2" s="1"/>
  <c r="N73" i="2" s="1"/>
  <c r="O73" i="2" s="1"/>
  <c r="P73" i="2" s="1"/>
  <c r="Q73" i="2" s="1"/>
  <c r="R73" i="2" s="1"/>
  <c r="S73" i="2" s="1"/>
  <c r="T73" i="2" s="1"/>
  <c r="U73" i="2" s="1"/>
  <c r="V73" i="2" s="1"/>
  <c r="W73" i="2" s="1"/>
  <c r="X73" i="2" s="1"/>
  <c r="Y73" i="2" s="1"/>
  <c r="Z73" i="2" s="1"/>
  <c r="F67" i="2"/>
  <c r="G67" i="2" s="1"/>
  <c r="H67" i="2" s="1"/>
  <c r="I67" i="2" s="1"/>
  <c r="J67" i="2" s="1"/>
  <c r="K67" i="2" s="1"/>
  <c r="L67" i="2" s="1"/>
  <c r="M67" i="2" s="1"/>
  <c r="N67" i="2" s="1"/>
  <c r="O67" i="2" s="1"/>
  <c r="P67" i="2" s="1"/>
  <c r="Q67" i="2" s="1"/>
  <c r="R67" i="2" s="1"/>
  <c r="S67" i="2" s="1"/>
  <c r="T67" i="2" s="1"/>
  <c r="U67" i="2" s="1"/>
  <c r="V67" i="2" s="1"/>
  <c r="W67" i="2" s="1"/>
  <c r="X67" i="2" s="1"/>
  <c r="Y67" i="2" s="1"/>
  <c r="Z67" i="2" s="1"/>
  <c r="B45" i="2"/>
  <c r="B25" i="2"/>
  <c r="B4" i="2"/>
  <c r="F1" i="2"/>
  <c r="G1" i="2" s="1"/>
  <c r="H1" i="2" s="1"/>
  <c r="I1" i="2" s="1"/>
  <c r="J1" i="2" s="1"/>
  <c r="K1" i="2" s="1"/>
  <c r="L1" i="2" s="1"/>
  <c r="M1" i="2" s="1"/>
  <c r="N1" i="2" s="1"/>
  <c r="O1" i="2" s="1"/>
  <c r="P1" i="2" s="1"/>
  <c r="Q1" i="2" s="1"/>
  <c r="R1" i="2" s="1"/>
  <c r="S1" i="2" s="1"/>
  <c r="T1" i="2" s="1"/>
  <c r="U1" i="2" s="1"/>
  <c r="V1" i="2" s="1"/>
  <c r="W1" i="2" s="1"/>
  <c r="X1" i="2" s="1"/>
  <c r="Y1" i="2" s="1"/>
  <c r="Z1" i="2" s="1"/>
  <c r="F29" i="8"/>
  <c r="F28" i="8"/>
  <c r="F27" i="8"/>
  <c r="F26" i="8"/>
  <c r="F25" i="8"/>
  <c r="F24" i="8"/>
  <c r="F23" i="8"/>
  <c r="F22" i="8"/>
  <c r="F21" i="8"/>
  <c r="F20" i="8"/>
  <c r="F19" i="8"/>
  <c r="F18" i="8"/>
  <c r="F17" i="8"/>
  <c r="F16" i="8"/>
  <c r="F15" i="8"/>
  <c r="F14" i="8"/>
  <c r="F13" i="8"/>
  <c r="F12" i="8"/>
  <c r="F11" i="8"/>
  <c r="F10" i="8"/>
  <c r="F9" i="8"/>
  <c r="F6" i="8"/>
  <c r="K127" i="8"/>
  <c r="F127" i="8"/>
  <c r="K126" i="8"/>
  <c r="F126" i="8"/>
  <c r="K125" i="8"/>
  <c r="F125" i="8"/>
  <c r="K124" i="8"/>
  <c r="F124" i="8"/>
  <c r="K123" i="8"/>
  <c r="F123" i="8"/>
  <c r="K122" i="8"/>
  <c r="F122" i="8"/>
  <c r="K121" i="8"/>
  <c r="F121" i="8"/>
  <c r="K120" i="8"/>
  <c r="F120" i="8"/>
  <c r="K119" i="8"/>
  <c r="F119" i="8"/>
  <c r="K118" i="8"/>
  <c r="F118" i="8"/>
  <c r="K117" i="8"/>
  <c r="F117" i="8"/>
  <c r="K116" i="8"/>
  <c r="F116" i="8"/>
  <c r="K115" i="8"/>
  <c r="F115" i="8"/>
  <c r="K114" i="8"/>
  <c r="F114" i="8"/>
  <c r="K113" i="8"/>
  <c r="F113" i="8"/>
  <c r="K112" i="8"/>
  <c r="F112" i="8"/>
  <c r="K111" i="8"/>
  <c r="F111" i="8"/>
  <c r="K110" i="8"/>
  <c r="F110" i="8"/>
  <c r="K109" i="8"/>
  <c r="F109" i="8"/>
  <c r="K108" i="8"/>
  <c r="F108" i="8"/>
  <c r="K107" i="8"/>
  <c r="F107" i="8"/>
  <c r="G106" i="8"/>
  <c r="AB86" i="10" s="1"/>
  <c r="F106" i="8"/>
  <c r="AB85" i="10"/>
  <c r="F105" i="8"/>
  <c r="K104" i="8"/>
  <c r="F104" i="8"/>
  <c r="K103" i="8"/>
  <c r="F103" i="8"/>
  <c r="K102" i="8"/>
  <c r="F102" i="8"/>
  <c r="E101" i="8"/>
  <c r="K94" i="8"/>
  <c r="F94" i="8"/>
  <c r="K93" i="8"/>
  <c r="C170" i="8" s="1"/>
  <c r="F93" i="8"/>
  <c r="K92" i="8"/>
  <c r="C169" i="8" s="1"/>
  <c r="F92" i="8"/>
  <c r="K91" i="8"/>
  <c r="C168" i="8" s="1"/>
  <c r="F91" i="8"/>
  <c r="K90" i="8"/>
  <c r="F90" i="8"/>
  <c r="K89" i="8"/>
  <c r="F89" i="8"/>
  <c r="K88" i="8"/>
  <c r="F88" i="8"/>
  <c r="K87" i="8"/>
  <c r="F87" i="8"/>
  <c r="K86" i="8"/>
  <c r="F86" i="8"/>
  <c r="K85" i="8"/>
  <c r="F85" i="8"/>
  <c r="K84" i="8"/>
  <c r="F84" i="8"/>
  <c r="K83" i="8"/>
  <c r="K18" i="8" s="1"/>
  <c r="F83" i="8"/>
  <c r="K82" i="8"/>
  <c r="F82" i="8"/>
  <c r="K81" i="8"/>
  <c r="F81" i="8"/>
  <c r="K80" i="8"/>
  <c r="C157" i="8" s="1"/>
  <c r="F80" i="8"/>
  <c r="K79" i="8"/>
  <c r="F79" i="8"/>
  <c r="K78" i="8"/>
  <c r="C155" i="8" s="1"/>
  <c r="F78" i="8"/>
  <c r="K77" i="8"/>
  <c r="F77" i="8"/>
  <c r="K76" i="8"/>
  <c r="C153" i="8" s="1"/>
  <c r="F76" i="8"/>
  <c r="F75" i="8"/>
  <c r="K74" i="8"/>
  <c r="C151" i="8" s="1"/>
  <c r="F74" i="8"/>
  <c r="G73" i="8"/>
  <c r="K73" i="8" s="1"/>
  <c r="F73" i="8"/>
  <c r="E72" i="8"/>
  <c r="F72" i="8" s="1"/>
  <c r="K71" i="8"/>
  <c r="F71" i="8"/>
  <c r="K70" i="8"/>
  <c r="F70" i="8"/>
  <c r="K69" i="8"/>
  <c r="F69" i="8"/>
  <c r="K61" i="8"/>
  <c r="F61" i="8"/>
  <c r="K60" i="8"/>
  <c r="F60" i="8"/>
  <c r="K59" i="8"/>
  <c r="F59" i="8"/>
  <c r="K58" i="8"/>
  <c r="F58" i="8"/>
  <c r="K57" i="8"/>
  <c r="F57" i="8"/>
  <c r="K56" i="8"/>
  <c r="F56" i="8"/>
  <c r="K55" i="8"/>
  <c r="F55" i="8"/>
  <c r="K54" i="8"/>
  <c r="F54" i="8"/>
  <c r="K53" i="8"/>
  <c r="F53" i="8"/>
  <c r="K52" i="8"/>
  <c r="F52" i="8"/>
  <c r="K51" i="8"/>
  <c r="F51" i="8"/>
  <c r="F50" i="8"/>
  <c r="K49" i="8"/>
  <c r="F49" i="8"/>
  <c r="K48" i="8"/>
  <c r="F48" i="8"/>
  <c r="K47" i="8"/>
  <c r="F47" i="8"/>
  <c r="K46" i="8"/>
  <c r="F46" i="8"/>
  <c r="K45" i="8"/>
  <c r="F45" i="8"/>
  <c r="K44" i="8"/>
  <c r="F44" i="8"/>
  <c r="K43" i="8"/>
  <c r="B153" i="8" s="1"/>
  <c r="F43" i="8"/>
  <c r="F42" i="8"/>
  <c r="K41" i="8"/>
  <c r="B151" i="8" s="1"/>
  <c r="F41" i="8"/>
  <c r="G40" i="8"/>
  <c r="K40" i="8" s="1"/>
  <c r="B150" i="8" s="1"/>
  <c r="F40" i="8"/>
  <c r="E39" i="8"/>
  <c r="K39" i="8" s="1"/>
  <c r="B149" i="8" s="1"/>
  <c r="K38" i="8"/>
  <c r="F38" i="8"/>
  <c r="K37" i="8"/>
  <c r="F37" i="8"/>
  <c r="F36" i="8"/>
  <c r="L166" i="20" l="1"/>
  <c r="B164" i="8"/>
  <c r="K22" i="8"/>
  <c r="B168" i="8"/>
  <c r="K26" i="8"/>
  <c r="B156" i="8"/>
  <c r="K14" i="8"/>
  <c r="B161" i="8"/>
  <c r="K19" i="8"/>
  <c r="AB16" i="10" s="1"/>
  <c r="B165" i="8"/>
  <c r="K23" i="8"/>
  <c r="B169" i="8"/>
  <c r="K27" i="8"/>
  <c r="B157" i="8"/>
  <c r="K15" i="8"/>
  <c r="B162" i="8"/>
  <c r="K20" i="8"/>
  <c r="AB17" i="10" s="1"/>
  <c r="B166" i="8"/>
  <c r="K24" i="8"/>
  <c r="B170" i="8"/>
  <c r="K28" i="8"/>
  <c r="B158" i="8"/>
  <c r="K16" i="8"/>
  <c r="G16" i="8" s="1"/>
  <c r="B163" i="8"/>
  <c r="K21" i="8"/>
  <c r="AB18" i="10" s="1"/>
  <c r="B167" i="8"/>
  <c r="K25" i="8"/>
  <c r="B171" i="8"/>
  <c r="K29" i="8"/>
  <c r="B155" i="8"/>
  <c r="K13" i="8"/>
  <c r="B159" i="8"/>
  <c r="K17" i="8"/>
  <c r="AB14" i="10" s="1"/>
  <c r="B154" i="8"/>
  <c r="K12" i="8"/>
  <c r="P48" i="2"/>
  <c r="O82" i="2"/>
  <c r="O76" i="2"/>
  <c r="P27" i="2"/>
  <c r="O81" i="2"/>
  <c r="F68" i="5"/>
  <c r="N46" i="2"/>
  <c r="N25" i="2"/>
  <c r="N75" i="2" s="1"/>
  <c r="AB88" i="10"/>
  <c r="D150" i="8"/>
  <c r="AB96" i="10"/>
  <c r="D158" i="8"/>
  <c r="AB104" i="10"/>
  <c r="D166" i="8"/>
  <c r="K94" i="7"/>
  <c r="AB68" i="10"/>
  <c r="C159" i="8"/>
  <c r="AB72" i="10"/>
  <c r="C163" i="8"/>
  <c r="AB76" i="10"/>
  <c r="C167" i="8"/>
  <c r="AB80" i="10"/>
  <c r="AB81" i="10" s="1"/>
  <c r="C171" i="8"/>
  <c r="E171" i="8" s="1"/>
  <c r="K95" i="7"/>
  <c r="K103" i="7"/>
  <c r="D70" i="5"/>
  <c r="D151" i="8"/>
  <c r="E151" i="8" s="1"/>
  <c r="AB89" i="10"/>
  <c r="D155" i="8"/>
  <c r="E155" i="8" s="1"/>
  <c r="AB93" i="10"/>
  <c r="D159" i="8"/>
  <c r="AB97" i="10"/>
  <c r="AB101" i="10"/>
  <c r="D163" i="8"/>
  <c r="D167" i="8"/>
  <c r="AB105" i="10"/>
  <c r="K96" i="7"/>
  <c r="K104" i="7"/>
  <c r="C68" i="5"/>
  <c r="E70" i="5"/>
  <c r="AB100" i="10"/>
  <c r="D162" i="8"/>
  <c r="K102" i="7"/>
  <c r="AB65" i="10"/>
  <c r="C156" i="8"/>
  <c r="AB69" i="10"/>
  <c r="C160" i="8"/>
  <c r="AB73" i="10"/>
  <c r="C164" i="8"/>
  <c r="K89" i="7"/>
  <c r="K97" i="7"/>
  <c r="K105" i="7"/>
  <c r="B26" i="2"/>
  <c r="B27" i="2" s="1"/>
  <c r="B28" i="2" s="1"/>
  <c r="B29" i="2" s="1"/>
  <c r="B30" i="2" s="1"/>
  <c r="B31" i="2" s="1"/>
  <c r="B32" i="2" s="1"/>
  <c r="B33" i="2" s="1"/>
  <c r="B34" i="2" s="1"/>
  <c r="B35" i="2" s="1"/>
  <c r="B36" i="2" s="1"/>
  <c r="B37" i="2" s="1"/>
  <c r="B38" i="2" s="1"/>
  <c r="B39" i="2" s="1"/>
  <c r="B40" i="2" s="1"/>
  <c r="B41" i="2" s="1"/>
  <c r="B42" i="2" s="1"/>
  <c r="B43" i="2" s="1"/>
  <c r="D68" i="5"/>
  <c r="F70" i="5"/>
  <c r="AB59" i="10"/>
  <c r="C150" i="8"/>
  <c r="AB90" i="10"/>
  <c r="D152" i="8"/>
  <c r="E152" i="8" s="1"/>
  <c r="D156" i="8"/>
  <c r="AB94" i="10"/>
  <c r="AB98" i="10"/>
  <c r="D160" i="8"/>
  <c r="AB102" i="10"/>
  <c r="D164" i="8"/>
  <c r="AB106" i="10"/>
  <c r="D168" i="8"/>
  <c r="E168" i="8" s="1"/>
  <c r="K90" i="7"/>
  <c r="K98" i="7"/>
  <c r="K106" i="7"/>
  <c r="B46" i="2"/>
  <c r="E68" i="5"/>
  <c r="B25" i="5"/>
  <c r="B26" i="5" s="1"/>
  <c r="B27" i="5" s="1"/>
  <c r="B28" i="5" s="1"/>
  <c r="B29" i="5" s="1"/>
  <c r="B30" i="5" s="1"/>
  <c r="B31" i="5" s="1"/>
  <c r="B32" i="5" s="1"/>
  <c r="B33" i="5" s="1"/>
  <c r="B34" i="5" s="1"/>
  <c r="B35" i="5" s="1"/>
  <c r="B36" i="5" s="1"/>
  <c r="B37" i="5" s="1"/>
  <c r="B38" i="5" s="1"/>
  <c r="B39" i="5" s="1"/>
  <c r="B40" i="5" s="1"/>
  <c r="B41" i="5" s="1"/>
  <c r="B42" i="5" s="1"/>
  <c r="B43" i="5" s="1"/>
  <c r="E170" i="8"/>
  <c r="AB70" i="10"/>
  <c r="C161" i="8"/>
  <c r="AB74" i="10"/>
  <c r="C165" i="8"/>
  <c r="K91" i="7"/>
  <c r="K99" i="7"/>
  <c r="K107" i="7"/>
  <c r="C69" i="5"/>
  <c r="C70" i="5"/>
  <c r="D149" i="8"/>
  <c r="AA85" i="10" s="1"/>
  <c r="AC85" i="10" s="1"/>
  <c r="Q88" i="12" s="1"/>
  <c r="AB87" i="10"/>
  <c r="AB91" i="10"/>
  <c r="D153" i="8"/>
  <c r="E153" i="8" s="1"/>
  <c r="AB95" i="10"/>
  <c r="D157" i="8"/>
  <c r="E157" i="8" s="1"/>
  <c r="AB99" i="10"/>
  <c r="D161" i="8"/>
  <c r="AB103" i="10"/>
  <c r="D165" i="8"/>
  <c r="AB107" i="10"/>
  <c r="D169" i="8"/>
  <c r="E169" i="8" s="1"/>
  <c r="AB108" i="10"/>
  <c r="K92" i="7"/>
  <c r="K100" i="7"/>
  <c r="K108" i="7"/>
  <c r="D69" i="5"/>
  <c r="AB92" i="10"/>
  <c r="D154" i="8"/>
  <c r="AB63" i="10"/>
  <c r="C154" i="8"/>
  <c r="AB67" i="10"/>
  <c r="C158" i="8"/>
  <c r="AB71" i="10"/>
  <c r="C162" i="8"/>
  <c r="AB75" i="10"/>
  <c r="C166" i="8"/>
  <c r="E166" i="8" s="1"/>
  <c r="K93" i="7"/>
  <c r="K101" i="7"/>
  <c r="K109" i="7"/>
  <c r="E69" i="5"/>
  <c r="B46" i="5"/>
  <c r="B47" i="5" s="1"/>
  <c r="B48" i="5" s="1"/>
  <c r="B49" i="5" s="1"/>
  <c r="B50" i="5" s="1"/>
  <c r="B51" i="5" s="1"/>
  <c r="B52" i="5" s="1"/>
  <c r="B53" i="5" s="1"/>
  <c r="B54" i="5" s="1"/>
  <c r="B55" i="5" s="1"/>
  <c r="B56" i="5" s="1"/>
  <c r="B57" i="5" s="1"/>
  <c r="B58" i="5" s="1"/>
  <c r="B59" i="5" s="1"/>
  <c r="B60" i="5" s="1"/>
  <c r="B61" i="5" s="1"/>
  <c r="B62" i="5" s="1"/>
  <c r="B63" i="5" s="1"/>
  <c r="B64" i="5" s="1"/>
  <c r="L69" i="2"/>
  <c r="M45" i="2"/>
  <c r="L70" i="2"/>
  <c r="F8" i="8"/>
  <c r="AB61" i="10"/>
  <c r="AB12" i="10"/>
  <c r="M24" i="2"/>
  <c r="O119" i="20"/>
  <c r="O165" i="20" s="1"/>
  <c r="M48" i="20"/>
  <c r="M166" i="20" s="1"/>
  <c r="P69" i="20"/>
  <c r="P169" i="20" s="1"/>
  <c r="O70" i="20"/>
  <c r="O170" i="20" s="1"/>
  <c r="B5" i="5"/>
  <c r="B6" i="5" s="1"/>
  <c r="B7" i="5" s="1"/>
  <c r="B8" i="5" s="1"/>
  <c r="B9" i="5" s="1"/>
  <c r="B10" i="5" s="1"/>
  <c r="B11" i="5" s="1"/>
  <c r="B12" i="5" s="1"/>
  <c r="B13" i="5" s="1"/>
  <c r="B14" i="5" s="1"/>
  <c r="B15" i="5" s="1"/>
  <c r="B16" i="5" s="1"/>
  <c r="B17" i="5" s="1"/>
  <c r="B18" i="5" s="1"/>
  <c r="B19" i="5" s="1"/>
  <c r="B20" i="5" s="1"/>
  <c r="B21" i="5" s="1"/>
  <c r="B22" i="5" s="1"/>
  <c r="B5" i="2"/>
  <c r="B6" i="2" s="1"/>
  <c r="B7" i="2" s="1"/>
  <c r="B8" i="2" s="1"/>
  <c r="B9" i="2" s="1"/>
  <c r="B10" i="2" s="1"/>
  <c r="B11" i="2" s="1"/>
  <c r="B12" i="2" s="1"/>
  <c r="B13" i="2" s="1"/>
  <c r="B14" i="2" s="1"/>
  <c r="B15" i="2" s="1"/>
  <c r="B16" i="2" s="1"/>
  <c r="B17" i="2" s="1"/>
  <c r="B18" i="2" s="1"/>
  <c r="B19" i="2" s="1"/>
  <c r="B20" i="2" s="1"/>
  <c r="B21" i="2" s="1"/>
  <c r="B22" i="2" s="1"/>
  <c r="AB31" i="10"/>
  <c r="AB44" i="10"/>
  <c r="AB77" i="10"/>
  <c r="AB32" i="10"/>
  <c r="AB33" i="10"/>
  <c r="AB37" i="10"/>
  <c r="AB41" i="10"/>
  <c r="AB45" i="10"/>
  <c r="AB49" i="10"/>
  <c r="AB53" i="10"/>
  <c r="AB54" i="10" s="1"/>
  <c r="AB62" i="10"/>
  <c r="AB66" i="10"/>
  <c r="AB78" i="10"/>
  <c r="AB36" i="10"/>
  <c r="AB52" i="10"/>
  <c r="F39" i="8"/>
  <c r="AB34" i="10"/>
  <c r="AB38" i="10"/>
  <c r="AB42" i="10"/>
  <c r="AB46" i="10"/>
  <c r="AB50" i="10"/>
  <c r="AB48" i="10"/>
  <c r="AB79" i="10"/>
  <c r="AB35" i="10"/>
  <c r="AB39" i="10"/>
  <c r="AB43" i="10"/>
  <c r="AB47" i="10"/>
  <c r="AB51" i="10"/>
  <c r="AB40" i="10"/>
  <c r="AB60" i="10"/>
  <c r="AB64" i="10"/>
  <c r="D118" i="7"/>
  <c r="H77" i="2"/>
  <c r="F23" i="5"/>
  <c r="F75" i="5" s="1"/>
  <c r="AB5" i="10"/>
  <c r="M5" i="10" s="1"/>
  <c r="AB13" i="10"/>
  <c r="AB22" i="10"/>
  <c r="AB23" i="10"/>
  <c r="I77" i="2"/>
  <c r="G6" i="8"/>
  <c r="AB26" i="10"/>
  <c r="AB10" i="10"/>
  <c r="AB8" i="10"/>
  <c r="H71" i="2"/>
  <c r="AB21" i="10"/>
  <c r="AB15" i="10"/>
  <c r="AB19" i="10"/>
  <c r="AB6" i="10"/>
  <c r="M6" i="10" s="1"/>
  <c r="AB11" i="10"/>
  <c r="K72" i="8"/>
  <c r="AB24" i="10"/>
  <c r="G71" i="2"/>
  <c r="G4" i="8"/>
  <c r="AB20" i="10"/>
  <c r="AB25" i="10"/>
  <c r="F71" i="2"/>
  <c r="F77" i="2"/>
  <c r="G77" i="2"/>
  <c r="D116" i="7"/>
  <c r="D124" i="7"/>
  <c r="D132" i="7"/>
  <c r="D115" i="7"/>
  <c r="Q48" i="2" l="1"/>
  <c r="P82" i="2"/>
  <c r="P76" i="2"/>
  <c r="Q27" i="2"/>
  <c r="P81" i="2"/>
  <c r="O46" i="2"/>
  <c r="O25" i="2"/>
  <c r="O75" i="2" s="1"/>
  <c r="E167" i="8"/>
  <c r="AC31" i="10"/>
  <c r="E150" i="8"/>
  <c r="E162" i="8"/>
  <c r="E163" i="8"/>
  <c r="E158" i="8"/>
  <c r="E154" i="8"/>
  <c r="E165" i="8"/>
  <c r="E156" i="8"/>
  <c r="E161" i="8"/>
  <c r="E164" i="8"/>
  <c r="E159" i="8"/>
  <c r="M22" i="10"/>
  <c r="H215" i="7" s="1"/>
  <c r="M11" i="10"/>
  <c r="H204" i="7" s="1"/>
  <c r="C71" i="5"/>
  <c r="M10" i="10"/>
  <c r="M13" i="10"/>
  <c r="M20" i="10"/>
  <c r="H213" i="7" s="1"/>
  <c r="J125" i="12"/>
  <c r="J155" i="12" s="1"/>
  <c r="P6" i="10"/>
  <c r="M87" i="10"/>
  <c r="P87" i="10" s="1"/>
  <c r="AB27" i="10"/>
  <c r="M27" i="10" s="1"/>
  <c r="M26" i="10"/>
  <c r="H219" i="7" s="1"/>
  <c r="M86" i="10"/>
  <c r="P86" i="10" s="1"/>
  <c r="AD86" i="10" s="1"/>
  <c r="P5" i="10"/>
  <c r="AD5" i="10" s="1"/>
  <c r="M124" i="12" s="1"/>
  <c r="J124" i="12"/>
  <c r="Q32" i="12"/>
  <c r="Z32" i="12" s="1"/>
  <c r="M25" i="10"/>
  <c r="H218" i="7" s="1"/>
  <c r="M16" i="10"/>
  <c r="M19" i="10"/>
  <c r="H212" i="7" s="1"/>
  <c r="M18" i="10"/>
  <c r="M17" i="10"/>
  <c r="M12" i="10"/>
  <c r="E160" i="8"/>
  <c r="M7" i="10"/>
  <c r="H200" i="7" s="1"/>
  <c r="I200" i="7" s="1"/>
  <c r="F69" i="5"/>
  <c r="F71" i="5" s="1"/>
  <c r="M14" i="10"/>
  <c r="M15" i="10"/>
  <c r="H208" i="7" s="1"/>
  <c r="AB58" i="10"/>
  <c r="M21" i="10"/>
  <c r="M24" i="10"/>
  <c r="H217" i="7" s="1"/>
  <c r="M23" i="10"/>
  <c r="H216" i="7" s="1"/>
  <c r="K88" i="7"/>
  <c r="B47" i="2"/>
  <c r="D71" i="5"/>
  <c r="M8" i="10"/>
  <c r="H201" i="7" s="1"/>
  <c r="E71" i="5"/>
  <c r="N45" i="2"/>
  <c r="M70" i="2"/>
  <c r="M69" i="2"/>
  <c r="H98" i="5"/>
  <c r="O99" i="5"/>
  <c r="P99" i="5"/>
  <c r="O96" i="5"/>
  <c r="J95" i="5"/>
  <c r="H95" i="5"/>
  <c r="L97" i="5"/>
  <c r="L98" i="5"/>
  <c r="E236" i="7"/>
  <c r="E239" i="7"/>
  <c r="E235" i="7"/>
  <c r="E225" i="7"/>
  <c r="E230" i="7"/>
  <c r="E229" i="7"/>
  <c r="E226" i="7"/>
  <c r="E233" i="7"/>
  <c r="F7" i="8"/>
  <c r="E238" i="7"/>
  <c r="E228" i="7"/>
  <c r="E232" i="7"/>
  <c r="E240" i="7"/>
  <c r="E234" i="7"/>
  <c r="E237" i="7"/>
  <c r="E231" i="7"/>
  <c r="N24" i="2"/>
  <c r="P79" i="20"/>
  <c r="P170" i="20" s="1"/>
  <c r="Q78" i="20"/>
  <c r="Q169" i="20" s="1"/>
  <c r="N57" i="20"/>
  <c r="N166" i="20" s="1"/>
  <c r="P128" i="20"/>
  <c r="P165" i="20" s="1"/>
  <c r="I93" i="5"/>
  <c r="K96" i="5"/>
  <c r="S97" i="5"/>
  <c r="H99" i="5"/>
  <c r="N98" i="5"/>
  <c r="I94" i="5"/>
  <c r="J93" i="5"/>
  <c r="O97" i="5"/>
  <c r="S99" i="5"/>
  <c r="H92" i="5"/>
  <c r="O98" i="5"/>
  <c r="I92" i="5"/>
  <c r="M94" i="5"/>
  <c r="J96" i="5"/>
  <c r="R97" i="5"/>
  <c r="I97" i="5"/>
  <c r="N99" i="5"/>
  <c r="L99" i="5"/>
  <c r="I95" i="5"/>
  <c r="R98" i="5"/>
  <c r="Q97" i="5"/>
  <c r="X97" i="5"/>
  <c r="R99" i="5"/>
  <c r="H93" i="5"/>
  <c r="M95" i="5"/>
  <c r="J97" i="5"/>
  <c r="P96" i="5"/>
  <c r="U98" i="5"/>
  <c r="S98" i="5"/>
  <c r="X95" i="5"/>
  <c r="H94" i="5"/>
  <c r="J98" i="5"/>
  <c r="X93" i="5"/>
  <c r="N95" i="5"/>
  <c r="T99" i="5"/>
  <c r="J99" i="5"/>
  <c r="Q99" i="5"/>
  <c r="L94" i="5"/>
  <c r="Q96" i="5"/>
  <c r="H96" i="5"/>
  <c r="M98" i="5"/>
  <c r="K98" i="5"/>
  <c r="U99" i="5"/>
  <c r="K93" i="5"/>
  <c r="M97" i="5"/>
  <c r="K97" i="5"/>
  <c r="N96" i="5"/>
  <c r="Q98" i="5"/>
  <c r="I99" i="5"/>
  <c r="I96" i="5"/>
  <c r="L95" i="5"/>
  <c r="K95" i="5"/>
  <c r="P97" i="5"/>
  <c r="N97" i="5"/>
  <c r="M99" i="5"/>
  <c r="X98" i="5"/>
  <c r="L96" i="5"/>
  <c r="X96" i="5"/>
  <c r="V99" i="5"/>
  <c r="K99" i="5"/>
  <c r="I98" i="5"/>
  <c r="P98" i="5"/>
  <c r="K94" i="5"/>
  <c r="W99" i="5"/>
  <c r="J94" i="5"/>
  <c r="H97" i="5"/>
  <c r="M96" i="5"/>
  <c r="T98" i="5"/>
  <c r="X99" i="5"/>
  <c r="O95" i="5"/>
  <c r="X94" i="5"/>
  <c r="O22" i="12"/>
  <c r="O106" i="12" s="1"/>
  <c r="Y106" i="12" s="1"/>
  <c r="F159" i="7"/>
  <c r="G159" i="7" s="1"/>
  <c r="O6" i="12"/>
  <c r="P6" i="12" s="1"/>
  <c r="F143" i="7"/>
  <c r="G143" i="7" s="1"/>
  <c r="O5" i="12"/>
  <c r="P5" i="12" s="1"/>
  <c r="F142" i="7"/>
  <c r="G142" i="7" s="1"/>
  <c r="F148" i="7"/>
  <c r="G148" i="7" s="1"/>
  <c r="D83" i="5"/>
  <c r="C83" i="5"/>
  <c r="E77" i="5"/>
  <c r="F83" i="5"/>
  <c r="D77" i="5"/>
  <c r="C77" i="5"/>
  <c r="E83" i="5"/>
  <c r="J61" i="7"/>
  <c r="J63" i="7"/>
  <c r="J60" i="7"/>
  <c r="J77" i="2"/>
  <c r="E244" i="7"/>
  <c r="M59" i="10"/>
  <c r="M32" i="10"/>
  <c r="P32" i="10" s="1"/>
  <c r="AD32" i="10" s="1"/>
  <c r="M33" i="10"/>
  <c r="P33" i="10" s="1"/>
  <c r="AD33" i="10" s="1"/>
  <c r="M60" i="10"/>
  <c r="P60" i="10" s="1"/>
  <c r="M49" i="10"/>
  <c r="M76" i="10"/>
  <c r="J71" i="2"/>
  <c r="G20" i="8"/>
  <c r="G13" i="8"/>
  <c r="G8" i="8"/>
  <c r="G24" i="8"/>
  <c r="G17" i="8"/>
  <c r="G10" i="8"/>
  <c r="G45" i="5"/>
  <c r="G24" i="5"/>
  <c r="G3" i="5"/>
  <c r="G36" i="1"/>
  <c r="G23" i="5" s="1"/>
  <c r="G22" i="8"/>
  <c r="G21" i="8"/>
  <c r="I71" i="2"/>
  <c r="G15" i="8"/>
  <c r="G25" i="8"/>
  <c r="G23" i="8"/>
  <c r="G19" i="8"/>
  <c r="AB4" i="10"/>
  <c r="G18" i="8"/>
  <c r="G11" i="8"/>
  <c r="G14" i="8"/>
  <c r="G63" i="1"/>
  <c r="G44" i="5" s="1"/>
  <c r="G76" i="5" s="1"/>
  <c r="O18" i="12" l="1"/>
  <c r="O102" i="12" s="1"/>
  <c r="Y102" i="12" s="1"/>
  <c r="H211" i="7"/>
  <c r="M39" i="10"/>
  <c r="H205" i="7"/>
  <c r="O13" i="12"/>
  <c r="O97" i="12" s="1"/>
  <c r="Y97" i="12" s="1"/>
  <c r="H206" i="7"/>
  <c r="M75" i="10"/>
  <c r="H214" i="7"/>
  <c r="M44" i="10"/>
  <c r="H210" i="7"/>
  <c r="F147" i="7"/>
  <c r="G147" i="7" s="1"/>
  <c r="H203" i="7"/>
  <c r="O11" i="12"/>
  <c r="O95" i="12" s="1"/>
  <c r="Y95" i="12" s="1"/>
  <c r="M68" i="10"/>
  <c r="H207" i="7"/>
  <c r="M70" i="10"/>
  <c r="H209" i="7"/>
  <c r="M38" i="10"/>
  <c r="M65" i="10"/>
  <c r="M66" i="10"/>
  <c r="M4" i="10"/>
  <c r="P4" i="10" s="1"/>
  <c r="AD4" i="10" s="1"/>
  <c r="G75" i="5"/>
  <c r="R48" i="2"/>
  <c r="Q82" i="2"/>
  <c r="Q76" i="2"/>
  <c r="R27" i="2"/>
  <c r="Q81" i="2"/>
  <c r="P46" i="2"/>
  <c r="P25" i="2"/>
  <c r="P75" i="2" s="1"/>
  <c r="G83" i="5"/>
  <c r="M45" i="10"/>
  <c r="M72" i="10"/>
  <c r="F150" i="7"/>
  <c r="G150" i="7" s="1"/>
  <c r="F155" i="7"/>
  <c r="G155" i="7" s="1"/>
  <c r="F149" i="7"/>
  <c r="G149" i="7" s="1"/>
  <c r="O12" i="12"/>
  <c r="O96" i="12" s="1"/>
  <c r="Y96" i="12" s="1"/>
  <c r="M41" i="10"/>
  <c r="F151" i="7"/>
  <c r="G151" i="7" s="1"/>
  <c r="O14" i="12"/>
  <c r="O98" i="12" s="1"/>
  <c r="Y98" i="12" s="1"/>
  <c r="F158" i="7"/>
  <c r="G158" i="7" s="1"/>
  <c r="M48" i="10"/>
  <c r="M67" i="10"/>
  <c r="O21" i="12"/>
  <c r="O105" i="12" s="1"/>
  <c r="Y105" i="12" s="1"/>
  <c r="M40" i="10"/>
  <c r="J137" i="12"/>
  <c r="J167" i="12" s="1"/>
  <c r="M99" i="10"/>
  <c r="J127" i="12"/>
  <c r="J157" i="12" s="1"/>
  <c r="M89" i="10"/>
  <c r="J142" i="12"/>
  <c r="J172" i="12" s="1"/>
  <c r="M104" i="10"/>
  <c r="AA58" i="10"/>
  <c r="J134" i="12"/>
  <c r="J164" i="12" s="1"/>
  <c r="M96" i="10"/>
  <c r="J138" i="12"/>
  <c r="J168" i="12" s="1"/>
  <c r="M100" i="10"/>
  <c r="E77" i="2"/>
  <c r="J126" i="12"/>
  <c r="J156" i="12" s="1"/>
  <c r="P7" i="10"/>
  <c r="B48" i="2"/>
  <c r="J143" i="12"/>
  <c r="J173" i="12" s="1"/>
  <c r="M105" i="10"/>
  <c r="J145" i="12"/>
  <c r="J175" i="12" s="1"/>
  <c r="M107" i="10"/>
  <c r="J130" i="12"/>
  <c r="J160" i="12" s="1"/>
  <c r="M92" i="10"/>
  <c r="G70" i="5"/>
  <c r="J133" i="12"/>
  <c r="J163" i="12" s="1"/>
  <c r="M95" i="10"/>
  <c r="J135" i="12"/>
  <c r="J165" i="12" s="1"/>
  <c r="M97" i="10"/>
  <c r="J131" i="12"/>
  <c r="J161" i="12" s="1"/>
  <c r="M93" i="10"/>
  <c r="J154" i="12"/>
  <c r="K124" i="12"/>
  <c r="K154" i="12" s="1"/>
  <c r="M108" i="10"/>
  <c r="P27" i="10"/>
  <c r="J139" i="12"/>
  <c r="J169" i="12" s="1"/>
  <c r="M101" i="10"/>
  <c r="J132" i="12"/>
  <c r="J162" i="12" s="1"/>
  <c r="M94" i="10"/>
  <c r="G69" i="5"/>
  <c r="J129" i="12"/>
  <c r="J159" i="12" s="1"/>
  <c r="M91" i="10"/>
  <c r="K87" i="7"/>
  <c r="J140" i="12"/>
  <c r="J170" i="12" s="1"/>
  <c r="M102" i="10"/>
  <c r="J136" i="12"/>
  <c r="J166" i="12" s="1"/>
  <c r="M98" i="10"/>
  <c r="J144" i="12"/>
  <c r="J174" i="12" s="1"/>
  <c r="M106" i="10"/>
  <c r="J141" i="12"/>
  <c r="J171" i="12" s="1"/>
  <c r="M103" i="10"/>
  <c r="O90" i="12"/>
  <c r="Y90" i="12" s="1"/>
  <c r="O89" i="12"/>
  <c r="N69" i="2"/>
  <c r="O45" i="2"/>
  <c r="N70" i="2"/>
  <c r="F144" i="7"/>
  <c r="G144" i="7" s="1"/>
  <c r="M88" i="10"/>
  <c r="P88" i="10" s="1"/>
  <c r="F153" i="7"/>
  <c r="G153" i="7" s="1"/>
  <c r="M43" i="10"/>
  <c r="O17" i="12"/>
  <c r="O101" i="12" s="1"/>
  <c r="Y101" i="12" s="1"/>
  <c r="M74" i="10"/>
  <c r="F145" i="7"/>
  <c r="G145" i="7" s="1"/>
  <c r="M47" i="10"/>
  <c r="O8" i="12"/>
  <c r="F154" i="7"/>
  <c r="G154" i="7" s="1"/>
  <c r="O16" i="12"/>
  <c r="O100" i="12" s="1"/>
  <c r="Y100" i="12" s="1"/>
  <c r="M71" i="10"/>
  <c r="M35" i="10"/>
  <c r="F157" i="7"/>
  <c r="G157" i="7" s="1"/>
  <c r="M62" i="10"/>
  <c r="O20" i="12"/>
  <c r="O48" i="12" s="1"/>
  <c r="M37" i="10"/>
  <c r="O15" i="12"/>
  <c r="O99" i="12" s="1"/>
  <c r="Y99" i="12" s="1"/>
  <c r="M34" i="10"/>
  <c r="P34" i="10" s="1"/>
  <c r="AD34" i="10" s="1"/>
  <c r="M64" i="10"/>
  <c r="M42" i="10"/>
  <c r="O10" i="12"/>
  <c r="E241" i="7"/>
  <c r="F152" i="7"/>
  <c r="G152" i="7" s="1"/>
  <c r="E243" i="7"/>
  <c r="M69" i="10"/>
  <c r="M46" i="10"/>
  <c r="E242" i="7"/>
  <c r="F156" i="7"/>
  <c r="G156" i="7" s="1"/>
  <c r="M73" i="10"/>
  <c r="O19" i="12"/>
  <c r="O7" i="12"/>
  <c r="P7" i="12" s="1"/>
  <c r="M61" i="10"/>
  <c r="P61" i="10" s="1"/>
  <c r="O24" i="2"/>
  <c r="Q137" i="20"/>
  <c r="Q165" i="20" s="1"/>
  <c r="O66" i="20"/>
  <c r="O166" i="20" s="1"/>
  <c r="R87" i="20"/>
  <c r="R169" i="20" s="1"/>
  <c r="Q88" i="20"/>
  <c r="Q170" i="20" s="1"/>
  <c r="Y22" i="12"/>
  <c r="O78" i="12"/>
  <c r="O50" i="12"/>
  <c r="O68" i="12"/>
  <c r="Y6" i="12"/>
  <c r="O62" i="12"/>
  <c r="P62" i="12" s="1"/>
  <c r="O34" i="12"/>
  <c r="P34" i="12" s="1"/>
  <c r="O67" i="12"/>
  <c r="O39" i="12"/>
  <c r="Y14" i="12"/>
  <c r="Y18" i="12"/>
  <c r="O74" i="12"/>
  <c r="O46" i="12"/>
  <c r="Y5" i="12"/>
  <c r="O33" i="12"/>
  <c r="P33" i="12" s="1"/>
  <c r="O61" i="12"/>
  <c r="P61" i="12" s="1"/>
  <c r="O25" i="12"/>
  <c r="P59" i="10"/>
  <c r="AD59" i="10" s="1"/>
  <c r="X35" i="12"/>
  <c r="X63" i="12"/>
  <c r="K77" i="2"/>
  <c r="M52" i="10"/>
  <c r="G2" i="5"/>
  <c r="G74" i="5" s="1"/>
  <c r="H4" i="5"/>
  <c r="H3" i="5"/>
  <c r="K71" i="2"/>
  <c r="X62" i="12"/>
  <c r="X34" i="12"/>
  <c r="G7" i="8"/>
  <c r="H46" i="5"/>
  <c r="H45" i="5"/>
  <c r="H38" i="1"/>
  <c r="H25" i="5" s="1"/>
  <c r="H24" i="5"/>
  <c r="H36" i="1"/>
  <c r="H23" i="5" s="1"/>
  <c r="H63" i="1"/>
  <c r="H44" i="5" s="1"/>
  <c r="H76" i="5" s="1"/>
  <c r="X36" i="12"/>
  <c r="X64" i="12"/>
  <c r="Y11" i="12" l="1"/>
  <c r="Y12" i="12"/>
  <c r="AC58" i="10"/>
  <c r="AA4" i="10"/>
  <c r="AC4" i="10" s="1"/>
  <c r="O41" i="12"/>
  <c r="O69" i="12"/>
  <c r="Y13" i="12"/>
  <c r="H75" i="5"/>
  <c r="H90" i="5"/>
  <c r="O42" i="12"/>
  <c r="O70" i="12"/>
  <c r="AE4" i="10"/>
  <c r="AG4" i="10" s="1"/>
  <c r="S48" i="2"/>
  <c r="R82" i="2"/>
  <c r="R76" i="2"/>
  <c r="S27" i="2"/>
  <c r="R81" i="2"/>
  <c r="Q46" i="2"/>
  <c r="Q25" i="2"/>
  <c r="Q75" i="2" s="1"/>
  <c r="O49" i="12"/>
  <c r="O40" i="12"/>
  <c r="Y16" i="12"/>
  <c r="O77" i="12"/>
  <c r="Y21" i="12"/>
  <c r="H70" i="5"/>
  <c r="G68" i="5"/>
  <c r="G71" i="5" s="1"/>
  <c r="H69" i="5"/>
  <c r="B49" i="2"/>
  <c r="Q61" i="12"/>
  <c r="Z61" i="12" s="1"/>
  <c r="Q60" i="12"/>
  <c r="Z60" i="12" s="1"/>
  <c r="O73" i="12"/>
  <c r="Y17" i="12"/>
  <c r="O72" i="12"/>
  <c r="Y15" i="12"/>
  <c r="O76" i="12"/>
  <c r="J123" i="12"/>
  <c r="M85" i="10"/>
  <c r="P85" i="10" s="1"/>
  <c r="AD85" i="10" s="1"/>
  <c r="AE85" i="10" s="1"/>
  <c r="O44" i="12"/>
  <c r="O45" i="12"/>
  <c r="O91" i="12"/>
  <c r="Y91" i="12" s="1"/>
  <c r="O103" i="12"/>
  <c r="Y103" i="12" s="1"/>
  <c r="Y8" i="12"/>
  <c r="O92" i="12"/>
  <c r="Y92" i="12" s="1"/>
  <c r="Y89" i="12"/>
  <c r="P89" i="12"/>
  <c r="Y20" i="12"/>
  <c r="O104" i="12"/>
  <c r="Y104" i="12" s="1"/>
  <c r="O43" i="12"/>
  <c r="Y10" i="12"/>
  <c r="O94" i="12"/>
  <c r="Y94" i="12" s="1"/>
  <c r="O109" i="12"/>
  <c r="Y109" i="12" s="1"/>
  <c r="O71" i="12"/>
  <c r="O69" i="2"/>
  <c r="P45" i="2"/>
  <c r="O70" i="2"/>
  <c r="O64" i="12"/>
  <c r="O36" i="12"/>
  <c r="F160" i="7"/>
  <c r="G160" i="7" s="1"/>
  <c r="F161" i="7"/>
  <c r="G161" i="7" s="1"/>
  <c r="M51" i="10"/>
  <c r="O24" i="12"/>
  <c r="M78" i="10"/>
  <c r="O38" i="12"/>
  <c r="O66" i="12"/>
  <c r="F162" i="7"/>
  <c r="G162" i="7" s="1"/>
  <c r="O47" i="12"/>
  <c r="M79" i="10"/>
  <c r="O23" i="12"/>
  <c r="O75" i="12"/>
  <c r="O35" i="12"/>
  <c r="P35" i="12" s="1"/>
  <c r="M77" i="10"/>
  <c r="O63" i="12"/>
  <c r="P63" i="12" s="1"/>
  <c r="Y19" i="12"/>
  <c r="M50" i="10"/>
  <c r="Y7" i="12"/>
  <c r="M53" i="10"/>
  <c r="P24" i="2"/>
  <c r="S96" i="20"/>
  <c r="S169" i="20" s="1"/>
  <c r="P75" i="20"/>
  <c r="P166" i="20" s="1"/>
  <c r="R97" i="20"/>
  <c r="R170" i="20" s="1"/>
  <c r="R146" i="20"/>
  <c r="R165" i="20" s="1"/>
  <c r="H91" i="5"/>
  <c r="M80" i="10"/>
  <c r="Y25" i="12"/>
  <c r="O53" i="12"/>
  <c r="O81" i="12"/>
  <c r="F141" i="7"/>
  <c r="G141" i="7" s="1"/>
  <c r="O4" i="12"/>
  <c r="P4" i="12" s="1"/>
  <c r="O26" i="12"/>
  <c r="F163" i="7"/>
  <c r="G163" i="7" s="1"/>
  <c r="M31" i="10"/>
  <c r="M58" i="10"/>
  <c r="F77" i="5"/>
  <c r="H2" i="5"/>
  <c r="H74" i="5" s="1"/>
  <c r="L77" i="2"/>
  <c r="I4" i="5"/>
  <c r="I3" i="5"/>
  <c r="I5" i="5"/>
  <c r="I80" i="5" s="1"/>
  <c r="L71" i="2"/>
  <c r="I63" i="1"/>
  <c r="I44" i="5" s="1"/>
  <c r="I46" i="5"/>
  <c r="I45" i="5"/>
  <c r="I38" i="1"/>
  <c r="I25" i="5" s="1"/>
  <c r="I24" i="5"/>
  <c r="I47" i="5"/>
  <c r="I82" i="5" s="1"/>
  <c r="I39" i="1"/>
  <c r="I26" i="5" s="1"/>
  <c r="I81" i="5" s="1"/>
  <c r="I36" i="1"/>
  <c r="I23" i="5" s="1"/>
  <c r="I75" i="5" l="1"/>
  <c r="I76" i="5"/>
  <c r="T48" i="2"/>
  <c r="S82" i="2"/>
  <c r="S76" i="2"/>
  <c r="T27" i="2"/>
  <c r="S81" i="2"/>
  <c r="R46" i="2"/>
  <c r="R25" i="2"/>
  <c r="R75" i="2" s="1"/>
  <c r="AA86" i="10"/>
  <c r="AC86" i="10" s="1"/>
  <c r="Q89" i="12" s="1"/>
  <c r="R88" i="12"/>
  <c r="I70" i="5"/>
  <c r="H68" i="5"/>
  <c r="H71" i="5" s="1"/>
  <c r="I69" i="5"/>
  <c r="Q4" i="12"/>
  <c r="Z4" i="12" s="1"/>
  <c r="B50" i="2"/>
  <c r="K123" i="12"/>
  <c r="K153" i="12" s="1"/>
  <c r="J153" i="12"/>
  <c r="H83" i="5"/>
  <c r="O88" i="12"/>
  <c r="O110" i="12"/>
  <c r="Y110" i="12" s="1"/>
  <c r="O82" i="12"/>
  <c r="O107" i="12"/>
  <c r="Y107" i="12" s="1"/>
  <c r="O108" i="12"/>
  <c r="Y108" i="12" s="1"/>
  <c r="M123" i="12"/>
  <c r="I90" i="5"/>
  <c r="P69" i="2"/>
  <c r="Q45" i="2"/>
  <c r="P70" i="2"/>
  <c r="O52" i="12"/>
  <c r="Y24" i="12"/>
  <c r="O80" i="12"/>
  <c r="Y23" i="12"/>
  <c r="O51" i="12"/>
  <c r="O79" i="12"/>
  <c r="M54" i="10"/>
  <c r="M81" i="10"/>
  <c r="I91" i="5"/>
  <c r="Q24" i="2"/>
  <c r="S106" i="20"/>
  <c r="S170" i="20" s="1"/>
  <c r="Q84" i="20"/>
  <c r="Q166" i="20" s="1"/>
  <c r="S155" i="20"/>
  <c r="S165" i="20" s="1"/>
  <c r="T105" i="20"/>
  <c r="T169" i="20" s="1"/>
  <c r="O54" i="12"/>
  <c r="O60" i="12"/>
  <c r="P60" i="12" s="1"/>
  <c r="O32" i="12"/>
  <c r="P32" i="12" s="1"/>
  <c r="P31" i="10"/>
  <c r="Y26" i="12"/>
  <c r="P58" i="10"/>
  <c r="AD58" i="10" s="1"/>
  <c r="AE58" i="10" s="1"/>
  <c r="Y4" i="12"/>
  <c r="G77" i="5"/>
  <c r="I2" i="5"/>
  <c r="I74" i="5" s="1"/>
  <c r="J4" i="5"/>
  <c r="J3" i="5"/>
  <c r="J6" i="5"/>
  <c r="J5" i="5"/>
  <c r="M77" i="2"/>
  <c r="M71" i="2"/>
  <c r="J47" i="5"/>
  <c r="J39" i="1"/>
  <c r="J26" i="5" s="1"/>
  <c r="J36" i="1"/>
  <c r="J23" i="5" s="1"/>
  <c r="J46" i="5"/>
  <c r="J38" i="1"/>
  <c r="J25" i="5" s="1"/>
  <c r="J45" i="5"/>
  <c r="J24" i="5"/>
  <c r="J48" i="5"/>
  <c r="J82" i="5" s="1"/>
  <c r="J40" i="1"/>
  <c r="J27" i="5" s="1"/>
  <c r="J63" i="1"/>
  <c r="J44" i="5" s="1"/>
  <c r="J81" i="5" l="1"/>
  <c r="J75" i="5"/>
  <c r="J80" i="5"/>
  <c r="J76" i="5"/>
  <c r="U48" i="2"/>
  <c r="T76" i="2"/>
  <c r="T82" i="2"/>
  <c r="U27" i="2"/>
  <c r="T81" i="2"/>
  <c r="AE86" i="10"/>
  <c r="S46" i="2"/>
  <c r="S25" i="2"/>
  <c r="S75" i="2" s="1"/>
  <c r="AA87" i="10"/>
  <c r="AC87" i="10" s="1"/>
  <c r="Q90" i="12" s="1"/>
  <c r="R89" i="12"/>
  <c r="J69" i="5"/>
  <c r="J70" i="5"/>
  <c r="I68" i="5"/>
  <c r="I71" i="5" s="1"/>
  <c r="R4" i="12"/>
  <c r="L123" i="12"/>
  <c r="L153" i="12" s="1"/>
  <c r="Z88" i="12"/>
  <c r="B51" i="2"/>
  <c r="P88" i="12"/>
  <c r="Y88" i="12"/>
  <c r="R45" i="2"/>
  <c r="Q70" i="2"/>
  <c r="Q69" i="2"/>
  <c r="J90" i="5"/>
  <c r="J91" i="5"/>
  <c r="R24" i="2"/>
  <c r="J92" i="5"/>
  <c r="U114" i="20"/>
  <c r="U169" i="20" s="1"/>
  <c r="R93" i="20"/>
  <c r="R166" i="20" s="1"/>
  <c r="T115" i="20"/>
  <c r="T170" i="20" s="1"/>
  <c r="AD31" i="10"/>
  <c r="AE31" i="10" s="1"/>
  <c r="AA59" i="10"/>
  <c r="R60" i="12"/>
  <c r="H77" i="5"/>
  <c r="I83" i="5"/>
  <c r="X37" i="12"/>
  <c r="X65" i="12"/>
  <c r="X66" i="12"/>
  <c r="X38" i="12"/>
  <c r="J2" i="5"/>
  <c r="J74" i="5" s="1"/>
  <c r="K7" i="5"/>
  <c r="K4" i="5"/>
  <c r="K5" i="5"/>
  <c r="K6" i="5"/>
  <c r="N77" i="2"/>
  <c r="N71" i="2"/>
  <c r="K48" i="5"/>
  <c r="K40" i="1"/>
  <c r="K27" i="5" s="1"/>
  <c r="K38" i="1"/>
  <c r="K25" i="5" s="1"/>
  <c r="K45" i="5"/>
  <c r="K24" i="5"/>
  <c r="K3" i="5"/>
  <c r="K49" i="5"/>
  <c r="K36" i="1"/>
  <c r="K23" i="5" s="1"/>
  <c r="K47" i="5"/>
  <c r="K41" i="1"/>
  <c r="K28" i="5" s="1"/>
  <c r="K46" i="5"/>
  <c r="K39" i="1"/>
  <c r="K26" i="5" s="1"/>
  <c r="K63" i="1"/>
  <c r="K44" i="5" s="1"/>
  <c r="K75" i="5" l="1"/>
  <c r="K76" i="5"/>
  <c r="K69" i="5"/>
  <c r="K82" i="5"/>
  <c r="V48" i="2"/>
  <c r="U82" i="2"/>
  <c r="U76" i="2"/>
  <c r="K81" i="5"/>
  <c r="V27" i="2"/>
  <c r="U81" i="2"/>
  <c r="K80" i="5"/>
  <c r="T46" i="2"/>
  <c r="T25" i="2"/>
  <c r="T75" i="2" s="1"/>
  <c r="N123" i="12"/>
  <c r="M153" i="12" s="1"/>
  <c r="AA5" i="10"/>
  <c r="Q5" i="12" s="1"/>
  <c r="Z5" i="12" s="1"/>
  <c r="B52" i="2"/>
  <c r="J68" i="5"/>
  <c r="J71" i="5" s="1"/>
  <c r="AC59" i="10"/>
  <c r="AE59" i="10" s="1"/>
  <c r="R32" i="12"/>
  <c r="K70" i="5"/>
  <c r="R69" i="2"/>
  <c r="S45" i="2"/>
  <c r="R70" i="2"/>
  <c r="K92" i="5"/>
  <c r="S24" i="2"/>
  <c r="K90" i="5"/>
  <c r="U124" i="20"/>
  <c r="U170" i="20" s="1"/>
  <c r="S102" i="20"/>
  <c r="S166" i="20" s="1"/>
  <c r="U116" i="20"/>
  <c r="K91" i="5"/>
  <c r="AA32" i="10"/>
  <c r="Q62" i="12"/>
  <c r="Z62" i="12" s="1"/>
  <c r="Y60" i="12"/>
  <c r="Y32" i="12"/>
  <c r="I77" i="5"/>
  <c r="J83" i="5"/>
  <c r="K2" i="5"/>
  <c r="K74" i="5" s="1"/>
  <c r="L7" i="5"/>
  <c r="L4" i="5"/>
  <c r="L3" i="5"/>
  <c r="L5" i="5"/>
  <c r="L8" i="5"/>
  <c r="L6" i="5"/>
  <c r="O77" i="2"/>
  <c r="O71" i="2"/>
  <c r="L63" i="1"/>
  <c r="L44" i="5" s="1"/>
  <c r="L46" i="5"/>
  <c r="L45" i="5"/>
  <c r="L38" i="1"/>
  <c r="L25" i="5" s="1"/>
  <c r="L24" i="5"/>
  <c r="L48" i="5"/>
  <c r="L40" i="1"/>
  <c r="L27" i="5" s="1"/>
  <c r="L49" i="5"/>
  <c r="L36" i="1"/>
  <c r="L23" i="5" s="1"/>
  <c r="L50" i="5"/>
  <c r="L47" i="5"/>
  <c r="L41" i="1"/>
  <c r="L28" i="5" s="1"/>
  <c r="L42" i="1"/>
  <c r="L29" i="5" s="1"/>
  <c r="L39" i="1"/>
  <c r="L26" i="5" s="1"/>
  <c r="L75" i="5" l="1"/>
  <c r="L76" i="5"/>
  <c r="L82" i="5"/>
  <c r="W48" i="2"/>
  <c r="V82" i="2"/>
  <c r="V76" i="2"/>
  <c r="L81" i="5"/>
  <c r="W27" i="2"/>
  <c r="V81" i="2"/>
  <c r="L80" i="5"/>
  <c r="K68" i="5"/>
  <c r="K71" i="5" s="1"/>
  <c r="U46" i="2"/>
  <c r="U25" i="2"/>
  <c r="U75" i="2" s="1"/>
  <c r="B53" i="2"/>
  <c r="L70" i="5"/>
  <c r="AC5" i="10"/>
  <c r="L69" i="5"/>
  <c r="S69" i="2"/>
  <c r="T45" i="2"/>
  <c r="S70" i="2"/>
  <c r="L90" i="5"/>
  <c r="L93" i="5"/>
  <c r="T24" i="2"/>
  <c r="U180" i="20"/>
  <c r="T111" i="20"/>
  <c r="T166" i="20" s="1"/>
  <c r="L91" i="5"/>
  <c r="L92" i="5"/>
  <c r="AC32" i="10"/>
  <c r="AE32" i="10" s="1"/>
  <c r="Q33" i="12"/>
  <c r="Z33" i="12" s="1"/>
  <c r="AA60" i="10"/>
  <c r="R61" i="12"/>
  <c r="K83" i="5"/>
  <c r="J77" i="5"/>
  <c r="L2" i="5"/>
  <c r="L74" i="5" s="1"/>
  <c r="M9" i="5"/>
  <c r="M4" i="5"/>
  <c r="M3" i="5"/>
  <c r="M5" i="5"/>
  <c r="M8" i="5"/>
  <c r="M6" i="5"/>
  <c r="M7" i="5"/>
  <c r="P77" i="2"/>
  <c r="P71" i="2"/>
  <c r="M63" i="1"/>
  <c r="M44" i="5" s="1"/>
  <c r="M47" i="5"/>
  <c r="M39" i="1"/>
  <c r="M26" i="5" s="1"/>
  <c r="M36" i="1"/>
  <c r="M23" i="5" s="1"/>
  <c r="M45" i="5"/>
  <c r="M24" i="5"/>
  <c r="M49" i="5"/>
  <c r="M50" i="5"/>
  <c r="M48" i="5"/>
  <c r="M41" i="1"/>
  <c r="M28" i="5" s="1"/>
  <c r="M51" i="5"/>
  <c r="M42" i="1"/>
  <c r="M29" i="5" s="1"/>
  <c r="M40" i="1"/>
  <c r="M27" i="5" s="1"/>
  <c r="M38" i="1"/>
  <c r="M25" i="5" s="1"/>
  <c r="M46" i="5"/>
  <c r="M43" i="1"/>
  <c r="M30" i="5" s="1"/>
  <c r="M75" i="5" l="1"/>
  <c r="M76" i="5"/>
  <c r="M82" i="5"/>
  <c r="X48" i="2"/>
  <c r="W82" i="2"/>
  <c r="W76" i="2"/>
  <c r="M81" i="5"/>
  <c r="X27" i="2"/>
  <c r="W81" i="2"/>
  <c r="M80" i="5"/>
  <c r="V46" i="2"/>
  <c r="V25" i="2"/>
  <c r="V75" i="2" s="1"/>
  <c r="L68" i="5"/>
  <c r="L71" i="5" s="1"/>
  <c r="M69" i="5"/>
  <c r="AE5" i="10"/>
  <c r="AG5" i="10" s="1"/>
  <c r="Z89" i="12"/>
  <c r="L124" i="12"/>
  <c r="L154" i="12" s="1"/>
  <c r="M70" i="5"/>
  <c r="AC60" i="10"/>
  <c r="B54" i="2"/>
  <c r="T69" i="2"/>
  <c r="U45" i="2"/>
  <c r="T70" i="2"/>
  <c r="M90" i="5"/>
  <c r="U24" i="2"/>
  <c r="U120" i="20"/>
  <c r="U166" i="20" s="1"/>
  <c r="Q8" i="10" s="1" a="1"/>
  <c r="M92" i="5"/>
  <c r="M93" i="5"/>
  <c r="M91" i="5"/>
  <c r="R33" i="12"/>
  <c r="AA33" i="10"/>
  <c r="Q63" i="12"/>
  <c r="Z63" i="12" s="1"/>
  <c r="L83" i="5"/>
  <c r="K77" i="5"/>
  <c r="M2" i="5"/>
  <c r="M74" i="5" s="1"/>
  <c r="N4" i="5"/>
  <c r="N3" i="5"/>
  <c r="N5" i="5"/>
  <c r="N8" i="5"/>
  <c r="N6" i="5"/>
  <c r="N10" i="5"/>
  <c r="N7" i="5"/>
  <c r="N9" i="5"/>
  <c r="Q77" i="2"/>
  <c r="Q71" i="2"/>
  <c r="N63" i="1"/>
  <c r="N44" i="5" s="1"/>
  <c r="N50" i="5"/>
  <c r="N42" i="1"/>
  <c r="N29" i="5" s="1"/>
  <c r="N52" i="5"/>
  <c r="N44" i="1"/>
  <c r="N31" i="5" s="1"/>
  <c r="N49" i="5"/>
  <c r="N41" i="1"/>
  <c r="N28" i="5" s="1"/>
  <c r="N24" i="5"/>
  <c r="N48" i="5"/>
  <c r="N36" i="1"/>
  <c r="N23" i="5" s="1"/>
  <c r="N51" i="5"/>
  <c r="N47" i="5"/>
  <c r="N40" i="1"/>
  <c r="N27" i="5" s="1"/>
  <c r="N45" i="5"/>
  <c r="N46" i="5"/>
  <c r="N30" i="5"/>
  <c r="N39" i="1"/>
  <c r="N26" i="5" s="1"/>
  <c r="N38" i="1"/>
  <c r="N25" i="5" s="1"/>
  <c r="N75" i="5" l="1"/>
  <c r="N76" i="5"/>
  <c r="N82" i="5"/>
  <c r="Y48" i="2"/>
  <c r="X82" i="2"/>
  <c r="X76" i="2"/>
  <c r="N81" i="5"/>
  <c r="Y27" i="2"/>
  <c r="X81" i="2"/>
  <c r="N80" i="5"/>
  <c r="W46" i="2"/>
  <c r="W25" i="2"/>
  <c r="W75" i="2" s="1"/>
  <c r="Q8" i="10"/>
  <c r="H127" i="12" s="1"/>
  <c r="H157" i="12" s="1"/>
  <c r="H128" i="12"/>
  <c r="H158" i="12" s="1"/>
  <c r="H129" i="12"/>
  <c r="H159" i="12" s="1"/>
  <c r="H130" i="12"/>
  <c r="H160" i="12" s="1"/>
  <c r="H141" i="12"/>
  <c r="H171" i="12" s="1"/>
  <c r="H137" i="12"/>
  <c r="H167" i="12" s="1"/>
  <c r="H136" i="12"/>
  <c r="H166" i="12" s="1"/>
  <c r="H138" i="12"/>
  <c r="H168" i="12" s="1"/>
  <c r="H144" i="12"/>
  <c r="H174" i="12" s="1"/>
  <c r="H133" i="12"/>
  <c r="H163" i="12" s="1"/>
  <c r="H139" i="12"/>
  <c r="H169" i="12" s="1"/>
  <c r="H145" i="12"/>
  <c r="H175" i="12" s="1"/>
  <c r="H142" i="12"/>
  <c r="H172" i="12" s="1"/>
  <c r="H131" i="12"/>
  <c r="H161" i="12" s="1"/>
  <c r="H143" i="12"/>
  <c r="H173" i="12" s="1"/>
  <c r="H134" i="12"/>
  <c r="H164" i="12" s="1"/>
  <c r="H140" i="12"/>
  <c r="H170" i="12" s="1"/>
  <c r="H135" i="12"/>
  <c r="H165" i="12" s="1"/>
  <c r="H132" i="12"/>
  <c r="H162" i="12" s="1"/>
  <c r="N69" i="5"/>
  <c r="B55" i="2"/>
  <c r="AA6" i="10"/>
  <c r="R5" i="12"/>
  <c r="N124" i="12"/>
  <c r="M154" i="12" s="1"/>
  <c r="M77" i="5"/>
  <c r="M68" i="5"/>
  <c r="M71" i="5" s="1"/>
  <c r="N70" i="5"/>
  <c r="U69" i="2"/>
  <c r="V45" i="2"/>
  <c r="U70" i="2"/>
  <c r="N94" i="5"/>
  <c r="V24" i="2"/>
  <c r="N90" i="5"/>
  <c r="U125" i="20"/>
  <c r="U171" i="20" s="1"/>
  <c r="N93" i="5"/>
  <c r="N91" i="5"/>
  <c r="N92" i="5"/>
  <c r="AC33" i="10"/>
  <c r="AE33" i="10" s="1"/>
  <c r="Q34" i="12"/>
  <c r="Z34" i="12" s="1"/>
  <c r="Y61" i="12"/>
  <c r="Y33" i="12"/>
  <c r="M83" i="5"/>
  <c r="L77" i="5"/>
  <c r="N2" i="5"/>
  <c r="N74" i="5" s="1"/>
  <c r="O5" i="5"/>
  <c r="O8" i="5"/>
  <c r="O6" i="5"/>
  <c r="O3" i="5"/>
  <c r="O11" i="5"/>
  <c r="O10" i="5"/>
  <c r="O4" i="5"/>
  <c r="O7" i="5"/>
  <c r="O9" i="5"/>
  <c r="R77" i="2"/>
  <c r="R71" i="2"/>
  <c r="O48" i="5"/>
  <c r="O40" i="1"/>
  <c r="O27" i="5" s="1"/>
  <c r="O49" i="5"/>
  <c r="O41" i="1"/>
  <c r="O28" i="5" s="1"/>
  <c r="O51" i="5"/>
  <c r="O43" i="1"/>
  <c r="O30" i="5" s="1"/>
  <c r="O53" i="5"/>
  <c r="O45" i="1"/>
  <c r="O32" i="5" s="1"/>
  <c r="O36" i="1"/>
  <c r="O23" i="5" s="1"/>
  <c r="O50" i="5"/>
  <c r="O47" i="5"/>
  <c r="O46" i="5"/>
  <c r="O42" i="1"/>
  <c r="O29" i="5" s="1"/>
  <c r="O39" i="1"/>
  <c r="O26" i="5" s="1"/>
  <c r="O44" i="1"/>
  <c r="O31" i="5" s="1"/>
  <c r="O38" i="1"/>
  <c r="O25" i="5" s="1"/>
  <c r="O24" i="5"/>
  <c r="O52" i="5"/>
  <c r="O45" i="5"/>
  <c r="O63" i="1"/>
  <c r="O44" i="5" s="1"/>
  <c r="O76" i="5" s="1"/>
  <c r="O75" i="5" l="1"/>
  <c r="O82" i="5"/>
  <c r="Z48" i="2"/>
  <c r="Y82" i="2"/>
  <c r="Y76" i="2"/>
  <c r="O81" i="5"/>
  <c r="Z27" i="2"/>
  <c r="Y81" i="2"/>
  <c r="O80" i="5"/>
  <c r="X46" i="2"/>
  <c r="X25" i="2"/>
  <c r="X75" i="2" s="1"/>
  <c r="N68" i="5"/>
  <c r="N71" i="5" s="1"/>
  <c r="O69" i="5"/>
  <c r="AC6" i="10"/>
  <c r="Q6" i="12"/>
  <c r="Z6" i="12" s="1"/>
  <c r="B56" i="2"/>
  <c r="O70" i="5"/>
  <c r="W45" i="2"/>
  <c r="V70" i="2"/>
  <c r="V69" i="2"/>
  <c r="O93" i="5"/>
  <c r="O90" i="5"/>
  <c r="W24" i="2"/>
  <c r="U181" i="20"/>
  <c r="O92" i="5"/>
  <c r="O91" i="5"/>
  <c r="O94" i="5"/>
  <c r="R34" i="12"/>
  <c r="AA34" i="10"/>
  <c r="N83" i="5"/>
  <c r="O2" i="5"/>
  <c r="O74" i="5" s="1"/>
  <c r="P8" i="5"/>
  <c r="P6" i="5"/>
  <c r="P12" i="5"/>
  <c r="P11" i="5"/>
  <c r="P10" i="5"/>
  <c r="P7" i="5"/>
  <c r="P9" i="5"/>
  <c r="P5" i="5"/>
  <c r="P4" i="5"/>
  <c r="P3" i="5"/>
  <c r="S77" i="2"/>
  <c r="S71" i="2"/>
  <c r="P63" i="1"/>
  <c r="P44" i="5" s="1"/>
  <c r="P54" i="5"/>
  <c r="P53" i="5"/>
  <c r="P46" i="1"/>
  <c r="P33" i="5" s="1"/>
  <c r="P45" i="1"/>
  <c r="P32" i="5" s="1"/>
  <c r="P51" i="5"/>
  <c r="P43" i="1"/>
  <c r="P30" i="5" s="1"/>
  <c r="P46" i="5"/>
  <c r="P45" i="5"/>
  <c r="P38" i="1"/>
  <c r="P25" i="5" s="1"/>
  <c r="P24" i="5"/>
  <c r="P36" i="1"/>
  <c r="P23" i="5" s="1"/>
  <c r="P50" i="5"/>
  <c r="P49" i="5"/>
  <c r="P48" i="5"/>
  <c r="P47" i="5"/>
  <c r="P41" i="1"/>
  <c r="P28" i="5" s="1"/>
  <c r="P39" i="1"/>
  <c r="P26" i="5" s="1"/>
  <c r="P42" i="1"/>
  <c r="P29" i="5" s="1"/>
  <c r="P40" i="1"/>
  <c r="P27" i="5" s="1"/>
  <c r="P52" i="5"/>
  <c r="P44" i="1"/>
  <c r="P31" i="5" s="1"/>
  <c r="P75" i="5" l="1"/>
  <c r="P76" i="5"/>
  <c r="P82" i="5"/>
  <c r="Z76" i="2"/>
  <c r="Z82" i="2"/>
  <c r="X48" i="5"/>
  <c r="X82" i="5" s="1"/>
  <c r="P81" i="5"/>
  <c r="Z81" i="2"/>
  <c r="X27" i="5"/>
  <c r="P80" i="5"/>
  <c r="Y46" i="2"/>
  <c r="Y25" i="2"/>
  <c r="Y75" i="2" s="1"/>
  <c r="P69" i="5"/>
  <c r="B57" i="2"/>
  <c r="O68" i="5"/>
  <c r="O71" i="5" s="1"/>
  <c r="P70" i="5"/>
  <c r="L125" i="12"/>
  <c r="L155" i="12" s="1"/>
  <c r="Z90" i="12"/>
  <c r="X45" i="2"/>
  <c r="W70" i="2"/>
  <c r="W69" i="2"/>
  <c r="P95" i="5"/>
  <c r="P90" i="5"/>
  <c r="X24" i="2"/>
  <c r="P93" i="5"/>
  <c r="P92" i="5"/>
  <c r="P91" i="5"/>
  <c r="P94" i="5"/>
  <c r="Q35" i="12"/>
  <c r="Z35" i="12" s="1"/>
  <c r="AC34" i="10"/>
  <c r="AE34" i="10" s="1"/>
  <c r="O83" i="5"/>
  <c r="N77" i="5"/>
  <c r="P2" i="5"/>
  <c r="P74" i="5" s="1"/>
  <c r="Q6" i="5"/>
  <c r="Q12" i="5"/>
  <c r="Q11" i="5"/>
  <c r="Q13" i="5"/>
  <c r="Q10" i="5"/>
  <c r="Q7" i="5"/>
  <c r="Q9" i="5"/>
  <c r="Q4" i="5"/>
  <c r="Q3" i="5"/>
  <c r="Q5" i="5"/>
  <c r="Q8" i="5"/>
  <c r="T77" i="2"/>
  <c r="T71" i="2"/>
  <c r="Q63" i="1"/>
  <c r="Q44" i="5" s="1"/>
  <c r="Q55" i="5"/>
  <c r="Q52" i="5"/>
  <c r="Q47" i="1"/>
  <c r="Q34" i="5" s="1"/>
  <c r="Q44" i="1"/>
  <c r="Q31" i="5" s="1"/>
  <c r="Q46" i="5"/>
  <c r="Q45" i="5"/>
  <c r="Q38" i="1"/>
  <c r="Q25" i="5" s="1"/>
  <c r="Q24" i="5"/>
  <c r="Q47" i="5"/>
  <c r="Q39" i="1"/>
  <c r="Q26" i="5" s="1"/>
  <c r="Q36" i="1"/>
  <c r="Q23" i="5" s="1"/>
  <c r="Q45" i="1"/>
  <c r="Q32" i="5" s="1"/>
  <c r="Q49" i="5"/>
  <c r="Q50" i="5"/>
  <c r="Q48" i="5"/>
  <c r="Q54" i="5"/>
  <c r="Q42" i="1"/>
  <c r="Q29" i="5" s="1"/>
  <c r="Q41" i="1"/>
  <c r="Q28" i="5" s="1"/>
  <c r="Q40" i="1"/>
  <c r="Q27" i="5" s="1"/>
  <c r="Q51" i="5"/>
  <c r="Q46" i="1"/>
  <c r="Q33" i="5" s="1"/>
  <c r="Q43" i="1"/>
  <c r="Q30" i="5" s="1"/>
  <c r="Q53" i="5"/>
  <c r="Q76" i="5" l="1"/>
  <c r="Q75" i="5"/>
  <c r="Q82" i="5"/>
  <c r="Q81" i="5"/>
  <c r="X81" i="5"/>
  <c r="X92" i="5"/>
  <c r="Q80" i="5"/>
  <c r="Z46" i="2"/>
  <c r="Z25" i="2"/>
  <c r="Z75" i="2" s="1"/>
  <c r="Q70" i="5"/>
  <c r="P77" i="5"/>
  <c r="P68" i="5"/>
  <c r="P71" i="5" s="1"/>
  <c r="Q69" i="5"/>
  <c r="B58" i="2"/>
  <c r="X69" i="2"/>
  <c r="Y45" i="2"/>
  <c r="X70" i="2"/>
  <c r="Q94" i="5"/>
  <c r="Y24" i="2"/>
  <c r="Q95" i="5"/>
  <c r="Q90" i="5"/>
  <c r="Q93" i="5"/>
  <c r="Q92" i="5"/>
  <c r="Q91" i="5"/>
  <c r="R35" i="12"/>
  <c r="AA35" i="10"/>
  <c r="Y34" i="12"/>
  <c r="Y62" i="12"/>
  <c r="P83" i="5"/>
  <c r="O77" i="5"/>
  <c r="Q2" i="5"/>
  <c r="Q74" i="5" s="1"/>
  <c r="R12" i="5"/>
  <c r="R11" i="5"/>
  <c r="R13" i="5"/>
  <c r="R10" i="5"/>
  <c r="R7" i="5"/>
  <c r="R14" i="5"/>
  <c r="R9" i="5"/>
  <c r="R4" i="5"/>
  <c r="R5" i="5"/>
  <c r="R8" i="5"/>
  <c r="R6" i="5"/>
  <c r="U77" i="2"/>
  <c r="U71" i="2"/>
  <c r="R63" i="1"/>
  <c r="R44" i="5" s="1"/>
  <c r="R49" i="5"/>
  <c r="R41" i="1"/>
  <c r="R28" i="5" s="1"/>
  <c r="R56" i="5"/>
  <c r="R47" i="5"/>
  <c r="R39" i="1"/>
  <c r="R26" i="5" s="1"/>
  <c r="R36" i="1"/>
  <c r="R23" i="5" s="1"/>
  <c r="R50" i="5"/>
  <c r="R42" i="1"/>
  <c r="R29" i="5" s="1"/>
  <c r="R48" i="5"/>
  <c r="R40" i="1"/>
  <c r="R27" i="5" s="1"/>
  <c r="R54" i="5"/>
  <c r="R51" i="5"/>
  <c r="R48" i="1"/>
  <c r="R35" i="5" s="1"/>
  <c r="R46" i="1"/>
  <c r="R33" i="5" s="1"/>
  <c r="R46" i="5"/>
  <c r="R43" i="1"/>
  <c r="R30" i="5" s="1"/>
  <c r="R52" i="5"/>
  <c r="R38" i="1"/>
  <c r="R25" i="5" s="1"/>
  <c r="R55" i="5"/>
  <c r="R45" i="5"/>
  <c r="R44" i="1"/>
  <c r="R31" i="5" s="1"/>
  <c r="R53" i="5"/>
  <c r="R47" i="1"/>
  <c r="R34" i="5" s="1"/>
  <c r="R24" i="5"/>
  <c r="R45" i="1"/>
  <c r="R32" i="5" s="1"/>
  <c r="R3" i="5"/>
  <c r="R75" i="5" l="1"/>
  <c r="R76" i="5"/>
  <c r="R82" i="5"/>
  <c r="R81" i="5"/>
  <c r="R80" i="5"/>
  <c r="X46" i="5"/>
  <c r="X25" i="5"/>
  <c r="B59" i="2"/>
  <c r="R69" i="5"/>
  <c r="R70" i="5"/>
  <c r="Q68" i="5"/>
  <c r="Q71" i="5" s="1"/>
  <c r="Y69" i="2"/>
  <c r="Z45" i="2"/>
  <c r="Y70" i="2"/>
  <c r="Z24" i="2"/>
  <c r="R90" i="5"/>
  <c r="R94" i="5"/>
  <c r="R91" i="5"/>
  <c r="R96" i="5"/>
  <c r="R92" i="5"/>
  <c r="R93" i="5"/>
  <c r="R95" i="5"/>
  <c r="AC35" i="10"/>
  <c r="Q36" i="12"/>
  <c r="Z36" i="12" s="1"/>
  <c r="Q83" i="5"/>
  <c r="R2" i="5"/>
  <c r="R74" i="5" s="1"/>
  <c r="S13" i="5"/>
  <c r="S10" i="5"/>
  <c r="S7" i="5"/>
  <c r="S14" i="5"/>
  <c r="S9" i="5"/>
  <c r="S11" i="5"/>
  <c r="S4" i="5"/>
  <c r="S3" i="5"/>
  <c r="S12" i="5"/>
  <c r="S5" i="5"/>
  <c r="S22" i="1"/>
  <c r="S15" i="5" s="1"/>
  <c r="S8" i="5"/>
  <c r="S6" i="5"/>
  <c r="V77" i="2"/>
  <c r="V71" i="2"/>
  <c r="S55" i="5"/>
  <c r="S56" i="5"/>
  <c r="S51" i="5"/>
  <c r="S48" i="1"/>
  <c r="S35" i="5" s="1"/>
  <c r="S43" i="1"/>
  <c r="S30" i="5" s="1"/>
  <c r="S57" i="5"/>
  <c r="S50" i="5"/>
  <c r="S49" i="1"/>
  <c r="S36" i="5" s="1"/>
  <c r="S42" i="1"/>
  <c r="S29" i="5" s="1"/>
  <c r="S48" i="5"/>
  <c r="S40" i="1"/>
  <c r="S27" i="5" s="1"/>
  <c r="S54" i="5"/>
  <c r="S49" i="5"/>
  <c r="S36" i="1"/>
  <c r="S23" i="5" s="1"/>
  <c r="S47" i="5"/>
  <c r="S46" i="1"/>
  <c r="S33" i="5" s="1"/>
  <c r="S41" i="1"/>
  <c r="S28" i="5" s="1"/>
  <c r="S46" i="5"/>
  <c r="S39" i="1"/>
  <c r="S26" i="5" s="1"/>
  <c r="S52" i="5"/>
  <c r="S38" i="1"/>
  <c r="S25" i="5" s="1"/>
  <c r="S45" i="5"/>
  <c r="S44" i="1"/>
  <c r="S31" i="5" s="1"/>
  <c r="S24" i="5"/>
  <c r="S53" i="5"/>
  <c r="S47" i="1"/>
  <c r="S34" i="5" s="1"/>
  <c r="S45" i="1"/>
  <c r="S32" i="5" s="1"/>
  <c r="S63" i="1"/>
  <c r="S44" i="5" s="1"/>
  <c r="S76" i="5" s="1"/>
  <c r="S75" i="5" l="1"/>
  <c r="S81" i="5"/>
  <c r="S82" i="5"/>
  <c r="S80" i="5"/>
  <c r="X91" i="5"/>
  <c r="X83" i="5"/>
  <c r="R68" i="5"/>
  <c r="R71" i="5" s="1"/>
  <c r="S69" i="5"/>
  <c r="S70" i="5"/>
  <c r="B60" i="2"/>
  <c r="X45" i="5"/>
  <c r="X76" i="5" s="1"/>
  <c r="Z70" i="2"/>
  <c r="Z69" i="2"/>
  <c r="S93" i="5"/>
  <c r="X24" i="5"/>
  <c r="X75" i="5" s="1"/>
  <c r="S92" i="5"/>
  <c r="S90" i="5"/>
  <c r="S96" i="5"/>
  <c r="S94" i="5"/>
  <c r="S95" i="5"/>
  <c r="S91" i="5"/>
  <c r="R83" i="5"/>
  <c r="Q77" i="5"/>
  <c r="S2" i="5"/>
  <c r="S74" i="5" s="1"/>
  <c r="T23" i="1"/>
  <c r="T16" i="5" s="1"/>
  <c r="T7" i="5"/>
  <c r="T10" i="5"/>
  <c r="T14" i="5"/>
  <c r="T9" i="5"/>
  <c r="T4" i="5"/>
  <c r="T3" i="5"/>
  <c r="T5" i="5"/>
  <c r="T22" i="1"/>
  <c r="T15" i="5" s="1"/>
  <c r="T8" i="5"/>
  <c r="T6" i="5"/>
  <c r="T13" i="5"/>
  <c r="T12" i="5"/>
  <c r="T11" i="5"/>
  <c r="W77" i="2"/>
  <c r="W71" i="2"/>
  <c r="T63" i="1"/>
  <c r="T44" i="5" s="1"/>
  <c r="T58" i="5"/>
  <c r="T46" i="5"/>
  <c r="T45" i="5"/>
  <c r="T38" i="1"/>
  <c r="T25" i="5" s="1"/>
  <c r="T24" i="5"/>
  <c r="T48" i="5"/>
  <c r="T40" i="1"/>
  <c r="T27" i="5" s="1"/>
  <c r="T54" i="5"/>
  <c r="T53" i="5"/>
  <c r="T46" i="1"/>
  <c r="T33" i="5" s="1"/>
  <c r="T45" i="1"/>
  <c r="T32" i="5" s="1"/>
  <c r="T57" i="5"/>
  <c r="T50" i="5"/>
  <c r="T47" i="5"/>
  <c r="T41" i="1"/>
  <c r="T28" i="5" s="1"/>
  <c r="T48" i="1"/>
  <c r="T35" i="5" s="1"/>
  <c r="T42" i="1"/>
  <c r="T29" i="5" s="1"/>
  <c r="T51" i="5"/>
  <c r="T39" i="1"/>
  <c r="T26" i="5" s="1"/>
  <c r="T56" i="5"/>
  <c r="T52" i="5"/>
  <c r="T43" i="1"/>
  <c r="T30" i="5" s="1"/>
  <c r="T50" i="1"/>
  <c r="T37" i="5" s="1"/>
  <c r="T44" i="1"/>
  <c r="T31" i="5" s="1"/>
  <c r="T55" i="5"/>
  <c r="T47" i="1"/>
  <c r="T34" i="5" s="1"/>
  <c r="T49" i="1"/>
  <c r="T36" i="5" s="1"/>
  <c r="T49" i="5"/>
  <c r="T36" i="1"/>
  <c r="T23" i="5" s="1"/>
  <c r="T75" i="5" l="1"/>
  <c r="T76" i="5"/>
  <c r="T82" i="5"/>
  <c r="T81" i="5"/>
  <c r="T80" i="5"/>
  <c r="B61" i="2"/>
  <c r="T69" i="5"/>
  <c r="S68" i="5"/>
  <c r="S71" i="5" s="1"/>
  <c r="X77" i="5"/>
  <c r="X69" i="5"/>
  <c r="X70" i="5"/>
  <c r="T70" i="5"/>
  <c r="Z77" i="2"/>
  <c r="T93" i="5"/>
  <c r="Z71" i="2"/>
  <c r="X90" i="5"/>
  <c r="T92" i="5"/>
  <c r="T90" i="5"/>
  <c r="T94" i="5"/>
  <c r="T97" i="5"/>
  <c r="T91" i="5"/>
  <c r="T95" i="5"/>
  <c r="T96" i="5"/>
  <c r="Y63" i="12"/>
  <c r="Y35" i="12"/>
  <c r="S83" i="5"/>
  <c r="R77" i="5"/>
  <c r="T2" i="5"/>
  <c r="T74" i="5" s="1"/>
  <c r="U14" i="5"/>
  <c r="U9" i="5"/>
  <c r="U4" i="5"/>
  <c r="U3" i="5"/>
  <c r="U5" i="5"/>
  <c r="U22" i="1"/>
  <c r="U15" i="5" s="1"/>
  <c r="U8" i="5"/>
  <c r="U24" i="1"/>
  <c r="U17" i="5" s="1"/>
  <c r="U6" i="5"/>
  <c r="U12" i="5"/>
  <c r="U11" i="5"/>
  <c r="U13" i="5"/>
  <c r="U10" i="5"/>
  <c r="U23" i="1"/>
  <c r="U16" i="5" s="1"/>
  <c r="U7" i="5"/>
  <c r="X77" i="2"/>
  <c r="X71" i="2"/>
  <c r="U56" i="5"/>
  <c r="U47" i="5"/>
  <c r="U39" i="1"/>
  <c r="U26" i="5" s="1"/>
  <c r="U36" i="1"/>
  <c r="U23" i="5" s="1"/>
  <c r="U57" i="5"/>
  <c r="U54" i="5"/>
  <c r="U53" i="5"/>
  <c r="U46" i="1"/>
  <c r="U33" i="5" s="1"/>
  <c r="U45" i="1"/>
  <c r="U32" i="5" s="1"/>
  <c r="U55" i="5"/>
  <c r="U52" i="5"/>
  <c r="U47" i="1"/>
  <c r="U34" i="5" s="1"/>
  <c r="U44" i="1"/>
  <c r="U31" i="5" s="1"/>
  <c r="U51" i="5"/>
  <c r="U48" i="1"/>
  <c r="U35" i="5" s="1"/>
  <c r="U42" i="1"/>
  <c r="U29" i="5" s="1"/>
  <c r="U40" i="1"/>
  <c r="U27" i="5" s="1"/>
  <c r="U46" i="5"/>
  <c r="U51" i="1"/>
  <c r="U38" i="5" s="1"/>
  <c r="U43" i="1"/>
  <c r="U30" i="5" s="1"/>
  <c r="U59" i="5"/>
  <c r="U50" i="1"/>
  <c r="U37" i="5" s="1"/>
  <c r="U38" i="1"/>
  <c r="U25" i="5" s="1"/>
  <c r="U45" i="5"/>
  <c r="U24" i="5"/>
  <c r="U48" i="5"/>
  <c r="U49" i="1"/>
  <c r="U36" i="5" s="1"/>
  <c r="U50" i="5"/>
  <c r="U58" i="5"/>
  <c r="U49" i="5"/>
  <c r="U41" i="1"/>
  <c r="U28" i="5" s="1"/>
  <c r="U63" i="1"/>
  <c r="U44" i="5" s="1"/>
  <c r="U76" i="5" s="1"/>
  <c r="U75" i="5" l="1"/>
  <c r="U81" i="5"/>
  <c r="U82" i="5"/>
  <c r="U80" i="5"/>
  <c r="T77" i="5"/>
  <c r="T68" i="5"/>
  <c r="T71" i="5" s="1"/>
  <c r="U69" i="5"/>
  <c r="X71" i="5"/>
  <c r="U70" i="5"/>
  <c r="B62" i="2"/>
  <c r="U90" i="5"/>
  <c r="U91" i="5"/>
  <c r="U95" i="5"/>
  <c r="U97" i="5"/>
  <c r="U92" i="5"/>
  <c r="U96" i="5"/>
  <c r="U93" i="5"/>
  <c r="U94" i="5"/>
  <c r="T83" i="5"/>
  <c r="S77" i="5"/>
  <c r="U2" i="5"/>
  <c r="U74" i="5" s="1"/>
  <c r="V4" i="5"/>
  <c r="V3" i="5"/>
  <c r="V25" i="1"/>
  <c r="V18" i="5" s="1"/>
  <c r="V5" i="5"/>
  <c r="V22" i="1"/>
  <c r="V15" i="5" s="1"/>
  <c r="V8" i="5"/>
  <c r="V24" i="1"/>
  <c r="V17" i="5" s="1"/>
  <c r="V6" i="5"/>
  <c r="V12" i="5"/>
  <c r="V11" i="5"/>
  <c r="V14" i="5"/>
  <c r="V13" i="5"/>
  <c r="V10" i="5"/>
  <c r="V23" i="1"/>
  <c r="V16" i="5" s="1"/>
  <c r="V7" i="5"/>
  <c r="V9" i="5"/>
  <c r="Y77" i="2"/>
  <c r="Y71" i="2"/>
  <c r="V57" i="5"/>
  <c r="V50" i="5"/>
  <c r="V49" i="1"/>
  <c r="V36" i="5" s="1"/>
  <c r="V42" i="1"/>
  <c r="V29" i="5" s="1"/>
  <c r="V55" i="5"/>
  <c r="V52" i="5"/>
  <c r="V47" i="1"/>
  <c r="V34" i="5" s="1"/>
  <c r="V44" i="1"/>
  <c r="V31" i="5" s="1"/>
  <c r="V58" i="5"/>
  <c r="V49" i="5"/>
  <c r="V50" i="1"/>
  <c r="V37" i="5" s="1"/>
  <c r="V41" i="1"/>
  <c r="V28" i="5" s="1"/>
  <c r="V46" i="5"/>
  <c r="V51" i="1"/>
  <c r="V38" i="5" s="1"/>
  <c r="V46" i="1"/>
  <c r="V33" i="5" s="1"/>
  <c r="V43" i="1"/>
  <c r="V30" i="5" s="1"/>
  <c r="V39" i="1"/>
  <c r="V26" i="5" s="1"/>
  <c r="V59" i="5"/>
  <c r="V38" i="1"/>
  <c r="V25" i="5" s="1"/>
  <c r="V56" i="5"/>
  <c r="V45" i="5"/>
  <c r="V24" i="5"/>
  <c r="V53" i="5"/>
  <c r="V45" i="1"/>
  <c r="V32" i="5" s="1"/>
  <c r="V51" i="5"/>
  <c r="V40" i="1"/>
  <c r="V27" i="5" s="1"/>
  <c r="V54" i="5"/>
  <c r="V47" i="5"/>
  <c r="V48" i="1"/>
  <c r="V35" i="5" s="1"/>
  <c r="V48" i="5"/>
  <c r="V36" i="1"/>
  <c r="V23" i="5" s="1"/>
  <c r="V60" i="5"/>
  <c r="V52" i="1"/>
  <c r="V39" i="5" s="1"/>
  <c r="W63" i="1"/>
  <c r="W44" i="5" s="1"/>
  <c r="V63" i="1"/>
  <c r="V44" i="5" s="1"/>
  <c r="V76" i="5" s="1"/>
  <c r="V75" i="5" l="1"/>
  <c r="V82" i="5"/>
  <c r="V81" i="5"/>
  <c r="V80" i="5"/>
  <c r="B63" i="2"/>
  <c r="V69" i="5"/>
  <c r="V70" i="5"/>
  <c r="U77" i="5"/>
  <c r="U68" i="5"/>
  <c r="U71" i="5" s="1"/>
  <c r="V96" i="5"/>
  <c r="V90" i="5"/>
  <c r="V98" i="5"/>
  <c r="V91" i="5"/>
  <c r="V97" i="5"/>
  <c r="V92" i="5"/>
  <c r="V95" i="5"/>
  <c r="V93" i="5"/>
  <c r="V94" i="5"/>
  <c r="U83" i="5"/>
  <c r="V2" i="5"/>
  <c r="V74" i="5" s="1"/>
  <c r="W26" i="1"/>
  <c r="W19" i="5" s="1"/>
  <c r="W25" i="1"/>
  <c r="W18" i="5" s="1"/>
  <c r="W5" i="5"/>
  <c r="W22" i="1"/>
  <c r="W15" i="5" s="1"/>
  <c r="W8" i="5"/>
  <c r="W24" i="1"/>
  <c r="W17" i="5" s="1"/>
  <c r="W6" i="5"/>
  <c r="W12" i="5"/>
  <c r="W11" i="5"/>
  <c r="W4" i="5"/>
  <c r="W13" i="5"/>
  <c r="W10" i="5"/>
  <c r="W23" i="1"/>
  <c r="W16" i="5" s="1"/>
  <c r="W7" i="5"/>
  <c r="W14" i="5"/>
  <c r="W9" i="5"/>
  <c r="W3" i="5"/>
  <c r="W48" i="5"/>
  <c r="W51" i="1"/>
  <c r="W38" i="5" s="1"/>
  <c r="W40" i="1"/>
  <c r="W27" i="5" s="1"/>
  <c r="W58" i="5"/>
  <c r="W49" i="5"/>
  <c r="W50" i="1"/>
  <c r="W37" i="5" s="1"/>
  <c r="W41" i="1"/>
  <c r="W28" i="5" s="1"/>
  <c r="W56" i="5"/>
  <c r="W51" i="5"/>
  <c r="W48" i="1"/>
  <c r="W35" i="5" s="1"/>
  <c r="W43" i="1"/>
  <c r="W30" i="5" s="1"/>
  <c r="W38" i="1"/>
  <c r="W25" i="5" s="1"/>
  <c r="W52" i="5"/>
  <c r="W45" i="5"/>
  <c r="W44" i="1"/>
  <c r="W31" i="5" s="1"/>
  <c r="W24" i="5"/>
  <c r="W55" i="5"/>
  <c r="W53" i="5"/>
  <c r="W47" i="1"/>
  <c r="W34" i="5" s="1"/>
  <c r="W49" i="1"/>
  <c r="W36" i="5" s="1"/>
  <c r="W45" i="1"/>
  <c r="W32" i="5" s="1"/>
  <c r="W61" i="5"/>
  <c r="W57" i="5"/>
  <c r="W46" i="5"/>
  <c r="W46" i="1"/>
  <c r="W33" i="5" s="1"/>
  <c r="W53" i="1"/>
  <c r="W40" i="5" s="1"/>
  <c r="W36" i="1"/>
  <c r="W23" i="5" s="1"/>
  <c r="W60" i="5"/>
  <c r="W42" i="1"/>
  <c r="W29" i="5" s="1"/>
  <c r="W39" i="1"/>
  <c r="W26" i="5" s="1"/>
  <c r="W54" i="5"/>
  <c r="W50" i="5"/>
  <c r="W47" i="5"/>
  <c r="W52" i="1"/>
  <c r="W39" i="5" s="1"/>
  <c r="W59" i="5"/>
  <c r="W75" i="5" l="1"/>
  <c r="W76" i="5"/>
  <c r="W82" i="5"/>
  <c r="Y6" i="10" s="1" a="1"/>
  <c r="W81" i="5"/>
  <c r="X6" i="10" s="1" a="1"/>
  <c r="W80" i="5"/>
  <c r="W6" i="10" s="1" a="1"/>
  <c r="W69" i="5"/>
  <c r="V77" i="5"/>
  <c r="V68" i="5"/>
  <c r="V71" i="5" s="1"/>
  <c r="B64" i="2"/>
  <c r="X83" i="2"/>
  <c r="V90" i="2"/>
  <c r="AA142" i="7" s="1"/>
  <c r="V83" i="2"/>
  <c r="X90" i="2"/>
  <c r="AC142" i="7" s="1"/>
  <c r="Z83" i="2"/>
  <c r="Z90" i="2"/>
  <c r="T83" i="2"/>
  <c r="W70" i="5"/>
  <c r="W90" i="5"/>
  <c r="W94" i="5"/>
  <c r="W91" i="5"/>
  <c r="W98" i="5"/>
  <c r="W95" i="5"/>
  <c r="W96" i="5"/>
  <c r="W92" i="5"/>
  <c r="W97" i="5"/>
  <c r="W93" i="5"/>
  <c r="Y64" i="12"/>
  <c r="Y36" i="12"/>
  <c r="V83" i="5"/>
  <c r="W2" i="5"/>
  <c r="W74" i="5" s="1"/>
  <c r="Z7" i="10" l="1"/>
  <c r="G101" i="5" a="1"/>
  <c r="G101" i="5" s="1"/>
  <c r="W6" i="10"/>
  <c r="W60" i="10" s="1"/>
  <c r="I126" i="12"/>
  <c r="I127" i="12"/>
  <c r="I157" i="12" s="1"/>
  <c r="I135" i="12"/>
  <c r="I143" i="12"/>
  <c r="W90" i="10"/>
  <c r="W98" i="10"/>
  <c r="W106" i="10"/>
  <c r="W61" i="10"/>
  <c r="W69" i="10"/>
  <c r="W77" i="10"/>
  <c r="W40" i="10"/>
  <c r="W48" i="10"/>
  <c r="W62" i="10"/>
  <c r="W70" i="10"/>
  <c r="W78" i="10"/>
  <c r="W41" i="10"/>
  <c r="W49" i="10"/>
  <c r="W64" i="10"/>
  <c r="W43" i="10"/>
  <c r="W97" i="10"/>
  <c r="W68" i="10"/>
  <c r="I128" i="12"/>
  <c r="I136" i="12"/>
  <c r="I144" i="12"/>
  <c r="W91" i="10"/>
  <c r="W99" i="10"/>
  <c r="W107" i="10"/>
  <c r="I129" i="12"/>
  <c r="I137" i="12"/>
  <c r="I145" i="12"/>
  <c r="W92" i="10"/>
  <c r="W100" i="10"/>
  <c r="W108" i="10"/>
  <c r="W63" i="10"/>
  <c r="W71" i="10"/>
  <c r="W79" i="10"/>
  <c r="W34" i="10"/>
  <c r="W42" i="10"/>
  <c r="W50" i="10"/>
  <c r="I130" i="12"/>
  <c r="I138" i="12"/>
  <c r="W93" i="10"/>
  <c r="W101" i="10"/>
  <c r="W72" i="10"/>
  <c r="W80" i="10"/>
  <c r="W35" i="10"/>
  <c r="W51" i="10"/>
  <c r="W105" i="10"/>
  <c r="W76" i="10"/>
  <c r="I131" i="12"/>
  <c r="I139" i="12"/>
  <c r="W94" i="10"/>
  <c r="W102" i="10"/>
  <c r="W65" i="10"/>
  <c r="W73" i="10"/>
  <c r="W81" i="10"/>
  <c r="W36" i="10"/>
  <c r="W44" i="10"/>
  <c r="W52" i="10"/>
  <c r="I141" i="12"/>
  <c r="W96" i="10"/>
  <c r="W104" i="10"/>
  <c r="W67" i="10"/>
  <c r="W38" i="10"/>
  <c r="W46" i="10"/>
  <c r="W54" i="10"/>
  <c r="I134" i="12"/>
  <c r="W89" i="10"/>
  <c r="W47" i="10"/>
  <c r="I132" i="12"/>
  <c r="I140" i="12"/>
  <c r="W95" i="10"/>
  <c r="W103" i="10"/>
  <c r="W66" i="10"/>
  <c r="W74" i="10"/>
  <c r="W37" i="10"/>
  <c r="W45" i="10"/>
  <c r="W53" i="10"/>
  <c r="I133" i="12"/>
  <c r="W88" i="10"/>
  <c r="W75" i="10"/>
  <c r="I142" i="12"/>
  <c r="W39" i="10"/>
  <c r="AD7" i="10"/>
  <c r="Z9" i="10"/>
  <c r="Z23" i="10"/>
  <c r="Z14" i="10"/>
  <c r="Z21" i="10"/>
  <c r="Z13" i="10"/>
  <c r="Z25" i="10"/>
  <c r="Z20" i="10"/>
  <c r="Z12" i="10"/>
  <c r="Z22" i="10"/>
  <c r="Z8" i="10"/>
  <c r="Z16" i="10"/>
  <c r="Z18" i="10"/>
  <c r="Z19" i="10"/>
  <c r="Z10" i="10"/>
  <c r="Z17" i="10"/>
  <c r="Z24" i="10"/>
  <c r="Z11" i="10"/>
  <c r="Z15" i="10"/>
  <c r="X6" i="10"/>
  <c r="X33" i="10" s="1"/>
  <c r="X88" i="10"/>
  <c r="X96" i="10"/>
  <c r="X104" i="10"/>
  <c r="X67" i="10"/>
  <c r="X75" i="10"/>
  <c r="X38" i="10"/>
  <c r="X46" i="10"/>
  <c r="X54" i="10"/>
  <c r="X68" i="10"/>
  <c r="X76" i="10"/>
  <c r="X39" i="10"/>
  <c r="X47" i="10"/>
  <c r="X49" i="10"/>
  <c r="X95" i="10"/>
  <c r="X53" i="10"/>
  <c r="X89" i="10"/>
  <c r="X97" i="10"/>
  <c r="X105" i="10"/>
  <c r="X90" i="10"/>
  <c r="X98" i="10"/>
  <c r="X106" i="10"/>
  <c r="X61" i="10"/>
  <c r="X69" i="10"/>
  <c r="X77" i="10"/>
  <c r="X40" i="10"/>
  <c r="X48" i="10"/>
  <c r="X91" i="10"/>
  <c r="X99" i="10"/>
  <c r="X107" i="10"/>
  <c r="X62" i="10"/>
  <c r="X70" i="10"/>
  <c r="X78" i="10"/>
  <c r="X41" i="10"/>
  <c r="X66" i="10"/>
  <c r="X45" i="10"/>
  <c r="X92" i="10"/>
  <c r="X100" i="10"/>
  <c r="X108" i="10"/>
  <c r="X63" i="10"/>
  <c r="X71" i="10"/>
  <c r="X79" i="10"/>
  <c r="X34" i="10"/>
  <c r="X42" i="10"/>
  <c r="X50" i="10"/>
  <c r="X94" i="10"/>
  <c r="X102" i="10"/>
  <c r="X65" i="10"/>
  <c r="X81" i="10"/>
  <c r="X36" i="10"/>
  <c r="X52" i="10"/>
  <c r="X74" i="10"/>
  <c r="X37" i="10"/>
  <c r="X93" i="10"/>
  <c r="X101" i="10"/>
  <c r="X64" i="10"/>
  <c r="X72" i="10"/>
  <c r="X80" i="10"/>
  <c r="X35" i="10"/>
  <c r="X43" i="10"/>
  <c r="X51" i="10"/>
  <c r="X73" i="10"/>
  <c r="X44" i="10"/>
  <c r="X103" i="10"/>
  <c r="Y6" i="10"/>
  <c r="Y60" i="10" s="1"/>
  <c r="Y93" i="10"/>
  <c r="Y101" i="10"/>
  <c r="Y64" i="10"/>
  <c r="Y72" i="10"/>
  <c r="Y80" i="10"/>
  <c r="Y36" i="10"/>
  <c r="Y44" i="10"/>
  <c r="Y52" i="10"/>
  <c r="Y37" i="10"/>
  <c r="Y45" i="10"/>
  <c r="Y53" i="10"/>
  <c r="Y39" i="10"/>
  <c r="Y79" i="10"/>
  <c r="Y51" i="10"/>
  <c r="Y108" i="10"/>
  <c r="Y94" i="10"/>
  <c r="Y102" i="10"/>
  <c r="Y65" i="10"/>
  <c r="Y73" i="10"/>
  <c r="Y95" i="10"/>
  <c r="Y103" i="10"/>
  <c r="Y66" i="10"/>
  <c r="Y74" i="10"/>
  <c r="Y38" i="10"/>
  <c r="Y46" i="10"/>
  <c r="Y54" i="10"/>
  <c r="Y88" i="10"/>
  <c r="Y96" i="10"/>
  <c r="Y104" i="10"/>
  <c r="Y81" i="10"/>
  <c r="Y67" i="10"/>
  <c r="Y75" i="10"/>
  <c r="Y47" i="10"/>
  <c r="Y89" i="10"/>
  <c r="Y97" i="10"/>
  <c r="Y105" i="10"/>
  <c r="Y68" i="10"/>
  <c r="Y76" i="10"/>
  <c r="Y40" i="10"/>
  <c r="Y48" i="10"/>
  <c r="Y91" i="10"/>
  <c r="Y99" i="10"/>
  <c r="Y107" i="10"/>
  <c r="Y62" i="10"/>
  <c r="Y78" i="10"/>
  <c r="Y34" i="10"/>
  <c r="Y50" i="10"/>
  <c r="Y100" i="10"/>
  <c r="Y63" i="10"/>
  <c r="Y35" i="10"/>
  <c r="Y90" i="10"/>
  <c r="Y98" i="10"/>
  <c r="Y106" i="10"/>
  <c r="Y61" i="10"/>
  <c r="Y69" i="10"/>
  <c r="Y77" i="10"/>
  <c r="Y41" i="10"/>
  <c r="Y49" i="10"/>
  <c r="Y70" i="10"/>
  <c r="Y42" i="10"/>
  <c r="Y92" i="10"/>
  <c r="Y71" i="10"/>
  <c r="Y43" i="10"/>
  <c r="L95" i="2"/>
  <c r="H90" i="2"/>
  <c r="I90" i="2"/>
  <c r="N142" i="7" s="1"/>
  <c r="J97" i="2"/>
  <c r="H93" i="2"/>
  <c r="U96" i="2"/>
  <c r="P95" i="2"/>
  <c r="H91" i="2"/>
  <c r="K93" i="2"/>
  <c r="J90" i="2"/>
  <c r="O142" i="7" s="1"/>
  <c r="U98" i="2"/>
  <c r="K90" i="2"/>
  <c r="P142" i="7" s="1"/>
  <c r="N98" i="2"/>
  <c r="P99" i="2"/>
  <c r="V98" i="2"/>
  <c r="E83" i="2"/>
  <c r="K83" i="2"/>
  <c r="H96" i="2"/>
  <c r="F83" i="2"/>
  <c r="Y96" i="2"/>
  <c r="S98" i="2"/>
  <c r="D77" i="2"/>
  <c r="V97" i="2"/>
  <c r="O98" i="2"/>
  <c r="T91" i="2"/>
  <c r="L93" i="2"/>
  <c r="J83" i="2"/>
  <c r="H83" i="2"/>
  <c r="I94" i="2"/>
  <c r="Z92" i="2"/>
  <c r="G83" i="2"/>
  <c r="X97" i="2"/>
  <c r="L94" i="2"/>
  <c r="U97" i="2"/>
  <c r="I83" i="2"/>
  <c r="J93" i="2"/>
  <c r="S96" i="2"/>
  <c r="O91" i="2"/>
  <c r="Q91" i="2"/>
  <c r="H94" i="2"/>
  <c r="Z95" i="2"/>
  <c r="J96" i="2"/>
  <c r="R92" i="2"/>
  <c r="Y97" i="2"/>
  <c r="P96" i="2"/>
  <c r="S95" i="2"/>
  <c r="D83" i="2"/>
  <c r="U95" i="2"/>
  <c r="L91" i="2"/>
  <c r="W97" i="2"/>
  <c r="L90" i="2"/>
  <c r="Q142" i="7" s="1"/>
  <c r="M99" i="2"/>
  <c r="W96" i="2"/>
  <c r="M93" i="2"/>
  <c r="T92" i="2"/>
  <c r="Z94" i="2"/>
  <c r="X92" i="2"/>
  <c r="N91" i="2"/>
  <c r="T96" i="2"/>
  <c r="K99" i="2"/>
  <c r="X91" i="2"/>
  <c r="M83" i="2"/>
  <c r="L83" i="2"/>
  <c r="U94" i="2"/>
  <c r="S92" i="2"/>
  <c r="M95" i="2"/>
  <c r="Z97" i="2"/>
  <c r="X95" i="2"/>
  <c r="Q99" i="2"/>
  <c r="X99" i="2"/>
  <c r="S97" i="2"/>
  <c r="X98" i="2"/>
  <c r="Y98" i="2"/>
  <c r="V91" i="2"/>
  <c r="J98" i="2"/>
  <c r="Y92" i="2"/>
  <c r="J99" i="2"/>
  <c r="K96" i="2"/>
  <c r="P92" i="2"/>
  <c r="U99" i="2"/>
  <c r="H98" i="2"/>
  <c r="Q94" i="2"/>
  <c r="I97" i="2"/>
  <c r="N92" i="2"/>
  <c r="R96" i="2"/>
  <c r="W93" i="2"/>
  <c r="V94" i="2"/>
  <c r="S91" i="2"/>
  <c r="M97" i="2"/>
  <c r="I99" i="2"/>
  <c r="S99" i="2"/>
  <c r="O94" i="2"/>
  <c r="Q96" i="2"/>
  <c r="W98" i="2"/>
  <c r="K95" i="2"/>
  <c r="M98" i="2"/>
  <c r="O97" i="2"/>
  <c r="X94" i="2"/>
  <c r="N93" i="2"/>
  <c r="Y99" i="2"/>
  <c r="L99" i="2"/>
  <c r="T99" i="2"/>
  <c r="Z99" i="2"/>
  <c r="N96" i="2"/>
  <c r="Y95" i="2"/>
  <c r="S94" i="2"/>
  <c r="P91" i="2"/>
  <c r="I93" i="2"/>
  <c r="L97" i="2"/>
  <c r="T95" i="2"/>
  <c r="N97" i="2"/>
  <c r="O92" i="2"/>
  <c r="W91" i="2"/>
  <c r="J92" i="2"/>
  <c r="M90" i="2"/>
  <c r="R142" i="7" s="1"/>
  <c r="K92" i="2"/>
  <c r="O99" i="2"/>
  <c r="V96" i="2"/>
  <c r="Q92" i="2"/>
  <c r="J95" i="2"/>
  <c r="R94" i="2"/>
  <c r="P93" i="2"/>
  <c r="W99" i="2"/>
  <c r="V99" i="2"/>
  <c r="K94" i="2"/>
  <c r="L92" i="2"/>
  <c r="O93" i="2"/>
  <c r="R99" i="2"/>
  <c r="H97" i="2"/>
  <c r="Z98" i="2"/>
  <c r="H95" i="2"/>
  <c r="Q93" i="2"/>
  <c r="Q97" i="2"/>
  <c r="R91" i="2"/>
  <c r="M92" i="2"/>
  <c r="Y93" i="2"/>
  <c r="U91" i="2"/>
  <c r="Q95" i="2"/>
  <c r="I95" i="2"/>
  <c r="Z96" i="2"/>
  <c r="W94" i="2"/>
  <c r="P97" i="2"/>
  <c r="J94" i="2"/>
  <c r="I98" i="2"/>
  <c r="X93" i="2"/>
  <c r="X96" i="2"/>
  <c r="N94" i="2"/>
  <c r="R97" i="2"/>
  <c r="R93" i="2"/>
  <c r="O95" i="2"/>
  <c r="Y94" i="2"/>
  <c r="W95" i="2"/>
  <c r="U92" i="2"/>
  <c r="M91" i="2"/>
  <c r="V92" i="2"/>
  <c r="W92" i="2"/>
  <c r="Z93" i="2"/>
  <c r="P94" i="2"/>
  <c r="N95" i="2"/>
  <c r="H99" i="2"/>
  <c r="K91" i="2"/>
  <c r="V93" i="2"/>
  <c r="R98" i="2"/>
  <c r="U93" i="2"/>
  <c r="I92" i="2"/>
  <c r="N99" i="2"/>
  <c r="O96" i="2"/>
  <c r="I96" i="2"/>
  <c r="T98" i="2"/>
  <c r="R95" i="2"/>
  <c r="M96" i="2"/>
  <c r="L98" i="2"/>
  <c r="Y91" i="2"/>
  <c r="L96" i="2"/>
  <c r="T97" i="2"/>
  <c r="M94" i="2"/>
  <c r="S93" i="2"/>
  <c r="K98" i="2"/>
  <c r="H92" i="2"/>
  <c r="T94" i="2"/>
  <c r="P98" i="2"/>
  <c r="Q98" i="2"/>
  <c r="K97" i="2"/>
  <c r="I91" i="2"/>
  <c r="T93" i="2"/>
  <c r="Z91" i="2"/>
  <c r="V95" i="2"/>
  <c r="N90" i="2"/>
  <c r="S142" i="7" s="1"/>
  <c r="N83" i="2"/>
  <c r="O90" i="2"/>
  <c r="T142" i="7" s="1"/>
  <c r="O83" i="2"/>
  <c r="P83" i="2"/>
  <c r="P90" i="2"/>
  <c r="U142" i="7" s="1"/>
  <c r="Q83" i="2"/>
  <c r="Q90" i="2"/>
  <c r="V142" i="7" s="1"/>
  <c r="R90" i="2"/>
  <c r="W142" i="7" s="1"/>
  <c r="R83" i="2"/>
  <c r="Y83" i="2"/>
  <c r="T90" i="2"/>
  <c r="Y142" i="7" s="1"/>
  <c r="W90" i="2"/>
  <c r="AB142" i="7" s="1"/>
  <c r="U90" i="2"/>
  <c r="Z142" i="7" s="1"/>
  <c r="Y90" i="2"/>
  <c r="W83" i="2"/>
  <c r="S90" i="2"/>
  <c r="X142" i="7" s="1"/>
  <c r="U83" i="2"/>
  <c r="S83" i="2"/>
  <c r="W77" i="5"/>
  <c r="W68" i="5"/>
  <c r="W71" i="5" s="1"/>
  <c r="W83" i="5"/>
  <c r="W33" i="10" l="1"/>
  <c r="W87" i="10"/>
  <c r="X87" i="10"/>
  <c r="Z6" i="10"/>
  <c r="AD6" i="10" s="1"/>
  <c r="M125" i="12" s="1"/>
  <c r="Y33" i="10"/>
  <c r="Y87" i="10"/>
  <c r="X60" i="10"/>
  <c r="Z60" i="10" s="1"/>
  <c r="AD60" i="10" s="1"/>
  <c r="AE60" i="10" s="1"/>
  <c r="M126" i="12"/>
  <c r="G225" i="7"/>
  <c r="I156" i="12"/>
  <c r="K126" i="12"/>
  <c r="K156" i="12" s="1"/>
  <c r="Z88" i="10"/>
  <c r="AD88" i="10" s="1"/>
  <c r="Z61" i="10"/>
  <c r="AD61" i="10" s="1"/>
  <c r="I125" i="12"/>
  <c r="I155" i="12" s="1"/>
  <c r="Y150" i="7"/>
  <c r="T149" i="7"/>
  <c r="R149" i="7"/>
  <c r="Q146" i="7"/>
  <c r="W151" i="7"/>
  <c r="O147" i="7"/>
  <c r="S148" i="7"/>
  <c r="R150" i="7"/>
  <c r="Z151" i="7"/>
  <c r="P149" i="7"/>
  <c r="T148" i="7"/>
  <c r="S147" i="7"/>
  <c r="O146" i="7"/>
  <c r="S149" i="7"/>
  <c r="P147" i="7"/>
  <c r="T150" i="7"/>
  <c r="Q147" i="7"/>
  <c r="J8" i="10" a="1"/>
  <c r="V150" i="7"/>
  <c r="Q148" i="7"/>
  <c r="S151" i="7"/>
  <c r="U149" i="7"/>
  <c r="Y151" i="7"/>
  <c r="P148" i="7"/>
  <c r="U150" i="7"/>
  <c r="V149" i="7"/>
  <c r="P146" i="7"/>
  <c r="T151" i="7"/>
  <c r="Q149" i="7"/>
  <c r="Q151" i="7"/>
  <c r="O151" i="7"/>
  <c r="V151" i="7"/>
  <c r="U148" i="7"/>
  <c r="Q150" i="7"/>
  <c r="W149" i="7"/>
  <c r="AA151" i="7"/>
  <c r="P151" i="7"/>
  <c r="R151" i="7"/>
  <c r="O145" i="7"/>
  <c r="AB4" i="9" a="1"/>
  <c r="C83" i="2"/>
  <c r="X150" i="7"/>
  <c r="U151" i="7"/>
  <c r="R148" i="7"/>
  <c r="W150" i="7"/>
  <c r="X151" i="7"/>
  <c r="O150" i="7"/>
  <c r="C77" i="2"/>
  <c r="N4" i="9" a="1"/>
  <c r="S150" i="7"/>
  <c r="P150" i="7"/>
  <c r="R147" i="7"/>
  <c r="O148" i="7"/>
  <c r="O149" i="7"/>
  <c r="I163" i="12"/>
  <c r="I171" i="12"/>
  <c r="I164" i="12"/>
  <c r="I172" i="12"/>
  <c r="I165" i="12"/>
  <c r="I173" i="12"/>
  <c r="I166" i="12"/>
  <c r="I174" i="12"/>
  <c r="I162" i="12"/>
  <c r="I159" i="12"/>
  <c r="I167" i="12"/>
  <c r="I160" i="12"/>
  <c r="I168" i="12"/>
  <c r="I161" i="12"/>
  <c r="I169" i="12"/>
  <c r="I170" i="12"/>
  <c r="E219" i="7" l="1"/>
  <c r="E203" i="7"/>
  <c r="E207" i="7"/>
  <c r="E211" i="7"/>
  <c r="E215" i="7"/>
  <c r="E208" i="7"/>
  <c r="E205" i="7"/>
  <c r="E209" i="7"/>
  <c r="E213" i="7"/>
  <c r="E217" i="7"/>
  <c r="E212" i="7"/>
  <c r="E214" i="7"/>
  <c r="E204" i="7"/>
  <c r="E202" i="7"/>
  <c r="E206" i="7"/>
  <c r="E210" i="7"/>
  <c r="E218" i="7"/>
  <c r="E216" i="7"/>
  <c r="T15" i="9"/>
  <c r="D16" i="7" s="1"/>
  <c r="T10" i="9"/>
  <c r="D11" i="7" s="1"/>
  <c r="AE6" i="10"/>
  <c r="AG6" i="10" s="1"/>
  <c r="Z87" i="10"/>
  <c r="AD87" i="10" s="1"/>
  <c r="AE87" i="10" s="1"/>
  <c r="AA88" i="10" s="1"/>
  <c r="AC88" i="10" s="1"/>
  <c r="K125" i="12"/>
  <c r="K155" i="12" s="1"/>
  <c r="N4" i="9"/>
  <c r="T4" i="9" s="1"/>
  <c r="D5" i="7" s="1"/>
  <c r="T6" i="9"/>
  <c r="D7" i="7" s="1"/>
  <c r="S27" i="9"/>
  <c r="R6" i="9"/>
  <c r="U6" i="9" s="1"/>
  <c r="T5" i="9"/>
  <c r="D6" i="7" s="1"/>
  <c r="R7" i="9"/>
  <c r="T7" i="9"/>
  <c r="D8" i="7" s="1"/>
  <c r="H89" i="7"/>
  <c r="H88" i="7"/>
  <c r="R5" i="9"/>
  <c r="H90" i="7"/>
  <c r="S4" i="9"/>
  <c r="E5" i="7" s="1"/>
  <c r="S26" i="9"/>
  <c r="E27" i="7" s="1"/>
  <c r="S16" i="9"/>
  <c r="E17" i="7" s="1"/>
  <c r="S23" i="9"/>
  <c r="E24" i="7" s="1"/>
  <c r="S19" i="9"/>
  <c r="E20" i="7" s="1"/>
  <c r="S21" i="9"/>
  <c r="E22" i="7" s="1"/>
  <c r="S13" i="9"/>
  <c r="E14" i="7" s="1"/>
  <c r="S6" i="9"/>
  <c r="E7" i="7" s="1"/>
  <c r="S11" i="9"/>
  <c r="E12" i="7" s="1"/>
  <c r="S18" i="9"/>
  <c r="E19" i="7" s="1"/>
  <c r="S20" i="9"/>
  <c r="E21" i="7" s="1"/>
  <c r="S15" i="9"/>
  <c r="E16" i="7" s="1"/>
  <c r="S24" i="9"/>
  <c r="E25" i="7" s="1"/>
  <c r="S25" i="9"/>
  <c r="E26" i="7" s="1"/>
  <c r="S7" i="9"/>
  <c r="E8" i="7" s="1"/>
  <c r="S12" i="9"/>
  <c r="E13" i="7" s="1"/>
  <c r="S10" i="9"/>
  <c r="E11" i="7" s="1"/>
  <c r="S14" i="9"/>
  <c r="E15" i="7" s="1"/>
  <c r="S22" i="9"/>
  <c r="E23" i="7" s="1"/>
  <c r="S9" i="9"/>
  <c r="E10" i="7" s="1"/>
  <c r="S8" i="9"/>
  <c r="E9" i="7" s="1"/>
  <c r="S5" i="9"/>
  <c r="E6" i="7" s="1"/>
  <c r="S17" i="9"/>
  <c r="E18" i="7" s="1"/>
  <c r="N54" i="9"/>
  <c r="N49" i="9"/>
  <c r="N72" i="9"/>
  <c r="N79" i="9"/>
  <c r="N76" i="9"/>
  <c r="N100" i="9"/>
  <c r="T23" i="9"/>
  <c r="D24" i="7" s="1"/>
  <c r="N74" i="9"/>
  <c r="T74" i="9" s="1"/>
  <c r="F73" i="7" s="1"/>
  <c r="N99" i="9"/>
  <c r="N81" i="9"/>
  <c r="N97" i="9"/>
  <c r="T24" i="9"/>
  <c r="D25" i="7" s="1"/>
  <c r="N69" i="9"/>
  <c r="T69" i="9" s="1"/>
  <c r="F68" i="7" s="1"/>
  <c r="N75" i="9"/>
  <c r="T75" i="9" s="1"/>
  <c r="F74" i="7" s="1"/>
  <c r="N73" i="9"/>
  <c r="N51" i="9"/>
  <c r="T14" i="9"/>
  <c r="D15" i="7" s="1"/>
  <c r="N83" i="9"/>
  <c r="N50" i="9"/>
  <c r="N78" i="9"/>
  <c r="N110" i="9"/>
  <c r="T16" i="9"/>
  <c r="D17" i="7" s="1"/>
  <c r="N48" i="9"/>
  <c r="T48" i="9" s="1"/>
  <c r="D75" i="7" s="1"/>
  <c r="T21" i="9"/>
  <c r="D22" i="7" s="1"/>
  <c r="T18" i="9"/>
  <c r="D19" i="7" s="1"/>
  <c r="T19" i="9"/>
  <c r="D20" i="7" s="1"/>
  <c r="N82" i="9"/>
  <c r="T82" i="9" s="1"/>
  <c r="F81" i="7" s="1"/>
  <c r="N71" i="9"/>
  <c r="T71" i="9" s="1"/>
  <c r="N105" i="9"/>
  <c r="N39" i="9"/>
  <c r="N67" i="9"/>
  <c r="T25" i="9"/>
  <c r="D26" i="7" s="1"/>
  <c r="N55" i="9"/>
  <c r="N108" i="9"/>
  <c r="T13" i="9"/>
  <c r="D14" i="7" s="1"/>
  <c r="N103" i="9"/>
  <c r="N43" i="9"/>
  <c r="N94" i="9"/>
  <c r="N56" i="9"/>
  <c r="T27" i="9"/>
  <c r="N68" i="9"/>
  <c r="T68" i="9" s="1"/>
  <c r="T22" i="9"/>
  <c r="D23" i="7" s="1"/>
  <c r="T9" i="9"/>
  <c r="D10" i="7" s="1"/>
  <c r="N44" i="9"/>
  <c r="N102" i="9"/>
  <c r="N41" i="9"/>
  <c r="N46" i="9"/>
  <c r="N104" i="9"/>
  <c r="N112" i="9"/>
  <c r="N45" i="9"/>
  <c r="T26" i="9"/>
  <c r="D27" i="7" s="1"/>
  <c r="N77" i="9"/>
  <c r="T20" i="9"/>
  <c r="D21" i="7" s="1"/>
  <c r="T12" i="9"/>
  <c r="D13" i="7" s="1"/>
  <c r="N98" i="9"/>
  <c r="T98" i="9" s="1"/>
  <c r="H69" i="7" s="1"/>
  <c r="N42" i="9"/>
  <c r="N111" i="9"/>
  <c r="N40" i="9"/>
  <c r="N66" i="9"/>
  <c r="N101" i="9"/>
  <c r="N52" i="9"/>
  <c r="N95" i="9"/>
  <c r="N80" i="9"/>
  <c r="N96" i="9"/>
  <c r="T11" i="9"/>
  <c r="D12" i="7" s="1"/>
  <c r="N84" i="9"/>
  <c r="N109" i="9"/>
  <c r="T109" i="9" s="1"/>
  <c r="H80" i="7" s="1"/>
  <c r="N53" i="9"/>
  <c r="T53" i="9" s="1"/>
  <c r="D80" i="7" s="1"/>
  <c r="N107" i="9"/>
  <c r="T17" i="9"/>
  <c r="D18" i="7" s="1"/>
  <c r="N70" i="9"/>
  <c r="N106" i="9"/>
  <c r="N38" i="9"/>
  <c r="N47" i="9"/>
  <c r="T8" i="9"/>
  <c r="D9" i="7" s="1"/>
  <c r="N37" i="9"/>
  <c r="N93" i="9"/>
  <c r="N65" i="9"/>
  <c r="P68" i="9"/>
  <c r="P94" i="9"/>
  <c r="P45" i="9"/>
  <c r="P74" i="9"/>
  <c r="P46" i="9"/>
  <c r="O37" i="9"/>
  <c r="P95" i="9"/>
  <c r="P93" i="9"/>
  <c r="P105" i="9"/>
  <c r="P75" i="9"/>
  <c r="P55" i="9"/>
  <c r="P52" i="9"/>
  <c r="P82" i="9"/>
  <c r="P40" i="9"/>
  <c r="P79" i="9"/>
  <c r="P67" i="9"/>
  <c r="P72" i="9"/>
  <c r="P84" i="9"/>
  <c r="P41" i="9"/>
  <c r="P56" i="9"/>
  <c r="P47" i="9"/>
  <c r="P100" i="9"/>
  <c r="P51" i="9"/>
  <c r="P39" i="9"/>
  <c r="P69" i="9"/>
  <c r="P65" i="9"/>
  <c r="O107" i="9"/>
  <c r="R24" i="9"/>
  <c r="U24" i="9" s="1"/>
  <c r="P54" i="9"/>
  <c r="P111" i="9"/>
  <c r="P106" i="9"/>
  <c r="P103" i="9"/>
  <c r="P112" i="9"/>
  <c r="P53" i="9"/>
  <c r="P76" i="9"/>
  <c r="P83" i="9"/>
  <c r="P99" i="9"/>
  <c r="P49" i="9"/>
  <c r="P66" i="9"/>
  <c r="P77" i="9"/>
  <c r="P38" i="9"/>
  <c r="P43" i="9"/>
  <c r="P109" i="9"/>
  <c r="P102" i="9"/>
  <c r="P97" i="9"/>
  <c r="R27" i="9"/>
  <c r="U27" i="9" s="1"/>
  <c r="P108" i="9"/>
  <c r="P70" i="9"/>
  <c r="P107" i="9"/>
  <c r="P98" i="9"/>
  <c r="P96" i="9"/>
  <c r="P73" i="9"/>
  <c r="P42" i="9"/>
  <c r="P48" i="9"/>
  <c r="P101" i="9"/>
  <c r="P37" i="9"/>
  <c r="P78" i="9"/>
  <c r="P80" i="9"/>
  <c r="P81" i="9"/>
  <c r="P44" i="9"/>
  <c r="P104" i="9"/>
  <c r="P110" i="9"/>
  <c r="P50" i="9"/>
  <c r="P71" i="9"/>
  <c r="R22" i="9"/>
  <c r="U22" i="9" s="1"/>
  <c r="O68" i="9"/>
  <c r="R23" i="9"/>
  <c r="U23" i="9" s="1"/>
  <c r="O106" i="9"/>
  <c r="H95" i="7"/>
  <c r="O76" i="9"/>
  <c r="O79" i="9"/>
  <c r="H96" i="7"/>
  <c r="O80" i="9"/>
  <c r="R10" i="9"/>
  <c r="U10" i="9" s="1"/>
  <c r="O38" i="9"/>
  <c r="O77" i="9"/>
  <c r="R18" i="9"/>
  <c r="U18" i="9" s="1"/>
  <c r="R16" i="9"/>
  <c r="O50" i="9"/>
  <c r="O51" i="9"/>
  <c r="H105" i="7"/>
  <c r="O93" i="9"/>
  <c r="O75" i="9"/>
  <c r="H103" i="7"/>
  <c r="O43" i="9"/>
  <c r="O98" i="9"/>
  <c r="O55" i="9"/>
  <c r="R21" i="9"/>
  <c r="U21" i="9" s="1"/>
  <c r="O81" i="9"/>
  <c r="R14" i="9"/>
  <c r="U14" i="9" s="1"/>
  <c r="O110" i="9"/>
  <c r="O104" i="9"/>
  <c r="O82" i="9"/>
  <c r="O83" i="9"/>
  <c r="O39" i="9"/>
  <c r="O109" i="9"/>
  <c r="O99" i="9"/>
  <c r="O65" i="9"/>
  <c r="S65" i="9" s="1"/>
  <c r="G64" i="7" s="1"/>
  <c r="H91" i="7"/>
  <c r="O45" i="9"/>
  <c r="O70" i="9"/>
  <c r="H97" i="7"/>
  <c r="H104" i="7"/>
  <c r="R26" i="9"/>
  <c r="U26" i="9" s="1"/>
  <c r="O101" i="9"/>
  <c r="O105" i="9"/>
  <c r="H109" i="7"/>
  <c r="O67" i="9"/>
  <c r="O53" i="9"/>
  <c r="R19" i="9"/>
  <c r="U19" i="9" s="1"/>
  <c r="O100" i="9"/>
  <c r="O66" i="9"/>
  <c r="O71" i="9"/>
  <c r="H93" i="7"/>
  <c r="O48" i="9"/>
  <c r="O42" i="9"/>
  <c r="O78" i="9"/>
  <c r="O69" i="9"/>
  <c r="O73" i="9"/>
  <c r="H94" i="7"/>
  <c r="R15" i="9"/>
  <c r="U15" i="9" s="1"/>
  <c r="O40" i="9"/>
  <c r="O41" i="9"/>
  <c r="S41" i="9" s="1"/>
  <c r="E68" i="7" s="1"/>
  <c r="O47" i="9"/>
  <c r="O96" i="9"/>
  <c r="R20" i="9"/>
  <c r="U20" i="9" s="1"/>
  <c r="O44" i="9"/>
  <c r="O74" i="9"/>
  <c r="O56" i="9"/>
  <c r="O102" i="9"/>
  <c r="R11" i="9"/>
  <c r="U11" i="9" s="1"/>
  <c r="O94" i="9"/>
  <c r="H92" i="7"/>
  <c r="R8" i="9"/>
  <c r="U8" i="9" s="1"/>
  <c r="O49" i="9"/>
  <c r="O112" i="9"/>
  <c r="O108" i="9"/>
  <c r="R17" i="9"/>
  <c r="U17" i="9" s="1"/>
  <c r="H98" i="7"/>
  <c r="O97" i="9"/>
  <c r="H100" i="7"/>
  <c r="O111" i="9"/>
  <c r="S111" i="9" s="1"/>
  <c r="I82" i="7" s="1"/>
  <c r="H99" i="7"/>
  <c r="O103" i="9"/>
  <c r="S103" i="9" s="1"/>
  <c r="I74" i="7" s="1"/>
  <c r="R13" i="9"/>
  <c r="U13" i="9" s="1"/>
  <c r="R9" i="9"/>
  <c r="U9" i="9" s="1"/>
  <c r="O72" i="9"/>
  <c r="H102" i="7"/>
  <c r="H106" i="7"/>
  <c r="H108" i="7"/>
  <c r="O46" i="9"/>
  <c r="O52" i="9"/>
  <c r="O84" i="9"/>
  <c r="R25" i="9"/>
  <c r="U25" i="9" s="1"/>
  <c r="O54" i="9"/>
  <c r="R12" i="9"/>
  <c r="U12" i="9" s="1"/>
  <c r="H107" i="7"/>
  <c r="H101" i="7"/>
  <c r="O95" i="9"/>
  <c r="S95" i="9" s="1"/>
  <c r="I66" i="7" s="1"/>
  <c r="AB4" i="9"/>
  <c r="AB61" i="9" s="1"/>
  <c r="AD39" i="9"/>
  <c r="AG7" i="9"/>
  <c r="AM6" i="9"/>
  <c r="F33" i="7"/>
  <c r="AM7" i="9"/>
  <c r="F34" i="7"/>
  <c r="F35" i="7"/>
  <c r="G33" i="7"/>
  <c r="G32" i="7"/>
  <c r="F36" i="7"/>
  <c r="G34" i="7"/>
  <c r="G35" i="7"/>
  <c r="AM5" i="9"/>
  <c r="AL6" i="9"/>
  <c r="AL5" i="9"/>
  <c r="AL7" i="9"/>
  <c r="AL4" i="9"/>
  <c r="AD62" i="9"/>
  <c r="AB34" i="9"/>
  <c r="AC62" i="9"/>
  <c r="AD33" i="9"/>
  <c r="AC34" i="9"/>
  <c r="AD90" i="9"/>
  <c r="AB62" i="9"/>
  <c r="AC33" i="9"/>
  <c r="AG5" i="9"/>
  <c r="AC90" i="9"/>
  <c r="AD61" i="9"/>
  <c r="AB90" i="9"/>
  <c r="AC61" i="9"/>
  <c r="AD34" i="9"/>
  <c r="AD89" i="9"/>
  <c r="AC89" i="9"/>
  <c r="AC63" i="9"/>
  <c r="AB63" i="9"/>
  <c r="AD63" i="9"/>
  <c r="AD36" i="9"/>
  <c r="AC35" i="9"/>
  <c r="AG6" i="9"/>
  <c r="AD91" i="9"/>
  <c r="AD65" i="9"/>
  <c r="AB93" i="9"/>
  <c r="AC64" i="9"/>
  <c r="AC93" i="9"/>
  <c r="AB91" i="9"/>
  <c r="AD35" i="9"/>
  <c r="AD93" i="9"/>
  <c r="AD92" i="9"/>
  <c r="AC65" i="9"/>
  <c r="AB35" i="9"/>
  <c r="AD37" i="9"/>
  <c r="AC37" i="9"/>
  <c r="AB36" i="9"/>
  <c r="AB37" i="9"/>
  <c r="AC92" i="9"/>
  <c r="AB64" i="9"/>
  <c r="AB65" i="9"/>
  <c r="AC36" i="9"/>
  <c r="AC91" i="9"/>
  <c r="AB50" i="9"/>
  <c r="AB92" i="9"/>
  <c r="AD64" i="9"/>
  <c r="F45" i="7"/>
  <c r="F41" i="7"/>
  <c r="AB74" i="9"/>
  <c r="AB52" i="9"/>
  <c r="AB106" i="9"/>
  <c r="AB47" i="9"/>
  <c r="AM47" i="9" s="1"/>
  <c r="AB97" i="9"/>
  <c r="AB49" i="9"/>
  <c r="AM17" i="9"/>
  <c r="AM19" i="9"/>
  <c r="AM10" i="9"/>
  <c r="F52" i="7"/>
  <c r="AB53" i="9"/>
  <c r="F53" i="7"/>
  <c r="F49" i="7"/>
  <c r="AB54" i="9"/>
  <c r="AB108" i="9"/>
  <c r="AB79" i="9"/>
  <c r="AB77" i="9"/>
  <c r="AB107" i="9"/>
  <c r="AM21" i="9"/>
  <c r="AM23" i="9"/>
  <c r="AB56" i="9"/>
  <c r="AB44" i="9"/>
  <c r="AM44" i="9" s="1"/>
  <c r="F38" i="7"/>
  <c r="F42" i="7"/>
  <c r="AB48" i="9"/>
  <c r="AB40" i="9"/>
  <c r="AB83" i="9"/>
  <c r="AB111" i="9"/>
  <c r="AB81" i="9"/>
  <c r="AB109" i="9"/>
  <c r="AM25" i="9"/>
  <c r="AM22" i="9"/>
  <c r="AB76" i="9"/>
  <c r="AB104" i="9"/>
  <c r="F46" i="7"/>
  <c r="F50" i="7"/>
  <c r="AB80" i="9"/>
  <c r="AB43" i="9"/>
  <c r="AB72" i="9"/>
  <c r="AB100" i="9"/>
  <c r="AB70" i="9"/>
  <c r="AM70" i="9" s="1"/>
  <c r="AB45" i="9"/>
  <c r="AM14" i="9"/>
  <c r="AM12" i="9"/>
  <c r="AB73" i="9"/>
  <c r="AM13" i="9"/>
  <c r="AB110" i="9"/>
  <c r="F39" i="7"/>
  <c r="F51" i="7"/>
  <c r="AB82" i="9"/>
  <c r="AB102" i="9"/>
  <c r="AB67" i="9"/>
  <c r="AB39" i="9"/>
  <c r="AB95" i="9"/>
  <c r="AB42" i="9"/>
  <c r="AM18" i="9"/>
  <c r="AM16" i="9"/>
  <c r="AM15" i="9"/>
  <c r="AB71" i="9"/>
  <c r="F47" i="7"/>
  <c r="F43" i="7"/>
  <c r="AB98" i="9"/>
  <c r="AB78" i="9"/>
  <c r="AB75" i="9"/>
  <c r="AB69" i="9"/>
  <c r="AB41" i="9"/>
  <c r="AB96" i="9"/>
  <c r="AM27" i="9"/>
  <c r="AM20" i="9"/>
  <c r="F48" i="7"/>
  <c r="AB103" i="9"/>
  <c r="F44" i="7"/>
  <c r="F40" i="7"/>
  <c r="AB99" i="9"/>
  <c r="AB68" i="9"/>
  <c r="AM68" i="9" s="1"/>
  <c r="AB101" i="9"/>
  <c r="AB105" i="9"/>
  <c r="AB51" i="9"/>
  <c r="AB55" i="9"/>
  <c r="F37" i="7"/>
  <c r="AM11" i="9"/>
  <c r="AM24" i="9"/>
  <c r="AB46" i="9"/>
  <c r="AM26" i="9"/>
  <c r="AM8" i="9"/>
  <c r="AB38" i="9"/>
  <c r="AB66" i="9"/>
  <c r="AM9" i="9"/>
  <c r="AB94" i="9"/>
  <c r="AM94" i="9" s="1"/>
  <c r="AD82" i="9"/>
  <c r="AD40" i="9"/>
  <c r="AD79" i="9"/>
  <c r="AD107" i="9"/>
  <c r="AD76" i="9"/>
  <c r="AD73" i="9"/>
  <c r="AD67" i="9"/>
  <c r="AD103" i="9"/>
  <c r="AD71" i="9"/>
  <c r="AD50" i="9"/>
  <c r="AD75" i="9"/>
  <c r="AD70" i="9"/>
  <c r="AD105" i="9"/>
  <c r="AD77" i="9"/>
  <c r="AD48" i="9"/>
  <c r="AD102" i="9"/>
  <c r="AD98" i="9"/>
  <c r="AD80" i="9"/>
  <c r="AD100" i="9"/>
  <c r="AD41" i="9"/>
  <c r="AD47" i="9"/>
  <c r="AD44" i="9"/>
  <c r="AD42" i="9"/>
  <c r="AD54" i="9"/>
  <c r="AD51" i="9"/>
  <c r="AD46" i="9"/>
  <c r="AD74" i="9"/>
  <c r="AD101" i="9"/>
  <c r="AD99" i="9"/>
  <c r="AD68" i="9"/>
  <c r="AD106" i="9"/>
  <c r="AD96" i="9"/>
  <c r="AD43" i="9"/>
  <c r="AD95" i="9"/>
  <c r="AD94" i="9"/>
  <c r="AC103" i="9"/>
  <c r="AD72" i="9"/>
  <c r="AD81" i="9"/>
  <c r="AD111" i="9"/>
  <c r="AD53" i="9"/>
  <c r="AD104" i="9"/>
  <c r="AD55" i="9"/>
  <c r="AD69" i="9"/>
  <c r="AD97" i="9"/>
  <c r="AD45" i="9"/>
  <c r="AD49" i="9"/>
  <c r="AD52" i="9"/>
  <c r="AD56" i="9"/>
  <c r="AD110" i="9"/>
  <c r="AD109" i="9"/>
  <c r="AD108" i="9"/>
  <c r="AD83" i="9"/>
  <c r="AD78" i="9"/>
  <c r="AC106" i="9"/>
  <c r="AC72" i="9"/>
  <c r="AC56" i="9"/>
  <c r="AC82" i="9"/>
  <c r="AC70" i="9"/>
  <c r="AC46" i="9"/>
  <c r="AC101" i="9"/>
  <c r="AC111" i="9"/>
  <c r="AC79" i="9"/>
  <c r="AC47" i="9"/>
  <c r="AC69" i="9"/>
  <c r="AD38" i="9"/>
  <c r="AD66" i="9"/>
  <c r="AC54" i="9"/>
  <c r="AC73" i="9"/>
  <c r="AC44" i="9"/>
  <c r="AC100" i="9"/>
  <c r="AC42" i="9"/>
  <c r="AC107" i="9"/>
  <c r="AC110" i="9"/>
  <c r="AC108" i="9"/>
  <c r="AC43" i="9"/>
  <c r="AC51" i="9"/>
  <c r="AC48" i="9"/>
  <c r="AC97" i="9"/>
  <c r="AC40" i="9"/>
  <c r="AC50" i="9"/>
  <c r="AC39" i="9"/>
  <c r="AC104" i="9"/>
  <c r="AC102" i="9"/>
  <c r="AC45" i="9"/>
  <c r="AC71" i="9"/>
  <c r="AC94" i="9"/>
  <c r="AC76" i="9"/>
  <c r="AC98" i="9"/>
  <c r="AC95" i="9"/>
  <c r="AC68" i="9"/>
  <c r="AC75" i="9"/>
  <c r="AC41" i="9"/>
  <c r="AC52" i="9"/>
  <c r="AC80" i="9"/>
  <c r="AC49" i="9"/>
  <c r="AC81" i="9"/>
  <c r="AC99" i="9"/>
  <c r="AC78" i="9"/>
  <c r="AC55" i="9"/>
  <c r="AC83" i="9"/>
  <c r="AC74" i="9"/>
  <c r="AC109" i="9"/>
  <c r="AC77" i="9"/>
  <c r="AC67" i="9"/>
  <c r="AC96" i="9"/>
  <c r="AC53" i="9"/>
  <c r="AC105" i="9"/>
  <c r="AC66" i="9"/>
  <c r="AC38" i="9"/>
  <c r="J8" i="10"/>
  <c r="P15" i="10"/>
  <c r="AD15" i="10" s="1"/>
  <c r="P14" i="10"/>
  <c r="AD14" i="10" s="1"/>
  <c r="P20" i="10"/>
  <c r="AD20" i="10" s="1"/>
  <c r="P13" i="10"/>
  <c r="AD13" i="10" s="1"/>
  <c r="P26" i="10"/>
  <c r="P16" i="10"/>
  <c r="AD16" i="10" s="1"/>
  <c r="P21" i="10"/>
  <c r="AD21" i="10" s="1"/>
  <c r="P18" i="10"/>
  <c r="AD18" i="10" s="1"/>
  <c r="P23" i="10"/>
  <c r="AD23" i="10" s="1"/>
  <c r="P11" i="10"/>
  <c r="AD11" i="10" s="1"/>
  <c r="P22" i="10"/>
  <c r="AD22" i="10" s="1"/>
  <c r="P25" i="10"/>
  <c r="AD25" i="10" s="1"/>
  <c r="P19" i="10"/>
  <c r="AD19" i="10" s="1"/>
  <c r="P24" i="10"/>
  <c r="AD24" i="10" s="1"/>
  <c r="P12" i="10"/>
  <c r="AD12" i="10" s="1"/>
  <c r="P10" i="10"/>
  <c r="AD10" i="10" s="1"/>
  <c r="P17" i="10"/>
  <c r="AD17" i="10" s="1"/>
  <c r="AA61" i="10"/>
  <c r="R62" i="12"/>
  <c r="I175" i="12"/>
  <c r="I158" i="12"/>
  <c r="G132" i="12"/>
  <c r="G140" i="12"/>
  <c r="G133" i="12"/>
  <c r="G141" i="12"/>
  <c r="G134" i="12"/>
  <c r="G142" i="12"/>
  <c r="G135" i="12"/>
  <c r="G143" i="12"/>
  <c r="G139" i="12"/>
  <c r="G128" i="12"/>
  <c r="G136" i="12"/>
  <c r="G144" i="12"/>
  <c r="G129" i="12"/>
  <c r="G137" i="12"/>
  <c r="G145" i="12"/>
  <c r="G131" i="12"/>
  <c r="G130" i="12"/>
  <c r="G138" i="12"/>
  <c r="L91" i="10"/>
  <c r="K94" i="10"/>
  <c r="J97" i="10"/>
  <c r="L99" i="10"/>
  <c r="K102" i="10"/>
  <c r="J105" i="10"/>
  <c r="L107" i="10"/>
  <c r="L92" i="10"/>
  <c r="J98" i="10"/>
  <c r="K103" i="10"/>
  <c r="K90" i="10"/>
  <c r="K89" i="10"/>
  <c r="J92" i="10"/>
  <c r="L94" i="10"/>
  <c r="K97" i="10"/>
  <c r="J100" i="10"/>
  <c r="L102" i="10"/>
  <c r="K105" i="10"/>
  <c r="J108" i="10"/>
  <c r="J106" i="10"/>
  <c r="L108" i="10"/>
  <c r="K106" i="10"/>
  <c r="L106" i="10"/>
  <c r="L89" i="10"/>
  <c r="K92" i="10"/>
  <c r="J95" i="10"/>
  <c r="L97" i="10"/>
  <c r="K100" i="10"/>
  <c r="J103" i="10"/>
  <c r="L105" i="10"/>
  <c r="K108" i="10"/>
  <c r="K98" i="10"/>
  <c r="L90" i="10"/>
  <c r="J91" i="10"/>
  <c r="L93" i="10"/>
  <c r="K96" i="10"/>
  <c r="J99" i="10"/>
  <c r="L101" i="10"/>
  <c r="K104" i="10"/>
  <c r="J107" i="10"/>
  <c r="L95" i="10"/>
  <c r="L103" i="10"/>
  <c r="J96" i="10"/>
  <c r="J104" i="10"/>
  <c r="K91" i="10"/>
  <c r="J94" i="10"/>
  <c r="L96" i="10"/>
  <c r="K99" i="10"/>
  <c r="J102" i="10"/>
  <c r="L104" i="10"/>
  <c r="K107" i="10"/>
  <c r="J90" i="10"/>
  <c r="K95" i="10"/>
  <c r="L100" i="10"/>
  <c r="J93" i="10"/>
  <c r="J101" i="10"/>
  <c r="K93" i="10"/>
  <c r="L98" i="10"/>
  <c r="K101" i="10"/>
  <c r="L76" i="10"/>
  <c r="L68" i="10"/>
  <c r="K75" i="10"/>
  <c r="K67" i="10"/>
  <c r="J74" i="10"/>
  <c r="J66" i="10"/>
  <c r="L35" i="10"/>
  <c r="K38" i="10"/>
  <c r="J41" i="10"/>
  <c r="L43" i="10"/>
  <c r="K46" i="10"/>
  <c r="J49" i="10"/>
  <c r="L51" i="10"/>
  <c r="K54" i="10"/>
  <c r="L75" i="10"/>
  <c r="L67" i="10"/>
  <c r="K74" i="10"/>
  <c r="K66" i="10"/>
  <c r="J73" i="10"/>
  <c r="J65" i="10"/>
  <c r="J36" i="10"/>
  <c r="L38" i="10"/>
  <c r="K41" i="10"/>
  <c r="J44" i="10"/>
  <c r="L46" i="10"/>
  <c r="K49" i="10"/>
  <c r="J52" i="10"/>
  <c r="L54" i="10"/>
  <c r="L74" i="10"/>
  <c r="L66" i="10"/>
  <c r="K73" i="10"/>
  <c r="K65" i="10"/>
  <c r="J80" i="10"/>
  <c r="J72" i="10"/>
  <c r="J64" i="10"/>
  <c r="K36" i="10"/>
  <c r="J39" i="10"/>
  <c r="L41" i="10"/>
  <c r="K44" i="10"/>
  <c r="J47" i="10"/>
  <c r="L49" i="10"/>
  <c r="K52" i="10"/>
  <c r="L81" i="10"/>
  <c r="L73" i="10"/>
  <c r="L65" i="10"/>
  <c r="K80" i="10"/>
  <c r="K72" i="10"/>
  <c r="K64" i="10"/>
  <c r="J79" i="10"/>
  <c r="J71" i="10"/>
  <c r="J63" i="10"/>
  <c r="L36" i="10"/>
  <c r="K39" i="10"/>
  <c r="J42" i="10"/>
  <c r="L44" i="10"/>
  <c r="K47" i="10"/>
  <c r="J50" i="10"/>
  <c r="L52" i="10"/>
  <c r="K81" i="10"/>
  <c r="L80" i="10"/>
  <c r="L72" i="10"/>
  <c r="L64" i="10"/>
  <c r="K79" i="10"/>
  <c r="K71" i="10"/>
  <c r="K63" i="10"/>
  <c r="J78" i="10"/>
  <c r="J70" i="10"/>
  <c r="J37" i="10"/>
  <c r="L39" i="10"/>
  <c r="K42" i="10"/>
  <c r="J45" i="10"/>
  <c r="L47" i="10"/>
  <c r="K50" i="10"/>
  <c r="J53" i="10"/>
  <c r="J81" i="10"/>
  <c r="L79" i="10"/>
  <c r="L71" i="10"/>
  <c r="L63" i="10"/>
  <c r="K78" i="10"/>
  <c r="K70" i="10"/>
  <c r="K62" i="10"/>
  <c r="J77" i="10"/>
  <c r="J69" i="10"/>
  <c r="K37" i="10"/>
  <c r="J40" i="10"/>
  <c r="L42" i="10"/>
  <c r="K45" i="10"/>
  <c r="J48" i="10"/>
  <c r="L50" i="10"/>
  <c r="K53" i="10"/>
  <c r="L78" i="10"/>
  <c r="L70" i="10"/>
  <c r="L62" i="10"/>
  <c r="K77" i="10"/>
  <c r="K69" i="10"/>
  <c r="J76" i="10"/>
  <c r="J68" i="10"/>
  <c r="L37" i="10"/>
  <c r="K40" i="10"/>
  <c r="J43" i="10"/>
  <c r="L45" i="10"/>
  <c r="K48" i="10"/>
  <c r="J51" i="10"/>
  <c r="L53" i="10"/>
  <c r="J75" i="10"/>
  <c r="L48" i="10"/>
  <c r="K43" i="10"/>
  <c r="J67" i="10"/>
  <c r="K51" i="10"/>
  <c r="J46" i="10"/>
  <c r="K76" i="10"/>
  <c r="J54" i="10"/>
  <c r="K68" i="10"/>
  <c r="K35" i="10"/>
  <c r="L77" i="10"/>
  <c r="J38" i="10"/>
  <c r="L69" i="10"/>
  <c r="L40" i="10"/>
  <c r="D25" i="12"/>
  <c r="D21" i="12"/>
  <c r="D10" i="12"/>
  <c r="D14" i="12"/>
  <c r="D18" i="12"/>
  <c r="D22" i="12"/>
  <c r="D26" i="12"/>
  <c r="D9" i="12"/>
  <c r="D11" i="12"/>
  <c r="D15" i="12"/>
  <c r="D19" i="12"/>
  <c r="D23" i="12"/>
  <c r="D17" i="12"/>
  <c r="D12" i="12"/>
  <c r="D16" i="12"/>
  <c r="D20" i="12"/>
  <c r="D24" i="12"/>
  <c r="D13" i="12"/>
  <c r="P8" i="10" l="1"/>
  <c r="AD8" i="10" s="1"/>
  <c r="E201" i="7"/>
  <c r="I201" i="7" s="1"/>
  <c r="AM105" i="9"/>
  <c r="AM74" i="9"/>
  <c r="U16" i="9"/>
  <c r="S50" i="9"/>
  <c r="E77" i="7" s="1"/>
  <c r="S79" i="9"/>
  <c r="G78" i="7" s="1"/>
  <c r="F32" i="7"/>
  <c r="F13" i="7"/>
  <c r="R4" i="9"/>
  <c r="U4" i="9" s="1"/>
  <c r="AM107" i="9"/>
  <c r="AL90" i="9"/>
  <c r="AM52" i="9"/>
  <c r="AB33" i="9"/>
  <c r="AG33" i="9" s="1"/>
  <c r="AH33" i="9" s="1"/>
  <c r="AI33" i="9" s="1"/>
  <c r="S97" i="9"/>
  <c r="I68" i="7" s="1"/>
  <c r="AG4" i="9"/>
  <c r="S42" i="9"/>
  <c r="E69" i="7" s="1"/>
  <c r="AB89" i="9"/>
  <c r="AM89" i="9" s="1"/>
  <c r="S47" i="9"/>
  <c r="E74" i="7" s="1"/>
  <c r="AM69" i="9"/>
  <c r="AM76" i="9"/>
  <c r="AM66" i="9"/>
  <c r="AM110" i="9"/>
  <c r="S46" i="9"/>
  <c r="E73" i="7" s="1"/>
  <c r="S54" i="9"/>
  <c r="E81" i="7" s="1"/>
  <c r="AM109" i="9"/>
  <c r="N125" i="12"/>
  <c r="M155" i="12" s="1"/>
  <c r="R6" i="12"/>
  <c r="AA7" i="10"/>
  <c r="AC7" i="10" s="1"/>
  <c r="AL36" i="9"/>
  <c r="AM41" i="9"/>
  <c r="AM96" i="9"/>
  <c r="AM102" i="9"/>
  <c r="AM83" i="9"/>
  <c r="AM106" i="9"/>
  <c r="AM95" i="9"/>
  <c r="AM51" i="9"/>
  <c r="AM42" i="9"/>
  <c r="AH6" i="9"/>
  <c r="AI6" i="9" s="1"/>
  <c r="AM46" i="9"/>
  <c r="S72" i="9"/>
  <c r="G71" i="7" s="1"/>
  <c r="S38" i="9"/>
  <c r="E65" i="7" s="1"/>
  <c r="H87" i="7"/>
  <c r="J87" i="7" s="1"/>
  <c r="L87" i="7" s="1"/>
  <c r="M87" i="7" s="1"/>
  <c r="AM48" i="9"/>
  <c r="S108" i="9"/>
  <c r="I79" i="7" s="1"/>
  <c r="AN7" i="9"/>
  <c r="AO7" i="9" s="1"/>
  <c r="S66" i="9"/>
  <c r="G65" i="7" s="1"/>
  <c r="S51" i="9"/>
  <c r="E78" i="7" s="1"/>
  <c r="AM43" i="9"/>
  <c r="AM49" i="9"/>
  <c r="AM4" i="9"/>
  <c r="AN4" i="9" s="1"/>
  <c r="AO4" i="9" s="1"/>
  <c r="AM39" i="9"/>
  <c r="AM73" i="9"/>
  <c r="AM81" i="9"/>
  <c r="S94" i="9"/>
  <c r="I65" i="7" s="1"/>
  <c r="S104" i="9"/>
  <c r="I75" i="7" s="1"/>
  <c r="S105" i="9"/>
  <c r="I76" i="7" s="1"/>
  <c r="S68" i="9"/>
  <c r="G67" i="7" s="1"/>
  <c r="AM98" i="9"/>
  <c r="AM54" i="9"/>
  <c r="AM80" i="9"/>
  <c r="AM56" i="9"/>
  <c r="S78" i="9"/>
  <c r="G77" i="7" s="1"/>
  <c r="S43" i="9"/>
  <c r="E70" i="7" s="1"/>
  <c r="AM67" i="9"/>
  <c r="AM111" i="9"/>
  <c r="S45" i="9"/>
  <c r="E72" i="7" s="1"/>
  <c r="S106" i="9"/>
  <c r="I77" i="7" s="1"/>
  <c r="AL62" i="9"/>
  <c r="S101" i="9"/>
  <c r="I72" i="7" s="1"/>
  <c r="R90" i="12"/>
  <c r="AL34" i="9"/>
  <c r="AM82" i="9"/>
  <c r="AM55" i="9"/>
  <c r="AM72" i="9"/>
  <c r="S55" i="9"/>
  <c r="E82" i="7" s="1"/>
  <c r="AM38" i="9"/>
  <c r="S76" i="9"/>
  <c r="G75" i="7" s="1"/>
  <c r="AM97" i="9"/>
  <c r="S96" i="9"/>
  <c r="I67" i="7" s="1"/>
  <c r="AM71" i="9"/>
  <c r="AM45" i="9"/>
  <c r="AM40" i="9"/>
  <c r="S102" i="9"/>
  <c r="I73" i="7" s="1"/>
  <c r="S56" i="9"/>
  <c r="AM79" i="9"/>
  <c r="S52" i="9"/>
  <c r="E79" i="7" s="1"/>
  <c r="AM78" i="9"/>
  <c r="AM108" i="9"/>
  <c r="S44" i="9"/>
  <c r="E71" i="7" s="1"/>
  <c r="S73" i="9"/>
  <c r="G72" i="7" s="1"/>
  <c r="AN6" i="9"/>
  <c r="AO6" i="9" s="1"/>
  <c r="S83" i="9"/>
  <c r="G82" i="7" s="1"/>
  <c r="S107" i="9"/>
  <c r="I78" i="7" s="1"/>
  <c r="AL35" i="9"/>
  <c r="AL61" i="9"/>
  <c r="S37" i="9"/>
  <c r="E64" i="7" s="1"/>
  <c r="AM91" i="9"/>
  <c r="AG91" i="9"/>
  <c r="AH91" i="9" s="1"/>
  <c r="AI91" i="9" s="1"/>
  <c r="AM90" i="9"/>
  <c r="AN90" i="9" s="1"/>
  <c r="AO90" i="9" s="1"/>
  <c r="AG90" i="9"/>
  <c r="AH90" i="9" s="1"/>
  <c r="AI90" i="9" s="1"/>
  <c r="J107" i="7"/>
  <c r="L107" i="7" s="1"/>
  <c r="M107" i="7" s="1"/>
  <c r="H134" i="7"/>
  <c r="I134" i="7" s="1"/>
  <c r="J134" i="7" s="1"/>
  <c r="J106" i="7"/>
  <c r="L106" i="7" s="1"/>
  <c r="M106" i="7" s="1"/>
  <c r="H133" i="7"/>
  <c r="I133" i="7" s="1"/>
  <c r="J133" i="7" s="1"/>
  <c r="J100" i="7"/>
  <c r="L100" i="7" s="1"/>
  <c r="M100" i="7" s="1"/>
  <c r="H127" i="7"/>
  <c r="I127" i="7" s="1"/>
  <c r="J127" i="7" s="1"/>
  <c r="J92" i="7"/>
  <c r="L92" i="7" s="1"/>
  <c r="M92" i="7" s="1"/>
  <c r="H119" i="7"/>
  <c r="I119" i="7" s="1"/>
  <c r="J119" i="7" s="1"/>
  <c r="R53" i="9"/>
  <c r="U53" i="9" s="1"/>
  <c r="S53" i="9"/>
  <c r="E80" i="7" s="1"/>
  <c r="S70" i="9"/>
  <c r="G69" i="7" s="1"/>
  <c r="R82" i="9"/>
  <c r="U82" i="9" s="1"/>
  <c r="S82" i="9"/>
  <c r="G81" i="7" s="1"/>
  <c r="H122" i="7"/>
  <c r="I122" i="7" s="1"/>
  <c r="J122" i="7" s="1"/>
  <c r="J95" i="7"/>
  <c r="L95" i="7" s="1"/>
  <c r="M95" i="7" s="1"/>
  <c r="E171" i="7"/>
  <c r="D35" i="7"/>
  <c r="H35" i="7" s="1"/>
  <c r="F9" i="7"/>
  <c r="T66" i="9"/>
  <c r="F65" i="7" s="1"/>
  <c r="R66" i="9"/>
  <c r="U66" i="9" s="1"/>
  <c r="E189" i="7"/>
  <c r="D53" i="7"/>
  <c r="H53" i="7" s="1"/>
  <c r="F27" i="7"/>
  <c r="E172" i="7"/>
  <c r="D36" i="7"/>
  <c r="H36" i="7" s="1"/>
  <c r="F10" i="7"/>
  <c r="E176" i="7"/>
  <c r="D40" i="7"/>
  <c r="H40" i="7" s="1"/>
  <c r="T105" i="9"/>
  <c r="H76" i="7" s="1"/>
  <c r="R105" i="9"/>
  <c r="U105" i="9" s="1"/>
  <c r="T110" i="9"/>
  <c r="H81" i="7" s="1"/>
  <c r="R110" i="9"/>
  <c r="U110" i="9" s="1"/>
  <c r="T76" i="9"/>
  <c r="F75" i="7" s="1"/>
  <c r="R76" i="9"/>
  <c r="U76" i="9" s="1"/>
  <c r="E36" i="7"/>
  <c r="D172" i="7"/>
  <c r="E42" i="7"/>
  <c r="D178" i="7"/>
  <c r="F24" i="7"/>
  <c r="E50" i="7"/>
  <c r="D186" i="7"/>
  <c r="F8" i="7"/>
  <c r="E170" i="7"/>
  <c r="D34" i="7"/>
  <c r="H34" i="7" s="1"/>
  <c r="J108" i="7"/>
  <c r="L108" i="7" s="1"/>
  <c r="M108" i="7" s="1"/>
  <c r="H135" i="7"/>
  <c r="I135" i="7" s="1"/>
  <c r="J135" i="7" s="1"/>
  <c r="H124" i="7"/>
  <c r="I124" i="7" s="1"/>
  <c r="J124" i="7" s="1"/>
  <c r="J97" i="7"/>
  <c r="L97" i="7" s="1"/>
  <c r="M97" i="7" s="1"/>
  <c r="E178" i="7"/>
  <c r="D42" i="7"/>
  <c r="H42" i="7" s="1"/>
  <c r="F16" i="7"/>
  <c r="J89" i="7"/>
  <c r="L89" i="7" s="1"/>
  <c r="M89" i="7" s="1"/>
  <c r="H116" i="7"/>
  <c r="I116" i="7" s="1"/>
  <c r="J116" i="7" s="1"/>
  <c r="AM36" i="9"/>
  <c r="AG36" i="9"/>
  <c r="AH36" i="9" s="1"/>
  <c r="AI36" i="9" s="1"/>
  <c r="AM101" i="9"/>
  <c r="J102" i="7"/>
  <c r="L102" i="7" s="1"/>
  <c r="M102" i="7" s="1"/>
  <c r="H129" i="7"/>
  <c r="I129" i="7" s="1"/>
  <c r="J129" i="7" s="1"/>
  <c r="S67" i="9"/>
  <c r="G66" i="7" s="1"/>
  <c r="J103" i="7"/>
  <c r="L103" i="7" s="1"/>
  <c r="M103" i="7" s="1"/>
  <c r="H130" i="7"/>
  <c r="I130" i="7" s="1"/>
  <c r="J130" i="7" s="1"/>
  <c r="S77" i="9"/>
  <c r="G76" i="7" s="1"/>
  <c r="T47" i="9"/>
  <c r="D74" i="7" s="1"/>
  <c r="R47" i="9"/>
  <c r="U47" i="9" s="1"/>
  <c r="T84" i="9"/>
  <c r="AM84" i="9"/>
  <c r="T40" i="9"/>
  <c r="D67" i="7" s="1"/>
  <c r="R40" i="9"/>
  <c r="U40" i="9" s="1"/>
  <c r="T45" i="9"/>
  <c r="D72" i="7" s="1"/>
  <c r="R45" i="9"/>
  <c r="U45" i="9" s="1"/>
  <c r="E185" i="7"/>
  <c r="D49" i="7"/>
  <c r="H49" i="7" s="1"/>
  <c r="F23" i="7"/>
  <c r="T108" i="9"/>
  <c r="H79" i="7" s="1"/>
  <c r="R108" i="9"/>
  <c r="U108" i="9" s="1"/>
  <c r="F70" i="7"/>
  <c r="R71" i="9"/>
  <c r="U71" i="9" s="1"/>
  <c r="T78" i="9"/>
  <c r="F77" i="7" s="1"/>
  <c r="R78" i="9"/>
  <c r="U78" i="9" s="1"/>
  <c r="E187" i="7"/>
  <c r="D51" i="7"/>
  <c r="H51" i="7" s="1"/>
  <c r="F25" i="7"/>
  <c r="T79" i="9"/>
  <c r="F78" i="7" s="1"/>
  <c r="R79" i="9"/>
  <c r="U79" i="9" s="1"/>
  <c r="D185" i="7"/>
  <c r="E49" i="7"/>
  <c r="D183" i="7"/>
  <c r="E47" i="7"/>
  <c r="E43" i="7"/>
  <c r="D179" i="7"/>
  <c r="AH7" i="9"/>
  <c r="U7" i="9"/>
  <c r="E51" i="7"/>
  <c r="D187" i="7"/>
  <c r="AM53" i="9"/>
  <c r="AL91" i="9"/>
  <c r="AL64" i="9"/>
  <c r="AG63" i="9"/>
  <c r="AH63" i="9" s="1"/>
  <c r="AI63" i="9" s="1"/>
  <c r="AM63" i="9"/>
  <c r="AM34" i="9"/>
  <c r="AG34" i="9"/>
  <c r="AH34" i="9" s="1"/>
  <c r="AI34" i="9" s="1"/>
  <c r="J98" i="7"/>
  <c r="L98" i="7" s="1"/>
  <c r="M98" i="7" s="1"/>
  <c r="H125" i="7"/>
  <c r="I125" i="7" s="1"/>
  <c r="J125" i="7" s="1"/>
  <c r="R48" i="9"/>
  <c r="U48" i="9" s="1"/>
  <c r="S48" i="9"/>
  <c r="E75" i="7" s="1"/>
  <c r="J109" i="7"/>
  <c r="L109" i="7" s="1"/>
  <c r="M109" i="7" s="1"/>
  <c r="H136" i="7"/>
  <c r="I136" i="7" s="1"/>
  <c r="J136" i="7" s="1"/>
  <c r="J91" i="7"/>
  <c r="L91" i="7" s="1"/>
  <c r="M91" i="7" s="1"/>
  <c r="H118" i="7"/>
  <c r="I118" i="7" s="1"/>
  <c r="J118" i="7" s="1"/>
  <c r="S110" i="9"/>
  <c r="I81" i="7" s="1"/>
  <c r="R75" i="9"/>
  <c r="U75" i="9" s="1"/>
  <c r="S75" i="9"/>
  <c r="G74" i="7" s="1"/>
  <c r="T38" i="9"/>
  <c r="D65" i="7" s="1"/>
  <c r="R38" i="9"/>
  <c r="U38" i="9" s="1"/>
  <c r="E174" i="7"/>
  <c r="D38" i="7"/>
  <c r="H38" i="7" s="1"/>
  <c r="F12" i="7"/>
  <c r="T111" i="9"/>
  <c r="H82" i="7" s="1"/>
  <c r="R111" i="9"/>
  <c r="U111" i="9" s="1"/>
  <c r="T112" i="9"/>
  <c r="AM112" i="9"/>
  <c r="F67" i="7"/>
  <c r="R68" i="9"/>
  <c r="U68" i="9" s="1"/>
  <c r="T55" i="9"/>
  <c r="D82" i="7" s="1"/>
  <c r="R55" i="9"/>
  <c r="U55" i="9" s="1"/>
  <c r="AM50" i="9"/>
  <c r="T50" i="9"/>
  <c r="D77" i="7" s="1"/>
  <c r="R50" i="9"/>
  <c r="U50" i="9" s="1"/>
  <c r="T97" i="9"/>
  <c r="H68" i="7" s="1"/>
  <c r="R97" i="9"/>
  <c r="U97" i="9" s="1"/>
  <c r="T72" i="9"/>
  <c r="F71" i="7" s="1"/>
  <c r="R72" i="9"/>
  <c r="U72" i="9" s="1"/>
  <c r="E41" i="7"/>
  <c r="D177" i="7"/>
  <c r="E45" i="7"/>
  <c r="D181" i="7"/>
  <c r="E53" i="7"/>
  <c r="D189" i="7"/>
  <c r="E168" i="7"/>
  <c r="D32" i="7"/>
  <c r="F6" i="7"/>
  <c r="J101" i="7"/>
  <c r="L101" i="7" s="1"/>
  <c r="M101" i="7" s="1"/>
  <c r="H128" i="7"/>
  <c r="I128" i="7" s="1"/>
  <c r="J128" i="7" s="1"/>
  <c r="AM92" i="9"/>
  <c r="AG92" i="9"/>
  <c r="AH92" i="9" s="1"/>
  <c r="AI92" i="9" s="1"/>
  <c r="AM35" i="9"/>
  <c r="AG35" i="9"/>
  <c r="AH35" i="9" s="1"/>
  <c r="AI35" i="9" s="1"/>
  <c r="AL63" i="9"/>
  <c r="S40" i="9"/>
  <c r="E67" i="7" s="1"/>
  <c r="J93" i="7"/>
  <c r="L93" i="7" s="1"/>
  <c r="M93" i="7" s="1"/>
  <c r="H120" i="7"/>
  <c r="I120" i="7" s="1"/>
  <c r="J120" i="7" s="1"/>
  <c r="S93" i="9"/>
  <c r="I64" i="7" s="1"/>
  <c r="T106" i="9"/>
  <c r="H77" i="7" s="1"/>
  <c r="R106" i="9"/>
  <c r="U106" i="9" s="1"/>
  <c r="T96" i="9"/>
  <c r="H67" i="7" s="1"/>
  <c r="R96" i="9"/>
  <c r="U96" i="9" s="1"/>
  <c r="T42" i="9"/>
  <c r="D69" i="7" s="1"/>
  <c r="R42" i="9"/>
  <c r="U42" i="9" s="1"/>
  <c r="AM104" i="9"/>
  <c r="T104" i="9"/>
  <c r="H75" i="7" s="1"/>
  <c r="R104" i="9"/>
  <c r="U104" i="9" s="1"/>
  <c r="E188" i="7"/>
  <c r="D52" i="7"/>
  <c r="H52" i="7" s="1"/>
  <c r="F26" i="7"/>
  <c r="E182" i="7"/>
  <c r="D46" i="7"/>
  <c r="H46" i="7" s="1"/>
  <c r="F20" i="7"/>
  <c r="T83" i="9"/>
  <c r="F82" i="7" s="1"/>
  <c r="R83" i="9"/>
  <c r="U83" i="9" s="1"/>
  <c r="T81" i="9"/>
  <c r="F80" i="7" s="1"/>
  <c r="R81" i="9"/>
  <c r="U81" i="9" s="1"/>
  <c r="T49" i="9"/>
  <c r="D76" i="7" s="1"/>
  <c r="R49" i="9"/>
  <c r="U49" i="9" s="1"/>
  <c r="D173" i="7"/>
  <c r="E37" i="7"/>
  <c r="E38" i="7"/>
  <c r="D174" i="7"/>
  <c r="E31" i="7"/>
  <c r="I31" i="7" s="1"/>
  <c r="D167" i="7"/>
  <c r="T44" i="9"/>
  <c r="D71" i="7" s="1"/>
  <c r="R44" i="9"/>
  <c r="U44" i="9" s="1"/>
  <c r="E46" i="7"/>
  <c r="D182" i="7"/>
  <c r="AM77" i="9"/>
  <c r="AL89" i="9"/>
  <c r="AL33" i="9"/>
  <c r="S84" i="9"/>
  <c r="AL84" i="9"/>
  <c r="S71" i="9"/>
  <c r="G70" i="7" s="1"/>
  <c r="S99" i="9"/>
  <c r="I70" i="7" s="1"/>
  <c r="S81" i="9"/>
  <c r="G80" i="7" s="1"/>
  <c r="J105" i="7"/>
  <c r="L105" i="7" s="1"/>
  <c r="M105" i="7" s="1"/>
  <c r="H132" i="7"/>
  <c r="I132" i="7" s="1"/>
  <c r="J132" i="7" s="1"/>
  <c r="S80" i="9"/>
  <c r="G79" i="7" s="1"/>
  <c r="T70" i="9"/>
  <c r="F69" i="7" s="1"/>
  <c r="R70" i="9"/>
  <c r="U70" i="9" s="1"/>
  <c r="T80" i="9"/>
  <c r="F79" i="7" s="1"/>
  <c r="R80" i="9"/>
  <c r="U80" i="9" s="1"/>
  <c r="T46" i="9"/>
  <c r="D73" i="7" s="1"/>
  <c r="R46" i="9"/>
  <c r="U46" i="9" s="1"/>
  <c r="T56" i="9"/>
  <c r="R56" i="9"/>
  <c r="U56" i="9" s="1"/>
  <c r="T67" i="9"/>
  <c r="F66" i="7" s="1"/>
  <c r="R67" i="9"/>
  <c r="U67" i="9" s="1"/>
  <c r="D45" i="7"/>
  <c r="H45" i="7" s="1"/>
  <c r="E181" i="7"/>
  <c r="F19" i="7"/>
  <c r="D41" i="7"/>
  <c r="H41" i="7" s="1"/>
  <c r="E177" i="7"/>
  <c r="F15" i="7"/>
  <c r="AM99" i="9"/>
  <c r="T99" i="9"/>
  <c r="H70" i="7" s="1"/>
  <c r="R99" i="9"/>
  <c r="U99" i="9" s="1"/>
  <c r="T54" i="9"/>
  <c r="D81" i="7" s="1"/>
  <c r="R54" i="9"/>
  <c r="U54" i="9" s="1"/>
  <c r="E39" i="7"/>
  <c r="D175" i="7"/>
  <c r="E33" i="7"/>
  <c r="I33" i="7" s="1"/>
  <c r="D169" i="7"/>
  <c r="J90" i="7"/>
  <c r="L90" i="7" s="1"/>
  <c r="M90" i="7" s="1"/>
  <c r="H117" i="7"/>
  <c r="I117" i="7" s="1"/>
  <c r="J117" i="7" s="1"/>
  <c r="R98" i="9"/>
  <c r="U98" i="9" s="1"/>
  <c r="S98" i="9"/>
  <c r="I69" i="7" s="1"/>
  <c r="AM37" i="9"/>
  <c r="T37" i="9"/>
  <c r="D64" i="7" s="1"/>
  <c r="R37" i="9"/>
  <c r="U37" i="9" s="1"/>
  <c r="T101" i="9"/>
  <c r="H72" i="7" s="1"/>
  <c r="R101" i="9"/>
  <c r="U101" i="9" s="1"/>
  <c r="T103" i="9"/>
  <c r="H74" i="7" s="1"/>
  <c r="R103" i="9"/>
  <c r="U103" i="9" s="1"/>
  <c r="E179" i="7"/>
  <c r="D43" i="7"/>
  <c r="H43" i="7" s="1"/>
  <c r="F17" i="7"/>
  <c r="T100" i="9"/>
  <c r="H71" i="7" s="1"/>
  <c r="R100" i="9"/>
  <c r="U100" i="9" s="1"/>
  <c r="AM75" i="9"/>
  <c r="AM64" i="9"/>
  <c r="AG64" i="9"/>
  <c r="AH64" i="9" s="1"/>
  <c r="AI64" i="9" s="1"/>
  <c r="AM62" i="9"/>
  <c r="AG62" i="9"/>
  <c r="AH62" i="9" s="1"/>
  <c r="AI62" i="9" s="1"/>
  <c r="S112" i="9"/>
  <c r="AL112" i="9"/>
  <c r="R74" i="9"/>
  <c r="U74" i="9" s="1"/>
  <c r="S74" i="9"/>
  <c r="G73" i="7" s="1"/>
  <c r="J94" i="7"/>
  <c r="L94" i="7" s="1"/>
  <c r="M94" i="7" s="1"/>
  <c r="H121" i="7"/>
  <c r="I121" i="7" s="1"/>
  <c r="J121" i="7" s="1"/>
  <c r="R109" i="9"/>
  <c r="U109" i="9" s="1"/>
  <c r="S109" i="9"/>
  <c r="I80" i="7" s="1"/>
  <c r="J96" i="7"/>
  <c r="L96" i="7" s="1"/>
  <c r="M96" i="7" s="1"/>
  <c r="H123" i="7"/>
  <c r="I123" i="7" s="1"/>
  <c r="J123" i="7" s="1"/>
  <c r="AM65" i="9"/>
  <c r="T65" i="9"/>
  <c r="F64" i="7" s="1"/>
  <c r="R65" i="9"/>
  <c r="U65" i="9" s="1"/>
  <c r="E180" i="7"/>
  <c r="D44" i="7"/>
  <c r="H44" i="7" s="1"/>
  <c r="T95" i="9"/>
  <c r="H66" i="7" s="1"/>
  <c r="R95" i="9"/>
  <c r="U95" i="9" s="1"/>
  <c r="E175" i="7"/>
  <c r="D39" i="7"/>
  <c r="H39" i="7" s="1"/>
  <c r="T41" i="9"/>
  <c r="D68" i="7" s="1"/>
  <c r="R41" i="9"/>
  <c r="U41" i="9" s="1"/>
  <c r="T94" i="9"/>
  <c r="H65" i="7" s="1"/>
  <c r="R94" i="9"/>
  <c r="U94" i="9" s="1"/>
  <c r="E173" i="7"/>
  <c r="D37" i="7"/>
  <c r="H37" i="7" s="1"/>
  <c r="F11" i="7"/>
  <c r="D48" i="7"/>
  <c r="H48" i="7" s="1"/>
  <c r="E184" i="7"/>
  <c r="F22" i="7"/>
  <c r="T51" i="9"/>
  <c r="D78" i="7" s="1"/>
  <c r="R51" i="9"/>
  <c r="U51" i="9" s="1"/>
  <c r="F18" i="7"/>
  <c r="E44" i="7"/>
  <c r="D180" i="7"/>
  <c r="E34" i="7"/>
  <c r="I34" i="7" s="1"/>
  <c r="D170" i="7"/>
  <c r="F14" i="7"/>
  <c r="E40" i="7"/>
  <c r="D176" i="7"/>
  <c r="U5" i="9"/>
  <c r="AH5" i="9"/>
  <c r="F7" i="7"/>
  <c r="D33" i="7"/>
  <c r="H33" i="7" s="1"/>
  <c r="E169" i="7"/>
  <c r="R69" i="9"/>
  <c r="U69" i="9" s="1"/>
  <c r="S69" i="9"/>
  <c r="G68" i="7" s="1"/>
  <c r="T77" i="9"/>
  <c r="F76" i="7" s="1"/>
  <c r="R77" i="9"/>
  <c r="U77" i="9" s="1"/>
  <c r="E35" i="7"/>
  <c r="I35" i="7" s="1"/>
  <c r="D171" i="7"/>
  <c r="AM100" i="9"/>
  <c r="AM103" i="9"/>
  <c r="AL92" i="9"/>
  <c r="AN5" i="9"/>
  <c r="AO5" i="9" s="1"/>
  <c r="H126" i="7"/>
  <c r="I126" i="7" s="1"/>
  <c r="J126" i="7" s="1"/>
  <c r="J99" i="7"/>
  <c r="L99" i="7" s="1"/>
  <c r="M99" i="7" s="1"/>
  <c r="S49" i="9"/>
  <c r="E76" i="7" s="1"/>
  <c r="S100" i="9"/>
  <c r="I71" i="7" s="1"/>
  <c r="J104" i="7"/>
  <c r="L104" i="7" s="1"/>
  <c r="M104" i="7" s="1"/>
  <c r="H131" i="7"/>
  <c r="I131" i="7" s="1"/>
  <c r="J131" i="7" s="1"/>
  <c r="S39" i="9"/>
  <c r="E66" i="7" s="1"/>
  <c r="AM93" i="9"/>
  <c r="T93" i="9"/>
  <c r="H64" i="7" s="1"/>
  <c r="R93" i="9"/>
  <c r="U93" i="9" s="1"/>
  <c r="T107" i="9"/>
  <c r="H78" i="7" s="1"/>
  <c r="R107" i="9"/>
  <c r="U107" i="9" s="1"/>
  <c r="T52" i="9"/>
  <c r="D79" i="7" s="1"/>
  <c r="R52" i="9"/>
  <c r="U52" i="9" s="1"/>
  <c r="D47" i="7"/>
  <c r="H47" i="7" s="1"/>
  <c r="E183" i="7"/>
  <c r="F21" i="7"/>
  <c r="T102" i="9"/>
  <c r="H73" i="7" s="1"/>
  <c r="R102" i="9"/>
  <c r="U102" i="9" s="1"/>
  <c r="T43" i="9"/>
  <c r="D70" i="7" s="1"/>
  <c r="R43" i="9"/>
  <c r="U43" i="9" s="1"/>
  <c r="T39" i="9"/>
  <c r="D66" i="7" s="1"/>
  <c r="R39" i="9"/>
  <c r="U39" i="9" s="1"/>
  <c r="T73" i="9"/>
  <c r="F72" i="7" s="1"/>
  <c r="R73" i="9"/>
  <c r="U73" i="9" s="1"/>
  <c r="E186" i="7"/>
  <c r="D50" i="7"/>
  <c r="H50" i="7" s="1"/>
  <c r="E32" i="7"/>
  <c r="I32" i="7" s="1"/>
  <c r="D168" i="7"/>
  <c r="E52" i="7"/>
  <c r="D188" i="7"/>
  <c r="E48" i="7"/>
  <c r="D184" i="7"/>
  <c r="J88" i="7"/>
  <c r="L88" i="7" s="1"/>
  <c r="M88" i="7" s="1"/>
  <c r="H115" i="7"/>
  <c r="I115" i="7" s="1"/>
  <c r="J115" i="7" s="1"/>
  <c r="AE88" i="10"/>
  <c r="Q91" i="12"/>
  <c r="AC61" i="10"/>
  <c r="AE61" i="10" s="1"/>
  <c r="Q64" i="12"/>
  <c r="Z64" i="12" s="1"/>
  <c r="AM61" i="9"/>
  <c r="AG61" i="9"/>
  <c r="AH61" i="9" s="1"/>
  <c r="AI61" i="9" s="1"/>
  <c r="Z27" i="10"/>
  <c r="AD27" i="10" s="1"/>
  <c r="Z26" i="10"/>
  <c r="AD26" i="10" s="1"/>
  <c r="D82" i="12"/>
  <c r="K129" i="12"/>
  <c r="G159" i="12"/>
  <c r="G164" i="12"/>
  <c r="K134" i="12"/>
  <c r="G174" i="12"/>
  <c r="K144" i="12"/>
  <c r="G171" i="12"/>
  <c r="K141" i="12"/>
  <c r="K137" i="12"/>
  <c r="G167" i="12"/>
  <c r="J89" i="10"/>
  <c r="G127" i="12"/>
  <c r="G166" i="12"/>
  <c r="K136" i="12"/>
  <c r="G163" i="12"/>
  <c r="K133" i="12"/>
  <c r="G172" i="12"/>
  <c r="K142" i="12"/>
  <c r="G168" i="12"/>
  <c r="K138" i="12"/>
  <c r="G158" i="12"/>
  <c r="G170" i="12"/>
  <c r="K140" i="12"/>
  <c r="G160" i="12"/>
  <c r="K130" i="12"/>
  <c r="G169" i="12"/>
  <c r="K139" i="12"/>
  <c r="G162" i="12"/>
  <c r="K132" i="12"/>
  <c r="G161" i="12"/>
  <c r="K131" i="12"/>
  <c r="G173" i="12"/>
  <c r="K143" i="12"/>
  <c r="K145" i="12"/>
  <c r="G175" i="12"/>
  <c r="G165" i="12"/>
  <c r="K135" i="12"/>
  <c r="D105" i="12"/>
  <c r="P104" i="10"/>
  <c r="D97" i="12"/>
  <c r="P96" i="10"/>
  <c r="D104" i="12"/>
  <c r="P103" i="10"/>
  <c r="D93" i="12"/>
  <c r="P92" i="10"/>
  <c r="D103" i="12"/>
  <c r="P102" i="10"/>
  <c r="D92" i="12"/>
  <c r="P91" i="10"/>
  <c r="D107" i="12"/>
  <c r="P106" i="10"/>
  <c r="D102" i="12"/>
  <c r="P101" i="10"/>
  <c r="D109" i="12"/>
  <c r="P108" i="10"/>
  <c r="D98" i="12"/>
  <c r="P97" i="10"/>
  <c r="D94" i="12"/>
  <c r="P93" i="10"/>
  <c r="D108" i="12"/>
  <c r="P107" i="10"/>
  <c r="D96" i="12"/>
  <c r="P95" i="10"/>
  <c r="D95" i="12"/>
  <c r="P94" i="10"/>
  <c r="D99" i="12"/>
  <c r="P98" i="10"/>
  <c r="D106" i="12"/>
  <c r="P105" i="10"/>
  <c r="D101" i="12"/>
  <c r="P100" i="10"/>
  <c r="D91" i="12"/>
  <c r="D100" i="12"/>
  <c r="P99" i="10"/>
  <c r="P54" i="10"/>
  <c r="P74" i="10"/>
  <c r="D71" i="12"/>
  <c r="P69" i="10"/>
  <c r="P81" i="10"/>
  <c r="D72" i="12"/>
  <c r="P70" i="10"/>
  <c r="D40" i="12"/>
  <c r="P39" i="10"/>
  <c r="D68" i="12"/>
  <c r="P66" i="10"/>
  <c r="D77" i="12"/>
  <c r="P75" i="10"/>
  <c r="D79" i="12"/>
  <c r="P77" i="10"/>
  <c r="D54" i="12"/>
  <c r="P53" i="10"/>
  <c r="D80" i="12"/>
  <c r="P78" i="10"/>
  <c r="D65" i="12"/>
  <c r="D37" i="12"/>
  <c r="D38" i="12"/>
  <c r="P37" i="10"/>
  <c r="D70" i="12"/>
  <c r="P68" i="10"/>
  <c r="D51" i="12"/>
  <c r="D73" i="12"/>
  <c r="P71" i="10"/>
  <c r="D66" i="12"/>
  <c r="P64" i="10"/>
  <c r="D67" i="12"/>
  <c r="P65" i="10"/>
  <c r="D50" i="12"/>
  <c r="P49" i="10"/>
  <c r="D39" i="12"/>
  <c r="P38" i="10"/>
  <c r="D47" i="12"/>
  <c r="P46" i="10"/>
  <c r="D78" i="12"/>
  <c r="P76" i="10"/>
  <c r="D49" i="12"/>
  <c r="P48" i="10"/>
  <c r="P50" i="10"/>
  <c r="D81" i="12"/>
  <c r="P79" i="10"/>
  <c r="D74" i="12"/>
  <c r="P72" i="10"/>
  <c r="D53" i="12"/>
  <c r="P52" i="10"/>
  <c r="D75" i="12"/>
  <c r="P73" i="10"/>
  <c r="D52" i="12"/>
  <c r="P51" i="10"/>
  <c r="D46" i="12"/>
  <c r="P45" i="10"/>
  <c r="P80" i="10"/>
  <c r="D44" i="12"/>
  <c r="P43" i="10"/>
  <c r="J62" i="10"/>
  <c r="J35" i="10"/>
  <c r="D43" i="12"/>
  <c r="D48" i="12"/>
  <c r="P47" i="10"/>
  <c r="D76" i="12"/>
  <c r="D42" i="12"/>
  <c r="P41" i="10"/>
  <c r="D69" i="12"/>
  <c r="P67" i="10"/>
  <c r="D41" i="12"/>
  <c r="P40" i="10"/>
  <c r="P42" i="10"/>
  <c r="D45" i="12"/>
  <c r="P44" i="10"/>
  <c r="U9" i="12"/>
  <c r="D8" i="12"/>
  <c r="P8" i="12" s="1"/>
  <c r="U16" i="12"/>
  <c r="U26" i="12"/>
  <c r="U12" i="12"/>
  <c r="U22" i="12"/>
  <c r="U17" i="12"/>
  <c r="U18" i="12"/>
  <c r="U20" i="12"/>
  <c r="U23" i="12"/>
  <c r="U14" i="12"/>
  <c r="U19" i="12"/>
  <c r="U10" i="12"/>
  <c r="U13" i="12"/>
  <c r="U15" i="12"/>
  <c r="U21" i="12"/>
  <c r="U24" i="12"/>
  <c r="U11" i="12"/>
  <c r="U25" i="12"/>
  <c r="H32" i="7" l="1"/>
  <c r="J32" i="7" s="1"/>
  <c r="AM33" i="9"/>
  <c r="AH4" i="9"/>
  <c r="AI4" i="9" s="1"/>
  <c r="AN89" i="9"/>
  <c r="AO89" i="9" s="1"/>
  <c r="AG89" i="9"/>
  <c r="AH89" i="9" s="1"/>
  <c r="AI89" i="9" s="1"/>
  <c r="AN34" i="9"/>
  <c r="AO34" i="9" s="1"/>
  <c r="Q7" i="12"/>
  <c r="Z7" i="12" s="1"/>
  <c r="D225" i="7"/>
  <c r="AN36" i="9"/>
  <c r="AO36" i="9" s="1"/>
  <c r="AN62" i="9"/>
  <c r="AO62" i="9" s="1"/>
  <c r="AK6" i="9"/>
  <c r="H114" i="7"/>
  <c r="I114" i="7" s="1"/>
  <c r="K141" i="7" s="1" a="1"/>
  <c r="K141" i="7" s="1"/>
  <c r="AN84" i="9"/>
  <c r="AO84" i="9" s="1"/>
  <c r="AN112" i="9"/>
  <c r="AO112" i="9" s="1"/>
  <c r="AN92" i="9"/>
  <c r="AO92" i="9" s="1"/>
  <c r="J35" i="7"/>
  <c r="J82" i="7"/>
  <c r="J81" i="7"/>
  <c r="J66" i="7"/>
  <c r="J76" i="7"/>
  <c r="AN35" i="9"/>
  <c r="AO35" i="9" s="1"/>
  <c r="AN61" i="9"/>
  <c r="AO61" i="9" s="1"/>
  <c r="J70" i="7"/>
  <c r="J78" i="7"/>
  <c r="AN91" i="9"/>
  <c r="AO91" i="9" s="1"/>
  <c r="J77" i="7"/>
  <c r="AN63" i="9"/>
  <c r="AO63" i="9" s="1"/>
  <c r="J74" i="7"/>
  <c r="J80" i="7"/>
  <c r="AI5" i="9"/>
  <c r="AK5" i="9"/>
  <c r="AI7" i="9"/>
  <c r="AK7" i="9"/>
  <c r="K72" i="7"/>
  <c r="F179" i="7"/>
  <c r="J64" i="7"/>
  <c r="F170" i="7"/>
  <c r="K63" i="7"/>
  <c r="L63" i="7" s="1"/>
  <c r="F172" i="7"/>
  <c r="K65" i="7"/>
  <c r="F171" i="7"/>
  <c r="K64" i="7"/>
  <c r="J79" i="7"/>
  <c r="F168" i="7"/>
  <c r="K61" i="7"/>
  <c r="L61" i="7" s="1"/>
  <c r="F174" i="7"/>
  <c r="K67" i="7"/>
  <c r="K69" i="7"/>
  <c r="F176" i="7"/>
  <c r="F184" i="7"/>
  <c r="K77" i="7"/>
  <c r="F181" i="7"/>
  <c r="K74" i="7"/>
  <c r="J73" i="7"/>
  <c r="J72" i="7"/>
  <c r="J68" i="7"/>
  <c r="F182" i="7"/>
  <c r="K75" i="7"/>
  <c r="K79" i="7"/>
  <c r="F186" i="7"/>
  <c r="F189" i="7"/>
  <c r="K82" i="7"/>
  <c r="J33" i="7"/>
  <c r="F175" i="7"/>
  <c r="K68" i="7"/>
  <c r="J67" i="7"/>
  <c r="F183" i="7"/>
  <c r="K76" i="7"/>
  <c r="K62" i="7"/>
  <c r="L62" i="7" s="1"/>
  <c r="F169" i="7"/>
  <c r="K66" i="7"/>
  <c r="F173" i="7"/>
  <c r="J71" i="7"/>
  <c r="J69" i="7"/>
  <c r="J65" i="7"/>
  <c r="J75" i="7"/>
  <c r="F187" i="7"/>
  <c r="K80" i="7"/>
  <c r="K73" i="7"/>
  <c r="F180" i="7"/>
  <c r="F177" i="7"/>
  <c r="K70" i="7"/>
  <c r="AN33" i="9"/>
  <c r="AO33" i="9" s="1"/>
  <c r="F188" i="7"/>
  <c r="K81" i="7"/>
  <c r="AN64" i="9"/>
  <c r="AO64" i="9" s="1"/>
  <c r="F185" i="7"/>
  <c r="K78" i="7"/>
  <c r="F178" i="7"/>
  <c r="K71" i="7"/>
  <c r="J34" i="7"/>
  <c r="AA89" i="10"/>
  <c r="AC89" i="10" s="1"/>
  <c r="Q92" i="12" s="1"/>
  <c r="R91" i="12"/>
  <c r="AA62" i="10"/>
  <c r="R63" i="12"/>
  <c r="P89" i="10"/>
  <c r="E167" i="7"/>
  <c r="D31" i="7"/>
  <c r="H31" i="7" s="1"/>
  <c r="J31" i="7" s="1"/>
  <c r="F5" i="7"/>
  <c r="AE7" i="10"/>
  <c r="F225" i="7"/>
  <c r="L126" i="12"/>
  <c r="L156" i="12" s="1"/>
  <c r="Z91" i="12"/>
  <c r="D90" i="12"/>
  <c r="U90" i="12" s="1"/>
  <c r="K161" i="12"/>
  <c r="K165" i="12"/>
  <c r="K162" i="12"/>
  <c r="K166" i="12"/>
  <c r="K174" i="12"/>
  <c r="K163" i="12"/>
  <c r="K169" i="12"/>
  <c r="K168" i="12"/>
  <c r="G157" i="12"/>
  <c r="K127" i="12"/>
  <c r="K157" i="12" s="1"/>
  <c r="K164" i="12"/>
  <c r="K171" i="12"/>
  <c r="K175" i="12"/>
  <c r="K173" i="12"/>
  <c r="K160" i="12"/>
  <c r="K172" i="12"/>
  <c r="K170" i="12"/>
  <c r="K167" i="12"/>
  <c r="K159" i="12"/>
  <c r="M127" i="12"/>
  <c r="G226" i="7"/>
  <c r="U110" i="12"/>
  <c r="U106" i="12"/>
  <c r="U108" i="12"/>
  <c r="U102" i="12"/>
  <c r="U93" i="12"/>
  <c r="P91" i="12"/>
  <c r="U91" i="12"/>
  <c r="U99" i="12"/>
  <c r="U94" i="12"/>
  <c r="U107" i="12"/>
  <c r="U104" i="12"/>
  <c r="U95" i="12"/>
  <c r="U98" i="12"/>
  <c r="P92" i="12"/>
  <c r="U92" i="12"/>
  <c r="U97" i="12"/>
  <c r="U100" i="12"/>
  <c r="U101" i="12"/>
  <c r="U96" i="12"/>
  <c r="U109" i="12"/>
  <c r="U103" i="12"/>
  <c r="U105" i="12"/>
  <c r="U51" i="12"/>
  <c r="U76" i="12"/>
  <c r="D64" i="12"/>
  <c r="P62" i="10"/>
  <c r="U82" i="12"/>
  <c r="U77" i="12"/>
  <c r="U69" i="12"/>
  <c r="U75" i="12"/>
  <c r="U81" i="12"/>
  <c r="U47" i="12"/>
  <c r="U66" i="12"/>
  <c r="U71" i="12"/>
  <c r="U42" i="12"/>
  <c r="U78" i="12"/>
  <c r="U45" i="12"/>
  <c r="U48" i="12"/>
  <c r="U46" i="12"/>
  <c r="U80" i="12"/>
  <c r="U68" i="12"/>
  <c r="D36" i="12"/>
  <c r="P35" i="10"/>
  <c r="AD35" i="10" s="1"/>
  <c r="AE35" i="10" s="1"/>
  <c r="U43" i="12"/>
  <c r="U53" i="12"/>
  <c r="U39" i="12"/>
  <c r="U50" i="12"/>
  <c r="U70" i="12"/>
  <c r="U38" i="12"/>
  <c r="U37" i="12"/>
  <c r="U44" i="12"/>
  <c r="U52" i="12"/>
  <c r="U49" i="12"/>
  <c r="U54" i="12"/>
  <c r="U40" i="12"/>
  <c r="U41" i="12"/>
  <c r="U73" i="12"/>
  <c r="U65" i="12"/>
  <c r="U74" i="12"/>
  <c r="U67" i="12"/>
  <c r="U79" i="12"/>
  <c r="U72" i="12"/>
  <c r="U8" i="12"/>
  <c r="AK4" i="9" l="1"/>
  <c r="J114" i="7"/>
  <c r="L82" i="7"/>
  <c r="L81" i="7"/>
  <c r="L66" i="7"/>
  <c r="L76" i="7"/>
  <c r="L78" i="7"/>
  <c r="L70" i="7"/>
  <c r="L80" i="7"/>
  <c r="L74" i="7"/>
  <c r="L77" i="7"/>
  <c r="L71" i="7"/>
  <c r="L79" i="7"/>
  <c r="L68" i="7"/>
  <c r="L75" i="7"/>
  <c r="L67" i="7"/>
  <c r="L72" i="7"/>
  <c r="H225" i="7"/>
  <c r="AG7" i="10"/>
  <c r="L64" i="7"/>
  <c r="L73" i="7"/>
  <c r="L65" i="7"/>
  <c r="L69" i="7"/>
  <c r="F167" i="7"/>
  <c r="K60" i="7"/>
  <c r="L60" i="7" s="1"/>
  <c r="AC62" i="10"/>
  <c r="Q65" i="12"/>
  <c r="Z65" i="12" s="1"/>
  <c r="AA8" i="10"/>
  <c r="R7" i="12"/>
  <c r="N126" i="12"/>
  <c r="M156" i="12" s="1"/>
  <c r="P90" i="12"/>
  <c r="U64" i="12"/>
  <c r="P64" i="12"/>
  <c r="R36" i="12"/>
  <c r="AA36" i="10"/>
  <c r="U36" i="12"/>
  <c r="P36" i="12"/>
  <c r="Y66" i="12"/>
  <c r="Y38" i="12"/>
  <c r="AC8" i="10" l="1"/>
  <c r="D226" i="7"/>
  <c r="Q8" i="12"/>
  <c r="Z8" i="12" s="1"/>
  <c r="AC36" i="10"/>
  <c r="Q37" i="12"/>
  <c r="Z37" i="12" s="1"/>
  <c r="AE8" i="10" l="1"/>
  <c r="AG8" i="10" s="1"/>
  <c r="F226" i="7"/>
  <c r="L127" i="12"/>
  <c r="L157" i="12" s="1"/>
  <c r="Z92" i="12"/>
  <c r="Y39" i="12"/>
  <c r="Y67" i="12"/>
  <c r="AA9" i="10" l="1"/>
  <c r="N127" i="12"/>
  <c r="M157" i="12" s="1"/>
  <c r="H226" i="7"/>
  <c r="R8" i="12"/>
  <c r="Y40" i="12"/>
  <c r="Y68" i="12"/>
  <c r="Q9" i="12" l="1"/>
  <c r="Z9" i="12" s="1"/>
  <c r="D227" i="7"/>
  <c r="Y69" i="12"/>
  <c r="Y41" i="12" l="1"/>
  <c r="Y42" i="12" l="1"/>
  <c r="Y70" i="12"/>
  <c r="Y43" i="12" l="1"/>
  <c r="Y71" i="12"/>
  <c r="Y72" i="12" l="1"/>
  <c r="Y44" i="12" l="1"/>
  <c r="Y73" i="12" l="1"/>
  <c r="Y45" i="12"/>
  <c r="Y74" i="12" l="1"/>
  <c r="Y46" i="12" l="1"/>
  <c r="Y47" i="12" l="1"/>
  <c r="Y75" i="12"/>
  <c r="Y48" i="12" l="1"/>
  <c r="Y76" i="12"/>
  <c r="Y77" i="12" l="1"/>
  <c r="Y49" i="12"/>
  <c r="Y78" i="12" l="1"/>
  <c r="Y50" i="12"/>
  <c r="Y51" i="12" l="1"/>
  <c r="Y79" i="12"/>
  <c r="Y80" i="12" l="1"/>
  <c r="Y52" i="12" l="1"/>
  <c r="Y53" i="12" l="1"/>
  <c r="Y81" i="12"/>
  <c r="Y54" i="12" l="1"/>
  <c r="Y82" i="12"/>
  <c r="S20" i="21" l="1"/>
  <c r="T20" i="21"/>
  <c r="U20" i="21"/>
  <c r="S25" i="21"/>
  <c r="D22" i="21"/>
  <c r="D166" i="21" s="1"/>
  <c r="T25" i="21"/>
  <c r="U25" i="21"/>
  <c r="U24" i="21"/>
  <c r="S21" i="21"/>
  <c r="D24" i="21"/>
  <c r="D168" i="21" s="1"/>
  <c r="U21" i="21"/>
  <c r="T21" i="21"/>
  <c r="T24" i="21"/>
  <c r="U39" i="21" l="1"/>
  <c r="U43" i="21"/>
  <c r="F42" i="21"/>
  <c r="G51" i="21" s="1"/>
  <c r="H60" i="21" s="1"/>
  <c r="I69" i="21" s="1"/>
  <c r="J78" i="21" s="1"/>
  <c r="K87" i="21" s="1"/>
  <c r="L96" i="21" s="1"/>
  <c r="M105" i="21" s="1"/>
  <c r="N114" i="21" s="1"/>
  <c r="O123" i="21" s="1"/>
  <c r="P132" i="21" s="1"/>
  <c r="Q141" i="21" s="1"/>
  <c r="R150" i="21" s="1"/>
  <c r="S159" i="21" s="1"/>
  <c r="F40" i="21"/>
  <c r="G49" i="21" s="1"/>
  <c r="H58" i="21" s="1"/>
  <c r="I67" i="21" s="1"/>
  <c r="J76" i="21" s="1"/>
  <c r="K85" i="21" s="1"/>
  <c r="L94" i="21" s="1"/>
  <c r="M103" i="21" s="1"/>
  <c r="N112" i="21" s="1"/>
  <c r="O121" i="21" s="1"/>
  <c r="P130" i="21" s="1"/>
  <c r="Q139" i="21" s="1"/>
  <c r="R148" i="21" s="1"/>
  <c r="S157" i="21" l="1"/>
  <c r="U38" i="21"/>
  <c r="E22" i="21"/>
  <c r="E166" i="21" s="1"/>
  <c r="G40" i="21" l="1"/>
  <c r="H49" i="21" s="1"/>
  <c r="I58" i="21" s="1"/>
  <c r="J67" i="21" s="1"/>
  <c r="K76" i="21" s="1"/>
  <c r="L85" i="21" s="1"/>
  <c r="M94" i="21" s="1"/>
  <c r="N103" i="21" s="1"/>
  <c r="O112" i="21" s="1"/>
  <c r="P121" i="21" s="1"/>
  <c r="Q130" i="21" s="1"/>
  <c r="R139" i="21" s="1"/>
  <c r="S148" i="21" s="1"/>
  <c r="T157" i="21" s="1"/>
  <c r="E24" i="21"/>
  <c r="E168" i="21" s="1"/>
  <c r="F22" i="21"/>
  <c r="F166" i="21" s="1"/>
  <c r="H40" i="21" l="1"/>
  <c r="I49" i="21" s="1"/>
  <c r="J58" i="21" s="1"/>
  <c r="K67" i="21" s="1"/>
  <c r="L76" i="21" s="1"/>
  <c r="M85" i="21" s="1"/>
  <c r="N94" i="21" s="1"/>
  <c r="O103" i="21" s="1"/>
  <c r="P112" i="21" s="1"/>
  <c r="Q121" i="21" s="1"/>
  <c r="R130" i="21" s="1"/>
  <c r="S139" i="21" s="1"/>
  <c r="T148" i="21" s="1"/>
  <c r="F24" i="21"/>
  <c r="D25" i="21"/>
  <c r="D169" i="21" s="1"/>
  <c r="E164" i="21"/>
  <c r="E25" i="21"/>
  <c r="G22" i="21"/>
  <c r="G166" i="21" s="1"/>
  <c r="G42" i="21"/>
  <c r="H51" i="21" s="1"/>
  <c r="I60" i="21" s="1"/>
  <c r="J69" i="21" s="1"/>
  <c r="K78" i="21" s="1"/>
  <c r="L87" i="21" s="1"/>
  <c r="M96" i="21" s="1"/>
  <c r="N105" i="21" s="1"/>
  <c r="O114" i="21" s="1"/>
  <c r="P123" i="21" s="1"/>
  <c r="Q132" i="21" s="1"/>
  <c r="R141" i="21" s="1"/>
  <c r="S150" i="21" s="1"/>
  <c r="T159" i="21" s="1"/>
  <c r="D23" i="21"/>
  <c r="D167" i="21" s="1"/>
  <c r="F25" i="21"/>
  <c r="U157" i="21" l="1"/>
  <c r="F168" i="21"/>
  <c r="F41" i="21"/>
  <c r="G50" i="21" s="1"/>
  <c r="H59" i="21" s="1"/>
  <c r="I68" i="21" s="1"/>
  <c r="J77" i="21" s="1"/>
  <c r="K86" i="21" s="1"/>
  <c r="L95" i="21" s="1"/>
  <c r="M104" i="21" s="1"/>
  <c r="N113" i="21" s="1"/>
  <c r="O122" i="21" s="1"/>
  <c r="P131" i="21" s="1"/>
  <c r="Q140" i="21" s="1"/>
  <c r="R149" i="21" s="1"/>
  <c r="S158" i="21" s="1"/>
  <c r="G38" i="21"/>
  <c r="I40" i="21"/>
  <c r="J49" i="21" s="1"/>
  <c r="K58" i="21" s="1"/>
  <c r="L67" i="21" s="1"/>
  <c r="M76" i="21" s="1"/>
  <c r="N85" i="21" s="1"/>
  <c r="O94" i="21" s="1"/>
  <c r="P103" i="21" s="1"/>
  <c r="Q112" i="21" s="1"/>
  <c r="R121" i="21" s="1"/>
  <c r="S130" i="21" s="1"/>
  <c r="T139" i="21" s="1"/>
  <c r="U148" i="21" s="1"/>
  <c r="G43" i="21"/>
  <c r="H52" i="21" s="1"/>
  <c r="I61" i="21" s="1"/>
  <c r="J70" i="21" s="1"/>
  <c r="K79" i="21" s="1"/>
  <c r="L88" i="21" s="1"/>
  <c r="M97" i="21" s="1"/>
  <c r="N106" i="21" s="1"/>
  <c r="O115" i="21" s="1"/>
  <c r="P124" i="21" s="1"/>
  <c r="Q133" i="21" s="1"/>
  <c r="R142" i="21" s="1"/>
  <c r="S151" i="21" s="1"/>
  <c r="T160" i="21" s="1"/>
  <c r="F43" i="21"/>
  <c r="G52" i="21" s="1"/>
  <c r="H61" i="21" s="1"/>
  <c r="I70" i="21" s="1"/>
  <c r="J79" i="21" s="1"/>
  <c r="K88" i="21" s="1"/>
  <c r="L97" i="21" s="1"/>
  <c r="M106" i="21" s="1"/>
  <c r="N115" i="21" s="1"/>
  <c r="O124" i="21" s="1"/>
  <c r="P133" i="21" s="1"/>
  <c r="Q142" i="21" s="1"/>
  <c r="R151" i="21" s="1"/>
  <c r="S160" i="21" s="1"/>
  <c r="H43" i="21"/>
  <c r="I52" i="21" s="1"/>
  <c r="J61" i="21" s="1"/>
  <c r="K70" i="21" s="1"/>
  <c r="L79" i="21" s="1"/>
  <c r="M88" i="21" s="1"/>
  <c r="N97" i="21" s="1"/>
  <c r="O106" i="21" s="1"/>
  <c r="P115" i="21" s="1"/>
  <c r="Q124" i="21" s="1"/>
  <c r="R133" i="21" s="1"/>
  <c r="S142" i="21" s="1"/>
  <c r="T151" i="21" s="1"/>
  <c r="U160" i="21" s="1"/>
  <c r="H42" i="21"/>
  <c r="I51" i="21" s="1"/>
  <c r="J60" i="21" s="1"/>
  <c r="K69" i="21" s="1"/>
  <c r="L78" i="21" s="1"/>
  <c r="M87" i="21" s="1"/>
  <c r="N96" i="21" s="1"/>
  <c r="O105" i="21" s="1"/>
  <c r="P114" i="21" s="1"/>
  <c r="Q123" i="21" s="1"/>
  <c r="R132" i="21" s="1"/>
  <c r="S141" i="21" s="1"/>
  <c r="T150" i="21" s="1"/>
  <c r="U159" i="21" s="1"/>
  <c r="E23" i="21"/>
  <c r="E167" i="21" s="1"/>
  <c r="G25" i="21"/>
  <c r="F164" i="21"/>
  <c r="H22" i="21"/>
  <c r="H166" i="21" s="1"/>
  <c r="G24" i="21"/>
  <c r="D21" i="21"/>
  <c r="D165" i="21" s="1"/>
  <c r="C17" i="21"/>
  <c r="C175" i="21" s="1"/>
  <c r="E21" i="21"/>
  <c r="D170" i="21" l="1"/>
  <c r="E169" i="21"/>
  <c r="G169" i="21"/>
  <c r="L143" i="7"/>
  <c r="F169" i="21"/>
  <c r="G168" i="21"/>
  <c r="I42" i="21"/>
  <c r="J51" i="21" s="1"/>
  <c r="K60" i="21" s="1"/>
  <c r="L69" i="21" s="1"/>
  <c r="M78" i="21" s="1"/>
  <c r="N87" i="21" s="1"/>
  <c r="O96" i="21" s="1"/>
  <c r="P105" i="21" s="1"/>
  <c r="Q114" i="21" s="1"/>
  <c r="R123" i="21" s="1"/>
  <c r="S132" i="21" s="1"/>
  <c r="T141" i="21" s="1"/>
  <c r="U150" i="21" s="1"/>
  <c r="G41" i="21"/>
  <c r="H50" i="21" s="1"/>
  <c r="I59" i="21" s="1"/>
  <c r="J68" i="21" s="1"/>
  <c r="K77" i="21" s="1"/>
  <c r="L86" i="21" s="1"/>
  <c r="M95" i="21" s="1"/>
  <c r="N104" i="21" s="1"/>
  <c r="O113" i="21" s="1"/>
  <c r="P122" i="21" s="1"/>
  <c r="Q131" i="21" s="1"/>
  <c r="R140" i="21" s="1"/>
  <c r="S149" i="21" s="1"/>
  <c r="T158" i="21" s="1"/>
  <c r="J40" i="21"/>
  <c r="K49" i="21" s="1"/>
  <c r="L58" i="21" s="1"/>
  <c r="M67" i="21" s="1"/>
  <c r="N76" i="21" s="1"/>
  <c r="O85" i="21" s="1"/>
  <c r="P94" i="21" s="1"/>
  <c r="Q103" i="21" s="1"/>
  <c r="R112" i="21" s="1"/>
  <c r="S121" i="21" s="1"/>
  <c r="T130" i="21" s="1"/>
  <c r="U139" i="21" s="1"/>
  <c r="I43" i="21"/>
  <c r="J52" i="21" s="1"/>
  <c r="K61" i="21" s="1"/>
  <c r="L70" i="21" s="1"/>
  <c r="M79" i="21" s="1"/>
  <c r="N88" i="21" s="1"/>
  <c r="O97" i="21" s="1"/>
  <c r="P106" i="21" s="1"/>
  <c r="Q115" i="21" s="1"/>
  <c r="R124" i="21" s="1"/>
  <c r="S133" i="21" s="1"/>
  <c r="T142" i="21" s="1"/>
  <c r="U151" i="21" s="1"/>
  <c r="H20" i="21"/>
  <c r="H25" i="21"/>
  <c r="G164" i="21"/>
  <c r="I22" i="21"/>
  <c r="F21" i="21"/>
  <c r="E17" i="21"/>
  <c r="H24" i="21"/>
  <c r="F23" i="21"/>
  <c r="F167" i="21" s="1"/>
  <c r="H38" i="21"/>
  <c r="D26" i="21"/>
  <c r="D175" i="21" s="1"/>
  <c r="E26" i="21"/>
  <c r="H169" i="21" l="1"/>
  <c r="E165" i="21"/>
  <c r="E170" i="21" s="1"/>
  <c r="F39" i="21"/>
  <c r="F165" i="21" s="1"/>
  <c r="F170" i="21" s="1"/>
  <c r="I166" i="21"/>
  <c r="H168" i="21"/>
  <c r="H47" i="21"/>
  <c r="I56" i="21" s="1"/>
  <c r="J65" i="21" s="1"/>
  <c r="E175" i="21"/>
  <c r="N143" i="7" s="1"/>
  <c r="J43" i="21"/>
  <c r="K52" i="21" s="1"/>
  <c r="L61" i="21" s="1"/>
  <c r="M70" i="21" s="1"/>
  <c r="N79" i="21" s="1"/>
  <c r="O88" i="21" s="1"/>
  <c r="P97" i="21" s="1"/>
  <c r="Q106" i="21" s="1"/>
  <c r="R115" i="21" s="1"/>
  <c r="S124" i="21" s="1"/>
  <c r="T133" i="21" s="1"/>
  <c r="U142" i="21" s="1"/>
  <c r="H41" i="21"/>
  <c r="I50" i="21" s="1"/>
  <c r="J59" i="21" s="1"/>
  <c r="K68" i="21" s="1"/>
  <c r="L77" i="21" s="1"/>
  <c r="M86" i="21" s="1"/>
  <c r="N95" i="21" s="1"/>
  <c r="O104" i="21" s="1"/>
  <c r="P113" i="21" s="1"/>
  <c r="Q122" i="21" s="1"/>
  <c r="R131" i="21" s="1"/>
  <c r="S140" i="21" s="1"/>
  <c r="T149" i="21" s="1"/>
  <c r="U158" i="21" s="1"/>
  <c r="J42" i="21"/>
  <c r="K51" i="21" s="1"/>
  <c r="L60" i="21" s="1"/>
  <c r="M69" i="21" s="1"/>
  <c r="N78" i="21" s="1"/>
  <c r="O87" i="21" s="1"/>
  <c r="P96" i="21" s="1"/>
  <c r="Q105" i="21" s="1"/>
  <c r="R114" i="21" s="1"/>
  <c r="S123" i="21" s="1"/>
  <c r="T132" i="21" s="1"/>
  <c r="U141" i="21" s="1"/>
  <c r="K40" i="21"/>
  <c r="L49" i="21" s="1"/>
  <c r="M58" i="21" s="1"/>
  <c r="N67" i="21" s="1"/>
  <c r="O76" i="21" s="1"/>
  <c r="P85" i="21" s="1"/>
  <c r="Q94" i="21" s="1"/>
  <c r="R103" i="21" s="1"/>
  <c r="S112" i="21" s="1"/>
  <c r="T121" i="21" s="1"/>
  <c r="U130" i="21" s="1"/>
  <c r="G39" i="21"/>
  <c r="F35" i="21"/>
  <c r="J22" i="21"/>
  <c r="I38" i="21"/>
  <c r="F26" i="21"/>
  <c r="G21" i="21"/>
  <c r="F17" i="21"/>
  <c r="I47" i="21"/>
  <c r="I25" i="21"/>
  <c r="I24" i="21"/>
  <c r="G23" i="21"/>
  <c r="I20" i="21"/>
  <c r="E35" i="21"/>
  <c r="E176" i="21" s="1"/>
  <c r="K74" i="21" l="1"/>
  <c r="I169" i="21"/>
  <c r="H164" i="21"/>
  <c r="N144" i="7"/>
  <c r="M143" i="7"/>
  <c r="I164" i="21"/>
  <c r="I168" i="21"/>
  <c r="J166" i="21"/>
  <c r="G167" i="21"/>
  <c r="F175" i="21"/>
  <c r="O143" i="7" s="1"/>
  <c r="L40" i="21"/>
  <c r="M49" i="21" s="1"/>
  <c r="N58" i="21" s="1"/>
  <c r="O67" i="21" s="1"/>
  <c r="P76" i="21" s="1"/>
  <c r="Q85" i="21" s="1"/>
  <c r="R94" i="21" s="1"/>
  <c r="S103" i="21" s="1"/>
  <c r="T112" i="21" s="1"/>
  <c r="U121" i="21" s="1"/>
  <c r="K42" i="21"/>
  <c r="L51" i="21" s="1"/>
  <c r="M60" i="21" s="1"/>
  <c r="N69" i="21" s="1"/>
  <c r="O78" i="21" s="1"/>
  <c r="P87" i="21" s="1"/>
  <c r="Q96" i="21" s="1"/>
  <c r="R105" i="21" s="1"/>
  <c r="S114" i="21" s="1"/>
  <c r="T123" i="21" s="1"/>
  <c r="U132" i="21" s="1"/>
  <c r="I41" i="21"/>
  <c r="J50" i="21" s="1"/>
  <c r="K59" i="21" s="1"/>
  <c r="L68" i="21" s="1"/>
  <c r="M77" i="21" s="1"/>
  <c r="N86" i="21" s="1"/>
  <c r="O95" i="21" s="1"/>
  <c r="P104" i="21" s="1"/>
  <c r="Q113" i="21" s="1"/>
  <c r="R122" i="21" s="1"/>
  <c r="S131" i="21" s="1"/>
  <c r="T140" i="21" s="1"/>
  <c r="U149" i="21" s="1"/>
  <c r="K43" i="21"/>
  <c r="L52" i="21" s="1"/>
  <c r="M61" i="21" s="1"/>
  <c r="N70" i="21" s="1"/>
  <c r="O79" i="21" s="1"/>
  <c r="P88" i="21" s="1"/>
  <c r="Q97" i="21" s="1"/>
  <c r="R106" i="21" s="1"/>
  <c r="S115" i="21" s="1"/>
  <c r="T124" i="21" s="1"/>
  <c r="U133" i="21" s="1"/>
  <c r="H21" i="21"/>
  <c r="G17" i="21"/>
  <c r="G26" i="21"/>
  <c r="H48" i="21"/>
  <c r="G44" i="21"/>
  <c r="J25" i="21"/>
  <c r="J169" i="21" s="1"/>
  <c r="J38" i="21"/>
  <c r="J24" i="21"/>
  <c r="G48" i="21"/>
  <c r="G165" i="21" s="1"/>
  <c r="F44" i="21"/>
  <c r="F176" i="21" s="1"/>
  <c r="K22" i="21"/>
  <c r="H39" i="21"/>
  <c r="G35" i="21"/>
  <c r="J56" i="21"/>
  <c r="K65" i="21" s="1"/>
  <c r="H23" i="21"/>
  <c r="J20" i="21"/>
  <c r="J47" i="21"/>
  <c r="L74" i="21" l="1"/>
  <c r="L83" i="21"/>
  <c r="G176" i="21"/>
  <c r="P144" i="7" s="1"/>
  <c r="G170" i="21"/>
  <c r="O144" i="7"/>
  <c r="K166" i="21"/>
  <c r="H167" i="21"/>
  <c r="J168" i="21"/>
  <c r="J164" i="21"/>
  <c r="G175" i="21"/>
  <c r="P143" i="7" s="1"/>
  <c r="L42" i="21"/>
  <c r="M51" i="21" s="1"/>
  <c r="N60" i="21" s="1"/>
  <c r="O69" i="21" s="1"/>
  <c r="P78" i="21" s="1"/>
  <c r="Q87" i="21" s="1"/>
  <c r="R96" i="21" s="1"/>
  <c r="S105" i="21" s="1"/>
  <c r="T114" i="21" s="1"/>
  <c r="U123" i="21" s="1"/>
  <c r="J41" i="21"/>
  <c r="K50" i="21" s="1"/>
  <c r="L59" i="21" s="1"/>
  <c r="M68" i="21" s="1"/>
  <c r="N77" i="21" s="1"/>
  <c r="O86" i="21" s="1"/>
  <c r="P95" i="21" s="1"/>
  <c r="Q104" i="21" s="1"/>
  <c r="R113" i="21" s="1"/>
  <c r="S122" i="21" s="1"/>
  <c r="T131" i="21" s="1"/>
  <c r="U140" i="21" s="1"/>
  <c r="L43" i="21"/>
  <c r="M52" i="21" s="1"/>
  <c r="N61" i="21" s="1"/>
  <c r="O70" i="21" s="1"/>
  <c r="P79" i="21" s="1"/>
  <c r="Q88" i="21" s="1"/>
  <c r="R97" i="21" s="1"/>
  <c r="S106" i="21" s="1"/>
  <c r="T115" i="21" s="1"/>
  <c r="U124" i="21" s="1"/>
  <c r="L22" i="21"/>
  <c r="L166" i="21" s="1"/>
  <c r="K38" i="21"/>
  <c r="I21" i="21"/>
  <c r="H17" i="21"/>
  <c r="M40" i="21"/>
  <c r="N49" i="21" s="1"/>
  <c r="O58" i="21" s="1"/>
  <c r="P67" i="21" s="1"/>
  <c r="Q76" i="21" s="1"/>
  <c r="R85" i="21" s="1"/>
  <c r="S94" i="21" s="1"/>
  <c r="T103" i="21" s="1"/>
  <c r="U112" i="21" s="1"/>
  <c r="H26" i="21"/>
  <c r="K25" i="21"/>
  <c r="K169" i="21" s="1"/>
  <c r="K20" i="21"/>
  <c r="I57" i="21"/>
  <c r="H53" i="21"/>
  <c r="I39" i="21"/>
  <c r="H35" i="21"/>
  <c r="I23" i="21"/>
  <c r="I167" i="21" s="1"/>
  <c r="K24" i="21"/>
  <c r="K56" i="21"/>
  <c r="L65" i="21" s="1"/>
  <c r="I48" i="21"/>
  <c r="H44" i="21"/>
  <c r="H57" i="21"/>
  <c r="G53" i="21"/>
  <c r="G177" i="21" s="1"/>
  <c r="K47" i="21"/>
  <c r="M74" i="21" l="1"/>
  <c r="M92" i="21"/>
  <c r="M83" i="21"/>
  <c r="H62" i="21"/>
  <c r="H177" i="21" s="1"/>
  <c r="I66" i="21"/>
  <c r="I165" i="21" s="1"/>
  <c r="I170" i="21" s="1"/>
  <c r="I62" i="21"/>
  <c r="J66" i="21"/>
  <c r="H176" i="21"/>
  <c r="P145" i="7"/>
  <c r="K168" i="21"/>
  <c r="K164" i="21"/>
  <c r="H165" i="21"/>
  <c r="H170" i="21" s="1"/>
  <c r="H175" i="21"/>
  <c r="Q143" i="7" s="1"/>
  <c r="M42" i="21"/>
  <c r="N51" i="21" s="1"/>
  <c r="O60" i="21" s="1"/>
  <c r="P69" i="21" s="1"/>
  <c r="Q78" i="21" s="1"/>
  <c r="R87" i="21" s="1"/>
  <c r="S96" i="21" s="1"/>
  <c r="T105" i="21" s="1"/>
  <c r="U114" i="21" s="1"/>
  <c r="M38" i="21"/>
  <c r="M43" i="21"/>
  <c r="N52" i="21" s="1"/>
  <c r="O61" i="21" s="1"/>
  <c r="P70" i="21" s="1"/>
  <c r="Q79" i="21" s="1"/>
  <c r="R88" i="21" s="1"/>
  <c r="S97" i="21" s="1"/>
  <c r="T106" i="21" s="1"/>
  <c r="U115" i="21" s="1"/>
  <c r="K41" i="21"/>
  <c r="L50" i="21" s="1"/>
  <c r="M59" i="21" s="1"/>
  <c r="N68" i="21" s="1"/>
  <c r="O77" i="21" s="1"/>
  <c r="P86" i="21" s="1"/>
  <c r="Q95" i="21" s="1"/>
  <c r="R104" i="21" s="1"/>
  <c r="S113" i="21" s="1"/>
  <c r="T122" i="21" s="1"/>
  <c r="U131" i="21" s="1"/>
  <c r="N40" i="21"/>
  <c r="O49" i="21" s="1"/>
  <c r="P58" i="21" s="1"/>
  <c r="Q67" i="21" s="1"/>
  <c r="R76" i="21" s="1"/>
  <c r="S85" i="21" s="1"/>
  <c r="T94" i="21" s="1"/>
  <c r="U103" i="21" s="1"/>
  <c r="L24" i="21"/>
  <c r="J57" i="21"/>
  <c r="I53" i="21"/>
  <c r="L20" i="21"/>
  <c r="J23" i="21"/>
  <c r="L56" i="21"/>
  <c r="M65" i="21" s="1"/>
  <c r="J39" i="21"/>
  <c r="I35" i="21"/>
  <c r="L25" i="21"/>
  <c r="L169" i="21" s="1"/>
  <c r="J48" i="21"/>
  <c r="I44" i="21"/>
  <c r="L47" i="21"/>
  <c r="L38" i="21"/>
  <c r="I26" i="21"/>
  <c r="M22" i="21"/>
  <c r="M166" i="21" s="1"/>
  <c r="J21" i="21"/>
  <c r="I17" i="21"/>
  <c r="I177" i="21" l="1"/>
  <c r="R145" i="7" s="1"/>
  <c r="I176" i="21"/>
  <c r="J75" i="21"/>
  <c r="I71" i="21"/>
  <c r="I178" i="21" s="1"/>
  <c r="R146" i="7" s="1"/>
  <c r="N101" i="21"/>
  <c r="N74" i="21"/>
  <c r="N92" i="21"/>
  <c r="J62" i="21"/>
  <c r="K66" i="21"/>
  <c r="K75" i="21"/>
  <c r="J71" i="21"/>
  <c r="N83" i="21"/>
  <c r="Q145" i="7"/>
  <c r="Q144" i="7"/>
  <c r="L168" i="21"/>
  <c r="J167" i="21"/>
  <c r="L164" i="21"/>
  <c r="I175" i="21"/>
  <c r="R143" i="7" s="1"/>
  <c r="N42" i="21"/>
  <c r="O51" i="21" s="1"/>
  <c r="P60" i="21" s="1"/>
  <c r="Q69" i="21" s="1"/>
  <c r="R78" i="21" s="1"/>
  <c r="S87" i="21" s="1"/>
  <c r="T96" i="21" s="1"/>
  <c r="U105" i="21" s="1"/>
  <c r="N43" i="21"/>
  <c r="O52" i="21" s="1"/>
  <c r="P61" i="21" s="1"/>
  <c r="Q70" i="21" s="1"/>
  <c r="R79" i="21" s="1"/>
  <c r="S88" i="21" s="1"/>
  <c r="T97" i="21" s="1"/>
  <c r="U106" i="21" s="1"/>
  <c r="L41" i="21"/>
  <c r="M50" i="21" s="1"/>
  <c r="N59" i="21" s="1"/>
  <c r="O68" i="21" s="1"/>
  <c r="P77" i="21" s="1"/>
  <c r="Q86" i="21" s="1"/>
  <c r="R95" i="21" s="1"/>
  <c r="S104" i="21" s="1"/>
  <c r="T113" i="21" s="1"/>
  <c r="U122" i="21" s="1"/>
  <c r="O40" i="21"/>
  <c r="P49" i="21" s="1"/>
  <c r="Q58" i="21" s="1"/>
  <c r="R67" i="21" s="1"/>
  <c r="S76" i="21" s="1"/>
  <c r="T85" i="21" s="1"/>
  <c r="U94" i="21" s="1"/>
  <c r="K23" i="21"/>
  <c r="K167" i="21" s="1"/>
  <c r="K39" i="21"/>
  <c r="J35" i="21"/>
  <c r="K57" i="21"/>
  <c r="J53" i="21"/>
  <c r="N47" i="21"/>
  <c r="N22" i="21"/>
  <c r="K48" i="21"/>
  <c r="J44" i="21"/>
  <c r="M25" i="21"/>
  <c r="M169" i="21" s="1"/>
  <c r="M20" i="21"/>
  <c r="J26" i="21"/>
  <c r="M56" i="21"/>
  <c r="N65" i="21" s="1"/>
  <c r="M24" i="21"/>
  <c r="M168" i="21" s="1"/>
  <c r="K21" i="21"/>
  <c r="J17" i="21"/>
  <c r="M47" i="21"/>
  <c r="J176" i="21" l="1"/>
  <c r="K84" i="21"/>
  <c r="J80" i="21"/>
  <c r="J178" i="21" s="1"/>
  <c r="S146" i="7" s="1"/>
  <c r="O74" i="21"/>
  <c r="J177" i="21"/>
  <c r="S145" i="7" s="1"/>
  <c r="K62" i="21"/>
  <c r="L66" i="21"/>
  <c r="O83" i="21"/>
  <c r="O101" i="21"/>
  <c r="O92" i="21"/>
  <c r="L84" i="21"/>
  <c r="K80" i="21"/>
  <c r="O110" i="21"/>
  <c r="J165" i="21"/>
  <c r="J170" i="21" s="1"/>
  <c r="L75" i="21"/>
  <c r="K71" i="21"/>
  <c r="N166" i="21"/>
  <c r="R144" i="7"/>
  <c r="K165" i="21"/>
  <c r="K170" i="21" s="1"/>
  <c r="M164" i="21"/>
  <c r="J175" i="21"/>
  <c r="S143" i="7" s="1"/>
  <c r="O38" i="21"/>
  <c r="O43" i="21"/>
  <c r="P52" i="21" s="1"/>
  <c r="Q61" i="21" s="1"/>
  <c r="R70" i="21" s="1"/>
  <c r="S79" i="21" s="1"/>
  <c r="T88" i="21" s="1"/>
  <c r="U97" i="21" s="1"/>
  <c r="P40" i="21"/>
  <c r="Q49" i="21" s="1"/>
  <c r="R58" i="21" s="1"/>
  <c r="S67" i="21" s="1"/>
  <c r="T76" i="21" s="1"/>
  <c r="U85" i="21" s="1"/>
  <c r="M41" i="21"/>
  <c r="N50" i="21" s="1"/>
  <c r="O59" i="21" s="1"/>
  <c r="P68" i="21" s="1"/>
  <c r="Q77" i="21" s="1"/>
  <c r="R86" i="21" s="1"/>
  <c r="S95" i="21" s="1"/>
  <c r="T104" i="21" s="1"/>
  <c r="U113" i="21" s="1"/>
  <c r="K26" i="21"/>
  <c r="L48" i="21"/>
  <c r="K44" i="21"/>
  <c r="O22" i="21"/>
  <c r="O166" i="21" s="1"/>
  <c r="O56" i="21"/>
  <c r="P65" i="21" s="1"/>
  <c r="N56" i="21"/>
  <c r="O65" i="21" s="1"/>
  <c r="O42" i="21"/>
  <c r="P51" i="21" s="1"/>
  <c r="N24" i="21"/>
  <c r="N168" i="21" s="1"/>
  <c r="N38" i="21"/>
  <c r="L23" i="21"/>
  <c r="N20" i="21"/>
  <c r="L57" i="21"/>
  <c r="K53" i="21"/>
  <c r="L21" i="21"/>
  <c r="K17" i="21"/>
  <c r="N25" i="21"/>
  <c r="N169" i="21" s="1"/>
  <c r="L39" i="21"/>
  <c r="K35" i="21"/>
  <c r="K177" i="21" l="1"/>
  <c r="T145" i="7" s="1"/>
  <c r="L62" i="21"/>
  <c r="M66" i="21"/>
  <c r="L93" i="21"/>
  <c r="K89" i="21"/>
  <c r="K179" i="21" s="1"/>
  <c r="T147" i="7" s="1"/>
  <c r="P119" i="21"/>
  <c r="P92" i="21"/>
  <c r="K178" i="21"/>
  <c r="T146" i="7" s="1"/>
  <c r="M75" i="21"/>
  <c r="L71" i="21"/>
  <c r="P74" i="21"/>
  <c r="M93" i="21"/>
  <c r="L89" i="21"/>
  <c r="Q74" i="21"/>
  <c r="P101" i="21"/>
  <c r="M84" i="21"/>
  <c r="L80" i="21"/>
  <c r="P83" i="21"/>
  <c r="P110" i="21"/>
  <c r="K176" i="21"/>
  <c r="S144" i="7"/>
  <c r="L165" i="21"/>
  <c r="N164" i="21"/>
  <c r="L167" i="21"/>
  <c r="K175" i="21"/>
  <c r="T143" i="7" s="1"/>
  <c r="Q40" i="21"/>
  <c r="R49" i="21" s="1"/>
  <c r="S58" i="21" s="1"/>
  <c r="T67" i="21" s="1"/>
  <c r="U76" i="21" s="1"/>
  <c r="P42" i="21"/>
  <c r="Q51" i="21" s="1"/>
  <c r="R60" i="21" s="1"/>
  <c r="S69" i="21" s="1"/>
  <c r="T78" i="21" s="1"/>
  <c r="U87" i="21" s="1"/>
  <c r="P43" i="21"/>
  <c r="Q52" i="21" s="1"/>
  <c r="R61" i="21" s="1"/>
  <c r="S70" i="21" s="1"/>
  <c r="T79" i="21" s="1"/>
  <c r="U88" i="21" s="1"/>
  <c r="N41" i="21"/>
  <c r="O50" i="21" s="1"/>
  <c r="P59" i="21" s="1"/>
  <c r="Q68" i="21" s="1"/>
  <c r="R77" i="21" s="1"/>
  <c r="S86" i="21" s="1"/>
  <c r="T95" i="21" s="1"/>
  <c r="U104" i="21" s="1"/>
  <c r="O20" i="21"/>
  <c r="O24" i="21"/>
  <c r="O168" i="21" s="1"/>
  <c r="P47" i="21"/>
  <c r="Q56" i="21" s="1"/>
  <c r="R65" i="21" s="1"/>
  <c r="M57" i="21"/>
  <c r="L53" i="21"/>
  <c r="M23" i="21"/>
  <c r="M167" i="21" s="1"/>
  <c r="O47" i="21"/>
  <c r="M39" i="21"/>
  <c r="L35" i="21"/>
  <c r="M21" i="21"/>
  <c r="L17" i="21"/>
  <c r="P22" i="21"/>
  <c r="P166" i="21" s="1"/>
  <c r="M48" i="21"/>
  <c r="L44" i="21"/>
  <c r="Q60" i="21"/>
  <c r="R69" i="21" s="1"/>
  <c r="S78" i="21" s="1"/>
  <c r="T87" i="21" s="1"/>
  <c r="U96" i="21" s="1"/>
  <c r="O25" i="21"/>
  <c r="O169" i="21" s="1"/>
  <c r="L26" i="21"/>
  <c r="Q92" i="21" l="1"/>
  <c r="N102" i="21"/>
  <c r="M98" i="21"/>
  <c r="M62" i="21"/>
  <c r="N66" i="21"/>
  <c r="S74" i="21"/>
  <c r="L178" i="21"/>
  <c r="U146" i="7" s="1"/>
  <c r="Q128" i="21"/>
  <c r="Q101" i="21"/>
  <c r="L176" i="21"/>
  <c r="N93" i="21"/>
  <c r="M89" i="21"/>
  <c r="Q83" i="21"/>
  <c r="Q119" i="21"/>
  <c r="R83" i="21"/>
  <c r="M102" i="21"/>
  <c r="M165" i="21" s="1"/>
  <c r="M170" i="21" s="1"/>
  <c r="L98" i="21"/>
  <c r="L179" i="21" s="1"/>
  <c r="U147" i="7" s="1"/>
  <c r="L177" i="21"/>
  <c r="U145" i="7" s="1"/>
  <c r="Q110" i="21"/>
  <c r="N84" i="21"/>
  <c r="M80" i="21"/>
  <c r="N75" i="21"/>
  <c r="M71" i="21"/>
  <c r="T144" i="7"/>
  <c r="L170" i="21"/>
  <c r="O164" i="21"/>
  <c r="L175" i="21"/>
  <c r="U143" i="7" s="1"/>
  <c r="R40" i="21"/>
  <c r="S49" i="21" s="1"/>
  <c r="T58" i="21" s="1"/>
  <c r="U67" i="21" s="1"/>
  <c r="O41" i="21"/>
  <c r="P50" i="21" s="1"/>
  <c r="Q59" i="21" s="1"/>
  <c r="R68" i="21" s="1"/>
  <c r="S77" i="21" s="1"/>
  <c r="T86" i="21" s="1"/>
  <c r="U95" i="21" s="1"/>
  <c r="Q43" i="21"/>
  <c r="R52" i="21" s="1"/>
  <c r="S61" i="21" s="1"/>
  <c r="T70" i="21" s="1"/>
  <c r="U79" i="21" s="1"/>
  <c r="Q42" i="21"/>
  <c r="R51" i="21" s="1"/>
  <c r="S60" i="21" s="1"/>
  <c r="T69" i="21" s="1"/>
  <c r="U78" i="21" s="1"/>
  <c r="P38" i="21"/>
  <c r="N21" i="21"/>
  <c r="M17" i="21"/>
  <c r="N57" i="21"/>
  <c r="M53" i="21"/>
  <c r="P24" i="21"/>
  <c r="P168" i="21" s="1"/>
  <c r="M26" i="21"/>
  <c r="J17" i="20"/>
  <c r="N23" i="21"/>
  <c r="N167" i="21" s="1"/>
  <c r="P20" i="21"/>
  <c r="P25" i="21"/>
  <c r="N48" i="21"/>
  <c r="M44" i="21"/>
  <c r="Q22" i="21"/>
  <c r="N39" i="21"/>
  <c r="M35" i="21"/>
  <c r="P56" i="21"/>
  <c r="Q65" i="21" s="1"/>
  <c r="M177" i="21" l="1"/>
  <c r="V145" i="7" s="1"/>
  <c r="O75" i="21"/>
  <c r="N71" i="21"/>
  <c r="M178" i="21"/>
  <c r="V146" i="7" s="1"/>
  <c r="S92" i="21"/>
  <c r="O93" i="21"/>
  <c r="N89" i="21"/>
  <c r="R110" i="21"/>
  <c r="M179" i="21"/>
  <c r="V147" i="7" s="1"/>
  <c r="R128" i="21"/>
  <c r="O111" i="21"/>
  <c r="N107" i="21"/>
  <c r="N111" i="21"/>
  <c r="M107" i="21"/>
  <c r="M180" i="21" s="1"/>
  <c r="V148" i="7" s="1"/>
  <c r="T83" i="21"/>
  <c r="N62" i="21"/>
  <c r="O66" i="21"/>
  <c r="O84" i="21"/>
  <c r="N80" i="21"/>
  <c r="N178" i="21" s="1"/>
  <c r="W146" i="7" s="1"/>
  <c r="R74" i="21"/>
  <c r="R119" i="21"/>
  <c r="R137" i="21"/>
  <c r="O102" i="21"/>
  <c r="N98" i="21"/>
  <c r="R92" i="21"/>
  <c r="R101" i="21"/>
  <c r="M176" i="21"/>
  <c r="Q166" i="21"/>
  <c r="U144" i="7"/>
  <c r="P169" i="21"/>
  <c r="P164" i="21"/>
  <c r="N165" i="21"/>
  <c r="N170" i="21" s="1"/>
  <c r="M175" i="21"/>
  <c r="V143" i="7" s="1"/>
  <c r="R42" i="21"/>
  <c r="S51" i="21" s="1"/>
  <c r="T60" i="21" s="1"/>
  <c r="U69" i="21" s="1"/>
  <c r="R43" i="21"/>
  <c r="S52" i="21" s="1"/>
  <c r="T61" i="21" s="1"/>
  <c r="U70" i="21" s="1"/>
  <c r="S40" i="21"/>
  <c r="T49" i="21" s="1"/>
  <c r="U58" i="21" s="1"/>
  <c r="P41" i="21"/>
  <c r="Q50" i="21" s="1"/>
  <c r="R59" i="21" s="1"/>
  <c r="S68" i="21" s="1"/>
  <c r="T77" i="21" s="1"/>
  <c r="U86" i="21" s="1"/>
  <c r="Q25" i="21"/>
  <c r="Q169" i="21" s="1"/>
  <c r="Q20" i="21"/>
  <c r="Q24" i="21"/>
  <c r="O39" i="21"/>
  <c r="N35" i="21"/>
  <c r="N26" i="21"/>
  <c r="R22" i="21"/>
  <c r="R166" i="21" s="1"/>
  <c r="O21" i="21"/>
  <c r="N17" i="21"/>
  <c r="O23" i="21"/>
  <c r="O48" i="21"/>
  <c r="N44" i="21"/>
  <c r="Q38" i="21"/>
  <c r="O57" i="21"/>
  <c r="N53" i="21"/>
  <c r="K26" i="20"/>
  <c r="Q47" i="21"/>
  <c r="K17" i="20"/>
  <c r="N177" i="21" l="1"/>
  <c r="N179" i="21"/>
  <c r="W147" i="7" s="1"/>
  <c r="S83" i="21"/>
  <c r="S119" i="21"/>
  <c r="S101" i="21"/>
  <c r="O120" i="21"/>
  <c r="N116" i="21"/>
  <c r="N180" i="21" s="1"/>
  <c r="W148" i="7" s="1"/>
  <c r="P102" i="21"/>
  <c r="O98" i="21"/>
  <c r="O62" i="21"/>
  <c r="P66" i="21"/>
  <c r="P111" i="21"/>
  <c r="O107" i="21"/>
  <c r="P93" i="21"/>
  <c r="O89" i="21"/>
  <c r="P120" i="21"/>
  <c r="O116" i="21"/>
  <c r="T101" i="21"/>
  <c r="S146" i="21"/>
  <c r="P75" i="21"/>
  <c r="O71" i="21"/>
  <c r="S137" i="21"/>
  <c r="S110" i="21"/>
  <c r="S128" i="21"/>
  <c r="U92" i="21"/>
  <c r="P84" i="21"/>
  <c r="O80" i="21"/>
  <c r="N176" i="21"/>
  <c r="W145" i="7"/>
  <c r="V144" i="7"/>
  <c r="O167" i="21"/>
  <c r="O165" i="21"/>
  <c r="Q168" i="21"/>
  <c r="Q164" i="21"/>
  <c r="K175" i="20"/>
  <c r="N175" i="21"/>
  <c r="W143" i="7" s="1"/>
  <c r="Q41" i="21"/>
  <c r="R50" i="21" s="1"/>
  <c r="S59" i="21" s="1"/>
  <c r="T68" i="21" s="1"/>
  <c r="U77" i="21" s="1"/>
  <c r="S42" i="21"/>
  <c r="T51" i="21" s="1"/>
  <c r="U60" i="21" s="1"/>
  <c r="T40" i="21"/>
  <c r="U49" i="21" s="1"/>
  <c r="S43" i="21"/>
  <c r="T52" i="21" s="1"/>
  <c r="U61" i="21" s="1"/>
  <c r="L17" i="20"/>
  <c r="L35" i="20"/>
  <c r="R24" i="21"/>
  <c r="R20" i="21"/>
  <c r="S22" i="21"/>
  <c r="R38" i="21"/>
  <c r="P57" i="21"/>
  <c r="O53" i="21"/>
  <c r="R47" i="21"/>
  <c r="P39" i="21"/>
  <c r="O35" i="21"/>
  <c r="O26" i="21"/>
  <c r="P21" i="21"/>
  <c r="O17" i="21"/>
  <c r="R56" i="21"/>
  <c r="S65" i="21" s="1"/>
  <c r="P23" i="21"/>
  <c r="P167" i="21" s="1"/>
  <c r="R25" i="21"/>
  <c r="L26" i="20"/>
  <c r="P48" i="21"/>
  <c r="O44" i="21"/>
  <c r="O177" i="21" l="1"/>
  <c r="X145" i="7" s="1"/>
  <c r="O180" i="21"/>
  <c r="X148" i="7" s="1"/>
  <c r="Q84" i="21"/>
  <c r="P80" i="21"/>
  <c r="Q102" i="21"/>
  <c r="P98" i="21"/>
  <c r="P129" i="21"/>
  <c r="O125" i="21"/>
  <c r="O181" i="21" s="1"/>
  <c r="X149" i="7" s="1"/>
  <c r="T74" i="21"/>
  <c r="P62" i="21"/>
  <c r="Q66" i="21"/>
  <c r="T137" i="21"/>
  <c r="T155" i="21"/>
  <c r="Q120" i="21"/>
  <c r="P116" i="21"/>
  <c r="T110" i="21"/>
  <c r="Q75" i="21"/>
  <c r="P71" i="21"/>
  <c r="T119" i="21"/>
  <c r="U110" i="21"/>
  <c r="T128" i="21"/>
  <c r="O178" i="21"/>
  <c r="X146" i="7" s="1"/>
  <c r="O179" i="21"/>
  <c r="X147" i="7" s="1"/>
  <c r="T92" i="21"/>
  <c r="Q93" i="21"/>
  <c r="P89" i="21"/>
  <c r="T146" i="21"/>
  <c r="Q129" i="21"/>
  <c r="P125" i="21"/>
  <c r="Q111" i="21"/>
  <c r="P107" i="21"/>
  <c r="P180" i="21" s="1"/>
  <c r="Y148" i="7" s="1"/>
  <c r="O176" i="21"/>
  <c r="O170" i="21"/>
  <c r="S166" i="21"/>
  <c r="R168" i="21"/>
  <c r="W144" i="7"/>
  <c r="R164" i="21"/>
  <c r="R169" i="21"/>
  <c r="P165" i="21"/>
  <c r="P170" i="21" s="1"/>
  <c r="O175" i="21"/>
  <c r="X143" i="7" s="1"/>
  <c r="L175" i="20"/>
  <c r="R41" i="21"/>
  <c r="S50" i="21" s="1"/>
  <c r="T59" i="21" s="1"/>
  <c r="U68" i="21" s="1"/>
  <c r="T42" i="21"/>
  <c r="U51" i="21" s="1"/>
  <c r="M44" i="20"/>
  <c r="S24" i="21"/>
  <c r="Q23" i="21"/>
  <c r="S169" i="21"/>
  <c r="T22" i="21"/>
  <c r="S38" i="21"/>
  <c r="Q48" i="21"/>
  <c r="P44" i="21"/>
  <c r="M26" i="20"/>
  <c r="S56" i="21"/>
  <c r="T65" i="21" s="1"/>
  <c r="P26" i="21"/>
  <c r="M17" i="20"/>
  <c r="Q39" i="21"/>
  <c r="P35" i="21"/>
  <c r="S47" i="21"/>
  <c r="M35" i="20"/>
  <c r="Q21" i="21"/>
  <c r="P17" i="21"/>
  <c r="Q57" i="21"/>
  <c r="P53" i="21"/>
  <c r="P177" i="21" s="1"/>
  <c r="R120" i="21" l="1"/>
  <c r="Q116" i="21"/>
  <c r="U128" i="21"/>
  <c r="Q62" i="21"/>
  <c r="R66" i="21"/>
  <c r="R102" i="21"/>
  <c r="Q98" i="21"/>
  <c r="R129" i="21"/>
  <c r="Q125" i="21"/>
  <c r="U74" i="21"/>
  <c r="U101" i="21"/>
  <c r="Q138" i="21"/>
  <c r="P134" i="21"/>
  <c r="P181" i="21" s="1"/>
  <c r="Y149" i="7" s="1"/>
  <c r="R138" i="21"/>
  <c r="Q134" i="21"/>
  <c r="R84" i="21"/>
  <c r="Q80" i="21"/>
  <c r="U146" i="21"/>
  <c r="R111" i="21"/>
  <c r="Q107" i="21"/>
  <c r="R75" i="21"/>
  <c r="Q71" i="21"/>
  <c r="P178" i="21"/>
  <c r="Y146" i="7" s="1"/>
  <c r="U155" i="21"/>
  <c r="U137" i="21"/>
  <c r="U119" i="21"/>
  <c r="R93" i="21"/>
  <c r="Q89" i="21"/>
  <c r="P179" i="21"/>
  <c r="Y147" i="7" s="1"/>
  <c r="U83" i="21"/>
  <c r="P176" i="21"/>
  <c r="M176" i="20"/>
  <c r="Y145" i="7"/>
  <c r="X144" i="7"/>
  <c r="T166" i="21"/>
  <c r="S164" i="21"/>
  <c r="Q165" i="21"/>
  <c r="Q167" i="21"/>
  <c r="S168" i="21"/>
  <c r="P175" i="21"/>
  <c r="Y143" i="7" s="1"/>
  <c r="M175" i="20"/>
  <c r="S41" i="21"/>
  <c r="T50" i="21" s="1"/>
  <c r="U59" i="21" s="1"/>
  <c r="N17" i="20"/>
  <c r="R57" i="21"/>
  <c r="Q53" i="21"/>
  <c r="Q177" i="21" s="1"/>
  <c r="N26" i="20"/>
  <c r="R23" i="21"/>
  <c r="U22" i="21"/>
  <c r="Q26" i="21"/>
  <c r="N44" i="20"/>
  <c r="R48" i="21"/>
  <c r="Q44" i="21"/>
  <c r="T38" i="21"/>
  <c r="T168" i="21"/>
  <c r="R21" i="21"/>
  <c r="Q17" i="21"/>
  <c r="T43" i="21"/>
  <c r="N53" i="20"/>
  <c r="T56" i="21"/>
  <c r="U65" i="21" s="1"/>
  <c r="R39" i="21"/>
  <c r="Q35" i="21"/>
  <c r="Q176" i="21" s="1"/>
  <c r="N35" i="20"/>
  <c r="T47" i="21"/>
  <c r="U40" i="21"/>
  <c r="Q179" i="21" l="1"/>
  <c r="Z147" i="7" s="1"/>
  <c r="S75" i="21"/>
  <c r="R71" i="21"/>
  <c r="Q178" i="21"/>
  <c r="Z146" i="7" s="1"/>
  <c r="R147" i="21"/>
  <c r="Q143" i="21"/>
  <c r="Q182" i="21" s="1"/>
  <c r="Z150" i="7" s="1"/>
  <c r="S93" i="21"/>
  <c r="R89" i="21"/>
  <c r="S120" i="21"/>
  <c r="R116" i="21"/>
  <c r="S111" i="21"/>
  <c r="R107" i="21"/>
  <c r="R62" i="21"/>
  <c r="S66" i="21"/>
  <c r="S102" i="21"/>
  <c r="R98" i="21"/>
  <c r="Q181" i="21"/>
  <c r="Z149" i="7" s="1"/>
  <c r="Q180" i="21"/>
  <c r="Z148" i="7" s="1"/>
  <c r="S84" i="21"/>
  <c r="R80" i="21"/>
  <c r="R178" i="21" s="1"/>
  <c r="AA146" i="7" s="1"/>
  <c r="S147" i="21"/>
  <c r="R143" i="21"/>
  <c r="S138" i="21"/>
  <c r="R134" i="21"/>
  <c r="S129" i="21"/>
  <c r="R125" i="21"/>
  <c r="Y144" i="7"/>
  <c r="Z145" i="7"/>
  <c r="Q170" i="21"/>
  <c r="R165" i="21"/>
  <c r="R167" i="21"/>
  <c r="U166" i="21"/>
  <c r="Q175" i="21"/>
  <c r="Z143" i="7" s="1"/>
  <c r="N176" i="20"/>
  <c r="N175" i="20"/>
  <c r="T41" i="21"/>
  <c r="U50" i="21" s="1"/>
  <c r="U42" i="21"/>
  <c r="U168" i="21" s="1"/>
  <c r="O53" i="20"/>
  <c r="O26" i="20"/>
  <c r="S23" i="21"/>
  <c r="R17" i="21"/>
  <c r="U52" i="21"/>
  <c r="U169" i="21" s="1"/>
  <c r="S39" i="21"/>
  <c r="R35" i="21"/>
  <c r="O44" i="20"/>
  <c r="S48" i="21"/>
  <c r="R44" i="21"/>
  <c r="U47" i="21"/>
  <c r="O62" i="20"/>
  <c r="O35" i="20"/>
  <c r="O17" i="20"/>
  <c r="U56" i="21"/>
  <c r="R26" i="21"/>
  <c r="S57" i="21"/>
  <c r="R53" i="21"/>
  <c r="R177" i="21" s="1"/>
  <c r="R180" i="21" l="1"/>
  <c r="AA148" i="7" s="1"/>
  <c r="R179" i="21"/>
  <c r="AA147" i="7" s="1"/>
  <c r="T147" i="21"/>
  <c r="S143" i="21"/>
  <c r="T111" i="21"/>
  <c r="S107" i="21"/>
  <c r="T156" i="21"/>
  <c r="T161" i="21" s="1"/>
  <c r="T183" i="21" s="1"/>
  <c r="AC151" i="7" s="1"/>
  <c r="S152" i="21"/>
  <c r="T75" i="21"/>
  <c r="S71" i="21"/>
  <c r="T102" i="21"/>
  <c r="S98" i="21"/>
  <c r="T93" i="21"/>
  <c r="S89" i="21"/>
  <c r="T84" i="21"/>
  <c r="S80" i="21"/>
  <c r="T129" i="21"/>
  <c r="S125" i="21"/>
  <c r="S62" i="21"/>
  <c r="T66" i="21"/>
  <c r="R181" i="21"/>
  <c r="AA149" i="7" s="1"/>
  <c r="T120" i="21"/>
  <c r="S116" i="21"/>
  <c r="T138" i="21"/>
  <c r="S134" i="21"/>
  <c r="S156" i="21"/>
  <c r="S161" i="21" s="1"/>
  <c r="S183" i="21" s="1"/>
  <c r="AB151" i="7" s="1"/>
  <c r="R152" i="21"/>
  <c r="R182" i="21" s="1"/>
  <c r="AA150" i="7" s="1"/>
  <c r="R176" i="21"/>
  <c r="S165" i="21"/>
  <c r="Z144" i="7"/>
  <c r="AA145" i="7"/>
  <c r="R170" i="21"/>
  <c r="S167" i="21"/>
  <c r="O177" i="20"/>
  <c r="O175" i="20"/>
  <c r="O176" i="20"/>
  <c r="R175" i="21"/>
  <c r="AA143" i="7" s="1"/>
  <c r="P17" i="20"/>
  <c r="P26" i="20"/>
  <c r="P44" i="20"/>
  <c r="T48" i="21"/>
  <c r="S44" i="21"/>
  <c r="S26" i="21"/>
  <c r="T57" i="21"/>
  <c r="S53" i="21"/>
  <c r="S177" i="21" s="1"/>
  <c r="P62" i="20"/>
  <c r="P35" i="20"/>
  <c r="T23" i="21"/>
  <c r="T167" i="21" s="1"/>
  <c r="S17" i="21"/>
  <c r="T39" i="21"/>
  <c r="S35" i="21"/>
  <c r="P71" i="20"/>
  <c r="P53" i="20"/>
  <c r="S180" i="21" l="1"/>
  <c r="AB148" i="7" s="1"/>
  <c r="S179" i="21"/>
  <c r="AB147" i="7" s="1"/>
  <c r="S181" i="21"/>
  <c r="AB149" i="7" s="1"/>
  <c r="U138" i="21"/>
  <c r="U143" i="21" s="1"/>
  <c r="T134" i="21"/>
  <c r="U84" i="21"/>
  <c r="U89" i="21" s="1"/>
  <c r="T80" i="21"/>
  <c r="S178" i="21"/>
  <c r="AB146" i="7" s="1"/>
  <c r="U93" i="21"/>
  <c r="U98" i="21" s="1"/>
  <c r="T89" i="21"/>
  <c r="U129" i="21"/>
  <c r="U134" i="21" s="1"/>
  <c r="T125" i="21"/>
  <c r="U102" i="21"/>
  <c r="U107" i="21" s="1"/>
  <c r="T98" i="21"/>
  <c r="U120" i="21"/>
  <c r="U125" i="21" s="1"/>
  <c r="T116" i="21"/>
  <c r="U75" i="21"/>
  <c r="U80" i="21" s="1"/>
  <c r="T71" i="21"/>
  <c r="S182" i="21"/>
  <c r="AB150" i="7" s="1"/>
  <c r="U147" i="21"/>
  <c r="U152" i="21" s="1"/>
  <c r="U182" i="21" s="1"/>
  <c r="T143" i="21"/>
  <c r="T62" i="21"/>
  <c r="U66" i="21"/>
  <c r="U71" i="21" s="1"/>
  <c r="U111" i="21"/>
  <c r="U116" i="21" s="1"/>
  <c r="T107" i="21"/>
  <c r="U156" i="21"/>
  <c r="U161" i="21" s="1"/>
  <c r="U183" i="21" s="1"/>
  <c r="T152" i="21"/>
  <c r="S170" i="21"/>
  <c r="S176" i="21"/>
  <c r="AA144" i="7"/>
  <c r="AB145" i="7"/>
  <c r="T164" i="21"/>
  <c r="T165" i="21"/>
  <c r="T169" i="21"/>
  <c r="P177" i="20"/>
  <c r="S175" i="21"/>
  <c r="AB143" i="7" s="1"/>
  <c r="P176" i="20"/>
  <c r="P175" i="20"/>
  <c r="U23" i="21"/>
  <c r="T17" i="21"/>
  <c r="Q44" i="20"/>
  <c r="Q17" i="20"/>
  <c r="Q53" i="20"/>
  <c r="C17" i="20"/>
  <c r="Q35" i="20"/>
  <c r="U48" i="21"/>
  <c r="T44" i="21"/>
  <c r="U41" i="21"/>
  <c r="T35" i="21"/>
  <c r="T176" i="21" s="1"/>
  <c r="Q62" i="20"/>
  <c r="T26" i="21"/>
  <c r="Q80" i="20"/>
  <c r="Q71" i="20"/>
  <c r="U57" i="21"/>
  <c r="U62" i="21" s="1"/>
  <c r="T53" i="21"/>
  <c r="Q26" i="20"/>
  <c r="T177" i="21" l="1"/>
  <c r="AC145" i="7" s="1"/>
  <c r="U180" i="21"/>
  <c r="U178" i="21"/>
  <c r="T182" i="21"/>
  <c r="AC150" i="7" s="1"/>
  <c r="T179" i="21"/>
  <c r="AC147" i="7" s="1"/>
  <c r="T180" i="21"/>
  <c r="AC148" i="7" s="1"/>
  <c r="T178" i="21"/>
  <c r="AC146" i="7" s="1"/>
  <c r="U179" i="21"/>
  <c r="T181" i="21"/>
  <c r="AC149" i="7" s="1"/>
  <c r="U181" i="21"/>
  <c r="U167" i="21"/>
  <c r="AB144" i="7"/>
  <c r="U165" i="21"/>
  <c r="U164" i="21"/>
  <c r="C171" i="20"/>
  <c r="T170" i="21"/>
  <c r="Q176" i="20"/>
  <c r="Q177" i="20"/>
  <c r="Q175" i="20"/>
  <c r="Q178" i="20"/>
  <c r="T175" i="21"/>
  <c r="AC143" i="7" s="1"/>
  <c r="U35" i="21"/>
  <c r="U44" i="21"/>
  <c r="U26" i="21"/>
  <c r="U53" i="21"/>
  <c r="U177" i="21" s="1"/>
  <c r="D17" i="20"/>
  <c r="R35" i="20"/>
  <c r="R80" i="20"/>
  <c r="U17" i="21"/>
  <c r="R89" i="20"/>
  <c r="R71" i="20"/>
  <c r="C26" i="20"/>
  <c r="C175" i="20" s="1"/>
  <c r="R26" i="20"/>
  <c r="R53" i="20"/>
  <c r="D26" i="20"/>
  <c r="R17" i="20"/>
  <c r="R44" i="20"/>
  <c r="R62" i="20"/>
  <c r="U176" i="21" l="1"/>
  <c r="V8" i="9" a="1"/>
  <c r="V8" i="9" s="1"/>
  <c r="AC144" i="7"/>
  <c r="U170" i="21"/>
  <c r="R176" i="20"/>
  <c r="R177" i="20"/>
  <c r="D175" i="20"/>
  <c r="R178" i="20"/>
  <c r="R175" i="20"/>
  <c r="U175" i="21"/>
  <c r="T89" i="20"/>
  <c r="S80" i="20"/>
  <c r="T80" i="20"/>
  <c r="S71" i="20"/>
  <c r="T71" i="20"/>
  <c r="S62" i="20"/>
  <c r="E17" i="20"/>
  <c r="T98" i="20"/>
  <c r="S89" i="20"/>
  <c r="T107" i="20"/>
  <c r="S98" i="20"/>
  <c r="T44" i="20"/>
  <c r="S35" i="20"/>
  <c r="T26" i="20"/>
  <c r="S17" i="20"/>
  <c r="T62" i="20"/>
  <c r="S53" i="20"/>
  <c r="T53" i="20"/>
  <c r="S44" i="20"/>
  <c r="D35" i="20"/>
  <c r="E26" i="20"/>
  <c r="T35" i="20"/>
  <c r="S26" i="20"/>
  <c r="E35" i="20"/>
  <c r="G53" i="7" l="1"/>
  <c r="T177" i="20"/>
  <c r="S176" i="20"/>
  <c r="T178" i="20"/>
  <c r="S178" i="20"/>
  <c r="T176" i="20"/>
  <c r="S177" i="20"/>
  <c r="S179" i="20"/>
  <c r="T179" i="20"/>
  <c r="D176" i="20"/>
  <c r="S175" i="20"/>
  <c r="E175" i="20"/>
  <c r="F17" i="20"/>
  <c r="F44" i="20"/>
  <c r="F35" i="20"/>
  <c r="T17" i="20"/>
  <c r="E44" i="20"/>
  <c r="E171" i="20" s="1"/>
  <c r="F26" i="20"/>
  <c r="Z65" i="9" l="1"/>
  <c r="T175" i="20"/>
  <c r="F175" i="20"/>
  <c r="E176" i="20"/>
  <c r="F176" i="20"/>
  <c r="G26" i="20"/>
  <c r="G35" i="20"/>
  <c r="G17" i="20"/>
  <c r="F53" i="20"/>
  <c r="F171" i="20" s="1"/>
  <c r="G44" i="20"/>
  <c r="G53" i="20"/>
  <c r="W94" i="9" l="1"/>
  <c r="AG17" i="9"/>
  <c r="AH17" i="9" s="1"/>
  <c r="Y94" i="9"/>
  <c r="Y111" i="9"/>
  <c r="G41" i="7"/>
  <c r="I41" i="7" s="1"/>
  <c r="J41" i="7" s="1"/>
  <c r="Y110" i="9"/>
  <c r="Y38" i="9"/>
  <c r="AG22" i="9"/>
  <c r="AH22" i="9" s="1"/>
  <c r="Y97" i="9"/>
  <c r="AG10" i="9"/>
  <c r="AH10" i="9" s="1"/>
  <c r="G43" i="7"/>
  <c r="I43" i="7" s="1"/>
  <c r="J43" i="7" s="1"/>
  <c r="W104" i="9"/>
  <c r="Y77" i="9"/>
  <c r="Y66" i="9"/>
  <c r="AG14" i="9"/>
  <c r="AH14" i="9" s="1"/>
  <c r="Y98" i="9"/>
  <c r="W68" i="9"/>
  <c r="AL9" i="9"/>
  <c r="AN9" i="9" s="1"/>
  <c r="AO9" i="9" s="1"/>
  <c r="Y68" i="9"/>
  <c r="W66" i="9"/>
  <c r="Y95" i="9"/>
  <c r="Y50" i="9"/>
  <c r="Y67" i="9"/>
  <c r="V50" i="9"/>
  <c r="AG9" i="9"/>
  <c r="AH9" i="9" s="1"/>
  <c r="AL22" i="9"/>
  <c r="AN22" i="9" s="1"/>
  <c r="AO22" i="9" s="1"/>
  <c r="AL17" i="9"/>
  <c r="AN17" i="9" s="1"/>
  <c r="AO17" i="9" s="1"/>
  <c r="AG13" i="9"/>
  <c r="AH13" i="9" s="1"/>
  <c r="Y41" i="9"/>
  <c r="AG11" i="9"/>
  <c r="AH11" i="9" s="1"/>
  <c r="Y79" i="9"/>
  <c r="AL19" i="9"/>
  <c r="AN19" i="9" s="1"/>
  <c r="AO19" i="9" s="1"/>
  <c r="Y105" i="9"/>
  <c r="Y70" i="9"/>
  <c r="Y83" i="9"/>
  <c r="AL18" i="9"/>
  <c r="AN18" i="9" s="1"/>
  <c r="AO18" i="9" s="1"/>
  <c r="Z38" i="9"/>
  <c r="V46" i="9"/>
  <c r="Y71" i="9"/>
  <c r="AG23" i="9"/>
  <c r="AH23" i="9" s="1"/>
  <c r="Y54" i="9"/>
  <c r="G49" i="7"/>
  <c r="I49" i="7" s="1"/>
  <c r="J49" i="7" s="1"/>
  <c r="Y48" i="9"/>
  <c r="AG12" i="9"/>
  <c r="AH12" i="9" s="1"/>
  <c r="Y45" i="9"/>
  <c r="AG16" i="9"/>
  <c r="AH16" i="9" s="1"/>
  <c r="W80" i="9"/>
  <c r="W70" i="9"/>
  <c r="AA44" i="9"/>
  <c r="Y46" i="9"/>
  <c r="AG27" i="9"/>
  <c r="AH27" i="9" s="1"/>
  <c r="AK27" i="9" s="1"/>
  <c r="Y96" i="9"/>
  <c r="AL25" i="9"/>
  <c r="AN25" i="9" s="1"/>
  <c r="AO25" i="9" s="1"/>
  <c r="Y76" i="9"/>
  <c r="Y51" i="9"/>
  <c r="AG15" i="9"/>
  <c r="AH15" i="9" s="1"/>
  <c r="Y107" i="9"/>
  <c r="G44" i="7"/>
  <c r="I44" i="7" s="1"/>
  <c r="J44" i="7" s="1"/>
  <c r="W102" i="9"/>
  <c r="W44" i="9"/>
  <c r="AA100" i="9"/>
  <c r="Y53" i="9"/>
  <c r="Z56" i="9"/>
  <c r="G48" i="7"/>
  <c r="I48" i="7" s="1"/>
  <c r="J48" i="7" s="1"/>
  <c r="Y104" i="9"/>
  <c r="AG18" i="9"/>
  <c r="AH18" i="9" s="1"/>
  <c r="AL16" i="9"/>
  <c r="AN16" i="9" s="1"/>
  <c r="AO16" i="9" s="1"/>
  <c r="Y44" i="9"/>
  <c r="G38" i="7"/>
  <c r="I38" i="7" s="1"/>
  <c r="J38" i="7" s="1"/>
  <c r="Y56" i="9"/>
  <c r="AG24" i="9"/>
  <c r="AH24" i="9" s="1"/>
  <c r="W46" i="9"/>
  <c r="W67" i="9"/>
  <c r="AA70" i="9"/>
  <c r="Y103" i="9"/>
  <c r="Y52" i="9"/>
  <c r="Y39" i="9"/>
  <c r="Y42" i="9"/>
  <c r="AL12" i="9"/>
  <c r="AN12" i="9" s="1"/>
  <c r="AO12" i="9" s="1"/>
  <c r="Y81" i="9"/>
  <c r="G45" i="7"/>
  <c r="I45" i="7" s="1"/>
  <c r="J45" i="7" s="1"/>
  <c r="AL23" i="9"/>
  <c r="AN23" i="9" s="1"/>
  <c r="AO23" i="9" s="1"/>
  <c r="Y72" i="9"/>
  <c r="W103" i="9"/>
  <c r="W72" i="9"/>
  <c r="AA73" i="9"/>
  <c r="AL27" i="9"/>
  <c r="AN27" i="9" s="1"/>
  <c r="AO27" i="9" s="1"/>
  <c r="Y49" i="9"/>
  <c r="AL20" i="9"/>
  <c r="AN20" i="9" s="1"/>
  <c r="AO20" i="9" s="1"/>
  <c r="AL14" i="9"/>
  <c r="AN14" i="9" s="1"/>
  <c r="AO14" i="9" s="1"/>
  <c r="Y73" i="9"/>
  <c r="G47" i="7"/>
  <c r="I47" i="7" s="1"/>
  <c r="J47" i="7" s="1"/>
  <c r="Y106" i="9"/>
  <c r="AG20" i="9"/>
  <c r="AH20" i="9" s="1"/>
  <c r="AL15" i="9"/>
  <c r="AN15" i="9" s="1"/>
  <c r="AO15" i="9" s="1"/>
  <c r="I53" i="7"/>
  <c r="J53" i="7" s="1"/>
  <c r="W42" i="9"/>
  <c r="AA75" i="9"/>
  <c r="AL26" i="9"/>
  <c r="AN26" i="9" s="1"/>
  <c r="AO26" i="9" s="1"/>
  <c r="Y78" i="9"/>
  <c r="AG19" i="9"/>
  <c r="AH19" i="9" s="1"/>
  <c r="Y74" i="9"/>
  <c r="G51" i="7"/>
  <c r="I51" i="7" s="1"/>
  <c r="J51" i="7" s="1"/>
  <c r="AL10" i="9"/>
  <c r="AN10" i="9" s="1"/>
  <c r="AO10" i="9" s="1"/>
  <c r="W110" i="9"/>
  <c r="W40" i="9"/>
  <c r="Z66" i="9"/>
  <c r="W71" i="9"/>
  <c r="W47" i="9"/>
  <c r="W101" i="9"/>
  <c r="Z42" i="9"/>
  <c r="V101" i="9"/>
  <c r="AA49" i="9"/>
  <c r="Z54" i="9"/>
  <c r="Y101" i="9"/>
  <c r="AL24" i="9"/>
  <c r="AN24" i="9" s="1"/>
  <c r="AO24" i="9" s="1"/>
  <c r="AL11" i="9"/>
  <c r="AN11" i="9" s="1"/>
  <c r="AO11" i="9" s="1"/>
  <c r="W83" i="9"/>
  <c r="W43" i="9"/>
  <c r="W73" i="9"/>
  <c r="W81" i="9"/>
  <c r="W99" i="9"/>
  <c r="W75" i="9"/>
  <c r="Z83" i="9"/>
  <c r="AA110" i="9"/>
  <c r="V95" i="9"/>
  <c r="X100" i="9"/>
  <c r="G52" i="7"/>
  <c r="I52" i="7" s="1"/>
  <c r="J52" i="7" s="1"/>
  <c r="Y55" i="9"/>
  <c r="G39" i="7"/>
  <c r="I39" i="7" s="1"/>
  <c r="J39" i="7" s="1"/>
  <c r="Y109" i="9"/>
  <c r="Y80" i="9"/>
  <c r="G40" i="7"/>
  <c r="I40" i="7" s="1"/>
  <c r="J40" i="7" s="1"/>
  <c r="W77" i="9"/>
  <c r="G50" i="7"/>
  <c r="I50" i="7" s="1"/>
  <c r="J50" i="7" s="1"/>
  <c r="W97" i="9"/>
  <c r="W98" i="9"/>
  <c r="W107" i="9"/>
  <c r="V67" i="9"/>
  <c r="V55" i="9"/>
  <c r="AA41" i="9"/>
  <c r="AA98" i="9"/>
  <c r="X80" i="9"/>
  <c r="Y47" i="9"/>
  <c r="G46" i="7"/>
  <c r="I46" i="7" s="1"/>
  <c r="J46" i="7" s="1"/>
  <c r="Y100" i="9"/>
  <c r="W38" i="9"/>
  <c r="Y69" i="9"/>
  <c r="Y82" i="9"/>
  <c r="G42" i="7"/>
  <c r="I42" i="7" s="1"/>
  <c r="J42" i="7" s="1"/>
  <c r="W56" i="9"/>
  <c r="W54" i="9"/>
  <c r="W105" i="9"/>
  <c r="W106" i="9"/>
  <c r="W53" i="9"/>
  <c r="AA102" i="9"/>
  <c r="AA38" i="9"/>
  <c r="Z80" i="9"/>
  <c r="Z52" i="9"/>
  <c r="X111" i="9"/>
  <c r="Y99" i="9"/>
  <c r="AL21" i="9"/>
  <c r="AN21" i="9" s="1"/>
  <c r="AO21" i="9" s="1"/>
  <c r="Y108" i="9"/>
  <c r="AL13" i="9"/>
  <c r="AN13" i="9" s="1"/>
  <c r="AO13" i="9" s="1"/>
  <c r="AG21" i="9"/>
  <c r="AH21" i="9" s="1"/>
  <c r="Y102" i="9"/>
  <c r="V66" i="9"/>
  <c r="V94" i="9"/>
  <c r="W96" i="9"/>
  <c r="W79" i="9"/>
  <c r="W39" i="9"/>
  <c r="W100" i="9"/>
  <c r="Z81" i="9"/>
  <c r="AA74" i="9"/>
  <c r="AA68" i="9"/>
  <c r="Z105" i="9"/>
  <c r="AA108" i="9"/>
  <c r="Y75" i="9"/>
  <c r="AG25" i="9"/>
  <c r="AH25" i="9" s="1"/>
  <c r="G37" i="7"/>
  <c r="I37" i="7" s="1"/>
  <c r="J37" i="7" s="1"/>
  <c r="Y43" i="9"/>
  <c r="AG26" i="9"/>
  <c r="AH26" i="9" s="1"/>
  <c r="Y40" i="9"/>
  <c r="W82" i="9"/>
  <c r="W95" i="9"/>
  <c r="W49" i="9"/>
  <c r="AA94" i="9"/>
  <c r="AA66" i="9"/>
  <c r="V38" i="9"/>
  <c r="X94" i="9"/>
  <c r="Z101" i="9"/>
  <c r="Z44" i="9"/>
  <c r="Z51" i="9"/>
  <c r="W108" i="9"/>
  <c r="W109" i="9"/>
  <c r="AA39" i="9"/>
  <c r="AA82" i="9"/>
  <c r="V100" i="9"/>
  <c r="AA67" i="9"/>
  <c r="Z55" i="9"/>
  <c r="V109" i="9"/>
  <c r="AA51" i="9"/>
  <c r="V98" i="9"/>
  <c r="Z108" i="9"/>
  <c r="Z49" i="9"/>
  <c r="AA69" i="9"/>
  <c r="V96" i="9"/>
  <c r="AA71" i="9"/>
  <c r="AA42" i="9"/>
  <c r="X70" i="9"/>
  <c r="X44" i="9"/>
  <c r="V47" i="9"/>
  <c r="AA103" i="9"/>
  <c r="Z109" i="9"/>
  <c r="V108" i="9"/>
  <c r="AA48" i="9"/>
  <c r="Z45" i="9"/>
  <c r="V72" i="9"/>
  <c r="AA43" i="9"/>
  <c r="V106" i="9"/>
  <c r="V102" i="9"/>
  <c r="Z40" i="9"/>
  <c r="AA81" i="9"/>
  <c r="V39" i="9"/>
  <c r="V80" i="9"/>
  <c r="X45" i="9"/>
  <c r="X98" i="9"/>
  <c r="Z93" i="9"/>
  <c r="W52" i="9"/>
  <c r="W48" i="9"/>
  <c r="W50" i="9"/>
  <c r="W69" i="9"/>
  <c r="V99" i="9"/>
  <c r="AA53" i="9"/>
  <c r="Z100" i="9"/>
  <c r="V83" i="9"/>
  <c r="AA99" i="9"/>
  <c r="Z73" i="9"/>
  <c r="V77" i="9"/>
  <c r="Z94" i="9"/>
  <c r="V41" i="9"/>
  <c r="V110" i="9"/>
  <c r="Z43" i="9"/>
  <c r="AA95" i="9"/>
  <c r="V68" i="9"/>
  <c r="V76" i="9"/>
  <c r="X99" i="9"/>
  <c r="X71" i="9"/>
  <c r="Z37" i="9"/>
  <c r="W111" i="9"/>
  <c r="W51" i="9"/>
  <c r="W76" i="9"/>
  <c r="W41" i="9"/>
  <c r="W45" i="9"/>
  <c r="V107" i="9"/>
  <c r="AA54" i="9"/>
  <c r="Z39" i="9"/>
  <c r="V69" i="9"/>
  <c r="AA50" i="9"/>
  <c r="V78" i="9"/>
  <c r="V71" i="9"/>
  <c r="Z102" i="9"/>
  <c r="X66" i="9"/>
  <c r="V40" i="9"/>
  <c r="AA40" i="9"/>
  <c r="Z95" i="9"/>
  <c r="V51" i="9"/>
  <c r="V70" i="9"/>
  <c r="X72" i="9"/>
  <c r="X67" i="9"/>
  <c r="Y93" i="9"/>
  <c r="W78" i="9"/>
  <c r="V75" i="9"/>
  <c r="AA76" i="9"/>
  <c r="Z97" i="9"/>
  <c r="V52" i="9"/>
  <c r="Z70" i="9"/>
  <c r="Z72" i="9"/>
  <c r="AA106" i="9"/>
  <c r="Z74" i="9"/>
  <c r="AA47" i="9"/>
  <c r="V44" i="9"/>
  <c r="V73" i="9"/>
  <c r="Z68" i="9"/>
  <c r="AA79" i="9"/>
  <c r="X38" i="9"/>
  <c r="X55" i="9"/>
  <c r="X41" i="9"/>
  <c r="X37" i="9"/>
  <c r="W55" i="9"/>
  <c r="W74" i="9"/>
  <c r="AA97" i="9"/>
  <c r="V43" i="9"/>
  <c r="Z53" i="9"/>
  <c r="V45" i="9"/>
  <c r="AA111" i="9"/>
  <c r="Z110" i="9"/>
  <c r="V74" i="9"/>
  <c r="AA80" i="9"/>
  <c r="Z107" i="9"/>
  <c r="AA77" i="9"/>
  <c r="AA96" i="9"/>
  <c r="V42" i="9"/>
  <c r="Z41" i="9"/>
  <c r="Z106" i="9"/>
  <c r="Z98" i="9"/>
  <c r="X52" i="9"/>
  <c r="X49" i="9"/>
  <c r="V79" i="9"/>
  <c r="Z103" i="9"/>
  <c r="V103" i="9"/>
  <c r="AA46" i="9"/>
  <c r="AA55" i="9"/>
  <c r="Z96" i="9"/>
  <c r="Z77" i="9"/>
  <c r="AA56" i="9"/>
  <c r="Z79" i="9"/>
  <c r="X107" i="9"/>
  <c r="X108" i="9"/>
  <c r="X74" i="9"/>
  <c r="X46" i="9"/>
  <c r="X78" i="9"/>
  <c r="X81" i="9"/>
  <c r="AA37" i="9"/>
  <c r="AA65" i="9"/>
  <c r="Z82" i="9"/>
  <c r="V111" i="9"/>
  <c r="Z76" i="9"/>
  <c r="AA104" i="9"/>
  <c r="Z46" i="9"/>
  <c r="V53" i="9"/>
  <c r="AA105" i="9"/>
  <c r="Z69" i="9"/>
  <c r="X75" i="9"/>
  <c r="X83" i="9"/>
  <c r="X101" i="9"/>
  <c r="X82" i="9"/>
  <c r="X47" i="9"/>
  <c r="X73" i="9"/>
  <c r="X97" i="9"/>
  <c r="X65" i="9"/>
  <c r="X93" i="9"/>
  <c r="V54" i="9"/>
  <c r="AA109" i="9"/>
  <c r="V49" i="9"/>
  <c r="Z104" i="9"/>
  <c r="V81" i="9"/>
  <c r="AA107" i="9"/>
  <c r="Z71" i="9"/>
  <c r="V97" i="9"/>
  <c r="AA101" i="9"/>
  <c r="Z75" i="9"/>
  <c r="X50" i="9"/>
  <c r="X69" i="9"/>
  <c r="X109" i="9"/>
  <c r="X102" i="9"/>
  <c r="X79" i="9"/>
  <c r="X96" i="9"/>
  <c r="X105" i="9"/>
  <c r="AA93" i="9"/>
  <c r="Y37" i="9"/>
  <c r="Z111" i="9"/>
  <c r="V82" i="9"/>
  <c r="AA52" i="9"/>
  <c r="AA83" i="9"/>
  <c r="Z50" i="9"/>
  <c r="V105" i="9"/>
  <c r="AA78" i="9"/>
  <c r="Z67" i="9"/>
  <c r="X106" i="9"/>
  <c r="X42" i="9"/>
  <c r="X51" i="9"/>
  <c r="X110" i="9"/>
  <c r="X54" i="9"/>
  <c r="X104" i="9"/>
  <c r="X48" i="9"/>
  <c r="Y65" i="9"/>
  <c r="W93" i="9"/>
  <c r="Z78" i="9"/>
  <c r="V56" i="9"/>
  <c r="V104" i="9"/>
  <c r="AA45" i="9"/>
  <c r="Z47" i="9"/>
  <c r="V48" i="9"/>
  <c r="AA72" i="9"/>
  <c r="Z99" i="9"/>
  <c r="X43" i="9"/>
  <c r="Z48" i="9"/>
  <c r="X77" i="9"/>
  <c r="X40" i="9"/>
  <c r="X95" i="9"/>
  <c r="X39" i="9"/>
  <c r="X76" i="9"/>
  <c r="W37" i="9"/>
  <c r="AL8" i="9"/>
  <c r="AN8" i="9" s="1"/>
  <c r="AO8" i="9" s="1"/>
  <c r="X53" i="9"/>
  <c r="X56" i="9"/>
  <c r="X103" i="9"/>
  <c r="X68" i="9"/>
  <c r="W65" i="9"/>
  <c r="G175" i="20"/>
  <c r="F177" i="20"/>
  <c r="G176" i="20"/>
  <c r="G62" i="20"/>
  <c r="G171" i="20" s="1"/>
  <c r="H62" i="20"/>
  <c r="H53" i="20"/>
  <c r="H17" i="20"/>
  <c r="I17" i="20"/>
  <c r="H35" i="20"/>
  <c r="H44" i="20"/>
  <c r="H26" i="20"/>
  <c r="AI24" i="9" l="1"/>
  <c r="AK24" i="9"/>
  <c r="AI14" i="9"/>
  <c r="AK14" i="9"/>
  <c r="AI26" i="9"/>
  <c r="AK26" i="9"/>
  <c r="AI20" i="9"/>
  <c r="AK20" i="9"/>
  <c r="AI16" i="9"/>
  <c r="AK16" i="9"/>
  <c r="AI11" i="9"/>
  <c r="AK11" i="9"/>
  <c r="AI21" i="9"/>
  <c r="AK21" i="9"/>
  <c r="AI19" i="9"/>
  <c r="AK19" i="9"/>
  <c r="AI12" i="9"/>
  <c r="AK12" i="9"/>
  <c r="AI13" i="9"/>
  <c r="AK13" i="9"/>
  <c r="AI25" i="9"/>
  <c r="AK25" i="9"/>
  <c r="AI18" i="9"/>
  <c r="AK18" i="9"/>
  <c r="AI10" i="9"/>
  <c r="AK10" i="9"/>
  <c r="AI17" i="9"/>
  <c r="AK17" i="9"/>
  <c r="AI9" i="9"/>
  <c r="AK9" i="9"/>
  <c r="AI15" i="9"/>
  <c r="AK15" i="9"/>
  <c r="AI23" i="9"/>
  <c r="AK23" i="9"/>
  <c r="AI22" i="9"/>
  <c r="AK22" i="9"/>
  <c r="AL40" i="9"/>
  <c r="AN40" i="9" s="1"/>
  <c r="AO40" i="9" s="1"/>
  <c r="AG68" i="9"/>
  <c r="AH68" i="9" s="1"/>
  <c r="AI68" i="9" s="1"/>
  <c r="V93" i="9"/>
  <c r="AG93" i="9" s="1"/>
  <c r="AH93" i="9" s="1"/>
  <c r="AI93" i="9" s="1"/>
  <c r="AG8" i="9"/>
  <c r="AH8" i="9" s="1"/>
  <c r="G36" i="7"/>
  <c r="I36" i="7" s="1"/>
  <c r="J36" i="7" s="1"/>
  <c r="V37" i="9"/>
  <c r="AG37" i="9" s="1"/>
  <c r="AH37" i="9" s="1"/>
  <c r="AI37" i="9" s="1"/>
  <c r="AL54" i="9"/>
  <c r="AN54" i="9" s="1"/>
  <c r="AO54" i="9" s="1"/>
  <c r="V65" i="9"/>
  <c r="AG65" i="9" s="1"/>
  <c r="AH65" i="9" s="1"/>
  <c r="AI65" i="9" s="1"/>
  <c r="AG70" i="9"/>
  <c r="AH70" i="9" s="1"/>
  <c r="AI70" i="9" s="1"/>
  <c r="AL79" i="9"/>
  <c r="AN79" i="9" s="1"/>
  <c r="AO79" i="9" s="1"/>
  <c r="AL101" i="9"/>
  <c r="AN101" i="9" s="1"/>
  <c r="AO101" i="9" s="1"/>
  <c r="AL80" i="9"/>
  <c r="AN80" i="9" s="1"/>
  <c r="AO80" i="9" s="1"/>
  <c r="AL73" i="9"/>
  <c r="AN73" i="9" s="1"/>
  <c r="AO73" i="9" s="1"/>
  <c r="AL38" i="9"/>
  <c r="AN38" i="9" s="1"/>
  <c r="AO38" i="9" s="1"/>
  <c r="AL43" i="9"/>
  <c r="AN43" i="9" s="1"/>
  <c r="AO43" i="9" s="1"/>
  <c r="AL105" i="9"/>
  <c r="AN105" i="9" s="1"/>
  <c r="AO105" i="9" s="1"/>
  <c r="AL66" i="9"/>
  <c r="AN66" i="9" s="1"/>
  <c r="AO66" i="9" s="1"/>
  <c r="AL94" i="9"/>
  <c r="AN94" i="9" s="1"/>
  <c r="AO94" i="9" s="1"/>
  <c r="AG102" i="9"/>
  <c r="AH102" i="9" s="1"/>
  <c r="AI102" i="9" s="1"/>
  <c r="AL53" i="9"/>
  <c r="AN53" i="9" s="1"/>
  <c r="AO53" i="9" s="1"/>
  <c r="AL68" i="9"/>
  <c r="AN68" i="9" s="1"/>
  <c r="AO68" i="9" s="1"/>
  <c r="AG76" i="9"/>
  <c r="AH76" i="9" s="1"/>
  <c r="AI76" i="9" s="1"/>
  <c r="AG73" i="9"/>
  <c r="AH73" i="9" s="1"/>
  <c r="AI73" i="9" s="1"/>
  <c r="AG56" i="9"/>
  <c r="AH56" i="9" s="1"/>
  <c r="AG54" i="9"/>
  <c r="AH54" i="9" s="1"/>
  <c r="AI54" i="9" s="1"/>
  <c r="AG43" i="9"/>
  <c r="AH43" i="9" s="1"/>
  <c r="AI43" i="9" s="1"/>
  <c r="AG38" i="9"/>
  <c r="AH38" i="9" s="1"/>
  <c r="AI38" i="9" s="1"/>
  <c r="AL83" i="9"/>
  <c r="AN83" i="9" s="1"/>
  <c r="AO83" i="9" s="1"/>
  <c r="AG46" i="9"/>
  <c r="AH46" i="9" s="1"/>
  <c r="AI46" i="9" s="1"/>
  <c r="AL52" i="9"/>
  <c r="AN52" i="9" s="1"/>
  <c r="AO52" i="9" s="1"/>
  <c r="AL103" i="9"/>
  <c r="AN103" i="9" s="1"/>
  <c r="AO103" i="9" s="1"/>
  <c r="AL95" i="9"/>
  <c r="AN95" i="9" s="1"/>
  <c r="AO95" i="9" s="1"/>
  <c r="AG108" i="9"/>
  <c r="AH108" i="9" s="1"/>
  <c r="AI108" i="9" s="1"/>
  <c r="AL96" i="9"/>
  <c r="AN96" i="9" s="1"/>
  <c r="AO96" i="9" s="1"/>
  <c r="AG99" i="9"/>
  <c r="AH99" i="9" s="1"/>
  <c r="AI99" i="9" s="1"/>
  <c r="AL98" i="9"/>
  <c r="AN98" i="9" s="1"/>
  <c r="AO98" i="9" s="1"/>
  <c r="AG81" i="9"/>
  <c r="AH81" i="9" s="1"/>
  <c r="AI81" i="9" s="1"/>
  <c r="AG44" i="9"/>
  <c r="AH44" i="9" s="1"/>
  <c r="AI44" i="9" s="1"/>
  <c r="AL70" i="9"/>
  <c r="AN70" i="9" s="1"/>
  <c r="AO70" i="9" s="1"/>
  <c r="AG101" i="9"/>
  <c r="AH101" i="9" s="1"/>
  <c r="AI101" i="9" s="1"/>
  <c r="AG51" i="9"/>
  <c r="AH51" i="9" s="1"/>
  <c r="AI51" i="9" s="1"/>
  <c r="AL56" i="9"/>
  <c r="AN56" i="9" s="1"/>
  <c r="AO56" i="9" s="1"/>
  <c r="AL76" i="9"/>
  <c r="AN76" i="9" s="1"/>
  <c r="AO76" i="9" s="1"/>
  <c r="AG72" i="9"/>
  <c r="AH72" i="9" s="1"/>
  <c r="AI72" i="9" s="1"/>
  <c r="AG98" i="9"/>
  <c r="AH98" i="9" s="1"/>
  <c r="AI98" i="9" s="1"/>
  <c r="AG52" i="9"/>
  <c r="AH52" i="9" s="1"/>
  <c r="AI52" i="9" s="1"/>
  <c r="AL81" i="9"/>
  <c r="AN81" i="9" s="1"/>
  <c r="AO81" i="9" s="1"/>
  <c r="AL44" i="9"/>
  <c r="AN44" i="9" s="1"/>
  <c r="AO44" i="9" s="1"/>
  <c r="AL67" i="9"/>
  <c r="AN67" i="9" s="1"/>
  <c r="AO67" i="9" s="1"/>
  <c r="AG95" i="9"/>
  <c r="AH95" i="9" s="1"/>
  <c r="AI95" i="9" s="1"/>
  <c r="AG96" i="9"/>
  <c r="AH96" i="9" s="1"/>
  <c r="AI96" i="9" s="1"/>
  <c r="AL97" i="9"/>
  <c r="AN97" i="9" s="1"/>
  <c r="AO97" i="9" s="1"/>
  <c r="AG74" i="9"/>
  <c r="AH74" i="9" s="1"/>
  <c r="AI74" i="9" s="1"/>
  <c r="AL47" i="9"/>
  <c r="AN47" i="9" s="1"/>
  <c r="AO47" i="9" s="1"/>
  <c r="AG75" i="9"/>
  <c r="AH75" i="9" s="1"/>
  <c r="AI75" i="9" s="1"/>
  <c r="AL111" i="9"/>
  <c r="AN111" i="9" s="1"/>
  <c r="AO111" i="9" s="1"/>
  <c r="AL110" i="9"/>
  <c r="AN110" i="9" s="1"/>
  <c r="AO110" i="9" s="1"/>
  <c r="AL69" i="9"/>
  <c r="AN69" i="9" s="1"/>
  <c r="AO69" i="9" s="1"/>
  <c r="AG40" i="9"/>
  <c r="AH40" i="9" s="1"/>
  <c r="AI40" i="9" s="1"/>
  <c r="AL41" i="9"/>
  <c r="AN41" i="9" s="1"/>
  <c r="AO41" i="9" s="1"/>
  <c r="AL99" i="9"/>
  <c r="AN99" i="9" s="1"/>
  <c r="AO99" i="9" s="1"/>
  <c r="AG80" i="9"/>
  <c r="AH80" i="9" s="1"/>
  <c r="AI80" i="9" s="1"/>
  <c r="AL109" i="9"/>
  <c r="AN109" i="9" s="1"/>
  <c r="AO109" i="9" s="1"/>
  <c r="AL108" i="9"/>
  <c r="AN108" i="9" s="1"/>
  <c r="AO108" i="9" s="1"/>
  <c r="AG79" i="9"/>
  <c r="AH79" i="9" s="1"/>
  <c r="AI79" i="9" s="1"/>
  <c r="AL106" i="9"/>
  <c r="AN106" i="9" s="1"/>
  <c r="AO106" i="9" s="1"/>
  <c r="AL100" i="9"/>
  <c r="AN100" i="9" s="1"/>
  <c r="AO100" i="9" s="1"/>
  <c r="AL42" i="9"/>
  <c r="AN42" i="9" s="1"/>
  <c r="AO42" i="9" s="1"/>
  <c r="AL45" i="9"/>
  <c r="AN45" i="9" s="1"/>
  <c r="AO45" i="9" s="1"/>
  <c r="AL55" i="9"/>
  <c r="AN55" i="9" s="1"/>
  <c r="AO55" i="9" s="1"/>
  <c r="AG107" i="9"/>
  <c r="AH107" i="9" s="1"/>
  <c r="AI107" i="9" s="1"/>
  <c r="AG71" i="9"/>
  <c r="AH71" i="9" s="1"/>
  <c r="AI71" i="9" s="1"/>
  <c r="AG69" i="9"/>
  <c r="AH69" i="9" s="1"/>
  <c r="AI69" i="9" s="1"/>
  <c r="AG109" i="9"/>
  <c r="AH109" i="9" s="1"/>
  <c r="AI109" i="9" s="1"/>
  <c r="AG47" i="9"/>
  <c r="AH47" i="9" s="1"/>
  <c r="AI47" i="9" s="1"/>
  <c r="AL51" i="9"/>
  <c r="AN51" i="9" s="1"/>
  <c r="AO51" i="9" s="1"/>
  <c r="AG100" i="9"/>
  <c r="AH100" i="9" s="1"/>
  <c r="AI100" i="9" s="1"/>
  <c r="AG111" i="9"/>
  <c r="AH111" i="9" s="1"/>
  <c r="AL74" i="9"/>
  <c r="AN74" i="9" s="1"/>
  <c r="AO74" i="9" s="1"/>
  <c r="AG110" i="9"/>
  <c r="AH110" i="9" s="1"/>
  <c r="AI110" i="9" s="1"/>
  <c r="AG41" i="9"/>
  <c r="AH41" i="9" s="1"/>
  <c r="AI41" i="9" s="1"/>
  <c r="AG106" i="9"/>
  <c r="AH106" i="9" s="1"/>
  <c r="AI106" i="9" s="1"/>
  <c r="AG83" i="9"/>
  <c r="AH83" i="9" s="1"/>
  <c r="AL75" i="9"/>
  <c r="AN75" i="9" s="1"/>
  <c r="AO75" i="9" s="1"/>
  <c r="AG50" i="9"/>
  <c r="AH50" i="9" s="1"/>
  <c r="AI50" i="9" s="1"/>
  <c r="AG49" i="9"/>
  <c r="AH49" i="9" s="1"/>
  <c r="AI49" i="9" s="1"/>
  <c r="AG104" i="9"/>
  <c r="AH104" i="9" s="1"/>
  <c r="AI104" i="9" s="1"/>
  <c r="AG77" i="9"/>
  <c r="AH77" i="9" s="1"/>
  <c r="AI77" i="9" s="1"/>
  <c r="AL46" i="9"/>
  <c r="AN46" i="9" s="1"/>
  <c r="AO46" i="9" s="1"/>
  <c r="AL72" i="9"/>
  <c r="AN72" i="9" s="1"/>
  <c r="AO72" i="9" s="1"/>
  <c r="AL71" i="9"/>
  <c r="AN71" i="9" s="1"/>
  <c r="AO71" i="9" s="1"/>
  <c r="AL102" i="9"/>
  <c r="AN102" i="9" s="1"/>
  <c r="AO102" i="9" s="1"/>
  <c r="AG94" i="9"/>
  <c r="AH94" i="9" s="1"/>
  <c r="AI94" i="9" s="1"/>
  <c r="AG42" i="9"/>
  <c r="AH42" i="9" s="1"/>
  <c r="AI42" i="9" s="1"/>
  <c r="AG67" i="9"/>
  <c r="AH67" i="9" s="1"/>
  <c r="AI67" i="9" s="1"/>
  <c r="AG55" i="9"/>
  <c r="AH55" i="9" s="1"/>
  <c r="AG39" i="9"/>
  <c r="AH39" i="9" s="1"/>
  <c r="AI39" i="9" s="1"/>
  <c r="AG48" i="9"/>
  <c r="AH48" i="9" s="1"/>
  <c r="AI48" i="9" s="1"/>
  <c r="AG66" i="9"/>
  <c r="AH66" i="9" s="1"/>
  <c r="AI66" i="9" s="1"/>
  <c r="AG105" i="9"/>
  <c r="AH105" i="9" s="1"/>
  <c r="AI105" i="9" s="1"/>
  <c r="AG103" i="9"/>
  <c r="AH103" i="9" s="1"/>
  <c r="AI103" i="9" s="1"/>
  <c r="AL107" i="9"/>
  <c r="AN107" i="9" s="1"/>
  <c r="AO107" i="9" s="1"/>
  <c r="AG45" i="9"/>
  <c r="AH45" i="9" s="1"/>
  <c r="AI45" i="9" s="1"/>
  <c r="AG97" i="9"/>
  <c r="AH97" i="9" s="1"/>
  <c r="AI97" i="9" s="1"/>
  <c r="AL104" i="9"/>
  <c r="AN104" i="9" s="1"/>
  <c r="AO104" i="9" s="1"/>
  <c r="AG78" i="9"/>
  <c r="AH78" i="9" s="1"/>
  <c r="AI78" i="9" s="1"/>
  <c r="AL78" i="9"/>
  <c r="AN78" i="9" s="1"/>
  <c r="AO78" i="9" s="1"/>
  <c r="AG53" i="9"/>
  <c r="AH53" i="9" s="1"/>
  <c r="AI53" i="9" s="1"/>
  <c r="AL39" i="9"/>
  <c r="AN39" i="9" s="1"/>
  <c r="AO39" i="9" s="1"/>
  <c r="AL49" i="9"/>
  <c r="AN49" i="9" s="1"/>
  <c r="AO49" i="9" s="1"/>
  <c r="AL50" i="9"/>
  <c r="AN50" i="9" s="1"/>
  <c r="AO50" i="9" s="1"/>
  <c r="AL77" i="9"/>
  <c r="AN77" i="9" s="1"/>
  <c r="AO77" i="9" s="1"/>
  <c r="AL48" i="9"/>
  <c r="AN48" i="9" s="1"/>
  <c r="AO48" i="9" s="1"/>
  <c r="AG82" i="9"/>
  <c r="AH82" i="9" s="1"/>
  <c r="AI82" i="9" s="1"/>
  <c r="AL82" i="9"/>
  <c r="AN82" i="9" s="1"/>
  <c r="AO82" i="9" s="1"/>
  <c r="H176" i="20"/>
  <c r="H177" i="20"/>
  <c r="H175" i="20"/>
  <c r="G177" i="20"/>
  <c r="I53" i="20"/>
  <c r="I26" i="20"/>
  <c r="I175" i="20" s="1"/>
  <c r="I35" i="20"/>
  <c r="I71" i="20"/>
  <c r="I44" i="20"/>
  <c r="I62" i="20"/>
  <c r="J26" i="20"/>
  <c r="H71" i="20"/>
  <c r="H171" i="20" s="1"/>
  <c r="AL93" i="9" l="1"/>
  <c r="AN93" i="9" s="1"/>
  <c r="AO93" i="9" s="1"/>
  <c r="AI8" i="9"/>
  <c r="AK8" i="9"/>
  <c r="AL37" i="9"/>
  <c r="AN37" i="9" s="1"/>
  <c r="AO37" i="9" s="1"/>
  <c r="AL65" i="9"/>
  <c r="AN65" i="9" s="1"/>
  <c r="AO65" i="9" s="1"/>
  <c r="I176" i="20"/>
  <c r="J175" i="20"/>
  <c r="H178" i="20"/>
  <c r="I177" i="20"/>
  <c r="J53" i="20"/>
  <c r="I80" i="20"/>
  <c r="I171" i="20" s="1"/>
  <c r="J62" i="20"/>
  <c r="J44" i="20"/>
  <c r="K35" i="20"/>
  <c r="J71" i="20"/>
  <c r="J80" i="20"/>
  <c r="J35" i="20"/>
  <c r="J178" i="20" l="1"/>
  <c r="J177" i="20"/>
  <c r="J176" i="20"/>
  <c r="I178" i="20"/>
  <c r="K71" i="20"/>
  <c r="K44" i="20"/>
  <c r="K176" i="20" s="1"/>
  <c r="J89" i="20"/>
  <c r="J171" i="20" s="1"/>
  <c r="K89" i="20"/>
  <c r="L44" i="20"/>
  <c r="K80" i="20"/>
  <c r="K53" i="20"/>
  <c r="K62" i="20"/>
  <c r="L176" i="20" l="1"/>
  <c r="K178" i="20"/>
  <c r="K177" i="20"/>
  <c r="J179" i="20"/>
  <c r="L62" i="20"/>
  <c r="L71" i="20"/>
  <c r="M53" i="20"/>
  <c r="L89" i="20"/>
  <c r="L98" i="20"/>
  <c r="L53" i="20"/>
  <c r="K98" i="20"/>
  <c r="K171" i="20" s="1"/>
  <c r="L80" i="20"/>
  <c r="L179" i="20" l="1"/>
  <c r="L178" i="20"/>
  <c r="L177" i="20"/>
  <c r="K179" i="20"/>
  <c r="M80" i="20"/>
  <c r="M98" i="20"/>
  <c r="M62" i="20"/>
  <c r="M177" i="20" s="1"/>
  <c r="M71" i="20"/>
  <c r="M107" i="20"/>
  <c r="L107" i="20"/>
  <c r="L171" i="20" s="1"/>
  <c r="M89" i="20"/>
  <c r="N62" i="20"/>
  <c r="M179" i="20" l="1"/>
  <c r="N177" i="20"/>
  <c r="L180" i="20"/>
  <c r="M178" i="20"/>
  <c r="N98" i="20"/>
  <c r="N80" i="20"/>
  <c r="N107" i="20"/>
  <c r="M116" i="20"/>
  <c r="M171" i="20" s="1"/>
  <c r="O71" i="20"/>
  <c r="N71" i="20"/>
  <c r="N116" i="20"/>
  <c r="N89" i="20"/>
  <c r="M180" i="20" l="1"/>
  <c r="N178" i="20"/>
  <c r="N180" i="20"/>
  <c r="N179" i="20"/>
  <c r="P80" i="20"/>
  <c r="O89" i="20"/>
  <c r="O98" i="20"/>
  <c r="O116" i="20"/>
  <c r="N125" i="20"/>
  <c r="N171" i="20" s="1"/>
  <c r="O80" i="20"/>
  <c r="O178" i="20" s="1"/>
  <c r="O125" i="20"/>
  <c r="O107" i="20"/>
  <c r="P178" i="20" l="1"/>
  <c r="O180" i="20"/>
  <c r="O179" i="20"/>
  <c r="N181" i="20"/>
  <c r="P89" i="20"/>
  <c r="P107" i="20"/>
  <c r="P134" i="20"/>
  <c r="P98" i="20"/>
  <c r="O134" i="20"/>
  <c r="O171" i="20" s="1"/>
  <c r="P116" i="20"/>
  <c r="P125" i="20"/>
  <c r="Q89" i="20"/>
  <c r="P180" i="20" l="1"/>
  <c r="P181" i="20"/>
  <c r="P179" i="20"/>
  <c r="O181" i="20"/>
  <c r="R98" i="20"/>
  <c r="Q107" i="20"/>
  <c r="Q98" i="20"/>
  <c r="Q179" i="20" s="1"/>
  <c r="Q134" i="20"/>
  <c r="Q116" i="20"/>
  <c r="Q143" i="20"/>
  <c r="Q125" i="20"/>
  <c r="P143" i="20"/>
  <c r="P171" i="20" s="1"/>
  <c r="Q181" i="20" l="1"/>
  <c r="Q180" i="20"/>
  <c r="R179" i="20"/>
  <c r="P182" i="20"/>
  <c r="R161" i="20"/>
  <c r="R183" i="20" s="1"/>
  <c r="Q152" i="20"/>
  <c r="Q171" i="20" s="1"/>
  <c r="R134" i="20"/>
  <c r="R107" i="20"/>
  <c r="S161" i="20"/>
  <c r="S183" i="20" s="1"/>
  <c r="R152" i="20"/>
  <c r="R116" i="20"/>
  <c r="R125" i="20"/>
  <c r="R143" i="20"/>
  <c r="S107" i="20"/>
  <c r="R171" i="20" l="1"/>
  <c r="R181" i="20"/>
  <c r="R180" i="20"/>
  <c r="R182" i="20"/>
  <c r="Q182" i="20"/>
  <c r="S116" i="20"/>
  <c r="T134" i="20"/>
  <c r="S125" i="20"/>
  <c r="T161" i="20"/>
  <c r="T183" i="20" s="1"/>
  <c r="S152" i="20"/>
  <c r="T143" i="20"/>
  <c r="S134" i="20"/>
  <c r="T152" i="20"/>
  <c r="S143" i="20"/>
  <c r="T116" i="20"/>
  <c r="S180" i="20" l="1"/>
  <c r="S171" i="20"/>
  <c r="S181" i="20"/>
  <c r="S182" i="20"/>
  <c r="T180" i="20"/>
  <c r="T182" i="20"/>
  <c r="T125" i="20"/>
  <c r="T171" i="20" s="1"/>
  <c r="T181" i="20" l="1"/>
  <c r="D8" i="20" l="1"/>
  <c r="D171" i="20" s="1"/>
  <c r="D174" i="20" l="1"/>
  <c r="A185" i="20" s="1" a="1"/>
  <c r="F208" i="7" l="1"/>
  <c r="F216" i="7"/>
  <c r="F219" i="7"/>
  <c r="F212" i="7"/>
  <c r="F209" i="7"/>
  <c r="F217" i="7"/>
  <c r="G217" i="7" s="1"/>
  <c r="I217" i="7" s="1"/>
  <c r="F210" i="7"/>
  <c r="F202" i="7"/>
  <c r="F203" i="7"/>
  <c r="I203" i="7" s="1"/>
  <c r="F204" i="7"/>
  <c r="F205" i="7"/>
  <c r="G205" i="7" s="1"/>
  <c r="I205" i="7" s="1"/>
  <c r="F213" i="7"/>
  <c r="G213" i="7" s="1"/>
  <c r="I213" i="7" s="1"/>
  <c r="F211" i="7"/>
  <c r="F206" i="7"/>
  <c r="F214" i="7"/>
  <c r="F207" i="7"/>
  <c r="F215" i="7"/>
  <c r="F218" i="7"/>
  <c r="E10" i="12"/>
  <c r="P10" i="12" s="1"/>
  <c r="E18" i="12"/>
  <c r="E26" i="12"/>
  <c r="E13" i="12"/>
  <c r="E97" i="12" s="1"/>
  <c r="E11" i="12"/>
  <c r="E95" i="12" s="1"/>
  <c r="E19" i="12"/>
  <c r="E103" i="12" s="1"/>
  <c r="E21" i="12"/>
  <c r="E105" i="12" s="1"/>
  <c r="E17" i="12"/>
  <c r="E12" i="12"/>
  <c r="E20" i="12"/>
  <c r="E25" i="12"/>
  <c r="E14" i="12"/>
  <c r="E98" i="12" s="1"/>
  <c r="E22" i="12"/>
  <c r="E16" i="12"/>
  <c r="E15" i="12"/>
  <c r="E99" i="12" s="1"/>
  <c r="E23" i="12"/>
  <c r="E24" i="12"/>
  <c r="E9" i="12"/>
  <c r="G11" i="12"/>
  <c r="G95" i="12" s="1"/>
  <c r="H12" i="12"/>
  <c r="H96" i="12" s="1"/>
  <c r="I13" i="12"/>
  <c r="I97" i="12" s="1"/>
  <c r="J14" i="12"/>
  <c r="J98" i="12" s="1"/>
  <c r="K15" i="12"/>
  <c r="K99" i="12" s="1"/>
  <c r="L16" i="12"/>
  <c r="L100" i="12" s="1"/>
  <c r="M17" i="12"/>
  <c r="M101" i="12" s="1"/>
  <c r="G19" i="12"/>
  <c r="H20" i="12"/>
  <c r="I21" i="12"/>
  <c r="I105" i="12" s="1"/>
  <c r="J22" i="12"/>
  <c r="J106" i="12" s="1"/>
  <c r="K23" i="12"/>
  <c r="K107" i="12" s="1"/>
  <c r="L24" i="12"/>
  <c r="L108" i="12" s="1"/>
  <c r="M25" i="12"/>
  <c r="M109" i="12" s="1"/>
  <c r="F12" i="12"/>
  <c r="F20" i="12"/>
  <c r="H11" i="12"/>
  <c r="H95" i="12" s="1"/>
  <c r="I12" i="12"/>
  <c r="I96" i="12" s="1"/>
  <c r="J13" i="12"/>
  <c r="J97" i="12" s="1"/>
  <c r="K14" i="12"/>
  <c r="K98" i="12" s="1"/>
  <c r="L15" i="12"/>
  <c r="L99" i="12" s="1"/>
  <c r="M16" i="12"/>
  <c r="M100" i="12" s="1"/>
  <c r="G18" i="12"/>
  <c r="G102" i="12" s="1"/>
  <c r="H19" i="12"/>
  <c r="I20" i="12"/>
  <c r="I104" i="12" s="1"/>
  <c r="J21" i="12"/>
  <c r="J105" i="12" s="1"/>
  <c r="K22" i="12"/>
  <c r="K106" i="12" s="1"/>
  <c r="L23" i="12"/>
  <c r="L107" i="12" s="1"/>
  <c r="M24" i="12"/>
  <c r="M108" i="12" s="1"/>
  <c r="G26" i="12"/>
  <c r="G110" i="12" s="1"/>
  <c r="F13" i="12"/>
  <c r="F21" i="12"/>
  <c r="I11" i="12"/>
  <c r="I95" i="12" s="1"/>
  <c r="J12" i="12"/>
  <c r="J96" i="12" s="1"/>
  <c r="K13" i="12"/>
  <c r="K97" i="12" s="1"/>
  <c r="L14" i="12"/>
  <c r="L98" i="12" s="1"/>
  <c r="M15" i="12"/>
  <c r="M99" i="12" s="1"/>
  <c r="G17" i="12"/>
  <c r="G101" i="12" s="1"/>
  <c r="H18" i="12"/>
  <c r="H102" i="12" s="1"/>
  <c r="I19" i="12"/>
  <c r="I103" i="12" s="1"/>
  <c r="J20" i="12"/>
  <c r="J104" i="12" s="1"/>
  <c r="K21" i="12"/>
  <c r="K105" i="12" s="1"/>
  <c r="L22" i="12"/>
  <c r="L106" i="12" s="1"/>
  <c r="M23" i="12"/>
  <c r="M107" i="12" s="1"/>
  <c r="G25" i="12"/>
  <c r="G109" i="12" s="1"/>
  <c r="H26" i="12"/>
  <c r="H110" i="12" s="1"/>
  <c r="F14" i="12"/>
  <c r="F22" i="12"/>
  <c r="J11" i="12"/>
  <c r="J95" i="12" s="1"/>
  <c r="K12" i="12"/>
  <c r="K96" i="12" s="1"/>
  <c r="L13" i="12"/>
  <c r="L97" i="12" s="1"/>
  <c r="M14" i="12"/>
  <c r="M98" i="12" s="1"/>
  <c r="G16" i="12"/>
  <c r="G100" i="12" s="1"/>
  <c r="H17" i="12"/>
  <c r="H101" i="12" s="1"/>
  <c r="I18" i="12"/>
  <c r="I102" i="12" s="1"/>
  <c r="J19" i="12"/>
  <c r="K20" i="12"/>
  <c r="K104" i="12" s="1"/>
  <c r="L21" i="12"/>
  <c r="L105" i="12" s="1"/>
  <c r="M22" i="12"/>
  <c r="M106" i="12" s="1"/>
  <c r="G24" i="12"/>
  <c r="G108" i="12" s="1"/>
  <c r="H25" i="12"/>
  <c r="H109" i="12" s="1"/>
  <c r="I26" i="12"/>
  <c r="I110" i="12" s="1"/>
  <c r="F15" i="12"/>
  <c r="F23" i="12"/>
  <c r="K11" i="12"/>
  <c r="K95" i="12" s="1"/>
  <c r="L12" i="12"/>
  <c r="L96" i="12" s="1"/>
  <c r="M13" i="12"/>
  <c r="M97" i="12" s="1"/>
  <c r="G15" i="12"/>
  <c r="G99" i="12" s="1"/>
  <c r="H16" i="12"/>
  <c r="H100" i="12" s="1"/>
  <c r="I17" i="12"/>
  <c r="I101" i="12" s="1"/>
  <c r="J18" i="12"/>
  <c r="J102" i="12" s="1"/>
  <c r="K19" i="12"/>
  <c r="L20" i="12"/>
  <c r="L104" i="12" s="1"/>
  <c r="M21" i="12"/>
  <c r="M105" i="12" s="1"/>
  <c r="G23" i="12"/>
  <c r="G107" i="12" s="1"/>
  <c r="H24" i="12"/>
  <c r="H108" i="12" s="1"/>
  <c r="I25" i="12"/>
  <c r="I109" i="12" s="1"/>
  <c r="J26" i="12"/>
  <c r="J110" i="12" s="1"/>
  <c r="F16" i="12"/>
  <c r="F24" i="12"/>
  <c r="L11" i="12"/>
  <c r="L95" i="12" s="1"/>
  <c r="M12" i="12"/>
  <c r="M96" i="12" s="1"/>
  <c r="G14" i="12"/>
  <c r="G98" i="12" s="1"/>
  <c r="H15" i="12"/>
  <c r="H99" i="12" s="1"/>
  <c r="I16" i="12"/>
  <c r="I100" i="12" s="1"/>
  <c r="J17" i="12"/>
  <c r="J101" i="12" s="1"/>
  <c r="K18" i="12"/>
  <c r="K102" i="12" s="1"/>
  <c r="L19" i="12"/>
  <c r="M20" i="12"/>
  <c r="G22" i="12"/>
  <c r="G106" i="12" s="1"/>
  <c r="H23" i="12"/>
  <c r="H107" i="12" s="1"/>
  <c r="I24" i="12"/>
  <c r="I108" i="12" s="1"/>
  <c r="J25" i="12"/>
  <c r="J109" i="12" s="1"/>
  <c r="K26" i="12"/>
  <c r="K110" i="12" s="1"/>
  <c r="F17" i="12"/>
  <c r="F25" i="12"/>
  <c r="M11" i="12"/>
  <c r="G13" i="12"/>
  <c r="G97" i="12" s="1"/>
  <c r="H14" i="12"/>
  <c r="H98" i="12" s="1"/>
  <c r="I15" i="12"/>
  <c r="I99" i="12" s="1"/>
  <c r="J16" i="12"/>
  <c r="J100" i="12" s="1"/>
  <c r="K17" i="12"/>
  <c r="K101" i="12" s="1"/>
  <c r="L18" i="12"/>
  <c r="L102" i="12" s="1"/>
  <c r="M19" i="12"/>
  <c r="M103" i="12" s="1"/>
  <c r="G21" i="12"/>
  <c r="G105" i="12" s="1"/>
  <c r="H22" i="12"/>
  <c r="H106" i="12" s="1"/>
  <c r="I23" i="12"/>
  <c r="I107" i="12" s="1"/>
  <c r="J24" i="12"/>
  <c r="J108" i="12" s="1"/>
  <c r="K25" i="12"/>
  <c r="K109" i="12" s="1"/>
  <c r="L26" i="12"/>
  <c r="L110" i="12" s="1"/>
  <c r="F18" i="12"/>
  <c r="F26" i="12"/>
  <c r="G12" i="12"/>
  <c r="G96" i="12" s="1"/>
  <c r="H13" i="12"/>
  <c r="H97" i="12" s="1"/>
  <c r="I14" i="12"/>
  <c r="I98" i="12" s="1"/>
  <c r="J15" i="12"/>
  <c r="J99" i="12" s="1"/>
  <c r="K16" i="12"/>
  <c r="K100" i="12" s="1"/>
  <c r="L17" i="12"/>
  <c r="L101" i="12" s="1"/>
  <c r="M18" i="12"/>
  <c r="M102" i="12" s="1"/>
  <c r="G20" i="12"/>
  <c r="G104" i="12" s="1"/>
  <c r="H21" i="12"/>
  <c r="H105" i="12" s="1"/>
  <c r="I22" i="12"/>
  <c r="I106" i="12" s="1"/>
  <c r="J23" i="12"/>
  <c r="J107" i="12" s="1"/>
  <c r="K24" i="12"/>
  <c r="K108" i="12" s="1"/>
  <c r="L25" i="12"/>
  <c r="L109" i="12" s="1"/>
  <c r="M26" i="12"/>
  <c r="M110" i="12" s="1"/>
  <c r="F19" i="12"/>
  <c r="F11" i="12"/>
  <c r="R89" i="10"/>
  <c r="S89" i="10"/>
  <c r="T89" i="10"/>
  <c r="U89" i="10"/>
  <c r="V89" i="10"/>
  <c r="Q90" i="10"/>
  <c r="R90" i="10"/>
  <c r="S90" i="10"/>
  <c r="T90" i="10"/>
  <c r="U90" i="10"/>
  <c r="V90" i="10"/>
  <c r="Q91" i="10"/>
  <c r="R91" i="10"/>
  <c r="S91" i="10"/>
  <c r="T91" i="10"/>
  <c r="U91" i="10"/>
  <c r="V91" i="10"/>
  <c r="Q92" i="10"/>
  <c r="R92" i="10"/>
  <c r="S92" i="10"/>
  <c r="T92" i="10"/>
  <c r="U92" i="10"/>
  <c r="V92" i="10"/>
  <c r="Q93" i="10"/>
  <c r="R93" i="10"/>
  <c r="S93" i="10"/>
  <c r="T93" i="10"/>
  <c r="U93" i="10"/>
  <c r="V93" i="10"/>
  <c r="Q94" i="10"/>
  <c r="R94" i="10"/>
  <c r="S94" i="10"/>
  <c r="T94" i="10"/>
  <c r="U94" i="10"/>
  <c r="V94" i="10"/>
  <c r="Q95" i="10"/>
  <c r="R95" i="10"/>
  <c r="S95" i="10"/>
  <c r="T95" i="10"/>
  <c r="U95" i="10"/>
  <c r="V95" i="10"/>
  <c r="Q96" i="10"/>
  <c r="R96" i="10"/>
  <c r="S96" i="10"/>
  <c r="T96" i="10"/>
  <c r="U96" i="10"/>
  <c r="V96" i="10"/>
  <c r="Q97" i="10"/>
  <c r="R97" i="10"/>
  <c r="S97" i="10"/>
  <c r="T97" i="10"/>
  <c r="U97" i="10"/>
  <c r="V97" i="10"/>
  <c r="Q98" i="10"/>
  <c r="R98" i="10"/>
  <c r="S98" i="10"/>
  <c r="T98" i="10"/>
  <c r="U98" i="10"/>
  <c r="V98" i="10"/>
  <c r="Q99" i="10"/>
  <c r="R99" i="10"/>
  <c r="S99" i="10"/>
  <c r="T99" i="10"/>
  <c r="U99" i="10"/>
  <c r="V99" i="10"/>
  <c r="Q100" i="10"/>
  <c r="R100" i="10"/>
  <c r="S100" i="10"/>
  <c r="T100" i="10"/>
  <c r="U100" i="10"/>
  <c r="V100" i="10"/>
  <c r="Q101" i="10"/>
  <c r="R101" i="10"/>
  <c r="S101" i="10"/>
  <c r="T101" i="10"/>
  <c r="U101" i="10"/>
  <c r="V101" i="10"/>
  <c r="Q102" i="10"/>
  <c r="R102" i="10"/>
  <c r="S102" i="10"/>
  <c r="T102" i="10"/>
  <c r="U102" i="10"/>
  <c r="V102" i="10"/>
  <c r="Q103" i="10"/>
  <c r="R103" i="10"/>
  <c r="S103" i="10"/>
  <c r="T103" i="10"/>
  <c r="U103" i="10"/>
  <c r="V103" i="10"/>
  <c r="Q104" i="10"/>
  <c r="R104" i="10"/>
  <c r="S104" i="10"/>
  <c r="T104" i="10"/>
  <c r="U104" i="10"/>
  <c r="V104" i="10"/>
  <c r="Q105" i="10"/>
  <c r="R105" i="10"/>
  <c r="S105" i="10"/>
  <c r="T105" i="10"/>
  <c r="U105" i="10"/>
  <c r="V105" i="10"/>
  <c r="Q106" i="10"/>
  <c r="R106" i="10"/>
  <c r="S106" i="10"/>
  <c r="T106" i="10"/>
  <c r="U106" i="10"/>
  <c r="V106" i="10"/>
  <c r="Q107" i="10"/>
  <c r="R107" i="10"/>
  <c r="S107" i="10"/>
  <c r="T107" i="10"/>
  <c r="U107" i="10"/>
  <c r="V107" i="10"/>
  <c r="Q108" i="10"/>
  <c r="R108" i="10"/>
  <c r="S108" i="10"/>
  <c r="T108" i="10"/>
  <c r="U108" i="10"/>
  <c r="V108" i="10"/>
  <c r="Q69" i="10"/>
  <c r="Q77" i="10"/>
  <c r="Q53" i="10"/>
  <c r="Q45" i="10"/>
  <c r="Q37" i="10"/>
  <c r="Q48" i="10"/>
  <c r="Q47" i="10"/>
  <c r="Q38" i="10"/>
  <c r="Q70" i="10"/>
  <c r="Q78" i="10"/>
  <c r="Q52" i="10"/>
  <c r="Q44" i="10"/>
  <c r="Q36" i="10"/>
  <c r="Q40" i="10"/>
  <c r="Q68" i="10"/>
  <c r="Q63" i="10"/>
  <c r="Q71" i="10"/>
  <c r="Q79" i="10"/>
  <c r="Q51" i="10"/>
  <c r="Q43" i="10"/>
  <c r="Q74" i="10"/>
  <c r="Q75" i="10"/>
  <c r="Q46" i="10"/>
  <c r="Q64" i="10"/>
  <c r="Q72" i="10"/>
  <c r="Q80" i="10"/>
  <c r="Q50" i="10"/>
  <c r="Q42" i="10"/>
  <c r="Q54" i="10"/>
  <c r="Q65" i="10"/>
  <c r="Q73" i="10"/>
  <c r="Q81" i="10"/>
  <c r="Q49" i="10"/>
  <c r="Q41" i="10"/>
  <c r="Q66" i="10"/>
  <c r="Q67" i="10"/>
  <c r="Q39" i="10"/>
  <c r="Q76" i="10"/>
  <c r="Q89" i="10"/>
  <c r="R62" i="10"/>
  <c r="U35" i="10"/>
  <c r="T35" i="10"/>
  <c r="S35" i="10"/>
  <c r="V35" i="10"/>
  <c r="V62" i="10"/>
  <c r="R35" i="10"/>
  <c r="U62" i="10"/>
  <c r="T62" i="10"/>
  <c r="S62" i="10"/>
  <c r="E104" i="12"/>
  <c r="A185" i="20"/>
  <c r="G103" i="12"/>
  <c r="E106" i="12"/>
  <c r="J103" i="12"/>
  <c r="M104" i="12"/>
  <c r="K103" i="12"/>
  <c r="E96" i="12"/>
  <c r="H103" i="12"/>
  <c r="E108" i="12"/>
  <c r="E110" i="12"/>
  <c r="M95" i="12"/>
  <c r="L103" i="12"/>
  <c r="E109" i="12"/>
  <c r="E94" i="12"/>
  <c r="E102" i="12"/>
  <c r="H104" i="12"/>
  <c r="V79" i="10"/>
  <c r="V41" i="10"/>
  <c r="R68" i="10"/>
  <c r="S52" i="10"/>
  <c r="S40" i="10"/>
  <c r="V70" i="10"/>
  <c r="V40" i="10"/>
  <c r="R69" i="10"/>
  <c r="T46" i="10"/>
  <c r="R40" i="10"/>
  <c r="R47" i="10"/>
  <c r="R43" i="10"/>
  <c r="R66" i="10"/>
  <c r="V76" i="10"/>
  <c r="V53" i="10"/>
  <c r="V73" i="10"/>
  <c r="T74" i="10"/>
  <c r="V51" i="10"/>
  <c r="U78" i="10"/>
  <c r="R76" i="10"/>
  <c r="T76" i="10"/>
  <c r="R77" i="10"/>
  <c r="T79" i="10"/>
  <c r="U54" i="10"/>
  <c r="S73" i="10"/>
  <c r="S68" i="10"/>
  <c r="U42" i="10"/>
  <c r="U39" i="10"/>
  <c r="S79" i="10"/>
  <c r="T51" i="10"/>
  <c r="R36" i="10"/>
  <c r="S71" i="10"/>
  <c r="R80" i="10"/>
  <c r="T50" i="10"/>
  <c r="U64" i="10"/>
  <c r="V52" i="10"/>
  <c r="V44" i="10"/>
  <c r="U41" i="10"/>
  <c r="V50" i="10"/>
  <c r="R52" i="10"/>
  <c r="U66" i="10"/>
  <c r="V75" i="10"/>
  <c r="U37" i="10"/>
  <c r="S36" i="10"/>
  <c r="R45" i="10"/>
  <c r="T80" i="10"/>
  <c r="R73" i="10"/>
  <c r="S69" i="10"/>
  <c r="T36" i="10"/>
  <c r="T54" i="10"/>
  <c r="R38" i="10"/>
  <c r="S49" i="10"/>
  <c r="U80" i="10"/>
  <c r="U44" i="10"/>
  <c r="T40" i="10"/>
  <c r="S46" i="10"/>
  <c r="V46" i="10"/>
  <c r="R49" i="10"/>
  <c r="T47" i="10"/>
  <c r="T68" i="10"/>
  <c r="V69" i="10"/>
  <c r="U73" i="10"/>
  <c r="V72" i="10"/>
  <c r="R71" i="10"/>
  <c r="U69" i="10"/>
  <c r="T72" i="10"/>
  <c r="R48" i="10"/>
  <c r="T39" i="10"/>
  <c r="T81" i="10"/>
  <c r="V42" i="10"/>
  <c r="T77" i="10"/>
  <c r="V77" i="10"/>
  <c r="U47" i="10"/>
  <c r="V66" i="10"/>
  <c r="V36" i="10"/>
  <c r="V49" i="10"/>
  <c r="R81" i="10"/>
  <c r="R42" i="10"/>
  <c r="T53" i="10"/>
  <c r="V47" i="10"/>
  <c r="T37" i="10"/>
  <c r="U49" i="10"/>
  <c r="V54" i="10"/>
  <c r="R64" i="10"/>
  <c r="U72" i="10"/>
  <c r="T66" i="10"/>
  <c r="U70" i="10"/>
  <c r="U40" i="10"/>
  <c r="S75" i="10"/>
  <c r="R67" i="10"/>
  <c r="S41" i="10"/>
  <c r="U79" i="10"/>
  <c r="T69" i="10"/>
  <c r="U63" i="10"/>
  <c r="R39" i="10"/>
  <c r="U46" i="10"/>
  <c r="V43" i="10"/>
  <c r="U52" i="10"/>
  <c r="U53" i="10"/>
  <c r="S72" i="10"/>
  <c r="T43" i="10"/>
  <c r="S67" i="10"/>
  <c r="U77" i="10"/>
  <c r="R46" i="10"/>
  <c r="S42" i="10"/>
  <c r="V71" i="10"/>
  <c r="S65" i="10"/>
  <c r="T67" i="10"/>
  <c r="V48" i="10"/>
  <c r="V67" i="10"/>
  <c r="S48" i="10"/>
  <c r="R65" i="10"/>
  <c r="U76" i="10"/>
  <c r="V68" i="10"/>
  <c r="V80" i="10"/>
  <c r="R54" i="10"/>
  <c r="S77" i="10"/>
  <c r="S50" i="10"/>
  <c r="U36" i="10"/>
  <c r="R78" i="10"/>
  <c r="S47" i="10"/>
  <c r="R51" i="10"/>
  <c r="T73" i="10"/>
  <c r="T75" i="10"/>
  <c r="T63" i="10"/>
  <c r="T71" i="10"/>
  <c r="S63" i="10"/>
  <c r="V74" i="10"/>
  <c r="R70" i="10"/>
  <c r="S51" i="10"/>
  <c r="R63" i="10"/>
  <c r="S78" i="10"/>
  <c r="T64" i="10"/>
  <c r="V37" i="10"/>
  <c r="R53" i="10"/>
  <c r="U50" i="10"/>
  <c r="T78" i="10"/>
  <c r="V78" i="10"/>
  <c r="U65" i="10"/>
  <c r="U67" i="10"/>
  <c r="S39" i="10"/>
  <c r="U68" i="10"/>
  <c r="S80" i="10"/>
  <c r="S74" i="10"/>
  <c r="U71" i="10"/>
  <c r="R50" i="10"/>
  <c r="T70" i="10"/>
  <c r="T65" i="10"/>
  <c r="T41" i="10"/>
  <c r="S66" i="10"/>
  <c r="U51" i="10"/>
  <c r="T45" i="10"/>
  <c r="U81" i="10"/>
  <c r="U75" i="10"/>
  <c r="R74" i="10"/>
  <c r="S70" i="10"/>
  <c r="V64" i="10"/>
  <c r="T38" i="10"/>
  <c r="R79" i="10"/>
  <c r="T42" i="10"/>
  <c r="R41" i="10"/>
  <c r="S54" i="10"/>
  <c r="S37" i="10"/>
  <c r="R37" i="10"/>
  <c r="S38" i="10"/>
  <c r="U38" i="10"/>
  <c r="V39" i="10"/>
  <c r="S43" i="10"/>
  <c r="U45" i="10"/>
  <c r="S44" i="10"/>
  <c r="S45" i="10"/>
  <c r="R72" i="10"/>
  <c r="V45" i="10"/>
  <c r="T44" i="10"/>
  <c r="V63" i="10"/>
  <c r="V38" i="10"/>
  <c r="R75" i="10"/>
  <c r="S53" i="10"/>
  <c r="U48" i="10"/>
  <c r="U43" i="10"/>
  <c r="T52" i="10"/>
  <c r="R44" i="10"/>
  <c r="T49" i="10"/>
  <c r="S81" i="10"/>
  <c r="V81" i="10"/>
  <c r="T48" i="10"/>
  <c r="S64" i="10"/>
  <c r="S76" i="10"/>
  <c r="U74" i="10"/>
  <c r="V65" i="10"/>
  <c r="G207" i="7" l="1"/>
  <c r="I207" i="7" s="1"/>
  <c r="G214" i="7"/>
  <c r="I214" i="7" s="1"/>
  <c r="G210" i="7"/>
  <c r="I210" i="7" s="1"/>
  <c r="E93" i="12"/>
  <c r="W93" i="12" s="1"/>
  <c r="G211" i="7"/>
  <c r="I211" i="7" s="1"/>
  <c r="G209" i="7"/>
  <c r="I209" i="7" s="1"/>
  <c r="G212" i="7"/>
  <c r="I212" i="7" s="1"/>
  <c r="G206" i="7"/>
  <c r="I206" i="7" s="1"/>
  <c r="G219" i="7"/>
  <c r="I219" i="7" s="1"/>
  <c r="G218" i="7"/>
  <c r="I218" i="7" s="1"/>
  <c r="G204" i="7"/>
  <c r="I204" i="7" s="1"/>
  <c r="G216" i="7"/>
  <c r="I216" i="7" s="1"/>
  <c r="G215" i="7"/>
  <c r="I215" i="7" s="1"/>
  <c r="G208" i="7"/>
  <c r="I208" i="7" s="1"/>
  <c r="E100" i="12"/>
  <c r="W100" i="12" s="1"/>
  <c r="N11" i="12"/>
  <c r="P11" i="12" s="1"/>
  <c r="E101" i="12"/>
  <c r="W101" i="12" s="1"/>
  <c r="E107" i="12"/>
  <c r="W107" i="12" s="1"/>
  <c r="N15" i="12"/>
  <c r="P15" i="12" s="1"/>
  <c r="F103" i="12"/>
  <c r="X103" i="12" s="1"/>
  <c r="X19" i="12"/>
  <c r="F101" i="12"/>
  <c r="X101" i="12" s="1"/>
  <c r="X17" i="12"/>
  <c r="F96" i="12"/>
  <c r="P96" i="12" s="1"/>
  <c r="X12" i="12"/>
  <c r="F100" i="12"/>
  <c r="X16" i="12"/>
  <c r="F107" i="12"/>
  <c r="X23" i="12"/>
  <c r="F97" i="12"/>
  <c r="X97" i="12" s="1"/>
  <c r="X13" i="12"/>
  <c r="F106" i="12"/>
  <c r="P106" i="12" s="1"/>
  <c r="X22" i="12"/>
  <c r="F98" i="12"/>
  <c r="X98" i="12" s="1"/>
  <c r="X14" i="12"/>
  <c r="F104" i="12"/>
  <c r="P104" i="12" s="1"/>
  <c r="X20" i="12"/>
  <c r="F99" i="12"/>
  <c r="X99" i="12" s="1"/>
  <c r="X15" i="12"/>
  <c r="F110" i="12"/>
  <c r="X110" i="12" s="1"/>
  <c r="X26" i="12"/>
  <c r="F95" i="12"/>
  <c r="X95" i="12" s="1"/>
  <c r="X11" i="12"/>
  <c r="F102" i="12"/>
  <c r="X102" i="12" s="1"/>
  <c r="X18" i="12"/>
  <c r="F108" i="12"/>
  <c r="P108" i="12" s="1"/>
  <c r="X24" i="12"/>
  <c r="F105" i="12"/>
  <c r="P105" i="12" s="1"/>
  <c r="X21" i="12"/>
  <c r="F109" i="12"/>
  <c r="P109" i="12" s="1"/>
  <c r="X25" i="12"/>
  <c r="G237" i="7"/>
  <c r="M138" i="12"/>
  <c r="G242" i="7"/>
  <c r="M143" i="12"/>
  <c r="G233" i="7"/>
  <c r="M134" i="12"/>
  <c r="G230" i="7"/>
  <c r="M131" i="12"/>
  <c r="G235" i="7"/>
  <c r="M136" i="12"/>
  <c r="G238" i="7"/>
  <c r="M139" i="12"/>
  <c r="G236" i="7"/>
  <c r="M137" i="12"/>
  <c r="G228" i="7"/>
  <c r="M129" i="12"/>
  <c r="G244" i="7"/>
  <c r="M145" i="12"/>
  <c r="G243" i="7"/>
  <c r="M144" i="12"/>
  <c r="G232" i="7"/>
  <c r="M133" i="12"/>
  <c r="G240" i="7"/>
  <c r="M141" i="12"/>
  <c r="G239" i="7"/>
  <c r="M140" i="12"/>
  <c r="G234" i="7"/>
  <c r="M135" i="12"/>
  <c r="G231" i="7"/>
  <c r="M132" i="12"/>
  <c r="G241" i="7"/>
  <c r="M142" i="12"/>
  <c r="G229" i="7"/>
  <c r="M130" i="12"/>
  <c r="Z107" i="10"/>
  <c r="AD107" i="10" s="1"/>
  <c r="Z103" i="10"/>
  <c r="AD103" i="10" s="1"/>
  <c r="Z99" i="10"/>
  <c r="AD99" i="10" s="1"/>
  <c r="Z95" i="10"/>
  <c r="AD95" i="10" s="1"/>
  <c r="Z91" i="10"/>
  <c r="AD91" i="10" s="1"/>
  <c r="W94" i="12"/>
  <c r="P94" i="12"/>
  <c r="Z108" i="10"/>
  <c r="AD108" i="10" s="1"/>
  <c r="Z104" i="10"/>
  <c r="AD104" i="10" s="1"/>
  <c r="Z100" i="10"/>
  <c r="AD100" i="10" s="1"/>
  <c r="Z96" i="10"/>
  <c r="AD96" i="10" s="1"/>
  <c r="Z92" i="10"/>
  <c r="AD92" i="10" s="1"/>
  <c r="Z105" i="10"/>
  <c r="AD105" i="10" s="1"/>
  <c r="Z101" i="10"/>
  <c r="AD101" i="10" s="1"/>
  <c r="Z97" i="10"/>
  <c r="AD97" i="10" s="1"/>
  <c r="Z93" i="10"/>
  <c r="AD93" i="10" s="1"/>
  <c r="Z106" i="10"/>
  <c r="AD106" i="10" s="1"/>
  <c r="Z102" i="10"/>
  <c r="AD102" i="10" s="1"/>
  <c r="Z98" i="10"/>
  <c r="AD98" i="10" s="1"/>
  <c r="Z94" i="10"/>
  <c r="AD94" i="10" s="1"/>
  <c r="Z90" i="10"/>
  <c r="W98" i="12"/>
  <c r="W103" i="12"/>
  <c r="W109" i="12"/>
  <c r="W105" i="12"/>
  <c r="W97" i="12"/>
  <c r="W110" i="12"/>
  <c r="W96" i="12"/>
  <c r="W102" i="12"/>
  <c r="W99" i="12"/>
  <c r="W108" i="12"/>
  <c r="W106" i="12"/>
  <c r="W95" i="12"/>
  <c r="W104" i="12"/>
  <c r="Z89" i="10"/>
  <c r="AD89" i="10" s="1"/>
  <c r="AE89" i="10" s="1"/>
  <c r="Q62" i="10"/>
  <c r="Z62" i="10" s="1"/>
  <c r="AD62" i="10" s="1"/>
  <c r="AE62" i="10" s="1"/>
  <c r="Q35" i="10"/>
  <c r="N20" i="12"/>
  <c r="P20" i="12" s="1"/>
  <c r="N24" i="12"/>
  <c r="P24" i="12" s="1"/>
  <c r="N19" i="12"/>
  <c r="P19" i="12" s="1"/>
  <c r="N12" i="12"/>
  <c r="P12" i="12" s="1"/>
  <c r="N25" i="12"/>
  <c r="P25" i="12" s="1"/>
  <c r="N22" i="12"/>
  <c r="P22" i="12" s="1"/>
  <c r="N26" i="12"/>
  <c r="P26" i="12" s="1"/>
  <c r="N14" i="12"/>
  <c r="P14" i="12" s="1"/>
  <c r="N16" i="12"/>
  <c r="P16" i="12" s="1"/>
  <c r="N21" i="12"/>
  <c r="P21" i="12" s="1"/>
  <c r="N17" i="12"/>
  <c r="P17" i="12" s="1"/>
  <c r="N18" i="12"/>
  <c r="P18" i="12" s="1"/>
  <c r="N13" i="12"/>
  <c r="P13" i="12" s="1"/>
  <c r="N23" i="12"/>
  <c r="P23" i="12" s="1"/>
  <c r="Z73" i="10"/>
  <c r="AD73" i="10" s="1"/>
  <c r="V22" i="12"/>
  <c r="V19" i="12"/>
  <c r="V16" i="12"/>
  <c r="V24" i="12"/>
  <c r="V26" i="12"/>
  <c r="V21" i="12"/>
  <c r="V15" i="12"/>
  <c r="V14" i="12"/>
  <c r="V13" i="12"/>
  <c r="V18" i="12"/>
  <c r="V12" i="12"/>
  <c r="V23" i="12"/>
  <c r="V8" i="12"/>
  <c r="V11" i="12"/>
  <c r="V20" i="12"/>
  <c r="V10" i="12"/>
  <c r="V25" i="12"/>
  <c r="V17" i="12"/>
  <c r="V9" i="12"/>
  <c r="Z43" i="10"/>
  <c r="AD43" i="10" s="1"/>
  <c r="Z41" i="10"/>
  <c r="AD41" i="10" s="1"/>
  <c r="Z70" i="10"/>
  <c r="AD70" i="10" s="1"/>
  <c r="M43" i="12"/>
  <c r="M71" i="12"/>
  <c r="F74" i="12"/>
  <c r="F46" i="12"/>
  <c r="G48" i="12"/>
  <c r="G76" i="12"/>
  <c r="Z48" i="10"/>
  <c r="AD48" i="10" s="1"/>
  <c r="Z37" i="10"/>
  <c r="AD37" i="10" s="1"/>
  <c r="Z71" i="10"/>
  <c r="AD71" i="10" s="1"/>
  <c r="I47" i="12"/>
  <c r="I75" i="12"/>
  <c r="M80" i="12"/>
  <c r="M52" i="12"/>
  <c r="J43" i="12"/>
  <c r="J71" i="12"/>
  <c r="H48" i="12"/>
  <c r="H76" i="12"/>
  <c r="E74" i="12"/>
  <c r="E46" i="12"/>
  <c r="W18" i="12"/>
  <c r="F41" i="12"/>
  <c r="F69" i="12"/>
  <c r="E71" i="12"/>
  <c r="E43" i="12"/>
  <c r="W15" i="12"/>
  <c r="L52" i="12"/>
  <c r="L80" i="12"/>
  <c r="E80" i="12"/>
  <c r="E52" i="12"/>
  <c r="W24" i="12"/>
  <c r="I43" i="12"/>
  <c r="I71" i="12"/>
  <c r="G67" i="12"/>
  <c r="G39" i="12"/>
  <c r="L46" i="12"/>
  <c r="L74" i="12"/>
  <c r="E78" i="12"/>
  <c r="E50" i="12"/>
  <c r="W22" i="12"/>
  <c r="I48" i="12"/>
  <c r="I76" i="12"/>
  <c r="J40" i="12"/>
  <c r="J68" i="12"/>
  <c r="J81" i="12"/>
  <c r="J53" i="12"/>
  <c r="J78" i="12"/>
  <c r="J50" i="12"/>
  <c r="K49" i="12"/>
  <c r="K77" i="12"/>
  <c r="Z51" i="10"/>
  <c r="AD51" i="10" s="1"/>
  <c r="F45" i="12"/>
  <c r="F73" i="12"/>
  <c r="I42" i="12"/>
  <c r="I70" i="12"/>
  <c r="K40" i="12"/>
  <c r="K68" i="12"/>
  <c r="Z63" i="10"/>
  <c r="Z36" i="10"/>
  <c r="Z69" i="10"/>
  <c r="AD69" i="10" s="1"/>
  <c r="Z47" i="10"/>
  <c r="AD47" i="10" s="1"/>
  <c r="Z54" i="10"/>
  <c r="AD54" i="10" s="1"/>
  <c r="Z50" i="10"/>
  <c r="AD50" i="10" s="1"/>
  <c r="Z64" i="10"/>
  <c r="AD64" i="10" s="1"/>
  <c r="G80" i="12"/>
  <c r="G52" i="12"/>
  <c r="H42" i="12"/>
  <c r="H70" i="12"/>
  <c r="J39" i="12"/>
  <c r="J67" i="12"/>
  <c r="I44" i="12"/>
  <c r="I72" i="12"/>
  <c r="F51" i="12"/>
  <c r="F79" i="12"/>
  <c r="L49" i="12"/>
  <c r="L77" i="12"/>
  <c r="G40" i="12"/>
  <c r="G68" i="12"/>
  <c r="E39" i="12"/>
  <c r="E67" i="12"/>
  <c r="W11" i="12"/>
  <c r="F43" i="12"/>
  <c r="F71" i="12"/>
  <c r="H44" i="12"/>
  <c r="H72" i="12"/>
  <c r="G51" i="12"/>
  <c r="G79" i="12"/>
  <c r="L48" i="12"/>
  <c r="L76" i="12"/>
  <c r="G71" i="12"/>
  <c r="G43" i="12"/>
  <c r="I53" i="12"/>
  <c r="I81" i="12"/>
  <c r="H52" i="12"/>
  <c r="H80" i="12"/>
  <c r="K52" i="12"/>
  <c r="K80" i="12"/>
  <c r="I40" i="12"/>
  <c r="I68" i="12"/>
  <c r="W20" i="12"/>
  <c r="E76" i="12"/>
  <c r="E48" i="12"/>
  <c r="I54" i="12"/>
  <c r="I82" i="12"/>
  <c r="L67" i="12"/>
  <c r="L39" i="12"/>
  <c r="I45" i="12"/>
  <c r="I73" i="12"/>
  <c r="Z74" i="10"/>
  <c r="AD74" i="10" s="1"/>
  <c r="Z44" i="10"/>
  <c r="AD44" i="10" s="1"/>
  <c r="Z68" i="10"/>
  <c r="AD68" i="10" s="1"/>
  <c r="Z79" i="10"/>
  <c r="AD79" i="10" s="1"/>
  <c r="Z77" i="10"/>
  <c r="AD77" i="10" s="1"/>
  <c r="M40" i="12"/>
  <c r="M68" i="12"/>
  <c r="J69" i="12"/>
  <c r="J41" i="12"/>
  <c r="J44" i="12"/>
  <c r="J72" i="12"/>
  <c r="H53" i="12"/>
  <c r="H81" i="12"/>
  <c r="E42" i="12"/>
  <c r="E70" i="12"/>
  <c r="W14" i="12"/>
  <c r="K45" i="12"/>
  <c r="K73" i="12"/>
  <c r="G54" i="12"/>
  <c r="G82" i="12"/>
  <c r="F48" i="12"/>
  <c r="F76" i="12"/>
  <c r="H68" i="12"/>
  <c r="H40" i="12"/>
  <c r="L44" i="12"/>
  <c r="L72" i="12"/>
  <c r="F80" i="12"/>
  <c r="F52" i="12"/>
  <c r="L41" i="12"/>
  <c r="L69" i="12"/>
  <c r="J80" i="12"/>
  <c r="J52" i="12"/>
  <c r="I46" i="12"/>
  <c r="I74" i="12"/>
  <c r="E72" i="12"/>
  <c r="E44" i="12"/>
  <c r="W16" i="12"/>
  <c r="K72" i="12"/>
  <c r="K44" i="12"/>
  <c r="M45" i="12"/>
  <c r="M73" i="12"/>
  <c r="H77" i="12"/>
  <c r="H49" i="12"/>
  <c r="I49" i="12"/>
  <c r="I77" i="12"/>
  <c r="H51" i="12"/>
  <c r="H79" i="12"/>
  <c r="Z39" i="10"/>
  <c r="AD39" i="10" s="1"/>
  <c r="Z42" i="10"/>
  <c r="AD42" i="10" s="1"/>
  <c r="Z49" i="10"/>
  <c r="AD49" i="10" s="1"/>
  <c r="E47" i="12"/>
  <c r="E75" i="12"/>
  <c r="W19" i="12"/>
  <c r="L54" i="12"/>
  <c r="L82" i="12"/>
  <c r="F40" i="12"/>
  <c r="F68" i="12"/>
  <c r="H41" i="12"/>
  <c r="H69" i="12"/>
  <c r="E66" i="12"/>
  <c r="E38" i="12"/>
  <c r="W10" i="12"/>
  <c r="K50" i="12"/>
  <c r="K78" i="12"/>
  <c r="E73" i="12"/>
  <c r="E45" i="12"/>
  <c r="W17" i="12"/>
  <c r="E81" i="12"/>
  <c r="E53" i="12"/>
  <c r="W25" i="12"/>
  <c r="H47" i="12"/>
  <c r="H75" i="12"/>
  <c r="G69" i="12"/>
  <c r="G41" i="12"/>
  <c r="J79" i="12"/>
  <c r="J51" i="12"/>
  <c r="J47" i="12"/>
  <c r="J75" i="12"/>
  <c r="M78" i="12"/>
  <c r="M50" i="12"/>
  <c r="H50" i="12"/>
  <c r="H78" i="12"/>
  <c r="K41" i="12"/>
  <c r="K69" i="12"/>
  <c r="G75" i="12"/>
  <c r="G47" i="12"/>
  <c r="K46" i="12"/>
  <c r="K74" i="12"/>
  <c r="F81" i="12"/>
  <c r="F53" i="12"/>
  <c r="Z53" i="10"/>
  <c r="AD53" i="10" s="1"/>
  <c r="L50" i="12"/>
  <c r="L78" i="12"/>
  <c r="M70" i="12"/>
  <c r="M42" i="12"/>
  <c r="Z66" i="10"/>
  <c r="AD66" i="10" s="1"/>
  <c r="Z46" i="10"/>
  <c r="AD46" i="10" s="1"/>
  <c r="Z81" i="10"/>
  <c r="AD81" i="10" s="1"/>
  <c r="Z76" i="10"/>
  <c r="AD76" i="10" s="1"/>
  <c r="Z52" i="10"/>
  <c r="AD52" i="10" s="1"/>
  <c r="K43" i="12"/>
  <c r="K71" i="12"/>
  <c r="L45" i="12"/>
  <c r="L73" i="12"/>
  <c r="L51" i="12"/>
  <c r="L79" i="12"/>
  <c r="G44" i="12"/>
  <c r="G72" i="12"/>
  <c r="J54" i="12"/>
  <c r="J82" i="12"/>
  <c r="I41" i="12"/>
  <c r="I69" i="12"/>
  <c r="K67" i="12"/>
  <c r="K39" i="12"/>
  <c r="F78" i="12"/>
  <c r="F50" i="12"/>
  <c r="L47" i="12"/>
  <c r="L75" i="12"/>
  <c r="F54" i="12"/>
  <c r="F82" i="12"/>
  <c r="K75" i="12"/>
  <c r="K47" i="12"/>
  <c r="M74" i="12"/>
  <c r="M46" i="12"/>
  <c r="J42" i="12"/>
  <c r="J70" i="12"/>
  <c r="I39" i="12"/>
  <c r="I67" i="12"/>
  <c r="H39" i="12"/>
  <c r="H67" i="12"/>
  <c r="H46" i="12"/>
  <c r="H74" i="12"/>
  <c r="K70" i="12"/>
  <c r="K42" i="12"/>
  <c r="G81" i="12"/>
  <c r="G53" i="12"/>
  <c r="I50" i="12"/>
  <c r="I78" i="12"/>
  <c r="H43" i="12"/>
  <c r="H71" i="12"/>
  <c r="M77" i="12"/>
  <c r="M49" i="12"/>
  <c r="Z65" i="10"/>
  <c r="AD65" i="10" s="1"/>
  <c r="Z75" i="10"/>
  <c r="AD75" i="10" s="1"/>
  <c r="Z40" i="10"/>
  <c r="AD40" i="10" s="1"/>
  <c r="Z38" i="10"/>
  <c r="AD38" i="10" s="1"/>
  <c r="Z67" i="10"/>
  <c r="AD67" i="10" s="1"/>
  <c r="F75" i="12"/>
  <c r="F47" i="12"/>
  <c r="M44" i="12"/>
  <c r="M72" i="12"/>
  <c r="E77" i="12"/>
  <c r="E49" i="12"/>
  <c r="W21" i="12"/>
  <c r="G73" i="12"/>
  <c r="G45" i="12"/>
  <c r="G42" i="12"/>
  <c r="G70" i="12"/>
  <c r="H45" i="12"/>
  <c r="H73" i="12"/>
  <c r="M53" i="12"/>
  <c r="M81" i="12"/>
  <c r="F42" i="12"/>
  <c r="F70" i="12"/>
  <c r="M39" i="12"/>
  <c r="M67" i="12"/>
  <c r="E79" i="12"/>
  <c r="E51" i="12"/>
  <c r="W23" i="12"/>
  <c r="M51" i="12"/>
  <c r="M79" i="12"/>
  <c r="G77" i="12"/>
  <c r="G49" i="12"/>
  <c r="K54" i="12"/>
  <c r="K82" i="12"/>
  <c r="G46" i="12"/>
  <c r="G74" i="12"/>
  <c r="L70" i="12"/>
  <c r="L42" i="12"/>
  <c r="L68" i="12"/>
  <c r="L40" i="12"/>
  <c r="K81" i="12"/>
  <c r="K53" i="12"/>
  <c r="H82" i="12"/>
  <c r="H54" i="12"/>
  <c r="J77" i="12"/>
  <c r="J49" i="12"/>
  <c r="M41" i="12"/>
  <c r="M69" i="12"/>
  <c r="M48" i="12"/>
  <c r="M76" i="12"/>
  <c r="Z72" i="10"/>
  <c r="AD72" i="10" s="1"/>
  <c r="Z78" i="10"/>
  <c r="AD78" i="10" s="1"/>
  <c r="Z45" i="10"/>
  <c r="AD45" i="10" s="1"/>
  <c r="Z80" i="10"/>
  <c r="AD80" i="10" s="1"/>
  <c r="E69" i="12"/>
  <c r="E41" i="12"/>
  <c r="W13" i="12"/>
  <c r="L43" i="12"/>
  <c r="L71" i="12"/>
  <c r="K48" i="12"/>
  <c r="K76" i="12"/>
  <c r="F44" i="12"/>
  <c r="F72" i="12"/>
  <c r="J48" i="12"/>
  <c r="J76" i="12"/>
  <c r="G50" i="12"/>
  <c r="G78" i="12"/>
  <c r="E37" i="12"/>
  <c r="E65" i="12"/>
  <c r="W9" i="12"/>
  <c r="M75" i="12"/>
  <c r="M47" i="12"/>
  <c r="E82" i="12"/>
  <c r="E54" i="12"/>
  <c r="W26" i="12"/>
  <c r="E68" i="12"/>
  <c r="E40" i="12"/>
  <c r="W12" i="12"/>
  <c r="F39" i="12"/>
  <c r="F67" i="12"/>
  <c r="L53" i="12"/>
  <c r="L81" i="12"/>
  <c r="M54" i="12"/>
  <c r="M82" i="12"/>
  <c r="J45" i="12"/>
  <c r="J73" i="12"/>
  <c r="I52" i="12"/>
  <c r="I80" i="12"/>
  <c r="K51" i="12"/>
  <c r="K79" i="12"/>
  <c r="I79" i="12"/>
  <c r="I51" i="12"/>
  <c r="F77" i="12"/>
  <c r="F49" i="12"/>
  <c r="J74" i="12"/>
  <c r="J46" i="12"/>
  <c r="P100" i="12" l="1"/>
  <c r="P107" i="12"/>
  <c r="P97" i="12"/>
  <c r="X96" i="12"/>
  <c r="X107" i="12"/>
  <c r="X104" i="12"/>
  <c r="X106" i="12"/>
  <c r="X105" i="12"/>
  <c r="P110" i="12"/>
  <c r="P99" i="12"/>
  <c r="P103" i="12"/>
  <c r="P102" i="12"/>
  <c r="X108" i="12"/>
  <c r="P101" i="12"/>
  <c r="X100" i="12"/>
  <c r="P95" i="12"/>
  <c r="X109" i="12"/>
  <c r="P98" i="12"/>
  <c r="AA90" i="10"/>
  <c r="AC90" i="10" s="1"/>
  <c r="Q93" i="12" s="1"/>
  <c r="Z93" i="12" s="1"/>
  <c r="R92" i="12"/>
  <c r="R64" i="12"/>
  <c r="AA63" i="10"/>
  <c r="X77" i="12"/>
  <c r="X73" i="12"/>
  <c r="P47" i="12"/>
  <c r="W47" i="12"/>
  <c r="X51" i="12"/>
  <c r="W54" i="12"/>
  <c r="P54" i="12"/>
  <c r="W65" i="12"/>
  <c r="P38" i="12"/>
  <c r="W38" i="12"/>
  <c r="X52" i="12"/>
  <c r="X45" i="12"/>
  <c r="P78" i="12"/>
  <c r="W78" i="12"/>
  <c r="X69" i="12"/>
  <c r="X40" i="12"/>
  <c r="P82" i="12"/>
  <c r="W82" i="12"/>
  <c r="W37" i="12"/>
  <c r="X72" i="12"/>
  <c r="X53" i="12"/>
  <c r="P73" i="12"/>
  <c r="W73" i="12"/>
  <c r="W66" i="12"/>
  <c r="P66" i="12"/>
  <c r="X80" i="12"/>
  <c r="X76" i="12"/>
  <c r="X41" i="12"/>
  <c r="X46" i="12"/>
  <c r="P45" i="12"/>
  <c r="W45" i="12"/>
  <c r="X44" i="12"/>
  <c r="X81" i="12"/>
  <c r="X48" i="12"/>
  <c r="X74" i="12"/>
  <c r="W79" i="12"/>
  <c r="P79" i="12"/>
  <c r="X43" i="12"/>
  <c r="W50" i="12"/>
  <c r="P50" i="12"/>
  <c r="W40" i="12"/>
  <c r="P40" i="12"/>
  <c r="X82" i="12"/>
  <c r="W70" i="12"/>
  <c r="P70" i="12"/>
  <c r="P76" i="12"/>
  <c r="W76" i="12"/>
  <c r="W41" i="12"/>
  <c r="P41" i="12"/>
  <c r="P68" i="12"/>
  <c r="W68" i="12"/>
  <c r="P69" i="12"/>
  <c r="W69" i="12"/>
  <c r="X47" i="12"/>
  <c r="X50" i="12"/>
  <c r="P53" i="12"/>
  <c r="W53" i="12"/>
  <c r="P42" i="12"/>
  <c r="W42" i="12"/>
  <c r="W67" i="12"/>
  <c r="P67" i="12"/>
  <c r="P52" i="12"/>
  <c r="W52" i="12"/>
  <c r="P43" i="12"/>
  <c r="W43" i="12"/>
  <c r="P46" i="12"/>
  <c r="W46" i="12"/>
  <c r="X39" i="12"/>
  <c r="X70" i="12"/>
  <c r="P49" i="12"/>
  <c r="W49" i="12"/>
  <c r="X75" i="12"/>
  <c r="X78" i="12"/>
  <c r="P81" i="12"/>
  <c r="W81" i="12"/>
  <c r="W44" i="12"/>
  <c r="P44" i="12"/>
  <c r="W48" i="12"/>
  <c r="P48" i="12"/>
  <c r="X71" i="12"/>
  <c r="W39" i="12"/>
  <c r="P39" i="12"/>
  <c r="P80" i="12"/>
  <c r="W80" i="12"/>
  <c r="P71" i="12"/>
  <c r="W71" i="12"/>
  <c r="X49" i="12"/>
  <c r="X67" i="12"/>
  <c r="W51" i="12"/>
  <c r="P51" i="12"/>
  <c r="X42" i="12"/>
  <c r="P77" i="12"/>
  <c r="W77" i="12"/>
  <c r="X54" i="12"/>
  <c r="X68" i="12"/>
  <c r="W75" i="12"/>
  <c r="P75" i="12"/>
  <c r="P72" i="12"/>
  <c r="W72" i="12"/>
  <c r="X79" i="12"/>
  <c r="P74" i="12"/>
  <c r="W74" i="12"/>
  <c r="AC63" i="10" l="1"/>
  <c r="Q66" i="12"/>
  <c r="Z66" i="12" s="1"/>
  <c r="G12" i="8" l="1"/>
  <c r="AB9" i="10"/>
  <c r="E227" i="7" s="1"/>
  <c r="M9" i="10" l="1"/>
  <c r="M90" i="10" s="1"/>
  <c r="P90" i="10" s="1"/>
  <c r="AD90" i="10" s="1"/>
  <c r="AE90" i="10" s="1"/>
  <c r="P9" i="10"/>
  <c r="AD9" i="10" s="1"/>
  <c r="AC9" i="10"/>
  <c r="J128" i="12" l="1"/>
  <c r="M36" i="10"/>
  <c r="P36" i="10" s="1"/>
  <c r="AD36" i="10" s="1"/>
  <c r="AE36" i="10" s="1"/>
  <c r="O9" i="12"/>
  <c r="P9" i="12" s="1"/>
  <c r="F146" i="7"/>
  <c r="G146" i="7" s="1"/>
  <c r="H202" i="7"/>
  <c r="I202" i="7" s="1"/>
  <c r="M63" i="10"/>
  <c r="P63" i="10" s="1"/>
  <c r="AD63" i="10" s="1"/>
  <c r="AE63" i="10" s="1"/>
  <c r="AA64" i="10" s="1"/>
  <c r="R65" i="12"/>
  <c r="O93" i="12"/>
  <c r="O37" i="12"/>
  <c r="AA91" i="10"/>
  <c r="AC91" i="10" s="1"/>
  <c r="R93" i="12"/>
  <c r="M128" i="12"/>
  <c r="G227" i="7"/>
  <c r="J158" i="12"/>
  <c r="K128" i="12"/>
  <c r="K158" i="12" s="1"/>
  <c r="L128" i="12"/>
  <c r="L158" i="12" s="1"/>
  <c r="F227" i="7"/>
  <c r="AE9" i="10"/>
  <c r="AA37" i="10"/>
  <c r="R37" i="12"/>
  <c r="AC64" i="10"/>
  <c r="AE64" i="10" s="1"/>
  <c r="Q67" i="12"/>
  <c r="Z67" i="12" s="1"/>
  <c r="Y9" i="12" l="1"/>
  <c r="O65" i="12"/>
  <c r="Q38" i="12"/>
  <c r="Z38" i="12" s="1"/>
  <c r="AC37" i="10"/>
  <c r="AE37" i="10" s="1"/>
  <c r="Q94" i="12"/>
  <c r="Z94" i="12" s="1"/>
  <c r="AE91" i="10"/>
  <c r="Y65" i="12"/>
  <c r="P65" i="12"/>
  <c r="AA10" i="10"/>
  <c r="R9" i="12"/>
  <c r="AG9" i="10"/>
  <c r="N128" i="12"/>
  <c r="M158" i="12" s="1"/>
  <c r="H227" i="7"/>
  <c r="Y37" i="12"/>
  <c r="P37" i="12"/>
  <c r="AA65" i="10"/>
  <c r="R66" i="12"/>
  <c r="Y93" i="12"/>
  <c r="P93" i="12"/>
  <c r="AA92" i="10" l="1"/>
  <c r="AC92" i="10" s="1"/>
  <c r="R94" i="12"/>
  <c r="AC65" i="10"/>
  <c r="AE65" i="10" s="1"/>
  <c r="Q68" i="12"/>
  <c r="Z68" i="12" s="1"/>
  <c r="R38" i="12"/>
  <c r="AA38" i="10"/>
  <c r="D228" i="7"/>
  <c r="AC10" i="10"/>
  <c r="Q10" i="12"/>
  <c r="Z10" i="12" s="1"/>
  <c r="AC38" i="10" l="1"/>
  <c r="AE38" i="10" s="1"/>
  <c r="Q39" i="12"/>
  <c r="Z39" i="12" s="1"/>
  <c r="L129" i="12"/>
  <c r="L159" i="12" s="1"/>
  <c r="AE10" i="10"/>
  <c r="F228" i="7"/>
  <c r="R67" i="12"/>
  <c r="AA66" i="10"/>
  <c r="Q95" i="12"/>
  <c r="Z95" i="12" s="1"/>
  <c r="AE92" i="10"/>
  <c r="AA11" i="10" l="1"/>
  <c r="AG10" i="10"/>
  <c r="N129" i="12"/>
  <c r="M159" i="12" s="1"/>
  <c r="H228" i="7"/>
  <c r="R10" i="12"/>
  <c r="AC66" i="10"/>
  <c r="AE66" i="10" s="1"/>
  <c r="Q69" i="12"/>
  <c r="Z69" i="12" s="1"/>
  <c r="AA93" i="10"/>
  <c r="AC93" i="10" s="1"/>
  <c r="R95" i="12"/>
  <c r="AA39" i="10"/>
  <c r="R39" i="12"/>
  <c r="Q96" i="12" l="1"/>
  <c r="Z96" i="12" s="1"/>
  <c r="AE93" i="10"/>
  <c r="Q40" i="12"/>
  <c r="Z40" i="12" s="1"/>
  <c r="AC39" i="10"/>
  <c r="AE39" i="10" s="1"/>
  <c r="R68" i="12"/>
  <c r="AA67" i="10"/>
  <c r="D229" i="7"/>
  <c r="AC11" i="10"/>
  <c r="Q11" i="12"/>
  <c r="Z11" i="12" s="1"/>
  <c r="AA40" i="10" l="1"/>
  <c r="R40" i="12"/>
  <c r="R96" i="12"/>
  <c r="AA94" i="10"/>
  <c r="AC94" i="10" s="1"/>
  <c r="L130" i="12"/>
  <c r="L160" i="12" s="1"/>
  <c r="F229" i="7"/>
  <c r="AE11" i="10"/>
  <c r="AC67" i="10"/>
  <c r="AE67" i="10" s="1"/>
  <c r="Q70" i="12"/>
  <c r="Z70" i="12" s="1"/>
  <c r="R69" i="12" l="1"/>
  <c r="AA68" i="10"/>
  <c r="R11" i="12"/>
  <c r="AA12" i="10"/>
  <c r="AG11" i="10"/>
  <c r="H229" i="7"/>
  <c r="N130" i="12"/>
  <c r="M160" i="12" s="1"/>
  <c r="Q97" i="12"/>
  <c r="Z97" i="12" s="1"/>
  <c r="AE94" i="10"/>
  <c r="Q41" i="12"/>
  <c r="Z41" i="12" s="1"/>
  <c r="AC40" i="10"/>
  <c r="AE40" i="10" s="1"/>
  <c r="D230" i="7" l="1"/>
  <c r="AC12" i="10"/>
  <c r="Q12" i="12"/>
  <c r="Z12" i="12" s="1"/>
  <c r="R41" i="12"/>
  <c r="AA41" i="10"/>
  <c r="Q71" i="12"/>
  <c r="Z71" i="12" s="1"/>
  <c r="AC68" i="10"/>
  <c r="AE68" i="10" s="1"/>
  <c r="R97" i="12"/>
  <c r="AA95" i="10"/>
  <c r="AC95" i="10" s="1"/>
  <c r="AA69" i="10" l="1"/>
  <c r="R70" i="12"/>
  <c r="F230" i="7"/>
  <c r="L131" i="12"/>
  <c r="L161" i="12" s="1"/>
  <c r="AE12" i="10"/>
  <c r="AC41" i="10"/>
  <c r="AE41" i="10" s="1"/>
  <c r="Q42" i="12"/>
  <c r="Z42" i="12" s="1"/>
  <c r="AE95" i="10"/>
  <c r="Q98" i="12"/>
  <c r="Z98" i="12" s="1"/>
  <c r="AG12" i="10" l="1"/>
  <c r="H230" i="7"/>
  <c r="N131" i="12"/>
  <c r="M161" i="12" s="1"/>
  <c r="R12" i="12"/>
  <c r="AA13" i="10"/>
  <c r="R42" i="12"/>
  <c r="AA42" i="10"/>
  <c r="AA96" i="10"/>
  <c r="AC96" i="10" s="1"/>
  <c r="R98" i="12"/>
  <c r="Q72" i="12"/>
  <c r="Z72" i="12" s="1"/>
  <c r="AC69" i="10"/>
  <c r="AE69" i="10" s="1"/>
  <c r="AC42" i="10" l="1"/>
  <c r="AE42" i="10" s="1"/>
  <c r="Q43" i="12"/>
  <c r="Z43" i="12" s="1"/>
  <c r="R71" i="12"/>
  <c r="AA70" i="10"/>
  <c r="AE96" i="10"/>
  <c r="Q99" i="12"/>
  <c r="Z99" i="12" s="1"/>
  <c r="D231" i="7"/>
  <c r="AC13" i="10"/>
  <c r="Q13" i="12"/>
  <c r="Z13" i="12" s="1"/>
  <c r="AE13" i="10" l="1"/>
  <c r="F231" i="7"/>
  <c r="L132" i="12"/>
  <c r="L162" i="12" s="1"/>
  <c r="AC70" i="10"/>
  <c r="AE70" i="10" s="1"/>
  <c r="Q73" i="12"/>
  <c r="Z73" i="12" s="1"/>
  <c r="R99" i="12"/>
  <c r="AA97" i="10"/>
  <c r="AC97" i="10" s="1"/>
  <c r="R43" i="12"/>
  <c r="AA43" i="10"/>
  <c r="AA71" i="10" l="1"/>
  <c r="R72" i="12"/>
  <c r="Q100" i="12"/>
  <c r="Z100" i="12" s="1"/>
  <c r="AE97" i="10"/>
  <c r="AC43" i="10"/>
  <c r="AE43" i="10" s="1"/>
  <c r="Q44" i="12"/>
  <c r="Z44" i="12" s="1"/>
  <c r="R13" i="12"/>
  <c r="AG13" i="10"/>
  <c r="H231" i="7"/>
  <c r="N132" i="12"/>
  <c r="M162" i="12" s="1"/>
  <c r="AA14" i="10"/>
  <c r="AA44" i="10" l="1"/>
  <c r="R44" i="12"/>
  <c r="AA98" i="10"/>
  <c r="AC98" i="10" s="1"/>
  <c r="R100" i="12"/>
  <c r="D232" i="7"/>
  <c r="AC14" i="10"/>
  <c r="Q14" i="12"/>
  <c r="Z14" i="12" s="1"/>
  <c r="Q74" i="12"/>
  <c r="Z74" i="12" s="1"/>
  <c r="AC71" i="10"/>
  <c r="AE71" i="10" s="1"/>
  <c r="AE98" i="10" l="1"/>
  <c r="Q101" i="12"/>
  <c r="Z101" i="12" s="1"/>
  <c r="AE14" i="10"/>
  <c r="L133" i="12"/>
  <c r="L163" i="12" s="1"/>
  <c r="F232" i="7"/>
  <c r="R73" i="12"/>
  <c r="AA72" i="10"/>
  <c r="AC44" i="10"/>
  <c r="AE44" i="10" s="1"/>
  <c r="Q45" i="12"/>
  <c r="Z45" i="12" s="1"/>
  <c r="AC72" i="10" l="1"/>
  <c r="AE72" i="10" s="1"/>
  <c r="Q75" i="12"/>
  <c r="Z75" i="12" s="1"/>
  <c r="N133" i="12"/>
  <c r="M163" i="12" s="1"/>
  <c r="AA15" i="10"/>
  <c r="AG14" i="10"/>
  <c r="H232" i="7"/>
  <c r="R14" i="12"/>
  <c r="AA45" i="10"/>
  <c r="R45" i="12"/>
  <c r="R101" i="12"/>
  <c r="AA99" i="10"/>
  <c r="AC99" i="10" s="1"/>
  <c r="D233" i="7" l="1"/>
  <c r="AC15" i="10"/>
  <c r="Q15" i="12"/>
  <c r="Z15" i="12" s="1"/>
  <c r="Q46" i="12"/>
  <c r="Z46" i="12" s="1"/>
  <c r="AC45" i="10"/>
  <c r="AE45" i="10" s="1"/>
  <c r="Q102" i="12"/>
  <c r="Z102" i="12" s="1"/>
  <c r="AE99" i="10"/>
  <c r="AA73" i="10"/>
  <c r="R74" i="12"/>
  <c r="AA100" i="10" l="1"/>
  <c r="AC100" i="10" s="1"/>
  <c r="R102" i="12"/>
  <c r="AA46" i="10"/>
  <c r="R46" i="12"/>
  <c r="L134" i="12"/>
  <c r="L164" i="12" s="1"/>
  <c r="F233" i="7"/>
  <c r="AE15" i="10"/>
  <c r="AC73" i="10"/>
  <c r="AE73" i="10" s="1"/>
  <c r="Q76" i="12"/>
  <c r="Z76" i="12" s="1"/>
  <c r="R75" i="12" l="1"/>
  <c r="AA74" i="10"/>
  <c r="H233" i="7"/>
  <c r="R15" i="12"/>
  <c r="AA16" i="10"/>
  <c r="AG15" i="10"/>
  <c r="N134" i="12"/>
  <c r="M164" i="12" s="1"/>
  <c r="AC46" i="10"/>
  <c r="AE46" i="10" s="1"/>
  <c r="Q47" i="12"/>
  <c r="Z47" i="12" s="1"/>
  <c r="AE100" i="10"/>
  <c r="Q103" i="12"/>
  <c r="Z103" i="12" s="1"/>
  <c r="AA47" i="10" l="1"/>
  <c r="R47" i="12"/>
  <c r="D234" i="7"/>
  <c r="AC16" i="10"/>
  <c r="Q16" i="12"/>
  <c r="Z16" i="12" s="1"/>
  <c r="Q77" i="12"/>
  <c r="Z77" i="12" s="1"/>
  <c r="AC74" i="10"/>
  <c r="AE74" i="10" s="1"/>
  <c r="AA101" i="10"/>
  <c r="AC101" i="10" s="1"/>
  <c r="R103" i="12"/>
  <c r="AE101" i="10" l="1"/>
  <c r="Q104" i="12"/>
  <c r="Z104" i="12" s="1"/>
  <c r="R76" i="12"/>
  <c r="AA75" i="10"/>
  <c r="AE16" i="10"/>
  <c r="F234" i="7"/>
  <c r="L135" i="12"/>
  <c r="L165" i="12" s="1"/>
  <c r="AC47" i="10"/>
  <c r="AE47" i="10" s="1"/>
  <c r="Q48" i="12"/>
  <c r="Z48" i="12" s="1"/>
  <c r="R48" i="12" l="1"/>
  <c r="AA48" i="10"/>
  <c r="Q78" i="12"/>
  <c r="Z78" i="12" s="1"/>
  <c r="AC75" i="10"/>
  <c r="AE75" i="10" s="1"/>
  <c r="H234" i="7"/>
  <c r="AG16" i="10"/>
  <c r="AA17" i="10"/>
  <c r="N135" i="12"/>
  <c r="M165" i="12" s="1"/>
  <c r="R16" i="12"/>
  <c r="AA102" i="10"/>
  <c r="AC102" i="10" s="1"/>
  <c r="R104" i="12"/>
  <c r="R77" i="12" l="1"/>
  <c r="AA76" i="10"/>
  <c r="AC17" i="10"/>
  <c r="Q17" i="12"/>
  <c r="Z17" i="12" s="1"/>
  <c r="D235" i="7"/>
  <c r="AE102" i="10"/>
  <c r="Q105" i="12"/>
  <c r="Z105" i="12" s="1"/>
  <c r="AC48" i="10"/>
  <c r="AE48" i="10" s="1"/>
  <c r="Q49" i="12"/>
  <c r="Z49" i="12" s="1"/>
  <c r="AA49" i="10" l="1"/>
  <c r="R49" i="12"/>
  <c r="R105" i="12"/>
  <c r="AA103" i="10"/>
  <c r="AC103" i="10" s="1"/>
  <c r="L136" i="12"/>
  <c r="L166" i="12" s="1"/>
  <c r="AE17" i="10"/>
  <c r="F235" i="7"/>
  <c r="AC76" i="10"/>
  <c r="AE76" i="10" s="1"/>
  <c r="Q79" i="12"/>
  <c r="Z79" i="12" s="1"/>
  <c r="AA18" i="10" l="1"/>
  <c r="N136" i="12"/>
  <c r="M166" i="12" s="1"/>
  <c r="AG17" i="10"/>
  <c r="H235" i="7"/>
  <c r="R17" i="12"/>
  <c r="Q106" i="12"/>
  <c r="Z106" i="12" s="1"/>
  <c r="AE103" i="10"/>
  <c r="AA77" i="10"/>
  <c r="R78" i="12"/>
  <c r="AC49" i="10"/>
  <c r="AE49" i="10" s="1"/>
  <c r="Q50" i="12"/>
  <c r="Z50" i="12" s="1"/>
  <c r="Q80" i="12" l="1"/>
  <c r="Z80" i="12" s="1"/>
  <c r="AC77" i="10"/>
  <c r="AE77" i="10" s="1"/>
  <c r="R106" i="12"/>
  <c r="AA104" i="10"/>
  <c r="AC104" i="10" s="1"/>
  <c r="R50" i="12"/>
  <c r="AA50" i="10"/>
  <c r="D236" i="7"/>
  <c r="AC18" i="10"/>
  <c r="AE18" i="10" s="1"/>
  <c r="Q18" i="12"/>
  <c r="Z18" i="12" s="1"/>
  <c r="AC50" i="10" l="1"/>
  <c r="AE50" i="10" s="1"/>
  <c r="Q51" i="12"/>
  <c r="Z51" i="12" s="1"/>
  <c r="L137" i="12"/>
  <c r="L167" i="12" s="1"/>
  <c r="F236" i="7"/>
  <c r="Q107" i="12"/>
  <c r="Z107" i="12" s="1"/>
  <c r="AE104" i="10"/>
  <c r="AA78" i="10"/>
  <c r="R79" i="12"/>
  <c r="AA19" i="10" l="1"/>
  <c r="R18" i="12"/>
  <c r="H236" i="7"/>
  <c r="AG18" i="10"/>
  <c r="N137" i="12"/>
  <c r="M167" i="12" s="1"/>
  <c r="AA105" i="10"/>
  <c r="AC105" i="10" s="1"/>
  <c r="R107" i="12"/>
  <c r="Q81" i="12"/>
  <c r="Z81" i="12" s="1"/>
  <c r="AC78" i="10"/>
  <c r="AE78" i="10" s="1"/>
  <c r="AA51" i="10"/>
  <c r="R51" i="12"/>
  <c r="AC51" i="10" l="1"/>
  <c r="AE51" i="10" s="1"/>
  <c r="Q52" i="12"/>
  <c r="Z52" i="12" s="1"/>
  <c r="Q108" i="12"/>
  <c r="Z108" i="12" s="1"/>
  <c r="AE105" i="10"/>
  <c r="R80" i="12"/>
  <c r="AA79" i="10"/>
  <c r="Q19" i="12"/>
  <c r="Z19" i="12" s="1"/>
  <c r="AC19" i="10"/>
  <c r="D237" i="7"/>
  <c r="AC79" i="10" l="1"/>
  <c r="AE79" i="10" s="1"/>
  <c r="Q82" i="12"/>
  <c r="Z82" i="12" s="1"/>
  <c r="AE19" i="10"/>
  <c r="F237" i="7"/>
  <c r="L138" i="12"/>
  <c r="L168" i="12" s="1"/>
  <c r="R108" i="12"/>
  <c r="AA106" i="10"/>
  <c r="AC106" i="10" s="1"/>
  <c r="AA52" i="10"/>
  <c r="R52" i="12"/>
  <c r="Q53" i="12" l="1"/>
  <c r="Z53" i="12" s="1"/>
  <c r="AC52" i="10"/>
  <c r="AE52" i="10" s="1"/>
  <c r="Q54" i="12"/>
  <c r="Z54" i="12" s="1"/>
  <c r="H237" i="7"/>
  <c r="AG19" i="10"/>
  <c r="AA20" i="10"/>
  <c r="N138" i="12"/>
  <c r="M168" i="12" s="1"/>
  <c r="R19" i="12"/>
  <c r="AE106" i="10"/>
  <c r="Q109" i="12"/>
  <c r="Z109" i="12" s="1"/>
  <c r="AA80" i="10"/>
  <c r="AC80" i="10" s="1"/>
  <c r="AE80" i="10" s="1"/>
  <c r="R81" i="12"/>
  <c r="AA81" i="10" l="1"/>
  <c r="AC81" i="10" s="1"/>
  <c r="AE81" i="10" s="1"/>
  <c r="AG81" i="10" s="1"/>
  <c r="R82" i="12"/>
  <c r="R53" i="12"/>
  <c r="AA53" i="10"/>
  <c r="AC53" i="10" s="1"/>
  <c r="AE53" i="10" s="1"/>
  <c r="Q20" i="12"/>
  <c r="Z20" i="12" s="1"/>
  <c r="D238" i="7"/>
  <c r="AC20" i="10"/>
  <c r="R109" i="12"/>
  <c r="AA107" i="10"/>
  <c r="AC107" i="10" s="1"/>
  <c r="AE20" i="10" l="1"/>
  <c r="L139" i="12"/>
  <c r="L169" i="12" s="1"/>
  <c r="F238" i="7"/>
  <c r="R54" i="12"/>
  <c r="AA54" i="10"/>
  <c r="AC54" i="10" s="1"/>
  <c r="AE54" i="10" s="1"/>
  <c r="AE107" i="10"/>
  <c r="Q110" i="12"/>
  <c r="Z110" i="12" s="1"/>
  <c r="R110" i="12" l="1"/>
  <c r="AA108" i="10"/>
  <c r="AC108" i="10" s="1"/>
  <c r="AE108" i="10" s="1"/>
  <c r="AG108" i="10" s="1"/>
  <c r="N139" i="12"/>
  <c r="M169" i="12" s="1"/>
  <c r="AG20" i="10"/>
  <c r="H238" i="7"/>
  <c r="R20" i="12"/>
  <c r="AA21" i="10"/>
  <c r="AC21" i="10" l="1"/>
  <c r="Q21" i="12"/>
  <c r="Z21" i="12" s="1"/>
  <c r="D239" i="7"/>
  <c r="L140" i="12" l="1"/>
  <c r="L170" i="12" s="1"/>
  <c r="AE21" i="10"/>
  <c r="F239" i="7"/>
  <c r="R21" i="12" l="1"/>
  <c r="AA22" i="10"/>
  <c r="N140" i="12"/>
  <c r="M170" i="12" s="1"/>
  <c r="H239" i="7"/>
  <c r="AG21" i="10"/>
  <c r="AC22" i="10" l="1"/>
  <c r="Q22" i="12"/>
  <c r="Z22" i="12" s="1"/>
  <c r="D240" i="7"/>
  <c r="F240" i="7" l="1"/>
  <c r="AE22" i="10"/>
  <c r="L141" i="12"/>
  <c r="L171" i="12" s="1"/>
  <c r="AA23" i="10" l="1"/>
  <c r="R22" i="12"/>
  <c r="N141" i="12"/>
  <c r="M171" i="12" s="1"/>
  <c r="H240" i="7"/>
  <c r="AG22" i="10"/>
  <c r="Q23" i="12" l="1"/>
  <c r="Z23" i="12" s="1"/>
  <c r="AC23" i="10"/>
  <c r="D241" i="7"/>
  <c r="AE23" i="10" l="1"/>
  <c r="L142" i="12"/>
  <c r="L172" i="12" s="1"/>
  <c r="F241" i="7"/>
  <c r="H241" i="7" l="1"/>
  <c r="AA24" i="10"/>
  <c r="R23" i="12"/>
  <c r="AG23" i="10"/>
  <c r="N142" i="12"/>
  <c r="M172" i="12" s="1"/>
  <c r="AC24" i="10" l="1"/>
  <c r="Q24" i="12"/>
  <c r="Z24" i="12" s="1"/>
  <c r="D242" i="7"/>
  <c r="AE24" i="10" l="1"/>
  <c r="F242" i="7"/>
  <c r="L143" i="12"/>
  <c r="L173" i="12" s="1"/>
  <c r="N143" i="12" l="1"/>
  <c r="M173" i="12" s="1"/>
  <c r="H242" i="7"/>
  <c r="AG24" i="10"/>
  <c r="R24" i="12"/>
  <c r="AA25" i="10"/>
  <c r="AC25" i="10" l="1"/>
  <c r="Q25" i="12"/>
  <c r="Z25" i="12" s="1"/>
  <c r="D243" i="7"/>
  <c r="L144" i="12" l="1"/>
  <c r="L174" i="12" s="1"/>
  <c r="AE25" i="10"/>
  <c r="F243" i="7"/>
  <c r="AG25" i="10" l="1"/>
  <c r="H243" i="7"/>
  <c r="N144" i="12"/>
  <c r="M174" i="12" s="1"/>
  <c r="AA26" i="10"/>
  <c r="R25" i="12"/>
  <c r="AC26" i="10" l="1"/>
  <c r="Q26" i="12"/>
  <c r="Z26" i="12" s="1"/>
  <c r="D244" i="7"/>
  <c r="F244" i="7" l="1"/>
  <c r="L145" i="12"/>
  <c r="L175" i="12" s="1"/>
  <c r="AE26" i="10"/>
  <c r="AG26" i="10" l="1"/>
  <c r="N145" i="12"/>
  <c r="M175" i="12" s="1"/>
  <c r="H244" i="7"/>
  <c r="AA27" i="10"/>
  <c r="AC27" i="10" s="1"/>
  <c r="AE27" i="10" s="1"/>
  <c r="AG27" i="10" s="1"/>
  <c r="R26"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<sst xmlns="http://schemas.openxmlformats.org/spreadsheetml/2006/main" count="3038" uniqueCount="371">
  <si>
    <t>Statewide</t>
  </si>
  <si>
    <t>Delivery Year</t>
  </si>
  <si>
    <t>Reference Year</t>
  </si>
  <si>
    <t>Utility</t>
  </si>
  <si>
    <t>Delivery Year
RPS Goal (%)</t>
  </si>
  <si>
    <t>Total Applicable Reference Year Delivered Volume (MWh)</t>
  </si>
  <si>
    <t>Overall
RPS Target
(RECs)</t>
  </si>
  <si>
    <t>RPS Rate Cap [$/MWh]</t>
  </si>
  <si>
    <t>Self Direct Rate Cap [$/MWh]</t>
  </si>
  <si>
    <t>Self Direct Delivered Volume (MWh)</t>
  </si>
  <si>
    <t>Self Direct Payment</t>
  </si>
  <si>
    <t>Delivery Year
RPS Budget ($)</t>
  </si>
  <si>
    <t>2017-2018</t>
  </si>
  <si>
    <t>2016-2017</t>
  </si>
  <si>
    <t>ALL</t>
  </si>
  <si>
    <t>2018-2019</t>
  </si>
  <si>
    <t>2019-2020</t>
  </si>
  <si>
    <t>2020-2021</t>
  </si>
  <si>
    <t>2021-2022</t>
  </si>
  <si>
    <t>2022-2023</t>
  </si>
  <si>
    <t>2023-2024</t>
  </si>
  <si>
    <t>*lowered by self-direct quantity</t>
  </si>
  <si>
    <t>2024-2025</t>
  </si>
  <si>
    <t>2025-2026</t>
  </si>
  <si>
    <t>2026-2027</t>
  </si>
  <si>
    <t>2027-2028</t>
  </si>
  <si>
    <t>2028-2029</t>
  </si>
  <si>
    <t>2029-2030</t>
  </si>
  <si>
    <t>2030-2031</t>
  </si>
  <si>
    <t>2031-2032</t>
  </si>
  <si>
    <t>2032-2033</t>
  </si>
  <si>
    <t>2033-2034</t>
  </si>
  <si>
    <t>2034-2035</t>
  </si>
  <si>
    <t>2035-2036</t>
  </si>
  <si>
    <t>2036-2037</t>
  </si>
  <si>
    <t>2037-2038</t>
  </si>
  <si>
    <t>2038-2039</t>
  </si>
  <si>
    <t>2039-2040</t>
  </si>
  <si>
    <t>2040-2041</t>
  </si>
  <si>
    <t>2041-2042</t>
  </si>
  <si>
    <t>2042-2043</t>
  </si>
  <si>
    <t>Ameren</t>
  </si>
  <si>
    <t>Total Applicable Reference Year Delivered Volume (MWh) Source: Utilities</t>
  </si>
  <si>
    <t>*</t>
  </si>
  <si>
    <t>ComEd</t>
  </si>
  <si>
    <t>MidAmerican</t>
  </si>
  <si>
    <t>PROXY Applicable Reference Year Delivered Volume (MWh) = MWh volume times 26.0253830755776%</t>
  </si>
  <si>
    <t>MidAm Load Forecast</t>
  </si>
  <si>
    <t>Net Available ACPs ($) as of Aug 2023</t>
  </si>
  <si>
    <t>All Utilities</t>
  </si>
  <si>
    <t>ARES ACP balance</t>
  </si>
  <si>
    <t>Hourly ACPs</t>
  </si>
  <si>
    <t>committed HACP</t>
  </si>
  <si>
    <t>Uncommitted HACPs</t>
  </si>
  <si>
    <t>Total available</t>
  </si>
  <si>
    <t>Available Funds at start of DY (Collections + ACP)</t>
  </si>
  <si>
    <t>Forward Price Curve (8/1/24)</t>
  </si>
  <si>
    <t>Sensitivity Adjustment</t>
  </si>
  <si>
    <t>Utility Scale Wind</t>
  </si>
  <si>
    <t>forward price</t>
  </si>
  <si>
    <t>2022 Procurement</t>
  </si>
  <si>
    <t>2023 procurement</t>
  </si>
  <si>
    <t>2024 procurement</t>
  </si>
  <si>
    <t>Procurement Results</t>
  </si>
  <si>
    <t>2025 procurement</t>
  </si>
  <si>
    <t>2026 procurement</t>
  </si>
  <si>
    <t>2022 strike price</t>
  </si>
  <si>
    <t>2023 strike price</t>
  </si>
  <si>
    <t>2024 Strike Price</t>
  </si>
  <si>
    <t>2027 procurement</t>
  </si>
  <si>
    <t>2028 procurement</t>
  </si>
  <si>
    <t>2029 procurement</t>
  </si>
  <si>
    <t>Annual strike price increase</t>
  </si>
  <si>
    <t>2030 procurement</t>
  </si>
  <si>
    <t>2031 procurement</t>
  </si>
  <si>
    <t>2032 procurement</t>
  </si>
  <si>
    <t>2033 procurement</t>
  </si>
  <si>
    <t>2034 procurement</t>
  </si>
  <si>
    <t>2035 procurement</t>
  </si>
  <si>
    <t>2036 procurement</t>
  </si>
  <si>
    <t>2037 procurement</t>
  </si>
  <si>
    <t>2038 procurement</t>
  </si>
  <si>
    <t>2039 procurement</t>
  </si>
  <si>
    <t>2040 procurement</t>
  </si>
  <si>
    <t>Utility Scale Solar</t>
  </si>
  <si>
    <t>2024 strike price</t>
  </si>
  <si>
    <t>Brownfield</t>
  </si>
  <si>
    <t>REC Degredation Rate</t>
  </si>
  <si>
    <t>Catergory</t>
  </si>
  <si>
    <t>Year</t>
  </si>
  <si>
    <t>Utility Wind</t>
  </si>
  <si>
    <t>Utility Solar</t>
  </si>
  <si>
    <t>Total</t>
  </si>
  <si>
    <t>RECs Delivered</t>
  </si>
  <si>
    <t>Under Contract through 2024</t>
  </si>
  <si>
    <t>Projected</t>
  </si>
  <si>
    <t>2024 Plan Only</t>
  </si>
  <si>
    <t>No</t>
  </si>
  <si>
    <t>23 TBD</t>
  </si>
  <si>
    <t>24-25 Plan</t>
  </si>
  <si>
    <t>26-27 Plan</t>
  </si>
  <si>
    <t>28-29 Plan</t>
  </si>
  <si>
    <t>30-31 Plan</t>
  </si>
  <si>
    <t>32-33 Plan</t>
  </si>
  <si>
    <t>34-35 Plan</t>
  </si>
  <si>
    <t>36-37 Plan</t>
  </si>
  <si>
    <t>38-39 Plan</t>
  </si>
  <si>
    <t>40-41 Plan</t>
  </si>
  <si>
    <t>Combined Spend</t>
  </si>
  <si>
    <t>REC Spend</t>
  </si>
  <si>
    <t>22 Plan</t>
  </si>
  <si>
    <t xml:space="preserve">2024-2025 DY kW Capacity Size Distribution </t>
  </si>
  <si>
    <t>2024-2025 DY Block Size (kW)</t>
  </si>
  <si>
    <t>2025-2026 DY kW Capacity Size Distribution</t>
  </si>
  <si>
    <t>2025-2026 DY Block Size (kW)</t>
  </si>
  <si>
    <t>Capacity Factor</t>
  </si>
  <si>
    <t>2023-2024 Remaining Capacity to Contract</t>
  </si>
  <si>
    <t>2023-2024 REC Price</t>
  </si>
  <si>
    <t>2023-2024 Contract Values</t>
  </si>
  <si>
    <t>2024 REC Price</t>
  </si>
  <si>
    <t>2025 REC Price</t>
  </si>
  <si>
    <t>2026 REC Price</t>
  </si>
  <si>
    <t>2027 REC Price</t>
  </si>
  <si>
    <t>2028 REC Price</t>
  </si>
  <si>
    <t>2029 REC Price</t>
  </si>
  <si>
    <t>2030 REC Price</t>
  </si>
  <si>
    <t>2031 REC Price</t>
  </si>
  <si>
    <t>2032 REC Price</t>
  </si>
  <si>
    <t>2033 REC Price</t>
  </si>
  <si>
    <t>2034 REC Price</t>
  </si>
  <si>
    <t>2035 REC Price</t>
  </si>
  <si>
    <t>2036 REC Price</t>
  </si>
  <si>
    <t>2037 REC Price</t>
  </si>
  <si>
    <t>2038 REC Price</t>
  </si>
  <si>
    <t>2039 REC Price</t>
  </si>
  <si>
    <t>2040 REC Price</t>
  </si>
  <si>
    <t>Activity Size kW / Total</t>
  </si>
  <si>
    <t>ABP Total</t>
  </si>
  <si>
    <t xml:space="preserve">SDG &lt; 25 kW </t>
  </si>
  <si>
    <t>SDG A</t>
  </si>
  <si>
    <t xml:space="preserve"> &lt; 10</t>
  </si>
  <si>
    <t xml:space="preserve"> &gt;10-25</t>
  </si>
  <si>
    <t xml:space="preserve">SDG B </t>
  </si>
  <si>
    <t>&lt; 10</t>
  </si>
  <si>
    <t>LDG &gt; 25 - 5000kW</t>
  </si>
  <si>
    <t xml:space="preserve">LDG A </t>
  </si>
  <si>
    <t>&gt;25-100</t>
  </si>
  <si>
    <t>&gt;100-200</t>
  </si>
  <si>
    <t>&gt;200-500</t>
  </si>
  <si>
    <t>&gt;500-2000</t>
  </si>
  <si>
    <t>&gt; 2000-5000</t>
  </si>
  <si>
    <t>LDG B</t>
  </si>
  <si>
    <t xml:space="preserve"> &gt;25-100</t>
  </si>
  <si>
    <t>Traditional Community Solar</t>
  </si>
  <si>
    <t>CS A</t>
  </si>
  <si>
    <t xml:space="preserve"> &gt;500-2000</t>
  </si>
  <si>
    <t>&gt;2000-5000</t>
  </si>
  <si>
    <t>CS B</t>
  </si>
  <si>
    <t>Public Schools</t>
  </si>
  <si>
    <t>Public Schools A</t>
  </si>
  <si>
    <t xml:space="preserve"> &gt; 25</t>
  </si>
  <si>
    <t>Public Schools B</t>
  </si>
  <si>
    <t>Community Driven Community Solar</t>
  </si>
  <si>
    <t>CD Community Solar A</t>
  </si>
  <si>
    <t>CD Community Solar B</t>
  </si>
  <si>
    <t>Equity Eligible Contractor</t>
  </si>
  <si>
    <t>EEC A</t>
  </si>
  <si>
    <t>EEC B</t>
  </si>
  <si>
    <t xml:space="preserve"> </t>
  </si>
  <si>
    <t>DY</t>
  </si>
  <si>
    <t>REC Price Annual Decrease</t>
  </si>
  <si>
    <t>REC Delivery Schedule</t>
  </si>
  <si>
    <t>2043-2044</t>
  </si>
  <si>
    <t>kW</t>
  </si>
  <si>
    <t>CF</t>
  </si>
  <si>
    <t>Total RECs</t>
  </si>
  <si>
    <t>Combined Total</t>
  </si>
  <si>
    <t>REC Payment Schedule</t>
  </si>
  <si>
    <t>REC $</t>
  </si>
  <si>
    <t>Total Spend</t>
  </si>
  <si>
    <t>Traditonal Community Solar</t>
  </si>
  <si>
    <t>2023 TBD</t>
  </si>
  <si>
    <t>Combined Delivery</t>
  </si>
  <si>
    <t>State</t>
  </si>
  <si>
    <t> </t>
  </si>
  <si>
    <t>*Only include data for projects ICC approved</t>
  </si>
  <si>
    <t xml:space="preserve"> SDG </t>
  </si>
  <si>
    <t xml:space="preserve"> LDG </t>
  </si>
  <si>
    <t xml:space="preserve"> TCS </t>
  </si>
  <si>
    <t xml:space="preserve"> Public Schools </t>
  </si>
  <si>
    <t xml:space="preserve"> CDCS </t>
  </si>
  <si>
    <t xml:space="preserve"> EEC </t>
  </si>
  <si>
    <t xml:space="preserve"> -   </t>
  </si>
  <si>
    <t xml:space="preserve"> $-   </t>
  </si>
  <si>
    <t>2044-2045</t>
  </si>
  <si>
    <t>REC Deliveries</t>
  </si>
  <si>
    <t>Spending</t>
  </si>
  <si>
    <t xml:space="preserve">-   </t>
  </si>
  <si>
    <t xml:space="preserve">$-   </t>
  </si>
  <si>
    <t>2043-2045</t>
  </si>
  <si>
    <t>Under Contract</t>
  </si>
  <si>
    <t>Small DG</t>
  </si>
  <si>
    <t>Large DG</t>
  </si>
  <si>
    <t>Traditional CS</t>
  </si>
  <si>
    <t xml:space="preserve">ABP RECs under contract </t>
  </si>
  <si>
    <t>LTPPA Wind</t>
  </si>
  <si>
    <t>LTPPA Solar</t>
  </si>
  <si>
    <t>Legacy DG</t>
  </si>
  <si>
    <t>Wind Forward Procurement 2017-2019</t>
  </si>
  <si>
    <t>Solar Forward Procurement 2017-2019</t>
  </si>
  <si>
    <t>Indexed RECs Wind</t>
  </si>
  <si>
    <t>Indexed RECs Solar</t>
  </si>
  <si>
    <t>Indexed RECs Brownfield</t>
  </si>
  <si>
    <t>Illinois Solar for All</t>
  </si>
  <si>
    <t>Non -ABP RECs under contract</t>
  </si>
  <si>
    <t>Total Solar Under Contract</t>
  </si>
  <si>
    <t>Total Wind Under Contract</t>
  </si>
  <si>
    <t>Total Under Contract</t>
  </si>
  <si>
    <t>Coal to Solar</t>
  </si>
  <si>
    <t>ILSFA</t>
  </si>
  <si>
    <t>Projected REC</t>
  </si>
  <si>
    <t>Total Recs</t>
  </si>
  <si>
    <t>RPS %</t>
  </si>
  <si>
    <t>Analysis</t>
  </si>
  <si>
    <t>Solar</t>
  </si>
  <si>
    <t>Wind</t>
  </si>
  <si>
    <t>% Solar</t>
  </si>
  <si>
    <t>% Wind</t>
  </si>
  <si>
    <t xml:space="preserve">Wind Forward Procurement </t>
  </si>
  <si>
    <t>Solar Forward Procurement</t>
  </si>
  <si>
    <t>MidAm</t>
  </si>
  <si>
    <t>TCS</t>
  </si>
  <si>
    <t>CDCS</t>
  </si>
  <si>
    <t>EEC</t>
  </si>
  <si>
    <t>2010 LTPPAs</t>
  </si>
  <si>
    <t>Forward Procurements (2017-2019)</t>
  </si>
  <si>
    <t>Indexed REC Wind</t>
  </si>
  <si>
    <t>Indexed REC Solar</t>
  </si>
  <si>
    <t>Indexed REC Brownfield</t>
  </si>
  <si>
    <t>Admin (3%)</t>
  </si>
  <si>
    <t>Job Training</t>
  </si>
  <si>
    <t>Total Projected Spend</t>
  </si>
  <si>
    <t xml:space="preserve">Available Funds at start of DY (including ACP)
</t>
  </si>
  <si>
    <t>DY Collections (Source: Utilities)</t>
  </si>
  <si>
    <t xml:space="preserve">Available Funds at start of DY + Collections
</t>
  </si>
  <si>
    <t>EOY Balance</t>
  </si>
  <si>
    <t>April 2024 EOY Balances</t>
  </si>
  <si>
    <t>Analysis Results</t>
  </si>
  <si>
    <t>Original Base Case</t>
  </si>
  <si>
    <t>Total Statewide REC Portfolio under contract</t>
  </si>
  <si>
    <t>Total Wind</t>
  </si>
  <si>
    <t>Total Solar</t>
  </si>
  <si>
    <t>Total All RECs</t>
  </si>
  <si>
    <t>W</t>
  </si>
  <si>
    <t>S</t>
  </si>
  <si>
    <t>B</t>
  </si>
  <si>
    <t>2020-21</t>
  </si>
  <si>
    <t>2021-22</t>
  </si>
  <si>
    <t>2022-23</t>
  </si>
  <si>
    <t>2023-24</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</si>
  <si>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</si>
  <si>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</si>
  <si>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</si>
  <si>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</si>
  <si>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</si>
  <si>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</si>
  <si>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</si>
  <si>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</si>
  <si>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</si>
  <si>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</si>
  <si>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</si>
  <si>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</si>
  <si>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</si>
  <si>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</si>
  <si>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</si>
  <si>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</si>
  <si>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</si>
  <si>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</si>
  <si>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</si>
  <si>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Figure 3.1</t>
  </si>
  <si>
    <t>Total Statewide  REC Portfolio</t>
  </si>
  <si>
    <t>Contracted Wind</t>
  </si>
  <si>
    <t>Contracted Solar</t>
  </si>
  <si>
    <t>Projected Wind</t>
  </si>
  <si>
    <t>Projected Solar</t>
  </si>
  <si>
    <t xml:space="preserve">Table 3.1 </t>
  </si>
  <si>
    <t xml:space="preserve">Delivery Year </t>
  </si>
  <si>
    <t>Total Wind RECs</t>
  </si>
  <si>
    <t>Total Solar RECs</t>
  </si>
  <si>
    <t>Table 3.5</t>
  </si>
  <si>
    <t>2010 LTTPAs</t>
  </si>
  <si>
    <t>ABP Under Contract</t>
  </si>
  <si>
    <t>FEJA Forward Procurements</t>
  </si>
  <si>
    <t>CEJA Indexed REC Procurements</t>
  </si>
  <si>
    <t>Total RECs Under Contract</t>
  </si>
  <si>
    <t>Overall RPS Target</t>
  </si>
  <si>
    <t>REC Shortfall</t>
  </si>
  <si>
    <t>% of Target Currently Met</t>
  </si>
  <si>
    <t>Figure 3.2</t>
  </si>
  <si>
    <t>LTPPA RECs</t>
  </si>
  <si>
    <t>FEJA Wind and Solar Procurements</t>
  </si>
  <si>
    <t>ABP</t>
  </si>
  <si>
    <t>REC Shortfall from Target</t>
  </si>
  <si>
    <t>RPS REC Goal %</t>
  </si>
  <si>
    <t>Table 3-10</t>
  </si>
  <si>
    <t>Job Training (DCEO Budget)</t>
  </si>
  <si>
    <t>Administrative Expenses (3% of Annual RPS Budget)</t>
  </si>
  <si>
    <t>Total Set Asides</t>
  </si>
  <si>
    <t>Anticipated LTP 2022</t>
  </si>
  <si>
    <t>Anticipated LTP 2024</t>
  </si>
  <si>
    <t>Anticipated LTP 2026</t>
  </si>
  <si>
    <t>Anticipated LTP 2028</t>
  </si>
  <si>
    <t>Anticipated LTP 2030</t>
  </si>
  <si>
    <t>Anticipated LTP 2032</t>
  </si>
  <si>
    <t>Anticipated LTP 2034</t>
  </si>
  <si>
    <t>Anticipated LTP 2036</t>
  </si>
  <si>
    <t>Anticipated LTP 2038</t>
  </si>
  <si>
    <t>Anticipated LTP 2040</t>
  </si>
  <si>
    <t>RPS Target Amount</t>
  </si>
  <si>
    <t>Table 3-7</t>
  </si>
  <si>
    <t xml:space="preserve">Solar RECs  </t>
  </si>
  <si>
    <t>Wind RECs</t>
  </si>
  <si>
    <t>Combined Wind and Solar RECs</t>
  </si>
  <si>
    <t>Table 3-9</t>
  </si>
  <si>
    <t>Reference Year Forecasted Delivered Volume [MWh][1]</t>
  </si>
  <si>
    <t>Cost Cap Rate[2] [$/MWh]</t>
  </si>
  <si>
    <t>RPS Budget for 2024-2025 Delivery Year [$][3]</t>
  </si>
  <si>
    <t>Allocation Based on RPS Budget for 2024-2025 Delivery Year [%]</t>
  </si>
  <si>
    <t>Ameren Illinois</t>
  </si>
  <si>
    <t>MidAmerican[4]</t>
  </si>
  <si>
    <t>Table 3-11</t>
  </si>
  <si>
    <t>Utility Scale Under Contract</t>
  </si>
  <si>
    <t>2024 Long-Term Plan</t>
  </si>
  <si>
    <t>Total Future Plans</t>
  </si>
  <si>
    <t>Fixed Spending Including ILSFA</t>
  </si>
  <si>
    <t>Total Expenses</t>
  </si>
  <si>
    <t>Table 3-12</t>
  </si>
  <si>
    <t>Delivery Year Starting Balance</t>
  </si>
  <si>
    <t>RPS Collections</t>
  </si>
  <si>
    <t>Total Funds Available</t>
  </si>
  <si>
    <t>Total Expenditures</t>
  </si>
  <si>
    <t>Delivery Year Ending Balance</t>
  </si>
  <si>
    <t>Table 3-13</t>
  </si>
  <si>
    <t>Base Case</t>
  </si>
  <si>
    <t>High Price Curve Scenario</t>
  </si>
  <si>
    <t>Low Price Curve Scenario</t>
  </si>
  <si>
    <t>[Note modeling +/- 13%</t>
  </si>
  <si>
    <t>high and low pasted value, won't update automatically</t>
  </si>
  <si>
    <t>Setasides and ILSFA</t>
  </si>
  <si>
    <t>Available Funds at start of DY + Collections</t>
  </si>
  <si>
    <t>23 In Progress</t>
  </si>
  <si>
    <t>24 Plan (projected)</t>
  </si>
  <si>
    <t>Future Plans (projected)</t>
  </si>
  <si>
    <t>Set Asides</t>
  </si>
  <si>
    <t>Year-End RPS Balance</t>
  </si>
  <si>
    <t>In Progress</t>
  </si>
  <si>
    <t>Future Plans</t>
  </si>
  <si>
    <t>Total Available Funds</t>
  </si>
  <si>
    <t>22-23 Plan To Be Filled</t>
  </si>
  <si>
    <t>Total Double Check</t>
  </si>
  <si>
    <t>Legacy Programs</t>
  </si>
  <si>
    <t>Potential Future Activities</t>
  </si>
  <si>
    <t>LTPPAs</t>
  </si>
  <si>
    <t>FIJA ABP</t>
  </si>
  <si>
    <t>2017-2019 Foreword Procurements</t>
  </si>
  <si>
    <t>CEJA ABP New Categories</t>
  </si>
  <si>
    <t>Subsequent Forward Procurement (Wind, Solar, and Brownfield)</t>
  </si>
  <si>
    <t>2024-2030 ABP</t>
  </si>
  <si>
    <t>2024-2030 Wind, Solar, and Brownfield</t>
  </si>
  <si>
    <t>Solar for All &amp; Admin and Job Training</t>
  </si>
  <si>
    <t>TEST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</si>
</sst>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quot;$&quot;#,##0"/>
    <numFmt numFmtId="167" formatCode="0.0%"/>
    <numFmt numFmtId="168" formatCode="0.0000"/>
    <numFmt numFmtId="169" formatCode="0.0"/>
    <numFmt numFmtId="170" formatCode="0.0000000000"/>
    <numFmt numFmtId="171" formatCode="_(* #,##0.000_);_(* \(#,##0.000\);_(* &quot;-&quot;??_);_(@_)"/>
    <numFmt numFmtId="172" formatCode="_(&quot;$&quot;* #,##0_);_(&quot;$&quot;* \(#,##0\);_(&quot;$&quot;* &quot;-&quot;??_);_(@_)"/>
  </numFmts>
  <fonts count="33"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b/>
      <sz val="11"/>
      <color rgb="FF000000"/>
      <name val="Calibri"/>
      <family val="2"/>
      <scheme val="minor"/>
    </font>
    <font>
      <b/>
      <sz val="9"/>
      <color rgb="FF000000"/>
      <name val="Calibri"/>
      <family val="2"/>
      <scheme val="minor"/>
    </font>
    <font>
      <sz val="11"/>
      <color theme="9"/>
      <name val="Calibri"/>
      <family val="2"/>
      <scheme val="minor"/>
    </font>
    <font>
      <sz val="11"/>
      <name val="Calibri"/>
      <family val="2"/>
      <scheme val="minor"/>
    </font>
    <font>
      <sz val="11"/>
      <color theme="8"/>
      <name val="Calibri"/>
      <family val="2"/>
      <scheme val="minor"/>
    </font>
    <font>
      <sz val="11"/>
      <color theme="8" tint="-0.499984740745262"/>
      <name val="Calibri"/>
      <family val="2"/>
      <scheme val="minor"/>
    </font>
    <font>
      <sz val="11"/>
      <color rgb="FFC00000"/>
      <name val="Calibri"/>
      <family val="2"/>
      <scheme val="minor"/>
    </font>
    <font>
      <sz val="8"/>
      <name val="Calibri"/>
      <family val="2"/>
      <scheme val="minor"/>
    </font>
    <font>
      <b/>
      <sz val="8"/>
      <color rgb="FF000000"/>
      <name val="Calibri"/>
      <family val="2"/>
    </font>
    <font>
      <sz val="8"/>
      <color rgb="FF000000"/>
      <name val="Calibri"/>
      <family val="2"/>
    </font>
    <font>
      <sz val="11"/>
      <color rgb="FF000000"/>
      <name val="Calibri"/>
      <family val="2"/>
    </font>
    <font>
      <sz val="11"/>
      <color rgb="FFFF0000"/>
      <name val="Calibri"/>
      <family val="2"/>
      <scheme val="minor"/>
    </font>
    <font>
      <sz val="14"/>
      <color theme="1"/>
      <name val="Calibri"/>
      <family val="2"/>
      <scheme val="minor"/>
    </font>
    <font>
      <sz val="14"/>
      <color rgb="FFFF0000"/>
      <name val="Calibri"/>
      <family val="2"/>
      <scheme val="minor"/>
    </font>
    <font>
      <b/>
      <sz val="11"/>
      <color rgb="FFFF0000"/>
      <name val="Calibri"/>
      <family val="2"/>
      <scheme val="minor"/>
    </font>
    <font>
      <u/>
      <sz val="11"/>
      <color theme="10"/>
      <name val="Calibri"/>
      <family val="2"/>
      <scheme val="minor"/>
    </font>
    <font>
      <sz val="11"/>
      <color theme="1"/>
      <name val="Cambria"/>
      <family val="1"/>
    </font>
    <font>
      <b/>
      <sz val="9"/>
      <color rgb="FF000000"/>
      <name val="Cambria"/>
      <family val="1"/>
    </font>
    <font>
      <sz val="11"/>
      <color rgb="FF000000"/>
      <name val="Cambria"/>
      <family val="1"/>
    </font>
    <font>
      <b/>
      <sz val="10"/>
      <color rgb="FF000000"/>
      <name val="Cambria"/>
      <family val="1"/>
    </font>
    <font>
      <sz val="10"/>
      <color theme="1"/>
      <name val="Arial"/>
      <family val="2"/>
    </font>
    <font>
      <b/>
      <sz val="11"/>
      <color rgb="FF000000"/>
      <name val="Calibri"/>
      <family val="2"/>
    </font>
    <font>
      <sz val="14"/>
      <name val="Calibri"/>
      <family val="2"/>
      <scheme val="minor"/>
    </font>
    <font>
      <b/>
      <sz val="14"/>
      <name val="Calibri"/>
      <family val="2"/>
      <scheme val="minor"/>
    </font>
    <font>
      <b/>
      <sz val="11"/>
      <name val="Calibri"/>
      <family val="2"/>
      <scheme val="minor"/>
    </font>
    <font>
      <sz val="11"/>
      <color theme="0"/>
      <name val="Calibri"/>
      <family val="2"/>
      <scheme val="minor"/>
    </font>
    <font>
      <sz val="11"/>
      <color rgb="FF000000"/>
      <name val="Calibri"/>
      <family val="2"/>
      <scheme val="minor"/>
    </font>
  </fonts>
  <fills count="1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D9D9D9"/>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D9D9D9"/>
        <bgColor rgb="FF000000"/>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bottom/>
      <diagonal/>
    </border>
    <border>
      <left style="thin">
        <color indexed="64"/>
      </left>
      <right/>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cellStyleXfs>
  <cellXfs count="336">
    <xf numFmtId="0" fontId="0" fillId="0" borderId="0" xfId="0"/>
    <xf numFmtId="0" fontId="2" fillId="0" borderId="0" xfId="0" applyFont="1"/>
    <xf numFmtId="0" fontId="3" fillId="2" borderId="1" xfId="0" applyFont="1" applyFill="1" applyBorder="1" applyAlignment="1">
      <alignment vertical="center" wrapText="1"/>
    </xf>
    <xf numFmtId="44" fontId="0" fillId="0" borderId="0" xfId="2" applyFont="1"/>
    <xf numFmtId="44" fontId="0" fillId="0" borderId="0" xfId="0" applyNumberFormat="1"/>
    <xf numFmtId="0" fontId="0" fillId="0" borderId="3" xfId="0" applyBorder="1"/>
    <xf numFmtId="0" fontId="0" fillId="0" borderId="4" xfId="0" applyBorder="1"/>
    <xf numFmtId="0" fontId="0" fillId="3" borderId="4" xfId="0" applyFill="1" applyBorder="1"/>
    <xf numFmtId="0" fontId="0" fillId="3" borderId="5" xfId="0" applyFill="1" applyBorder="1"/>
    <xf numFmtId="164" fontId="1" fillId="4" borderId="1" xfId="1" applyNumberFormat="1" applyFont="1" applyFill="1" applyBorder="1"/>
    <xf numFmtId="0" fontId="0" fillId="0" borderId="1" xfId="0" applyBorder="1" applyAlignment="1">
      <alignment horizontal="center"/>
    </xf>
    <xf numFmtId="0" fontId="5" fillId="2" borderId="1" xfId="0" applyFont="1" applyFill="1" applyBorder="1" applyAlignment="1">
      <alignment horizontal="center"/>
    </xf>
    <xf numFmtId="9" fontId="2" fillId="2" borderId="1" xfId="0" applyNumberFormat="1" applyFont="1" applyFill="1" applyBorder="1"/>
    <xf numFmtId="164" fontId="0" fillId="0" borderId="1" xfId="1" applyNumberFormat="1" applyFont="1" applyBorder="1"/>
    <xf numFmtId="0" fontId="2" fillId="5" borderId="1" xfId="0" applyFont="1" applyFill="1" applyBorder="1"/>
    <xf numFmtId="0" fontId="2" fillId="2" borderId="1" xfId="0" applyFont="1" applyFill="1" applyBorder="1" applyAlignment="1">
      <alignment horizontal="center" vertical="center" wrapText="1"/>
    </xf>
    <xf numFmtId="165" fontId="0" fillId="3" borderId="1" xfId="1" applyNumberFormat="1" applyFont="1" applyFill="1" applyBorder="1"/>
    <xf numFmtId="166" fontId="0" fillId="3" borderId="1" xfId="1" applyNumberFormat="1" applyFont="1" applyFill="1" applyBorder="1"/>
    <xf numFmtId="166" fontId="0" fillId="5" borderId="1" xfId="0" applyNumberFormat="1" applyFill="1" applyBorder="1"/>
    <xf numFmtId="166" fontId="0" fillId="0" borderId="0" xfId="0" applyNumberFormat="1"/>
    <xf numFmtId="0" fontId="0" fillId="3" borderId="1" xfId="0" applyFill="1" applyBorder="1"/>
    <xf numFmtId="3" fontId="0" fillId="0" borderId="0" xfId="0" applyNumberFormat="1"/>
    <xf numFmtId="10" fontId="2" fillId="0" borderId="1" xfId="0" applyNumberFormat="1" applyFont="1" applyBorder="1"/>
    <xf numFmtId="166" fontId="0" fillId="0" borderId="1" xfId="1" applyNumberFormat="1" applyFont="1" applyBorder="1"/>
    <xf numFmtId="0" fontId="2" fillId="6" borderId="1" xfId="0" applyFont="1" applyFill="1" applyBorder="1"/>
    <xf numFmtId="0" fontId="2" fillId="2" borderId="1" xfId="0" applyFont="1" applyFill="1" applyBorder="1" applyAlignment="1">
      <alignment wrapText="1"/>
    </xf>
    <xf numFmtId="43" fontId="0" fillId="2" borderId="1" xfId="1" applyFont="1" applyFill="1" applyBorder="1"/>
    <xf numFmtId="164" fontId="0" fillId="2" borderId="6" xfId="1" applyNumberFormat="1" applyFont="1" applyFill="1" applyBorder="1"/>
    <xf numFmtId="164" fontId="0" fillId="0" borderId="1" xfId="0" applyNumberFormat="1" applyBorder="1"/>
    <xf numFmtId="164" fontId="0" fillId="0" borderId="6" xfId="1" applyNumberFormat="1" applyFont="1" applyBorder="1"/>
    <xf numFmtId="43" fontId="0" fillId="3" borderId="1" xfId="1" applyFont="1" applyFill="1" applyBorder="1"/>
    <xf numFmtId="43" fontId="0" fillId="0" borderId="0" xfId="0" applyNumberFormat="1"/>
    <xf numFmtId="0" fontId="0" fillId="2" borderId="7" xfId="0" applyFill="1" applyBorder="1" applyAlignment="1">
      <alignment horizontal="center"/>
    </xf>
    <xf numFmtId="0" fontId="0" fillId="7" borderId="0" xfId="0" applyFill="1"/>
    <xf numFmtId="164" fontId="0" fillId="0" borderId="0" xfId="1" applyNumberFormat="1" applyFont="1" applyBorder="1"/>
    <xf numFmtId="0" fontId="0" fillId="2" borderId="0" xfId="0" applyFill="1" applyAlignment="1">
      <alignment horizontal="center" wrapText="1"/>
    </xf>
    <xf numFmtId="164" fontId="0" fillId="0" borderId="0" xfId="0" quotePrefix="1" applyNumberFormat="1"/>
    <xf numFmtId="37" fontId="0" fillId="0" borderId="1" xfId="0" applyNumberFormat="1" applyBorder="1"/>
    <xf numFmtId="164" fontId="0" fillId="0" borderId="1" xfId="3" applyNumberFormat="1" applyFont="1" applyBorder="1"/>
    <xf numFmtId="37" fontId="0" fillId="0" borderId="0" xfId="0" applyNumberFormat="1"/>
    <xf numFmtId="9" fontId="0" fillId="0" borderId="0" xfId="3" applyFont="1" applyBorder="1"/>
    <xf numFmtId="167" fontId="0" fillId="0" borderId="1" xfId="3" applyNumberFormat="1" applyFont="1" applyBorder="1"/>
    <xf numFmtId="166" fontId="0" fillId="0" borderId="1" xfId="2" applyNumberFormat="1" applyFont="1" applyBorder="1"/>
    <xf numFmtId="0" fontId="0" fillId="0" borderId="1" xfId="0" applyBorder="1" applyAlignment="1">
      <alignment horizontal="center" wrapText="1"/>
    </xf>
    <xf numFmtId="0" fontId="7" fillId="2" borderId="8" xfId="0" applyFont="1" applyFill="1" applyBorder="1" applyAlignment="1">
      <alignment horizontal="center" vertical="center" wrapText="1"/>
    </xf>
    <xf numFmtId="166" fontId="0" fillId="3" borderId="1" xfId="0" applyNumberFormat="1" applyFill="1" applyBorder="1"/>
    <xf numFmtId="37" fontId="8" fillId="0" borderId="1" xfId="0" applyNumberFormat="1" applyFont="1" applyBorder="1" applyAlignment="1">
      <alignment horizontal="center"/>
    </xf>
    <xf numFmtId="2" fontId="8" fillId="0" borderId="1" xfId="1" applyNumberFormat="1" applyFont="1" applyFill="1" applyBorder="1" applyAlignment="1">
      <alignment horizontal="center"/>
    </xf>
    <xf numFmtId="37" fontId="9" fillId="0" borderId="1" xfId="0" applyNumberFormat="1" applyFont="1" applyBorder="1" applyAlignment="1">
      <alignment horizontal="center"/>
    </xf>
    <xf numFmtId="37" fontId="9" fillId="4" borderId="1" xfId="0" applyNumberFormat="1" applyFont="1" applyFill="1" applyBorder="1"/>
    <xf numFmtId="167" fontId="10" fillId="0" borderId="1" xfId="0" applyNumberFormat="1" applyFont="1" applyBorder="1" applyAlignment="1">
      <alignment horizontal="center"/>
    </xf>
    <xf numFmtId="0" fontId="0" fillId="0" borderId="1" xfId="0" applyBorder="1" applyAlignment="1">
      <alignment horizontal="center" vertical="center" wrapText="1"/>
    </xf>
    <xf numFmtId="0" fontId="0" fillId="0" borderId="0" xfId="0" applyAlignment="1">
      <alignment horizontal="center"/>
    </xf>
    <xf numFmtId="0" fontId="11" fillId="0" borderId="0" xfId="0" applyFont="1" applyAlignment="1">
      <alignment horizontal="left" vertical="center"/>
    </xf>
    <xf numFmtId="0" fontId="8" fillId="0" borderId="1" xfId="2" applyNumberFormat="1" applyFont="1" applyFill="1" applyBorder="1" applyAlignment="1">
      <alignment horizontal="center"/>
    </xf>
    <xf numFmtId="3" fontId="9" fillId="3" borderId="1" xfId="0" applyNumberFormat="1" applyFont="1" applyFill="1" applyBorder="1" applyAlignment="1">
      <alignment horizontal="right"/>
    </xf>
    <xf numFmtId="37" fontId="8" fillId="0" borderId="0" xfId="0" applyNumberFormat="1" applyFont="1" applyAlignment="1">
      <alignment horizontal="center"/>
    </xf>
    <xf numFmtId="37" fontId="8" fillId="0" borderId="10" xfId="0" applyNumberFormat="1" applyFont="1" applyBorder="1" applyAlignment="1">
      <alignment horizontal="center"/>
    </xf>
    <xf numFmtId="37" fontId="8" fillId="0" borderId="7" xfId="0" applyNumberFormat="1" applyFont="1" applyBorder="1" applyAlignment="1">
      <alignment horizontal="center"/>
    </xf>
    <xf numFmtId="37" fontId="9" fillId="3" borderId="1" xfId="0" applyNumberFormat="1" applyFont="1" applyFill="1" applyBorder="1" applyAlignment="1">
      <alignment horizontal="right"/>
    </xf>
    <xf numFmtId="37" fontId="8" fillId="7" borderId="7" xfId="0" applyNumberFormat="1" applyFont="1" applyFill="1" applyBorder="1" applyAlignment="1">
      <alignment horizontal="center"/>
    </xf>
    <xf numFmtId="168" fontId="8" fillId="0" borderId="1" xfId="2" applyNumberFormat="1" applyFont="1" applyFill="1" applyBorder="1" applyAlignment="1">
      <alignment horizontal="center"/>
    </xf>
    <xf numFmtId="37" fontId="8" fillId="0" borderId="8" xfId="0" applyNumberFormat="1" applyFont="1" applyBorder="1" applyAlignment="1">
      <alignment horizontal="center"/>
    </xf>
    <xf numFmtId="14" fontId="0" fillId="7" borderId="0" xfId="0" applyNumberFormat="1" applyFill="1" applyAlignment="1">
      <alignment horizontal="center"/>
    </xf>
    <xf numFmtId="10" fontId="0" fillId="0" borderId="1" xfId="0" applyNumberFormat="1" applyBorder="1" applyAlignment="1">
      <alignment horizontal="center" vertical="center" wrapText="1"/>
    </xf>
    <xf numFmtId="169" fontId="0" fillId="0" borderId="0" xfId="0" applyNumberFormat="1"/>
    <xf numFmtId="0" fontId="8" fillId="0" borderId="0" xfId="2" applyNumberFormat="1" applyFont="1" applyFill="1" applyBorder="1" applyAlignment="1">
      <alignment horizontal="center"/>
    </xf>
    <xf numFmtId="37" fontId="9" fillId="0" borderId="0" xfId="0" applyNumberFormat="1" applyFont="1" applyAlignment="1">
      <alignment horizontal="center"/>
    </xf>
    <xf numFmtId="167" fontId="10" fillId="0" borderId="0" xfId="0" applyNumberFormat="1" applyFont="1" applyAlignment="1">
      <alignment horizontal="center"/>
    </xf>
    <xf numFmtId="37" fontId="9" fillId="3" borderId="1" xfId="0" applyNumberFormat="1" applyFont="1" applyFill="1" applyBorder="1"/>
    <xf numFmtId="164" fontId="9" fillId="3" borderId="1" xfId="1" applyNumberFormat="1" applyFont="1" applyFill="1" applyBorder="1"/>
    <xf numFmtId="37" fontId="12" fillId="0" borderId="0" xfId="0" applyNumberFormat="1" applyFont="1"/>
    <xf numFmtId="170" fontId="0" fillId="0" borderId="0" xfId="0" applyNumberFormat="1"/>
    <xf numFmtId="166" fontId="0" fillId="9" borderId="1" xfId="1" applyNumberFormat="1" applyFont="1" applyFill="1" applyBorder="1"/>
    <xf numFmtId="44" fontId="0" fillId="0" borderId="1" xfId="0" applyNumberFormat="1" applyBorder="1"/>
    <xf numFmtId="166" fontId="0" fillId="8" borderId="1" xfId="0" applyNumberFormat="1" applyFill="1" applyBorder="1"/>
    <xf numFmtId="0" fontId="2" fillId="7" borderId="1" xfId="0" applyFont="1" applyFill="1" applyBorder="1" applyAlignment="1">
      <alignment horizontal="center" vertical="center"/>
    </xf>
    <xf numFmtId="0" fontId="2" fillId="0" borderId="1" xfId="0" applyFont="1" applyBorder="1" applyAlignment="1">
      <alignment horizontal="center"/>
    </xf>
    <xf numFmtId="164" fontId="0" fillId="4" borderId="1" xfId="1" applyNumberFormat="1" applyFont="1" applyFill="1" applyBorder="1"/>
    <xf numFmtId="164" fontId="0" fillId="5" borderId="1" xfId="1" applyNumberFormat="1" applyFont="1" applyFill="1" applyBorder="1"/>
    <xf numFmtId="165" fontId="0" fillId="4" borderId="1" xfId="2" applyNumberFormat="1" applyFont="1" applyFill="1" applyBorder="1"/>
    <xf numFmtId="0" fontId="14" fillId="10" borderId="16" xfId="0" applyFont="1" applyFill="1" applyBorder="1" applyAlignment="1">
      <alignment vertical="center"/>
    </xf>
    <xf numFmtId="0" fontId="14" fillId="10" borderId="2" xfId="0" applyFont="1" applyFill="1" applyBorder="1" applyAlignment="1">
      <alignment horizontal="center" vertical="center" wrapText="1"/>
    </xf>
    <xf numFmtId="0" fontId="14" fillId="10" borderId="17" xfId="0" applyFont="1" applyFill="1" applyBorder="1" applyAlignment="1">
      <alignment horizontal="center" vertical="center" wrapText="1"/>
    </xf>
    <xf numFmtId="0" fontId="14" fillId="10" borderId="18" xfId="0" applyFont="1" applyFill="1" applyBorder="1" applyAlignment="1">
      <alignment horizontal="center" vertical="center" wrapText="1"/>
    </xf>
    <xf numFmtId="0" fontId="14" fillId="10" borderId="1" xfId="0" applyFont="1" applyFill="1" applyBorder="1" applyAlignment="1">
      <alignment vertical="center" wrapText="1"/>
    </xf>
    <xf numFmtId="0" fontId="14" fillId="10" borderId="1" xfId="0" applyFont="1" applyFill="1" applyBorder="1" applyAlignment="1">
      <alignment horizontal="center" vertical="center" wrapText="1"/>
    </xf>
    <xf numFmtId="0" fontId="15" fillId="0" borderId="2" xfId="0" applyFont="1" applyBorder="1" applyAlignment="1">
      <alignment vertical="center"/>
    </xf>
    <xf numFmtId="6" fontId="16" fillId="11" borderId="17" xfId="0" applyNumberFormat="1" applyFont="1" applyFill="1" applyBorder="1" applyAlignment="1">
      <alignment horizontal="right" vertical="center"/>
    </xf>
    <xf numFmtId="6" fontId="16" fillId="0" borderId="17" xfId="0" applyNumberFormat="1" applyFont="1" applyBorder="1" applyAlignment="1">
      <alignment horizontal="right" vertical="center"/>
    </xf>
    <xf numFmtId="0" fontId="15" fillId="0" borderId="16" xfId="0" applyFont="1" applyBorder="1" applyAlignment="1">
      <alignment vertical="center"/>
    </xf>
    <xf numFmtId="6" fontId="0" fillId="0" borderId="0" xfId="0" applyNumberFormat="1"/>
    <xf numFmtId="0" fontId="2" fillId="0" borderId="0" xfId="0" applyFont="1" applyAlignment="1">
      <alignment wrapText="1"/>
    </xf>
    <xf numFmtId="8" fontId="16" fillId="11" borderId="17" xfId="0" applyNumberFormat="1" applyFont="1" applyFill="1" applyBorder="1" applyAlignment="1">
      <alignment horizontal="right" vertical="center"/>
    </xf>
    <xf numFmtId="6" fontId="16" fillId="11" borderId="17" xfId="0" quotePrefix="1" applyNumberFormat="1" applyFont="1" applyFill="1" applyBorder="1" applyAlignment="1">
      <alignment horizontal="right" vertical="center"/>
    </xf>
    <xf numFmtId="0" fontId="0" fillId="0" borderId="0" xfId="2" applyNumberFormat="1" applyFont="1"/>
    <xf numFmtId="8" fontId="0" fillId="0" borderId="0" xfId="2" applyNumberFormat="1" applyFont="1"/>
    <xf numFmtId="43" fontId="0" fillId="0" borderId="0" xfId="1" applyFont="1"/>
    <xf numFmtId="0" fontId="2" fillId="8" borderId="1" xfId="0" applyFont="1" applyFill="1" applyBorder="1"/>
    <xf numFmtId="9" fontId="2" fillId="5" borderId="1" xfId="0" applyNumberFormat="1" applyFont="1" applyFill="1" applyBorder="1"/>
    <xf numFmtId="3" fontId="0" fillId="2" borderId="1" xfId="0" applyNumberFormat="1" applyFill="1" applyBorder="1"/>
    <xf numFmtId="3" fontId="0" fillId="5" borderId="1" xfId="0" applyNumberFormat="1" applyFill="1" applyBorder="1"/>
    <xf numFmtId="165" fontId="0" fillId="5" borderId="1" xfId="2" applyNumberFormat="1" applyFont="1" applyFill="1" applyBorder="1"/>
    <xf numFmtId="165" fontId="0" fillId="2" borderId="1" xfId="2" applyNumberFormat="1" applyFont="1" applyFill="1" applyBorder="1"/>
    <xf numFmtId="171" fontId="0" fillId="2" borderId="1" xfId="1" applyNumberFormat="1" applyFont="1" applyFill="1" applyBorder="1"/>
    <xf numFmtId="9" fontId="0" fillId="0" borderId="0" xfId="3" applyFont="1"/>
    <xf numFmtId="0" fontId="18" fillId="0" borderId="0" xfId="0" applyFont="1"/>
    <xf numFmtId="0" fontId="18" fillId="0" borderId="1" xfId="0" applyFont="1" applyBorder="1"/>
    <xf numFmtId="0" fontId="3" fillId="8" borderId="1" xfId="0" applyFont="1" applyFill="1" applyBorder="1"/>
    <xf numFmtId="164" fontId="18" fillId="3" borderId="1" xfId="1" applyNumberFormat="1" applyFont="1" applyFill="1" applyBorder="1" applyAlignment="1">
      <alignment horizontal="right"/>
    </xf>
    <xf numFmtId="3" fontId="18" fillId="2" borderId="1" xfId="0" applyNumberFormat="1" applyFont="1" applyFill="1" applyBorder="1"/>
    <xf numFmtId="0" fontId="3" fillId="5" borderId="1" xfId="0" applyFont="1" applyFill="1" applyBorder="1"/>
    <xf numFmtId="3" fontId="18" fillId="5" borderId="1" xfId="0" applyNumberFormat="1" applyFont="1" applyFill="1" applyBorder="1"/>
    <xf numFmtId="9" fontId="3" fillId="3" borderId="1" xfId="3" applyFont="1" applyFill="1" applyBorder="1"/>
    <xf numFmtId="164" fontId="18" fillId="5" borderId="1" xfId="1" applyNumberFormat="1" applyFont="1" applyFill="1" applyBorder="1"/>
    <xf numFmtId="165" fontId="18" fillId="5" borderId="1" xfId="2" applyNumberFormat="1" applyFont="1" applyFill="1" applyBorder="1"/>
    <xf numFmtId="0" fontId="18" fillId="2" borderId="1" xfId="0" applyFont="1" applyFill="1" applyBorder="1"/>
    <xf numFmtId="9" fontId="18" fillId="2" borderId="1" xfId="3" applyFont="1" applyFill="1" applyBorder="1" applyAlignment="1">
      <alignment horizontal="right" vertical="center"/>
    </xf>
    <xf numFmtId="164" fontId="18" fillId="2" borderId="1" xfId="1" applyNumberFormat="1" applyFont="1" applyFill="1" applyBorder="1"/>
    <xf numFmtId="166" fontId="18" fillId="2" borderId="1" xfId="0" applyNumberFormat="1" applyFont="1" applyFill="1" applyBorder="1"/>
    <xf numFmtId="9" fontId="18" fillId="3" borderId="1" xfId="3" applyFont="1" applyFill="1" applyBorder="1" applyAlignment="1">
      <alignment horizontal="right" vertical="center"/>
    </xf>
    <xf numFmtId="171" fontId="18" fillId="3" borderId="1" xfId="1" applyNumberFormat="1" applyFont="1" applyFill="1" applyBorder="1"/>
    <xf numFmtId="165" fontId="18" fillId="3" borderId="1" xfId="2" applyNumberFormat="1" applyFont="1" applyFill="1" applyBorder="1"/>
    <xf numFmtId="165" fontId="18" fillId="2" borderId="1" xfId="2" applyNumberFormat="1" applyFont="1" applyFill="1" applyBorder="1"/>
    <xf numFmtId="171" fontId="18" fillId="2" borderId="1" xfId="1" applyNumberFormat="1" applyFont="1" applyFill="1" applyBorder="1"/>
    <xf numFmtId="9" fontId="3" fillId="2" borderId="1" xfId="3" applyFont="1" applyFill="1" applyBorder="1"/>
    <xf numFmtId="0" fontId="3" fillId="2" borderId="1" xfId="0" applyFont="1" applyFill="1" applyBorder="1"/>
    <xf numFmtId="9" fontId="3" fillId="5" borderId="1" xfId="0" applyNumberFormat="1" applyFont="1" applyFill="1" applyBorder="1"/>
    <xf numFmtId="8" fontId="18" fillId="0" borderId="0" xfId="0" applyNumberFormat="1" applyFont="1"/>
    <xf numFmtId="0" fontId="19" fillId="0" borderId="0" xfId="0" applyFont="1"/>
    <xf numFmtId="3" fontId="19" fillId="2" borderId="1" xfId="0" applyNumberFormat="1" applyFont="1" applyFill="1" applyBorder="1"/>
    <xf numFmtId="165" fontId="19" fillId="5" borderId="1" xfId="2" applyNumberFormat="1" applyFont="1" applyFill="1" applyBorder="1"/>
    <xf numFmtId="165" fontId="19" fillId="2" borderId="1" xfId="2" applyNumberFormat="1" applyFont="1" applyFill="1" applyBorder="1"/>
    <xf numFmtId="8" fontId="19" fillId="0" borderId="0" xfId="0" applyNumberFormat="1" applyFont="1"/>
    <xf numFmtId="0" fontId="17" fillId="0" borderId="0" xfId="0" applyFont="1"/>
    <xf numFmtId="166" fontId="0" fillId="5" borderId="1" xfId="2" applyNumberFormat="1" applyFont="1" applyFill="1" applyBorder="1"/>
    <xf numFmtId="166" fontId="0" fillId="5" borderId="1" xfId="1" applyNumberFormat="1" applyFont="1" applyFill="1" applyBorder="1"/>
    <xf numFmtId="165" fontId="0" fillId="4" borderId="6" xfId="2" applyNumberFormat="1" applyFont="1" applyFill="1" applyBorder="1"/>
    <xf numFmtId="165" fontId="0" fillId="5" borderId="6" xfId="2" applyNumberFormat="1" applyFont="1" applyFill="1" applyBorder="1"/>
    <xf numFmtId="166" fontId="0" fillId="0" borderId="6" xfId="2" applyNumberFormat="1" applyFont="1" applyBorder="1"/>
    <xf numFmtId="166" fontId="0" fillId="2" borderId="1" xfId="2" applyNumberFormat="1" applyFont="1" applyFill="1" applyBorder="1"/>
    <xf numFmtId="166" fontId="0" fillId="4" borderId="6" xfId="2" applyNumberFormat="1" applyFont="1" applyFill="1" applyBorder="1"/>
    <xf numFmtId="166" fontId="0" fillId="2" borderId="6" xfId="2" applyNumberFormat="1" applyFont="1" applyFill="1" applyBorder="1"/>
    <xf numFmtId="166" fontId="0" fillId="2" borderId="6" xfId="0" applyNumberFormat="1" applyFill="1" applyBorder="1"/>
    <xf numFmtId="166" fontId="0" fillId="5" borderId="6" xfId="2" applyNumberFormat="1" applyFont="1" applyFill="1" applyBorder="1"/>
    <xf numFmtId="3" fontId="0" fillId="8" borderId="1" xfId="0" applyNumberFormat="1" applyFill="1" applyBorder="1"/>
    <xf numFmtId="166" fontId="0" fillId="12" borderId="1" xfId="0" applyNumberFormat="1" applyFill="1" applyBorder="1"/>
    <xf numFmtId="3" fontId="0" fillId="12" borderId="1" xfId="0" applyNumberFormat="1" applyFill="1" applyBorder="1"/>
    <xf numFmtId="43" fontId="2" fillId="0" borderId="1" xfId="0" applyNumberFormat="1" applyFont="1" applyBorder="1"/>
    <xf numFmtId="43" fontId="0" fillId="0" borderId="1" xfId="1" applyFont="1" applyBorder="1"/>
    <xf numFmtId="3" fontId="0" fillId="13" borderId="1" xfId="0" applyNumberFormat="1" applyFill="1" applyBorder="1"/>
    <xf numFmtId="171" fontId="0" fillId="4" borderId="1" xfId="1" applyNumberFormat="1" applyFont="1" applyFill="1" applyBorder="1"/>
    <xf numFmtId="43" fontId="0" fillId="13" borderId="1" xfId="1" applyFont="1" applyFill="1" applyBorder="1"/>
    <xf numFmtId="164" fontId="0" fillId="2" borderId="1" xfId="0" applyNumberFormat="1" applyFill="1" applyBorder="1"/>
    <xf numFmtId="164" fontId="0" fillId="13" borderId="1" xfId="0" applyNumberFormat="1" applyFill="1" applyBorder="1"/>
    <xf numFmtId="164" fontId="0" fillId="13" borderId="1" xfId="1" applyNumberFormat="1" applyFont="1" applyFill="1" applyBorder="1"/>
    <xf numFmtId="164" fontId="0" fillId="5" borderId="1" xfId="0" applyNumberFormat="1" applyFill="1" applyBorder="1"/>
    <xf numFmtId="171" fontId="0" fillId="5" borderId="1" xfId="1" applyNumberFormat="1" applyFont="1" applyFill="1" applyBorder="1"/>
    <xf numFmtId="171" fontId="0" fillId="0" borderId="1" xfId="1" applyNumberFormat="1" applyFont="1" applyBorder="1"/>
    <xf numFmtId="43" fontId="0" fillId="2" borderId="1" xfId="0" applyNumberFormat="1" applyFill="1" applyBorder="1"/>
    <xf numFmtId="164" fontId="0" fillId="12" borderId="1" xfId="1" applyNumberFormat="1" applyFont="1" applyFill="1" applyBorder="1"/>
    <xf numFmtId="0" fontId="2" fillId="12" borderId="1" xfId="0" applyFont="1" applyFill="1" applyBorder="1"/>
    <xf numFmtId="3" fontId="2" fillId="12" borderId="1" xfId="0" applyNumberFormat="1" applyFont="1" applyFill="1" applyBorder="1"/>
    <xf numFmtId="166" fontId="2" fillId="5" borderId="1" xfId="0" applyNumberFormat="1" applyFont="1" applyFill="1" applyBorder="1"/>
    <xf numFmtId="166" fontId="2" fillId="2" borderId="1" xfId="0" applyNumberFormat="1" applyFont="1" applyFill="1" applyBorder="1"/>
    <xf numFmtId="166" fontId="2" fillId="3" borderId="1" xfId="0" applyNumberFormat="1" applyFont="1" applyFill="1" applyBorder="1" applyAlignment="1">
      <alignment horizontal="center"/>
    </xf>
    <xf numFmtId="166" fontId="0" fillId="4" borderId="1" xfId="2" applyNumberFormat="1" applyFont="1" applyFill="1" applyBorder="1"/>
    <xf numFmtId="17" fontId="0" fillId="2" borderId="1" xfId="0" applyNumberFormat="1" applyFill="1" applyBorder="1"/>
    <xf numFmtId="164" fontId="0" fillId="4" borderId="1" xfId="0" applyNumberFormat="1" applyFill="1" applyBorder="1"/>
    <xf numFmtId="0" fontId="3" fillId="2" borderId="0" xfId="0" applyFont="1" applyFill="1" applyAlignment="1">
      <alignment vertical="center" wrapText="1"/>
    </xf>
    <xf numFmtId="0" fontId="0" fillId="3" borderId="0" xfId="0" applyFill="1"/>
    <xf numFmtId="43" fontId="0" fillId="3" borderId="0" xfId="1" applyFont="1" applyFill="1" applyBorder="1"/>
    <xf numFmtId="164" fontId="0" fillId="0" borderId="0" xfId="0" applyNumberFormat="1"/>
    <xf numFmtId="0" fontId="2" fillId="2" borderId="1" xfId="0" applyFont="1" applyFill="1" applyBorder="1" applyAlignment="1">
      <alignment horizontal="center" vertical="center"/>
    </xf>
    <xf numFmtId="164" fontId="0" fillId="2" borderId="1" xfId="1" applyNumberFormat="1" applyFont="1" applyFill="1" applyBorder="1"/>
    <xf numFmtId="166" fontId="0" fillId="2" borderId="1" xfId="1" applyNumberFormat="1" applyFont="1" applyFill="1" applyBorder="1"/>
    <xf numFmtId="166" fontId="0" fillId="2" borderId="1" xfId="0" applyNumberFormat="1" applyFill="1" applyBorder="1"/>
    <xf numFmtId="0" fontId="2" fillId="0" borderId="1" xfId="0" applyFont="1" applyBorder="1"/>
    <xf numFmtId="164" fontId="0" fillId="3" borderId="1" xfId="1" applyNumberFormat="1" applyFont="1" applyFill="1" applyBorder="1"/>
    <xf numFmtId="0" fontId="0" fillId="2" borderId="1" xfId="0" applyFill="1" applyBorder="1"/>
    <xf numFmtId="0" fontId="0" fillId="2" borderId="1" xfId="0" applyFill="1" applyBorder="1" applyAlignment="1">
      <alignment horizontal="center"/>
    </xf>
    <xf numFmtId="166" fontId="0" fillId="0" borderId="1" xfId="0" applyNumberFormat="1" applyBorder="1"/>
    <xf numFmtId="172" fontId="0" fillId="0" borderId="1" xfId="2" applyNumberFormat="1" applyFont="1" applyBorder="1"/>
    <xf numFmtId="0" fontId="9" fillId="0" borderId="0" xfId="0" applyFont="1"/>
    <xf numFmtId="0" fontId="2" fillId="2" borderId="1" xfId="0" applyFont="1" applyFill="1" applyBorder="1"/>
    <xf numFmtId="164" fontId="0" fillId="0" borderId="0" xfId="1" applyNumberFormat="1" applyFont="1"/>
    <xf numFmtId="164" fontId="0" fillId="2" borderId="0" xfId="1" applyNumberFormat="1" applyFont="1" applyFill="1" applyBorder="1"/>
    <xf numFmtId="164" fontId="0" fillId="3" borderId="0" xfId="1" applyNumberFormat="1" applyFont="1" applyFill="1" applyBorder="1"/>
    <xf numFmtId="172" fontId="0" fillId="0" borderId="0" xfId="2" applyNumberFormat="1" applyFont="1"/>
    <xf numFmtId="0" fontId="2" fillId="0" borderId="7" xfId="0" applyFont="1" applyBorder="1"/>
    <xf numFmtId="0" fontId="0" fillId="14" borderId="0" xfId="0" applyFill="1"/>
    <xf numFmtId="9" fontId="0" fillId="2" borderId="1" xfId="3" applyFont="1" applyFill="1" applyBorder="1"/>
    <xf numFmtId="0" fontId="2" fillId="14" borderId="1" xfId="0" applyFont="1" applyFill="1" applyBorder="1"/>
    <xf numFmtId="172" fontId="0" fillId="2" borderId="1" xfId="2" applyNumberFormat="1" applyFont="1" applyFill="1" applyBorder="1"/>
    <xf numFmtId="166" fontId="0" fillId="14" borderId="1" xfId="1" applyNumberFormat="1" applyFont="1" applyFill="1" applyBorder="1"/>
    <xf numFmtId="166" fontId="0" fillId="14" borderId="1" xfId="0" applyNumberFormat="1" applyFill="1" applyBorder="1"/>
    <xf numFmtId="172" fontId="0" fillId="14" borderId="1" xfId="2" applyNumberFormat="1" applyFont="1" applyFill="1" applyBorder="1"/>
    <xf numFmtId="0" fontId="2" fillId="14" borderId="1" xfId="0" applyFont="1" applyFill="1" applyBorder="1" applyAlignment="1">
      <alignment horizontal="center" vertical="center" wrapText="1"/>
    </xf>
    <xf numFmtId="164" fontId="2" fillId="0" borderId="0" xfId="0" applyNumberFormat="1" applyFont="1"/>
    <xf numFmtId="164" fontId="17" fillId="0" borderId="0" xfId="1" applyNumberFormat="1" applyFont="1"/>
    <xf numFmtId="172" fontId="2" fillId="0" borderId="0" xfId="2" applyNumberFormat="1" applyFont="1"/>
    <xf numFmtId="0" fontId="14" fillId="10" borderId="19"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15" fillId="0" borderId="17" xfId="0" applyFont="1" applyBorder="1" applyAlignment="1">
      <alignment vertical="center"/>
    </xf>
    <xf numFmtId="0" fontId="15" fillId="0" borderId="15" xfId="0" applyFont="1" applyBorder="1" applyAlignment="1">
      <alignment vertical="center"/>
    </xf>
    <xf numFmtId="172" fontId="0" fillId="3" borderId="1" xfId="2" applyNumberFormat="1" applyFont="1" applyFill="1" applyBorder="1"/>
    <xf numFmtId="172" fontId="0" fillId="5" borderId="1" xfId="2" applyNumberFormat="1" applyFont="1" applyFill="1" applyBorder="1"/>
    <xf numFmtId="172" fontId="0" fillId="8" borderId="1" xfId="2" applyNumberFormat="1" applyFont="1" applyFill="1" applyBorder="1"/>
    <xf numFmtId="0" fontId="20" fillId="2" borderId="1" xfId="0" applyFont="1" applyFill="1" applyBorder="1" applyAlignment="1">
      <alignment horizontal="center" vertical="center" wrapText="1"/>
    </xf>
    <xf numFmtId="172" fontId="18" fillId="0" borderId="0" xfId="2" applyNumberFormat="1" applyFont="1"/>
    <xf numFmtId="172" fontId="3" fillId="2" borderId="1" xfId="2" applyNumberFormat="1" applyFont="1" applyFill="1" applyBorder="1" applyAlignment="1">
      <alignment vertical="center" wrapText="1"/>
    </xf>
    <xf numFmtId="172" fontId="18" fillId="2" borderId="1" xfId="2" applyNumberFormat="1" applyFont="1" applyFill="1" applyBorder="1"/>
    <xf numFmtId="172" fontId="18" fillId="5" borderId="1" xfId="2" applyNumberFormat="1" applyFont="1" applyFill="1" applyBorder="1"/>
    <xf numFmtId="172" fontId="18" fillId="3" borderId="1" xfId="2" applyNumberFormat="1" applyFont="1" applyFill="1" applyBorder="1"/>
    <xf numFmtId="172" fontId="3" fillId="2" borderId="1" xfId="2" applyNumberFormat="1" applyFont="1" applyFill="1" applyBorder="1"/>
    <xf numFmtId="172" fontId="3" fillId="5" borderId="1" xfId="2" applyNumberFormat="1" applyFont="1" applyFill="1" applyBorder="1"/>
    <xf numFmtId="172" fontId="17" fillId="0" borderId="0" xfId="2" applyNumberFormat="1" applyFont="1"/>
    <xf numFmtId="167" fontId="0" fillId="0" borderId="0" xfId="0" applyNumberFormat="1"/>
    <xf numFmtId="0" fontId="4" fillId="2" borderId="1" xfId="0" applyFont="1" applyFill="1" applyBorder="1" applyAlignment="1">
      <alignment horizontal="center"/>
    </xf>
    <xf numFmtId="0" fontId="0" fillId="0" borderId="1" xfId="0" applyBorder="1"/>
    <xf numFmtId="6" fontId="0" fillId="0" borderId="1" xfId="0" applyNumberFormat="1" applyBorder="1"/>
    <xf numFmtId="3" fontId="0" fillId="0" borderId="1" xfId="0" applyNumberFormat="1" applyBorder="1"/>
    <xf numFmtId="0" fontId="23" fillId="10" borderId="16" xfId="0" applyFont="1" applyFill="1" applyBorder="1" applyAlignment="1">
      <alignment horizontal="center" vertical="center" wrapText="1"/>
    </xf>
    <xf numFmtId="0" fontId="23" fillId="10" borderId="15" xfId="0" applyFont="1" applyFill="1" applyBorder="1" applyAlignment="1">
      <alignment horizontal="center" vertical="center" wrapText="1"/>
    </xf>
    <xf numFmtId="0" fontId="21" fillId="10" borderId="15" xfId="4" applyFill="1" applyBorder="1" applyAlignment="1">
      <alignment horizontal="center" vertical="center" wrapText="1"/>
    </xf>
    <xf numFmtId="0" fontId="24" fillId="10" borderId="2" xfId="0" applyFont="1" applyFill="1" applyBorder="1" applyAlignment="1">
      <alignment horizontal="right" vertical="center" wrapText="1"/>
    </xf>
    <xf numFmtId="3" fontId="22" fillId="0" borderId="17" xfId="0" applyNumberFormat="1" applyFont="1" applyBorder="1" applyAlignment="1">
      <alignment horizontal="right" vertical="center" wrapText="1"/>
    </xf>
    <xf numFmtId="8" fontId="22" fillId="0" borderId="17" xfId="0" applyNumberFormat="1" applyFont="1" applyBorder="1" applyAlignment="1">
      <alignment horizontal="right" vertical="center" wrapText="1"/>
    </xf>
    <xf numFmtId="6" fontId="22" fillId="0" borderId="17" xfId="0" applyNumberFormat="1" applyFont="1" applyBorder="1" applyAlignment="1">
      <alignment horizontal="right" vertical="center" wrapText="1"/>
    </xf>
    <xf numFmtId="10" fontId="22" fillId="0" borderId="17" xfId="0" applyNumberFormat="1" applyFont="1" applyBorder="1" applyAlignment="1">
      <alignment horizontal="right" vertical="center" wrapText="1"/>
    </xf>
    <xf numFmtId="0" fontId="21" fillId="10" borderId="2" xfId="4" applyFill="1" applyBorder="1" applyAlignment="1">
      <alignment horizontal="right" vertical="center" wrapText="1"/>
    </xf>
    <xf numFmtId="0" fontId="14" fillId="10" borderId="0" xfId="0" applyFont="1" applyFill="1" applyAlignment="1">
      <alignment horizontal="center" vertical="center" wrapText="1"/>
    </xf>
    <xf numFmtId="0" fontId="25" fillId="10" borderId="16" xfId="0" applyFont="1" applyFill="1" applyBorder="1" applyAlignment="1">
      <alignment horizontal="center" vertical="center" wrapText="1"/>
    </xf>
    <xf numFmtId="0" fontId="25" fillId="10" borderId="20" xfId="0" applyFont="1" applyFill="1" applyBorder="1" applyAlignment="1">
      <alignment horizontal="center" vertical="center" wrapText="1"/>
    </xf>
    <xf numFmtId="0" fontId="25" fillId="10" borderId="1" xfId="0" applyFont="1" applyFill="1" applyBorder="1" applyAlignment="1">
      <alignment horizontal="center" vertical="center" wrapText="1"/>
    </xf>
    <xf numFmtId="166" fontId="0" fillId="9" borderId="0" xfId="1" applyNumberFormat="1" applyFont="1" applyFill="1" applyBorder="1"/>
    <xf numFmtId="166" fontId="0" fillId="3" borderId="0" xfId="0" applyNumberFormat="1" applyFill="1"/>
    <xf numFmtId="172" fontId="26" fillId="0" borderId="8" xfId="2" applyNumberFormat="1" applyFont="1" applyFill="1" applyBorder="1"/>
    <xf numFmtId="165" fontId="0" fillId="0" borderId="0" xfId="0" applyNumberFormat="1"/>
    <xf numFmtId="0" fontId="9" fillId="0" borderId="1" xfId="2" applyNumberFormat="1" applyFont="1" applyFill="1" applyBorder="1" applyAlignment="1">
      <alignment horizontal="center"/>
    </xf>
    <xf numFmtId="8" fontId="0" fillId="0" borderId="0" xfId="0" applyNumberFormat="1"/>
    <xf numFmtId="164" fontId="0" fillId="0" borderId="1" xfId="1" applyNumberFormat="1" applyFont="1" applyFill="1" applyBorder="1"/>
    <xf numFmtId="164" fontId="1" fillId="0" borderId="1" xfId="1" applyNumberFormat="1" applyFont="1" applyFill="1" applyBorder="1"/>
    <xf numFmtId="0" fontId="14" fillId="10" borderId="6" xfId="0" applyFont="1" applyFill="1" applyBorder="1" applyAlignment="1">
      <alignment vertical="center" wrapText="1"/>
    </xf>
    <xf numFmtId="0" fontId="0" fillId="14" borderId="1" xfId="0" applyFill="1" applyBorder="1"/>
    <xf numFmtId="165" fontId="0" fillId="14" borderId="1" xfId="0" applyNumberFormat="1" applyFill="1" applyBorder="1"/>
    <xf numFmtId="0" fontId="0" fillId="0" borderId="21" xfId="0" applyBorder="1"/>
    <xf numFmtId="0" fontId="6" fillId="8" borderId="7" xfId="0" applyFont="1" applyFill="1" applyBorder="1" applyAlignment="1">
      <alignment horizontal="center" vertical="center" wrapText="1"/>
    </xf>
    <xf numFmtId="166" fontId="0" fillId="0" borderId="21" xfId="0" applyNumberFormat="1" applyBorder="1"/>
    <xf numFmtId="166" fontId="2" fillId="0" borderId="1" xfId="0" applyNumberFormat="1" applyFont="1" applyBorder="1"/>
    <xf numFmtId="172" fontId="2" fillId="0" borderId="1" xfId="2" applyNumberFormat="1" applyFont="1" applyBorder="1"/>
    <xf numFmtId="0" fontId="2" fillId="0" borderId="0" xfId="0" applyFont="1" applyAlignment="1">
      <alignment horizontal="center" vertical="center" wrapText="1"/>
    </xf>
    <xf numFmtId="0" fontId="27" fillId="15" borderId="1" xfId="0" applyFont="1" applyFill="1" applyBorder="1" applyAlignment="1"/>
    <xf numFmtId="0" fontId="27" fillId="15" borderId="6" xfId="0" applyFont="1" applyFill="1" applyBorder="1" applyAlignment="1"/>
    <xf numFmtId="0" fontId="16" fillId="0" borderId="0" xfId="0" applyFont="1" applyFill="1" applyBorder="1" applyAlignment="1"/>
    <xf numFmtId="0" fontId="27" fillId="15" borderId="0" xfId="0" applyFont="1" applyFill="1" applyBorder="1" applyAlignment="1"/>
    <xf numFmtId="0" fontId="27" fillId="15" borderId="10" xfId="0" applyFont="1" applyFill="1" applyBorder="1" applyAlignment="1"/>
    <xf numFmtId="0" fontId="27" fillId="15" borderId="22" xfId="0" applyFont="1" applyFill="1" applyBorder="1" applyAlignment="1"/>
    <xf numFmtId="0" fontId="16" fillId="0" borderId="10" xfId="0" applyFont="1" applyFill="1" applyBorder="1" applyAlignment="1"/>
    <xf numFmtId="0" fontId="16" fillId="0" borderId="22" xfId="0" applyFont="1" applyFill="1" applyBorder="1" applyAlignment="1"/>
    <xf numFmtId="0" fontId="16" fillId="0" borderId="6" xfId="0" applyFont="1" applyFill="1" applyBorder="1" applyAlignment="1"/>
    <xf numFmtId="0" fontId="27" fillId="0" borderId="0" xfId="0" applyFont="1" applyFill="1" applyBorder="1" applyAlignment="1"/>
    <xf numFmtId="0" fontId="27" fillId="15" borderId="23" xfId="0" applyFont="1" applyFill="1" applyBorder="1" applyAlignment="1"/>
    <xf numFmtId="0" fontId="16" fillId="0" borderId="23" xfId="0" applyFont="1" applyFill="1" applyBorder="1" applyAlignment="1"/>
    <xf numFmtId="0" fontId="27" fillId="15" borderId="24" xfId="0" applyFont="1" applyFill="1" applyBorder="1" applyAlignment="1"/>
    <xf numFmtId="0" fontId="16" fillId="0" borderId="24" xfId="0" applyFont="1" applyFill="1" applyBorder="1" applyAlignment="1"/>
    <xf numFmtId="0" fontId="27" fillId="15" borderId="25" xfId="0" applyFont="1" applyFill="1" applyBorder="1" applyAlignment="1"/>
    <xf numFmtId="0" fontId="16" fillId="0" borderId="26" xfId="0" applyFont="1" applyFill="1" applyBorder="1" applyAlignment="1"/>
    <xf numFmtId="164" fontId="28" fillId="0" borderId="0" xfId="1" applyNumberFormat="1" applyFont="1"/>
    <xf numFmtId="164" fontId="29" fillId="2" borderId="1" xfId="1" applyNumberFormat="1" applyFont="1" applyFill="1" applyBorder="1" applyAlignment="1">
      <alignment vertical="center" wrapText="1"/>
    </xf>
    <xf numFmtId="164" fontId="28" fillId="2" borderId="1" xfId="1" applyNumberFormat="1" applyFont="1" applyFill="1" applyBorder="1"/>
    <xf numFmtId="164" fontId="28" fillId="5" borderId="1" xfId="1" applyNumberFormat="1" applyFont="1" applyFill="1" applyBorder="1"/>
    <xf numFmtId="164" fontId="29" fillId="3" borderId="1" xfId="1" applyNumberFormat="1" applyFont="1" applyFill="1" applyBorder="1"/>
    <xf numFmtId="164" fontId="28" fillId="3" borderId="1" xfId="1" applyNumberFormat="1" applyFont="1" applyFill="1" applyBorder="1"/>
    <xf numFmtId="164" fontId="29" fillId="2" borderId="1" xfId="1" applyNumberFormat="1" applyFont="1" applyFill="1" applyBorder="1"/>
    <xf numFmtId="164" fontId="29" fillId="5" borderId="1" xfId="1" applyNumberFormat="1" applyFont="1" applyFill="1" applyBorder="1"/>
    <xf numFmtId="164" fontId="9" fillId="0" borderId="0" xfId="1" applyNumberFormat="1" applyFont="1"/>
    <xf numFmtId="165" fontId="28" fillId="5" borderId="1" xfId="2" applyNumberFormat="1" applyFont="1" applyFill="1" applyBorder="1"/>
    <xf numFmtId="166" fontId="28" fillId="2" borderId="1" xfId="0" applyNumberFormat="1" applyFont="1" applyFill="1" applyBorder="1"/>
    <xf numFmtId="165" fontId="28" fillId="3" borderId="1" xfId="2" applyNumberFormat="1" applyFont="1" applyFill="1" applyBorder="1"/>
    <xf numFmtId="165" fontId="28" fillId="2" borderId="1" xfId="2" applyNumberFormat="1" applyFont="1" applyFill="1" applyBorder="1"/>
    <xf numFmtId="0" fontId="28" fillId="0" borderId="0" xfId="0" applyFont="1"/>
    <xf numFmtId="0" fontId="29" fillId="2" borderId="1" xfId="0" applyFont="1" applyFill="1" applyBorder="1" applyAlignment="1">
      <alignment vertical="center" wrapText="1"/>
    </xf>
    <xf numFmtId="3" fontId="9" fillId="0" borderId="1" xfId="1" applyNumberFormat="1" applyFont="1" applyFill="1" applyBorder="1" applyAlignment="1">
      <alignment horizontal="center"/>
    </xf>
    <xf numFmtId="172" fontId="9" fillId="0" borderId="1" xfId="2" applyNumberFormat="1" applyFont="1" applyFill="1" applyBorder="1" applyAlignment="1">
      <alignment horizontal="center"/>
    </xf>
    <xf numFmtId="0" fontId="9" fillId="0" borderId="1" xfId="1" applyNumberFormat="1" applyFont="1" applyFill="1" applyBorder="1" applyAlignment="1">
      <alignment horizontal="center"/>
    </xf>
    <xf numFmtId="37" fontId="8" fillId="7" borderId="1" xfId="0" applyNumberFormat="1" applyFont="1" applyFill="1" applyBorder="1" applyAlignment="1">
      <alignment horizontal="center"/>
    </xf>
    <xf numFmtId="164" fontId="0" fillId="0" borderId="1" xfId="0" applyNumberFormat="1" applyFont="1" applyBorder="1"/>
    <xf numFmtId="164" fontId="16" fillId="0" borderId="22" xfId="1" applyNumberFormat="1" applyFont="1" applyBorder="1"/>
    <xf numFmtId="0" fontId="16" fillId="0" borderId="10" xfId="0" applyFont="1" applyBorder="1"/>
    <xf numFmtId="164" fontId="16" fillId="0" borderId="1" xfId="1" applyNumberFormat="1" applyFont="1" applyBorder="1"/>
    <xf numFmtId="44" fontId="16" fillId="0" borderId="22" xfId="2" applyFont="1" applyBorder="1"/>
    <xf numFmtId="44" fontId="0" fillId="0" borderId="1" xfId="2" applyFont="1" applyBorder="1"/>
    <xf numFmtId="9" fontId="30" fillId="2" borderId="1" xfId="0" applyNumberFormat="1" applyFont="1" applyFill="1" applyBorder="1"/>
    <xf numFmtId="164" fontId="9" fillId="0" borderId="0" xfId="0" applyNumberFormat="1" applyFont="1"/>
    <xf numFmtId="164" fontId="31" fillId="0" borderId="0" xfId="1" applyNumberFormat="1" applyFont="1"/>
    <xf numFmtId="37" fontId="8" fillId="0" borderId="1" xfId="0" applyNumberFormat="1" applyFont="1" applyFill="1" applyBorder="1" applyAlignment="1">
      <alignment horizontal="center"/>
    </xf>
    <xf numFmtId="3" fontId="32" fillId="0" borderId="1" xfId="0" applyNumberFormat="1" applyFont="1" applyBorder="1"/>
    <xf numFmtId="0" fontId="32" fillId="0" borderId="1" xfId="0" applyFont="1" applyBorder="1"/>
    <xf numFmtId="8" fontId="32" fillId="0" borderId="1" xfId="0" applyNumberFormat="1" applyFont="1" applyBorder="1"/>
    <xf numFmtId="172" fontId="17" fillId="14" borderId="1" xfId="2" applyNumberFormat="1" applyFont="1" applyFill="1" applyBorder="1"/>
    <xf numFmtId="164" fontId="0" fillId="0" borderId="9" xfId="1" applyNumberFormat="1" applyFont="1" applyFill="1" applyBorder="1"/>
    <xf numFmtId="164" fontId="1" fillId="0" borderId="9" xfId="1" applyNumberFormat="1" applyFont="1" applyFill="1" applyBorder="1"/>
    <xf numFmtId="0" fontId="0" fillId="0" borderId="0" xfId="0" applyBorder="1"/>
    <xf numFmtId="164" fontId="0" fillId="0" borderId="0" xfId="1" applyNumberFormat="1" applyFont="1" applyFill="1" applyBorder="1"/>
    <xf numFmtId="165" fontId="17" fillId="0" borderId="0" xfId="0" applyNumberFormat="1" applyFont="1"/>
    <xf numFmtId="166" fontId="9" fillId="14" borderId="1" xfId="0" applyNumberFormat="1" applyFont="1" applyFill="1" applyBorder="1"/>
    <xf numFmtId="0" fontId="9" fillId="14" borderId="1" xfId="0" applyFont="1" applyFill="1" applyBorder="1"/>
    <xf numFmtId="165" fontId="9" fillId="14" borderId="1" xfId="0" applyNumberFormat="1" applyFont="1" applyFill="1" applyBorder="1"/>
    <xf numFmtId="0" fontId="30" fillId="14" borderId="1" xfId="0" applyFont="1" applyFill="1" applyBorder="1" applyAlignment="1">
      <alignment horizontal="center" vertical="center" wrapText="1"/>
    </xf>
    <xf numFmtId="9" fontId="0" fillId="0" borderId="1" xfId="3" applyFont="1" applyBorder="1"/>
    <xf numFmtId="0" fontId="25" fillId="10" borderId="11" xfId="0" applyFont="1" applyFill="1" applyBorder="1" applyAlignment="1">
      <alignment horizontal="center" vertical="center" wrapText="1"/>
    </xf>
    <xf numFmtId="0" fontId="0" fillId="2" borderId="9" xfId="0" applyFill="1" applyBorder="1" applyAlignment="1">
      <alignment horizontal="center"/>
    </xf>
    <xf numFmtId="0" fontId="2" fillId="2" borderId="1" xfId="0" applyFont="1" applyFill="1" applyBorder="1" applyAlignment="1">
      <alignment horizontal="center"/>
    </xf>
    <xf numFmtId="0" fontId="14" fillId="10" borderId="15" xfId="0" applyFont="1" applyFill="1" applyBorder="1" applyAlignment="1">
      <alignment horizontal="center" vertical="center"/>
    </xf>
    <xf numFmtId="0" fontId="14" fillId="10" borderId="12" xfId="0" applyFont="1" applyFill="1" applyBorder="1" applyAlignment="1">
      <alignment horizontal="center" vertical="center"/>
    </xf>
    <xf numFmtId="0" fontId="2" fillId="0" borderId="0" xfId="0" applyFont="1" applyAlignment="1">
      <alignment horizontal="center"/>
    </xf>
    <xf numFmtId="0" fontId="2" fillId="2" borderId="1" xfId="0" applyFont="1" applyFill="1" applyBorder="1" applyAlignment="1">
      <alignment horizontal="center"/>
    </xf>
    <xf numFmtId="0" fontId="0" fillId="0" borderId="9" xfId="0" applyBorder="1" applyAlignment="1">
      <alignment horizontal="center"/>
    </xf>
    <xf numFmtId="0" fontId="0" fillId="0" borderId="6" xfId="0" applyBorder="1" applyAlignment="1">
      <alignment horizontal="center"/>
    </xf>
    <xf numFmtId="0" fontId="0" fillId="0" borderId="27" xfId="0" applyBorder="1" applyAlignment="1">
      <alignment horizontal="center"/>
    </xf>
    <xf numFmtId="0" fontId="0" fillId="0" borderId="26" xfId="0" applyBorder="1" applyAlignment="1">
      <alignment horizontal="center"/>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9" xfId="0" applyFont="1" applyFill="1" applyBorder="1" applyAlignment="1">
      <alignment horizontal="center"/>
    </xf>
    <xf numFmtId="0" fontId="2" fillId="2" borderId="6" xfId="0" applyFont="1" applyFill="1" applyBorder="1" applyAlignment="1">
      <alignment horizontal="center"/>
    </xf>
    <xf numFmtId="0" fontId="14" fillId="10" borderId="11" xfId="0" applyFont="1" applyFill="1" applyBorder="1" applyAlignment="1">
      <alignment horizontal="center" vertical="center" wrapText="1"/>
    </xf>
    <xf numFmtId="0" fontId="14" fillId="10" borderId="12" xfId="0" applyFont="1" applyFill="1" applyBorder="1" applyAlignment="1">
      <alignment horizontal="center" vertical="center" wrapText="1"/>
    </xf>
    <xf numFmtId="0" fontId="14" fillId="10" borderId="13" xfId="0" applyFont="1" applyFill="1" applyBorder="1" applyAlignment="1">
      <alignment horizontal="center" vertical="center" wrapText="1"/>
    </xf>
    <xf numFmtId="0" fontId="14" fillId="10" borderId="14" xfId="0" applyFont="1" applyFill="1" applyBorder="1" applyAlignment="1">
      <alignment horizontal="center" vertical="center" wrapText="1"/>
    </xf>
    <xf numFmtId="0" fontId="14" fillId="10" borderId="11" xfId="0" applyFont="1" applyFill="1" applyBorder="1" applyAlignment="1">
      <alignment horizontal="center" vertical="center"/>
    </xf>
    <xf numFmtId="0" fontId="14" fillId="10" borderId="15" xfId="0" applyFont="1" applyFill="1" applyBorder="1" applyAlignment="1">
      <alignment horizontal="center" vertical="center"/>
    </xf>
    <xf numFmtId="0" fontId="14" fillId="10" borderId="15" xfId="0" applyFont="1" applyFill="1" applyBorder="1" applyAlignment="1">
      <alignment horizontal="center" vertical="center" wrapText="1"/>
    </xf>
    <xf numFmtId="0" fontId="14" fillId="10" borderId="12" xfId="0" applyFont="1" applyFill="1" applyBorder="1" applyAlignment="1">
      <alignment horizontal="center" vertical="center"/>
    </xf>
    <xf numFmtId="9" fontId="0" fillId="0" borderId="0" xfId="3" applyFont="1" applyFill="1"/>
    <xf numFmtId="8" fontId="17" fillId="0" borderId="0" xfId="2" applyNumberFormat="1" applyFont="1" applyFill="1"/>
  </cellXfs>
  <cellStyles count="5">
    <cellStyle name="Comma" xfId="1" builtinId="3"/>
    <cellStyle name="Currency" xfId="2" builtinId="4"/>
    <cellStyle name="Hyperlink" xfId="4" builtinId="8"/>
    <cellStyle name="Normal" xfId="0" builtinId="0"/>
    <cellStyle name="Percent" xfId="3" builtinId="5"/>
  </cellStyles>
  <dxfs count="0"/>
  <tableStyles count="1" defaultTableStyle="TableStyleMedium2" defaultPivotStyle="PivotStyleLight16">
    <tableStyle name="Invisible" pivot="0" table="0" count="0" xr9:uid="{1FAEDFDD-50B1-4394-A1E1-8BCE99C0CF6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107866402198004E-2"/>
          <c:y val="2.8552906560708559E-2"/>
          <c:w val="0.87712696157425818"/>
          <c:h val="0.7555489796663355"/>
        </c:manualLayout>
      </c:layout>
      <c:barChart>
        <c:barDir val="col"/>
        <c:grouping val="stacked"/>
        <c:varyColors val="0"/>
        <c:ser>
          <c:idx val="0"/>
          <c:order val="0"/>
          <c:tx>
            <c:strRef>
              <c:f>'Ch. 3 Tables and Graphs'!$D$113</c:f>
              <c:strCache>
                <c:ptCount val="1"/>
                <c:pt idx="0">
                  <c:v>LTPPA RECs</c:v>
                </c:pt>
              </c:strCache>
            </c:strRef>
          </c:tx>
          <c:spPr>
            <a:solidFill>
              <a:schemeClr val="accent1"/>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Graphs'!$D$114:$D$136</c:f>
              <c:numCache>
                <c:formatCode>_(* #,##0_);_(* \(#,##0\);_(* "-"??_);_(@_)</c:formatCode>
                <c:ptCount val="23"/>
                <c:pt idx="0">
                  <c:v>1861725</c:v>
                </c:pt>
                <c:pt idx="1">
                  <c:v>1861725</c:v>
                </c:pt>
                <c:pt idx="2">
                  <c:v>1861725</c:v>
                </c:pt>
                <c:pt idx="3">
                  <c:v>1861725</c:v>
                </c:pt>
                <c:pt idx="4">
                  <c:v>1861725</c:v>
                </c:pt>
                <c:pt idx="5">
                  <c:v>1861725</c:v>
                </c:pt>
                <c:pt idx="6">
                  <c:v>1861725</c:v>
                </c:pt>
                <c:pt idx="7">
                  <c:v>1861725</c:v>
                </c:pt>
                <c:pt idx="8">
                  <c:v>1861725</c:v>
                </c:pt>
                <c:pt idx="9">
                  <c:v>1861725</c:v>
                </c:pt>
                <c:pt idx="10">
                  <c:v>1861725</c:v>
                </c:pt>
                <c:pt idx="11">
                  <c:v>1861725</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AE13-492D-AD72-5140A3FF2BF2}"/>
            </c:ext>
          </c:extLst>
        </c:ser>
        <c:ser>
          <c:idx val="2"/>
          <c:order val="1"/>
          <c:tx>
            <c:strRef>
              <c:f>'Ch. 3 Tables and Graphs'!$F$113</c:f>
              <c:strCache>
                <c:ptCount val="1"/>
                <c:pt idx="0">
                  <c:v>ABP</c:v>
                </c:pt>
              </c:strCache>
            </c:strRef>
          </c:tx>
          <c:spPr>
            <a:solidFill>
              <a:schemeClr val="accent6">
                <a:lumMod val="75000"/>
              </a:schemeClr>
            </a:solidFill>
            <a:ln>
              <a:noFill/>
            </a:ln>
            <a:effectLst/>
          </c:spPr>
          <c:invertIfNegative val="0"/>
          <c:val>
            <c:numRef>
              <c:f>'Ch. 3 Tables and Graphs'!$F$114:$F$135</c:f>
              <c:numCache>
                <c:formatCode>_(* #,##0_);_(* \(#,##0\);_(* "-"??_);_(@_)</c:formatCode>
                <c:ptCount val="22"/>
                <c:pt idx="0">
                  <c:v>661044</c:v>
                </c:pt>
                <c:pt idx="1">
                  <c:v>1044581</c:v>
                </c:pt>
                <c:pt idx="2">
                  <c:v>1243726</c:v>
                </c:pt>
                <c:pt idx="3">
                  <c:v>1865435</c:v>
                </c:pt>
                <c:pt idx="4">
                  <c:v>2546896</c:v>
                </c:pt>
                <c:pt idx="5">
                  <c:v>4519998</c:v>
                </c:pt>
                <c:pt idx="6">
                  <c:v>4843772</c:v>
                </c:pt>
                <c:pt idx="7">
                  <c:v>4819350</c:v>
                </c:pt>
                <c:pt idx="8">
                  <c:v>4795176</c:v>
                </c:pt>
                <c:pt idx="9">
                  <c:v>4771149</c:v>
                </c:pt>
                <c:pt idx="10">
                  <c:v>4747210</c:v>
                </c:pt>
                <c:pt idx="11">
                  <c:v>4723483</c:v>
                </c:pt>
                <c:pt idx="12">
                  <c:v>4699480</c:v>
                </c:pt>
                <c:pt idx="13">
                  <c:v>4675681</c:v>
                </c:pt>
                <c:pt idx="14">
                  <c:v>4108446</c:v>
                </c:pt>
                <c:pt idx="15">
                  <c:v>4015884</c:v>
                </c:pt>
                <c:pt idx="16">
                  <c:v>3637116</c:v>
                </c:pt>
                <c:pt idx="17">
                  <c:v>3429694</c:v>
                </c:pt>
                <c:pt idx="18">
                  <c:v>3034061</c:v>
                </c:pt>
                <c:pt idx="19">
                  <c:v>2703841</c:v>
                </c:pt>
                <c:pt idx="20">
                  <c:v>2335697</c:v>
                </c:pt>
                <c:pt idx="21">
                  <c:v>2295451</c:v>
                </c:pt>
              </c:numCache>
            </c:numRef>
          </c:val>
          <c:extLst>
            <c:ext xmlns:c16="http://schemas.microsoft.com/office/drawing/2014/chart" uri="{C3380CC4-5D6E-409C-BE32-E72D297353CC}">
              <c16:uniqueId val="{00000000-65DE-425A-9569-EDE95F155FD6}"/>
            </c:ext>
          </c:extLst>
        </c:ser>
        <c:ser>
          <c:idx val="1"/>
          <c:order val="2"/>
          <c:tx>
            <c:strRef>
              <c:f>'Ch. 3 Tables and Graphs'!$E$113</c:f>
              <c:strCache>
                <c:ptCount val="1"/>
                <c:pt idx="0">
                  <c:v>FEJA Wind and Solar Procurements</c:v>
                </c:pt>
              </c:strCache>
            </c:strRef>
          </c:tx>
          <c:spPr>
            <a:solidFill>
              <a:schemeClr val="accent2"/>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Graphs'!$E$114:$E$136</c:f>
              <c:numCache>
                <c:formatCode>_(* #,##0_);_(* \(#,##0\);_(* "-"??_);_(@_)</c:formatCode>
                <c:ptCount val="23"/>
                <c:pt idx="0">
                  <c:v>754313.29229999997</c:v>
                </c:pt>
                <c:pt idx="1">
                  <c:v>2992839.5745999999</c:v>
                </c:pt>
                <c:pt idx="2">
                  <c:v>4061148.5745999999</c:v>
                </c:pt>
                <c:pt idx="3">
                  <c:v>4061148.5745999999</c:v>
                </c:pt>
                <c:pt idx="4">
                  <c:v>4061148.5745999999</c:v>
                </c:pt>
                <c:pt idx="5">
                  <c:v>4061148.5745999999</c:v>
                </c:pt>
                <c:pt idx="6">
                  <c:v>4061148.5745999999</c:v>
                </c:pt>
                <c:pt idx="7">
                  <c:v>4061148.5745999999</c:v>
                </c:pt>
                <c:pt idx="8">
                  <c:v>4061148.5745999999</c:v>
                </c:pt>
                <c:pt idx="9">
                  <c:v>4061148.5745999999</c:v>
                </c:pt>
                <c:pt idx="10">
                  <c:v>4061148.5745999999</c:v>
                </c:pt>
                <c:pt idx="11">
                  <c:v>4061148.5745999999</c:v>
                </c:pt>
                <c:pt idx="12">
                  <c:v>4061148.5745999999</c:v>
                </c:pt>
                <c:pt idx="13">
                  <c:v>3631148.5745999999</c:v>
                </c:pt>
                <c:pt idx="14">
                  <c:v>3631148.5745999999</c:v>
                </c:pt>
                <c:pt idx="15">
                  <c:v>3324562.2823000001</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AE13-492D-AD72-5140A3FF2BF2}"/>
            </c:ext>
          </c:extLst>
        </c:ser>
        <c:ser>
          <c:idx val="3"/>
          <c:order val="3"/>
          <c:tx>
            <c:strRef>
              <c:f>'Ch. 3 Tables and Graphs'!$G$113</c:f>
              <c:strCache>
                <c:ptCount val="1"/>
                <c:pt idx="0">
                  <c:v>Coal to Solar</c:v>
                </c:pt>
              </c:strCache>
            </c:strRef>
          </c:tx>
          <c:spPr>
            <a:solidFill>
              <a:schemeClr val="tx2">
                <a:lumMod val="60000"/>
                <a:lumOff val="40000"/>
              </a:schemeClr>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Graphs'!$G$114:$G$136</c:f>
              <c:numCache>
                <c:formatCode>_(* #,##0_);_(* \(#,##0\);_(* "-"??_);_(@_)</c:formatCode>
                <c:ptCount val="23"/>
                <c:pt idx="0">
                  <c:v>0</c:v>
                </c:pt>
                <c:pt idx="1">
                  <c:v>0</c:v>
                </c:pt>
                <c:pt idx="2">
                  <c:v>0</c:v>
                </c:pt>
                <c:pt idx="3">
                  <c:v>0</c:v>
                </c:pt>
                <c:pt idx="4">
                  <c:v>0</c:v>
                </c:pt>
                <c:pt idx="5">
                  <c:v>379110</c:v>
                </c:pt>
                <c:pt idx="6">
                  <c:v>379110</c:v>
                </c:pt>
                <c:pt idx="7">
                  <c:v>379110</c:v>
                </c:pt>
                <c:pt idx="8">
                  <c:v>379110</c:v>
                </c:pt>
                <c:pt idx="9">
                  <c:v>379110</c:v>
                </c:pt>
                <c:pt idx="10">
                  <c:v>379110</c:v>
                </c:pt>
                <c:pt idx="11">
                  <c:v>379110</c:v>
                </c:pt>
                <c:pt idx="12">
                  <c:v>379110</c:v>
                </c:pt>
                <c:pt idx="13">
                  <c:v>379110</c:v>
                </c:pt>
                <c:pt idx="14">
                  <c:v>379110</c:v>
                </c:pt>
                <c:pt idx="15">
                  <c:v>379110</c:v>
                </c:pt>
                <c:pt idx="16">
                  <c:v>379110</c:v>
                </c:pt>
                <c:pt idx="17">
                  <c:v>379110</c:v>
                </c:pt>
                <c:pt idx="18">
                  <c:v>379110</c:v>
                </c:pt>
                <c:pt idx="19">
                  <c:v>379110</c:v>
                </c:pt>
                <c:pt idx="20">
                  <c:v>379110</c:v>
                </c:pt>
                <c:pt idx="21">
                  <c:v>379110</c:v>
                </c:pt>
                <c:pt idx="22">
                  <c:v>379110</c:v>
                </c:pt>
              </c:numCache>
            </c:numRef>
          </c:val>
          <c:extLst>
            <c:ext xmlns:c16="http://schemas.microsoft.com/office/drawing/2014/chart" uri="{C3380CC4-5D6E-409C-BE32-E72D297353CC}">
              <c16:uniqueId val="{00000003-AE13-492D-AD72-5140A3FF2BF2}"/>
            </c:ext>
          </c:extLst>
        </c:ser>
        <c:ser>
          <c:idx val="4"/>
          <c:order val="4"/>
          <c:tx>
            <c:strRef>
              <c:f>'Ch. 3 Tables and Graphs'!$H$113</c:f>
              <c:strCache>
                <c:ptCount val="1"/>
                <c:pt idx="0">
                  <c:v>CEJA Indexed REC Procurements</c:v>
                </c:pt>
              </c:strCache>
            </c:strRef>
          </c:tx>
          <c:spPr>
            <a:solidFill>
              <a:schemeClr val="accent4"/>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Graphs'!$H$114:$H$136</c:f>
              <c:numCache>
                <c:formatCode>_(* #,##0_);_(* \(#,##0\);_(* "-"??_);_(@_)</c:formatCode>
                <c:ptCount val="23"/>
                <c:pt idx="0">
                  <c:v>0</c:v>
                </c:pt>
                <c:pt idx="1">
                  <c:v>0</c:v>
                </c:pt>
                <c:pt idx="2">
                  <c:v>0</c:v>
                </c:pt>
                <c:pt idx="3">
                  <c:v>0</c:v>
                </c:pt>
                <c:pt idx="4">
                  <c:v>0</c:v>
                </c:pt>
                <c:pt idx="5">
                  <c:v>1891521</c:v>
                </c:pt>
                <c:pt idx="6">
                  <c:v>4133071.395</c:v>
                </c:pt>
                <c:pt idx="7">
                  <c:v>6231605.0380250001</c:v>
                </c:pt>
                <c:pt idx="8">
                  <c:v>6291381.9128348753</c:v>
                </c:pt>
                <c:pt idx="9">
                  <c:v>6350859.9032707</c:v>
                </c:pt>
                <c:pt idx="10">
                  <c:v>6325040.5037543466</c:v>
                </c:pt>
                <c:pt idx="11">
                  <c:v>6299350.2012355756</c:v>
                </c:pt>
                <c:pt idx="12">
                  <c:v>6273788.3502293974</c:v>
                </c:pt>
                <c:pt idx="13">
                  <c:v>6248354.3084782492</c:v>
                </c:pt>
                <c:pt idx="14">
                  <c:v>6223047.4369358579</c:v>
                </c:pt>
                <c:pt idx="15">
                  <c:v>6197867.0997511791</c:v>
                </c:pt>
                <c:pt idx="16">
                  <c:v>6172812.6642524237</c:v>
                </c:pt>
                <c:pt idx="17">
                  <c:v>6147883.5009311615</c:v>
                </c:pt>
                <c:pt idx="18">
                  <c:v>6123078.9834265057</c:v>
                </c:pt>
                <c:pt idx="19">
                  <c:v>6098398.4885093728</c:v>
                </c:pt>
                <c:pt idx="20">
                  <c:v>6073841.3960668258</c:v>
                </c:pt>
                <c:pt idx="21">
                  <c:v>6049407.0890864916</c:v>
                </c:pt>
                <c:pt idx="22">
                  <c:v>6025094.9536410589</c:v>
                </c:pt>
              </c:numCache>
            </c:numRef>
          </c:val>
          <c:extLst>
            <c:ext xmlns:c16="http://schemas.microsoft.com/office/drawing/2014/chart" uri="{C3380CC4-5D6E-409C-BE32-E72D297353CC}">
              <c16:uniqueId val="{00000004-AE13-492D-AD72-5140A3FF2BF2}"/>
            </c:ext>
          </c:extLst>
        </c:ser>
        <c:ser>
          <c:idx val="5"/>
          <c:order val="5"/>
          <c:tx>
            <c:strRef>
              <c:f>'Ch. 3 Tables and Graphs'!$J$113</c:f>
              <c:strCache>
                <c:ptCount val="1"/>
                <c:pt idx="0">
                  <c:v>REC Shortfall from Target</c:v>
                </c:pt>
              </c:strCache>
            </c:strRef>
          </c:tx>
          <c:spPr>
            <a:solidFill>
              <a:schemeClr val="bg2">
                <a:lumMod val="75000"/>
              </a:schemeClr>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Graphs'!$J$114:$J$136</c:f>
              <c:numCache>
                <c:formatCode>_(* #,##0_);_(* \(#,##0\);_(* "-"??_);_(@_)</c:formatCode>
                <c:ptCount val="23"/>
                <c:pt idx="0">
                  <c:v>17872099.866490033</c:v>
                </c:pt>
                <c:pt idx="1">
                  <c:v>16886307.110223208</c:v>
                </c:pt>
                <c:pt idx="2">
                  <c:v>17495377.567767411</c:v>
                </c:pt>
                <c:pt idx="3">
                  <c:v>18234296.813541267</c:v>
                </c:pt>
                <c:pt idx="4">
                  <c:v>19130636.013787385</c:v>
                </c:pt>
                <c:pt idx="5">
                  <c:v>16562775.54658116</c:v>
                </c:pt>
                <c:pt idx="6">
                  <c:v>16992539.667928446</c:v>
                </c:pt>
                <c:pt idx="7">
                  <c:v>18315527.489612099</c:v>
                </c:pt>
                <c:pt idx="8">
                  <c:v>21831155.092154194</c:v>
                </c:pt>
                <c:pt idx="9">
                  <c:v>25290584.028685872</c:v>
                </c:pt>
                <c:pt idx="10">
                  <c:v>29077141.880546492</c:v>
                </c:pt>
                <c:pt idx="11">
                  <c:v>30438229.593165949</c:v>
                </c:pt>
                <c:pt idx="12">
                  <c:v>33743622.410794377</c:v>
                </c:pt>
                <c:pt idx="13">
                  <c:v>35488160.170329012</c:v>
                </c:pt>
                <c:pt idx="14">
                  <c:v>37477646.981264383</c:v>
                </c:pt>
                <c:pt idx="15">
                  <c:v>39265734.452433452</c:v>
                </c:pt>
                <c:pt idx="16">
                  <c:v>44430777.510766208</c:v>
                </c:pt>
                <c:pt idx="17">
                  <c:v>46012120.839033574</c:v>
                </c:pt>
                <c:pt idx="18">
                  <c:v>47959019.967949629</c:v>
                </c:pt>
                <c:pt idx="19">
                  <c:v>49830277.778865933</c:v>
                </c:pt>
                <c:pt idx="20">
                  <c:v>51821942.770797521</c:v>
                </c:pt>
                <c:pt idx="21">
                  <c:v>52070640.258435026</c:v>
                </c:pt>
                <c:pt idx="22">
                  <c:v>54577845.82610587</c:v>
                </c:pt>
              </c:numCache>
            </c:numRef>
          </c:val>
          <c:extLst>
            <c:ext xmlns:c16="http://schemas.microsoft.com/office/drawing/2014/chart" uri="{C3380CC4-5D6E-409C-BE32-E72D297353CC}">
              <c16:uniqueId val="{00000005-AE13-492D-AD72-5140A3FF2BF2}"/>
            </c:ext>
          </c:extLst>
        </c:ser>
        <c:dLbls>
          <c:showLegendKey val="0"/>
          <c:showVal val="0"/>
          <c:showCatName val="0"/>
          <c:showSerName val="0"/>
          <c:showPercent val="0"/>
          <c:showBubbleSize val="0"/>
        </c:dLbls>
        <c:gapWidth val="150"/>
        <c:overlap val="100"/>
        <c:axId val="764494072"/>
        <c:axId val="764491120"/>
      </c:barChart>
      <c:catAx>
        <c:axId val="76449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491120"/>
        <c:crosses val="autoZero"/>
        <c:auto val="1"/>
        <c:lblAlgn val="ctr"/>
        <c:lblOffset val="100"/>
        <c:noMultiLvlLbl val="0"/>
      </c:catAx>
      <c:valAx>
        <c:axId val="764491120"/>
        <c:scaling>
          <c:orientation val="minMax"/>
          <c:max val="65000000"/>
          <c:min val="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494072"/>
        <c:crosses val="autoZero"/>
        <c:crossBetween val="between"/>
      </c:valAx>
      <c:spPr>
        <a:noFill/>
        <a:ln cmpd="sng">
          <a:noFill/>
        </a:ln>
        <a:effectLst/>
      </c:spPr>
    </c:plotArea>
    <c:legend>
      <c:legendPos val="b"/>
      <c:layout>
        <c:manualLayout>
          <c:xMode val="edge"/>
          <c:yMode val="edge"/>
          <c:x val="7.7639847963933556E-2"/>
          <c:y val="0.85265601234883748"/>
          <c:w val="0.8999999701152267"/>
          <c:h val="3.779423748714189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 3 Tables and Graphs'!$D$4</c:f>
              <c:strCache>
                <c:ptCount val="1"/>
                <c:pt idx="0">
                  <c:v>Total Wind</c:v>
                </c:pt>
              </c:strCache>
            </c:strRef>
          </c:tx>
          <c:spPr>
            <a:solidFill>
              <a:schemeClr val="accent1"/>
            </a:solidFill>
            <a:ln>
              <a:noFill/>
            </a:ln>
            <a:effectLst/>
          </c:spPr>
          <c:invertIfNegative val="0"/>
          <c:cat>
            <c:strRef>
              <c:f>'Ch. 3 Tables and Graphs'!$C$5:$C$27</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Graphs'!$D$5:$D$27</c:f>
              <c:numCache>
                <c:formatCode>_(* #,##0_);_(* \(#,##0\);_(* "-"??_);_(@_)</c:formatCode>
                <c:ptCount val="23"/>
                <c:pt idx="0">
                  <c:v>2560409</c:v>
                </c:pt>
                <c:pt idx="1">
                  <c:v>3895928</c:v>
                </c:pt>
                <c:pt idx="2">
                  <c:v>3895928</c:v>
                </c:pt>
                <c:pt idx="3">
                  <c:v>3895928</c:v>
                </c:pt>
                <c:pt idx="4">
                  <c:v>3895928</c:v>
                </c:pt>
                <c:pt idx="5">
                  <c:v>3895928</c:v>
                </c:pt>
                <c:pt idx="6">
                  <c:v>3895928</c:v>
                </c:pt>
                <c:pt idx="7">
                  <c:v>5082908</c:v>
                </c:pt>
                <c:pt idx="8">
                  <c:v>5082908</c:v>
                </c:pt>
                <c:pt idx="9">
                  <c:v>5082908</c:v>
                </c:pt>
                <c:pt idx="10">
                  <c:v>5082908</c:v>
                </c:pt>
                <c:pt idx="11">
                  <c:v>5082908</c:v>
                </c:pt>
                <c:pt idx="12">
                  <c:v>3252499</c:v>
                </c:pt>
                <c:pt idx="13">
                  <c:v>2822499</c:v>
                </c:pt>
                <c:pt idx="14">
                  <c:v>2822499</c:v>
                </c:pt>
                <c:pt idx="15">
                  <c:v>2522499</c:v>
                </c:pt>
                <c:pt idx="16">
                  <c:v>1186980</c:v>
                </c:pt>
                <c:pt idx="17">
                  <c:v>1186980</c:v>
                </c:pt>
                <c:pt idx="18">
                  <c:v>1186980</c:v>
                </c:pt>
                <c:pt idx="19">
                  <c:v>1186980</c:v>
                </c:pt>
                <c:pt idx="20">
                  <c:v>1186980</c:v>
                </c:pt>
                <c:pt idx="21">
                  <c:v>1186980</c:v>
                </c:pt>
                <c:pt idx="22">
                  <c:v>1186980</c:v>
                </c:pt>
              </c:numCache>
            </c:numRef>
          </c:val>
          <c:extLst>
            <c:ext xmlns:c16="http://schemas.microsoft.com/office/drawing/2014/chart" uri="{C3380CC4-5D6E-409C-BE32-E72D297353CC}">
              <c16:uniqueId val="{00000000-734F-440C-9C11-E60A65DA2FCA}"/>
            </c:ext>
          </c:extLst>
        </c:ser>
        <c:ser>
          <c:idx val="1"/>
          <c:order val="1"/>
          <c:tx>
            <c:strRef>
              <c:f>'Ch. 3 Tables and Graphs'!$E$4</c:f>
              <c:strCache>
                <c:ptCount val="1"/>
                <c:pt idx="0">
                  <c:v>Total Solar</c:v>
                </c:pt>
              </c:strCache>
            </c:strRef>
          </c:tx>
          <c:spPr>
            <a:solidFill>
              <a:schemeClr val="accent4">
                <a:lumMod val="60000"/>
                <a:lumOff val="40000"/>
              </a:schemeClr>
            </a:solidFill>
            <a:ln>
              <a:noFill/>
            </a:ln>
            <a:effectLst/>
          </c:spPr>
          <c:invertIfNegative val="0"/>
          <c:cat>
            <c:strRef>
              <c:f>'Ch. 3 Tables and Graphs'!$C$5:$C$27</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Graphs'!$E$5:$E$27</c:f>
              <c:numCache>
                <c:formatCode>_(* #,##0_);_(* \(#,##0\);_(* "-"??_);_(@_)</c:formatCode>
                <c:ptCount val="23"/>
                <c:pt idx="0">
                  <c:v>778217.89229999995</c:v>
                </c:pt>
                <c:pt idx="1">
                  <c:v>2090131.1079333334</c:v>
                </c:pt>
                <c:pt idx="2">
                  <c:v>3341140.2002666667</c:v>
                </c:pt>
                <c:pt idx="3">
                  <c:v>3956911.9221383333</c:v>
                </c:pt>
                <c:pt idx="4">
                  <c:v>4638050.2654006416</c:v>
                </c:pt>
                <c:pt idx="5">
                  <c:v>8502352.2219466381</c:v>
                </c:pt>
                <c:pt idx="6">
                  <c:v>11067357.178709906</c:v>
                </c:pt>
                <c:pt idx="7">
                  <c:v>11954170.980689354</c:v>
                </c:pt>
                <c:pt idx="8">
                  <c:v>11989457.603658909</c:v>
                </c:pt>
                <c:pt idx="9">
                  <c:v>12024593.923513616</c:v>
                </c:pt>
                <c:pt idx="10">
                  <c:v>11974522.426769046</c:v>
                </c:pt>
                <c:pt idx="11">
                  <c:v>11924793.592508199</c:v>
                </c:pt>
                <c:pt idx="12">
                  <c:v>11843602.76741866</c:v>
                </c:pt>
                <c:pt idx="13">
                  <c:v>11794061.301454565</c:v>
                </c:pt>
                <c:pt idx="14">
                  <c:v>11201212.547820294</c:v>
                </c:pt>
                <c:pt idx="15">
                  <c:v>11076578.570654191</c:v>
                </c:pt>
                <c:pt idx="16">
                  <c:v>8683409.0319124218</c:v>
                </c:pt>
                <c:pt idx="17">
                  <c:v>8450755.5667528585</c:v>
                </c:pt>
                <c:pt idx="18">
                  <c:v>8030017.2589190947</c:v>
                </c:pt>
                <c:pt idx="19">
                  <c:v>7674817.4776244992</c:v>
                </c:pt>
                <c:pt idx="20">
                  <c:v>7281818.5952363759</c:v>
                </c:pt>
                <c:pt idx="21">
                  <c:v>7216841.9872601945</c:v>
                </c:pt>
                <c:pt idx="22">
                  <c:v>7180702.0323238932</c:v>
                </c:pt>
              </c:numCache>
            </c:numRef>
          </c:val>
          <c:extLst>
            <c:ext xmlns:c16="http://schemas.microsoft.com/office/drawing/2014/chart" uri="{C3380CC4-5D6E-409C-BE32-E72D297353CC}">
              <c16:uniqueId val="{00000001-734F-440C-9C11-E60A65DA2FCA}"/>
            </c:ext>
          </c:extLst>
        </c:ser>
        <c:dLbls>
          <c:showLegendKey val="0"/>
          <c:showVal val="0"/>
          <c:showCatName val="0"/>
          <c:showSerName val="0"/>
          <c:showPercent val="0"/>
          <c:showBubbleSize val="0"/>
        </c:dLbls>
        <c:gapWidth val="219"/>
        <c:overlap val="100"/>
        <c:axId val="755775744"/>
        <c:axId val="660243024"/>
      </c:barChart>
      <c:catAx>
        <c:axId val="75577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0243024"/>
        <c:crosses val="autoZero"/>
        <c:auto val="1"/>
        <c:lblAlgn val="ctr"/>
        <c:lblOffset val="100"/>
        <c:noMultiLvlLbl val="0"/>
      </c:catAx>
      <c:valAx>
        <c:axId val="66024302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775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'Ch. 3 Tables and Graphs'!$J$141</c:f>
              <c:strCache>
                <c:ptCount val="1"/>
                <c:pt idx="0">
                  <c:v>Under Contract</c:v>
                </c:pt>
              </c:strCache>
            </c:strRef>
          </c:tx>
          <c:spPr>
            <a:solidFill>
              <a:schemeClr val="accent1"/>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Graphs'!$K$141:$AA$141</c:f>
              <c:numCache>
                <c:formatCode>_(* #,##0_);_(* \(#,##0\);_(* "-"??_);_(@_)</c:formatCode>
                <c:ptCount val="17"/>
                <c:pt idx="0">
                  <c:v>3277082.2922999999</c:v>
                </c:pt>
                <c:pt idx="1">
                  <c:v>5899145.5745999999</c:v>
                </c:pt>
                <c:pt idx="2">
                  <c:v>7166599.5745999999</c:v>
                </c:pt>
                <c:pt idx="3">
                  <c:v>7788308.5745999999</c:v>
                </c:pt>
                <c:pt idx="4">
                  <c:v>8469769.5745999999</c:v>
                </c:pt>
                <c:pt idx="5">
                  <c:v>12713502.5746</c:v>
                </c:pt>
                <c:pt idx="6">
                  <c:v>15278826.969599999</c:v>
                </c:pt>
                <c:pt idx="7">
                  <c:v>17352938.612624999</c:v>
                </c:pt>
                <c:pt idx="8">
                  <c:v>17388541.487434875</c:v>
                </c:pt>
                <c:pt idx="9">
                  <c:v>17423992.477870699</c:v>
                </c:pt>
                <c:pt idx="10">
                  <c:v>17374234.078354347</c:v>
                </c:pt>
                <c:pt idx="11">
                  <c:v>17324816.775835574</c:v>
                </c:pt>
                <c:pt idx="12">
                  <c:v>15413526.924829397</c:v>
                </c:pt>
                <c:pt idx="13">
                  <c:v>14934293.883078249</c:v>
                </c:pt>
                <c:pt idx="14">
                  <c:v>14341752.011535857</c:v>
                </c:pt>
                <c:pt idx="15">
                  <c:v>13917423.382051179</c:v>
                </c:pt>
                <c:pt idx="16">
                  <c:v>10189038.664252423</c:v>
                </c:pt>
              </c:numCache>
            </c:numRef>
          </c:val>
          <c:extLst>
            <c:ext xmlns:c16="http://schemas.microsoft.com/office/drawing/2014/chart" uri="{C3380CC4-5D6E-409C-BE32-E72D297353CC}">
              <c16:uniqueId val="{00000000-851D-437E-A8B7-0B0934B4AFD0}"/>
            </c:ext>
          </c:extLst>
        </c:ser>
        <c:ser>
          <c:idx val="1"/>
          <c:order val="1"/>
          <c:tx>
            <c:strRef>
              <c:f>'Ch. 3 Tables and Graphs'!$J$142</c:f>
              <c:strCache>
                <c:ptCount val="1"/>
                <c:pt idx="0">
                  <c:v>Anticipated LTP 2022</c:v>
                </c:pt>
              </c:strCache>
            </c:strRef>
          </c:tx>
          <c:spPr>
            <a:solidFill>
              <a:schemeClr val="accent2"/>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Graphs'!$K$142:$AA$142</c:f>
              <c:numCache>
                <c:formatCode>_(* #,##0_);_(* \(#,##0\);_(* "-"??_);_(@_)</c:formatCode>
                <c:ptCount val="17"/>
                <c:pt idx="1">
                  <c:v>0</c:v>
                </c:pt>
                <c:pt idx="2">
                  <c:v>0</c:v>
                </c:pt>
                <c:pt idx="3">
                  <c:v>2356752</c:v>
                </c:pt>
                <c:pt idx="4">
                  <c:v>3173431.2399999998</c:v>
                </c:pt>
                <c:pt idx="5">
                  <c:v>3161706.3988000001</c:v>
                </c:pt>
                <c:pt idx="6">
                  <c:v>3150040.1818059999</c:v>
                </c:pt>
                <c:pt idx="7">
                  <c:v>3138432.2958969702</c:v>
                </c:pt>
                <c:pt idx="8">
                  <c:v>3126882.4494174849</c:v>
                </c:pt>
                <c:pt idx="9">
                  <c:v>3115390.3521703975</c:v>
                </c:pt>
                <c:pt idx="10">
                  <c:v>3103955.7154095452</c:v>
                </c:pt>
                <c:pt idx="11">
                  <c:v>3092578.2518324973</c:v>
                </c:pt>
                <c:pt idx="12">
                  <c:v>3081257.675573335</c:v>
                </c:pt>
                <c:pt idx="13">
                  <c:v>3069993.7021954684</c:v>
                </c:pt>
                <c:pt idx="14">
                  <c:v>3058786.0486844913</c:v>
                </c:pt>
                <c:pt idx="15">
                  <c:v>3047634.433441069</c:v>
                </c:pt>
                <c:pt idx="16">
                  <c:v>3036538.5762738632</c:v>
                </c:pt>
              </c:numCache>
            </c:numRef>
          </c:val>
          <c:extLst>
            <c:ext xmlns:c16="http://schemas.microsoft.com/office/drawing/2014/chart" uri="{C3380CC4-5D6E-409C-BE32-E72D297353CC}">
              <c16:uniqueId val="{00000001-851D-437E-A8B7-0B0934B4AFD0}"/>
            </c:ext>
          </c:extLst>
        </c:ser>
        <c:ser>
          <c:idx val="2"/>
          <c:order val="2"/>
          <c:tx>
            <c:strRef>
              <c:f>'Ch. 3 Tables and Graphs'!$J$143</c:f>
              <c:strCache>
                <c:ptCount val="1"/>
                <c:pt idx="0">
                  <c:v>Anticipated LTP 2024</c:v>
                </c:pt>
              </c:strCache>
            </c:strRef>
          </c:tx>
          <c:spPr>
            <a:solidFill>
              <a:schemeClr val="accent3"/>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Graphs'!$L$143:$AB$143</c:f>
              <c:numCache>
                <c:formatCode>_(* #,##0_);_(* \(#,##0\);_(* "-"??_);_(@_)</c:formatCode>
                <c:ptCount val="17"/>
                <c:pt idx="0">
                  <c:v>602273.92248011334</c:v>
                </c:pt>
                <c:pt idx="1">
                  <c:v>1507773.8455118262</c:v>
                </c:pt>
                <c:pt idx="2">
                  <c:v>1806472.3464482669</c:v>
                </c:pt>
                <c:pt idx="3">
                  <c:v>3088175.9847160256</c:v>
                </c:pt>
                <c:pt idx="4">
                  <c:v>7159527.6897924459</c:v>
                </c:pt>
                <c:pt idx="5">
                  <c:v>7138022.6363434829</c:v>
                </c:pt>
                <c:pt idx="6">
                  <c:v>7116625.1081617661</c:v>
                </c:pt>
                <c:pt idx="7">
                  <c:v>7095334.5676209573</c:v>
                </c:pt>
                <c:pt idx="8">
                  <c:v>7074150.4797828514</c:v>
                </c:pt>
                <c:pt idx="9">
                  <c:v>7053072.3123839386</c:v>
                </c:pt>
                <c:pt idx="10">
                  <c:v>7032099.535822018</c:v>
                </c:pt>
                <c:pt idx="11">
                  <c:v>7011231.6231429074</c:v>
                </c:pt>
                <c:pt idx="12">
                  <c:v>6990468.0500271935</c:v>
                </c:pt>
                <c:pt idx="13">
                  <c:v>6969808.2947770571</c:v>
                </c:pt>
                <c:pt idx="14">
                  <c:v>6949251.8383031711</c:v>
                </c:pt>
                <c:pt idx="15">
                  <c:v>6489267.9390692068</c:v>
                </c:pt>
                <c:pt idx="16">
                  <c:v>5994931.5358918421</c:v>
                </c:pt>
              </c:numCache>
            </c:numRef>
          </c:val>
          <c:extLst>
            <c:ext xmlns:c16="http://schemas.microsoft.com/office/drawing/2014/chart" uri="{C3380CC4-5D6E-409C-BE32-E72D297353CC}">
              <c16:uniqueId val="{00000002-851D-437E-A8B7-0B0934B4AFD0}"/>
            </c:ext>
          </c:extLst>
        </c:ser>
        <c:ser>
          <c:idx val="3"/>
          <c:order val="3"/>
          <c:tx>
            <c:strRef>
              <c:f>'Ch. 3 Tables and Graphs'!$J$144</c:f>
              <c:strCache>
                <c:ptCount val="1"/>
                <c:pt idx="0">
                  <c:v>Anticipated LTP 2026</c:v>
                </c:pt>
              </c:strCache>
            </c:strRef>
          </c:tx>
          <c:spPr>
            <a:solidFill>
              <a:schemeClr val="accent4"/>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Graphs'!$L$144:$AB$144</c:f>
              <c:numCache>
                <c:formatCode>_(* #,##0_);_(* \(#,##0\);_(* "-"??_);_(@_)</c:formatCode>
                <c:ptCount val="17"/>
                <c:pt idx="0">
                  <c:v>0</c:v>
                </c:pt>
                <c:pt idx="1">
                  <c:v>0</c:v>
                </c:pt>
                <c:pt idx="2">
                  <c:v>602273.92248011334</c:v>
                </c:pt>
                <c:pt idx="3">
                  <c:v>1507773.8455118262</c:v>
                </c:pt>
                <c:pt idx="4">
                  <c:v>1806472.3464482669</c:v>
                </c:pt>
                <c:pt idx="5">
                  <c:v>5882439.9847160261</c:v>
                </c:pt>
                <c:pt idx="6">
                  <c:v>9950527.7847924456</c:v>
                </c:pt>
                <c:pt idx="7">
                  <c:v>9925775.1458684839</c:v>
                </c:pt>
                <c:pt idx="8">
                  <c:v>9901146.270139141</c:v>
                </c:pt>
                <c:pt idx="9">
                  <c:v>9876640.5387884453</c:v>
                </c:pt>
                <c:pt idx="10">
                  <c:v>9852257.3360945024</c:v>
                </c:pt>
                <c:pt idx="11">
                  <c:v>9827996.0494140312</c:v>
                </c:pt>
                <c:pt idx="12">
                  <c:v>9803856.0691669602</c:v>
                </c:pt>
                <c:pt idx="13">
                  <c:v>9779836.7888211254</c:v>
                </c:pt>
                <c:pt idx="14">
                  <c:v>9755937.6048770212</c:v>
                </c:pt>
                <c:pt idx="15">
                  <c:v>9732157.9168526344</c:v>
                </c:pt>
                <c:pt idx="16">
                  <c:v>9708497.1272683721</c:v>
                </c:pt>
              </c:numCache>
            </c:numRef>
          </c:val>
          <c:extLst>
            <c:ext xmlns:c16="http://schemas.microsoft.com/office/drawing/2014/chart" uri="{C3380CC4-5D6E-409C-BE32-E72D297353CC}">
              <c16:uniqueId val="{00000003-851D-437E-A8B7-0B0934B4AFD0}"/>
            </c:ext>
          </c:extLst>
        </c:ser>
        <c:ser>
          <c:idx val="4"/>
          <c:order val="4"/>
          <c:tx>
            <c:strRef>
              <c:f>'Ch. 3 Tables and Graphs'!$J$145</c:f>
              <c:strCache>
                <c:ptCount val="1"/>
                <c:pt idx="0">
                  <c:v>Anticipated LTP 2028</c:v>
                </c:pt>
              </c:strCache>
            </c:strRef>
          </c:tx>
          <c:spPr>
            <a:solidFill>
              <a:schemeClr val="accent5"/>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Graphs'!$L$145:$AB$145</c:f>
              <c:numCache>
                <c:formatCode>_(* #,##0_);_(* \(#,##0\);_(* "-"??_);_(@_)</c:formatCode>
                <c:ptCount val="17"/>
                <c:pt idx="0">
                  <c:v>0</c:v>
                </c:pt>
                <c:pt idx="1">
                  <c:v>0</c:v>
                </c:pt>
                <c:pt idx="2">
                  <c:v>0</c:v>
                </c:pt>
                <c:pt idx="3">
                  <c:v>0</c:v>
                </c:pt>
                <c:pt idx="4">
                  <c:v>602273.92248011334</c:v>
                </c:pt>
                <c:pt idx="5">
                  <c:v>1507773.8455118262</c:v>
                </c:pt>
                <c:pt idx="6">
                  <c:v>1806472.3464482669</c:v>
                </c:pt>
                <c:pt idx="7">
                  <c:v>5382439.9847160261</c:v>
                </c:pt>
                <c:pt idx="8">
                  <c:v>8953027.7847924456</c:v>
                </c:pt>
                <c:pt idx="9">
                  <c:v>8933262.6458684839</c:v>
                </c:pt>
                <c:pt idx="10">
                  <c:v>8913596.332639141</c:v>
                </c:pt>
                <c:pt idx="11">
                  <c:v>8894028.3509759437</c:v>
                </c:pt>
                <c:pt idx="12">
                  <c:v>8874558.209221065</c:v>
                </c:pt>
                <c:pt idx="13">
                  <c:v>8855185.4181749597</c:v>
                </c:pt>
                <c:pt idx="14">
                  <c:v>8835909.4910840839</c:v>
                </c:pt>
                <c:pt idx="15">
                  <c:v>8816729.9436286651</c:v>
                </c:pt>
                <c:pt idx="16">
                  <c:v>8797646.293910522</c:v>
                </c:pt>
              </c:numCache>
            </c:numRef>
          </c:val>
          <c:extLst>
            <c:ext xmlns:c16="http://schemas.microsoft.com/office/drawing/2014/chart" uri="{C3380CC4-5D6E-409C-BE32-E72D297353CC}">
              <c16:uniqueId val="{00000004-851D-437E-A8B7-0B0934B4AFD0}"/>
            </c:ext>
          </c:extLst>
        </c:ser>
        <c:ser>
          <c:idx val="5"/>
          <c:order val="5"/>
          <c:tx>
            <c:strRef>
              <c:f>'Ch. 3 Tables and Graphs'!$J$146</c:f>
              <c:strCache>
                <c:ptCount val="1"/>
                <c:pt idx="0">
                  <c:v>Anticipated LTP 2030</c:v>
                </c:pt>
              </c:strCache>
            </c:strRef>
          </c:tx>
          <c:spPr>
            <a:solidFill>
              <a:schemeClr val="accent6"/>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Graphs'!$L$146:$AB$146</c:f>
              <c:numCache>
                <c:formatCode>_(* #,##0_);_(* \(#,##0\);_(* "-"??_);_(@_)</c:formatCode>
                <c:ptCount val="17"/>
                <c:pt idx="0">
                  <c:v>0</c:v>
                </c:pt>
                <c:pt idx="1">
                  <c:v>0</c:v>
                </c:pt>
                <c:pt idx="2">
                  <c:v>0</c:v>
                </c:pt>
                <c:pt idx="3">
                  <c:v>0</c:v>
                </c:pt>
                <c:pt idx="4">
                  <c:v>0</c:v>
                </c:pt>
                <c:pt idx="5">
                  <c:v>0</c:v>
                </c:pt>
                <c:pt idx="6">
                  <c:v>602273.92248011334</c:v>
                </c:pt>
                <c:pt idx="7">
                  <c:v>1507773.8455118262</c:v>
                </c:pt>
                <c:pt idx="8">
                  <c:v>1806472.3464482669</c:v>
                </c:pt>
                <c:pt idx="9">
                  <c:v>3632439.9847160256</c:v>
                </c:pt>
                <c:pt idx="10">
                  <c:v>5454277.7847924456</c:v>
                </c:pt>
                <c:pt idx="11">
                  <c:v>5437006.3958684839</c:v>
                </c:pt>
                <c:pt idx="12">
                  <c:v>5419821.363889141</c:v>
                </c:pt>
                <c:pt idx="13">
                  <c:v>5402722.2570696948</c:v>
                </c:pt>
                <c:pt idx="14">
                  <c:v>5385708.6457843464</c:v>
                </c:pt>
                <c:pt idx="15">
                  <c:v>5368780.1025554258</c:v>
                </c:pt>
                <c:pt idx="16">
                  <c:v>5351936.2020426476</c:v>
                </c:pt>
              </c:numCache>
            </c:numRef>
          </c:val>
          <c:extLst>
            <c:ext xmlns:c16="http://schemas.microsoft.com/office/drawing/2014/chart" uri="{C3380CC4-5D6E-409C-BE32-E72D297353CC}">
              <c16:uniqueId val="{00000005-851D-437E-A8B7-0B0934B4AFD0}"/>
            </c:ext>
          </c:extLst>
        </c:ser>
        <c:ser>
          <c:idx val="6"/>
          <c:order val="6"/>
          <c:tx>
            <c:strRef>
              <c:f>'Ch. 3 Tables and Graphs'!$J$147</c:f>
              <c:strCache>
                <c:ptCount val="1"/>
                <c:pt idx="0">
                  <c:v>Anticipated LTP 2032</c:v>
                </c:pt>
              </c:strCache>
            </c:strRef>
          </c:tx>
          <c:spPr>
            <a:solidFill>
              <a:schemeClr val="accent1">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Graphs'!$L$147:$AB$147</c:f>
              <c:numCache>
                <c:formatCode>_(* #,##0_);_(* \(#,##0\);_(* "-"??_);_(@_)</c:formatCode>
                <c:ptCount val="17"/>
                <c:pt idx="0">
                  <c:v>0</c:v>
                </c:pt>
                <c:pt idx="1">
                  <c:v>0</c:v>
                </c:pt>
                <c:pt idx="2">
                  <c:v>0</c:v>
                </c:pt>
                <c:pt idx="3">
                  <c:v>0</c:v>
                </c:pt>
                <c:pt idx="4">
                  <c:v>0</c:v>
                </c:pt>
                <c:pt idx="5">
                  <c:v>0</c:v>
                </c:pt>
                <c:pt idx="6">
                  <c:v>0</c:v>
                </c:pt>
                <c:pt idx="7">
                  <c:v>0</c:v>
                </c:pt>
                <c:pt idx="8">
                  <c:v>602273.92248011334</c:v>
                </c:pt>
                <c:pt idx="9">
                  <c:v>1206636.8842717693</c:v>
                </c:pt>
                <c:pt idx="10">
                  <c:v>1353722.3849324107</c:v>
                </c:pt>
                <c:pt idx="11">
                  <c:v>3181953.7730077486</c:v>
                </c:pt>
                <c:pt idx="12">
                  <c:v>5006044.00414271</c:v>
                </c:pt>
                <c:pt idx="13">
                  <c:v>4991013.7841219958</c:v>
                </c:pt>
                <c:pt idx="14">
                  <c:v>4976058.7152013863</c:v>
                </c:pt>
                <c:pt idx="15">
                  <c:v>4961178.4216253795</c:v>
                </c:pt>
                <c:pt idx="16">
                  <c:v>4946372.529517252</c:v>
                </c:pt>
              </c:numCache>
            </c:numRef>
          </c:val>
          <c:extLst>
            <c:ext xmlns:c16="http://schemas.microsoft.com/office/drawing/2014/chart" uri="{C3380CC4-5D6E-409C-BE32-E72D297353CC}">
              <c16:uniqueId val="{00000006-851D-437E-A8B7-0B0934B4AFD0}"/>
            </c:ext>
          </c:extLst>
        </c:ser>
        <c:ser>
          <c:idx val="7"/>
          <c:order val="7"/>
          <c:tx>
            <c:strRef>
              <c:f>'Ch. 3 Tables and Graphs'!$J$148</c:f>
              <c:strCache>
                <c:ptCount val="1"/>
                <c:pt idx="0">
                  <c:v>Anticipated LTP 2034</c:v>
                </c:pt>
              </c:strCache>
            </c:strRef>
          </c:tx>
          <c:spPr>
            <a:solidFill>
              <a:schemeClr val="accent2">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Graphs'!$L$148:$AB$148</c:f>
              <c:numCache>
                <c:formatCode>_(* #,##0_);_(* \(#,##0\);_(* "-"??_);_(@_)</c:formatCode>
                <c:ptCount val="17"/>
                <c:pt idx="0">
                  <c:v>0</c:v>
                </c:pt>
                <c:pt idx="1">
                  <c:v>0</c:v>
                </c:pt>
                <c:pt idx="2">
                  <c:v>0</c:v>
                </c:pt>
                <c:pt idx="3">
                  <c:v>0</c:v>
                </c:pt>
                <c:pt idx="4">
                  <c:v>0</c:v>
                </c:pt>
                <c:pt idx="5">
                  <c:v>0</c:v>
                </c:pt>
                <c:pt idx="6">
                  <c:v>0</c:v>
                </c:pt>
                <c:pt idx="7">
                  <c:v>0</c:v>
                </c:pt>
                <c:pt idx="8">
                  <c:v>0</c:v>
                </c:pt>
                <c:pt idx="9">
                  <c:v>0</c:v>
                </c:pt>
                <c:pt idx="10">
                  <c:v>301136.96124005667</c:v>
                </c:pt>
                <c:pt idx="11">
                  <c:v>753886.92275591311</c:v>
                </c:pt>
                <c:pt idx="12">
                  <c:v>903236.17322413344</c:v>
                </c:pt>
                <c:pt idx="13">
                  <c:v>2733719.9923580131</c:v>
                </c:pt>
                <c:pt idx="14">
                  <c:v>4560051.3923962228</c:v>
                </c:pt>
                <c:pt idx="15">
                  <c:v>4547251.135434242</c:v>
                </c:pt>
                <c:pt idx="16">
                  <c:v>4534514.87975707</c:v>
                </c:pt>
              </c:numCache>
            </c:numRef>
          </c:val>
          <c:extLst>
            <c:ext xmlns:c16="http://schemas.microsoft.com/office/drawing/2014/chart" uri="{C3380CC4-5D6E-409C-BE32-E72D297353CC}">
              <c16:uniqueId val="{00000007-851D-437E-A8B7-0B0934B4AFD0}"/>
            </c:ext>
          </c:extLst>
        </c:ser>
        <c:ser>
          <c:idx val="8"/>
          <c:order val="8"/>
          <c:tx>
            <c:strRef>
              <c:f>'Ch. 3 Tables and Graphs'!$J$149</c:f>
              <c:strCache>
                <c:ptCount val="1"/>
                <c:pt idx="0">
                  <c:v>Anticipated LTP 2036</c:v>
                </c:pt>
              </c:strCache>
            </c:strRef>
          </c:tx>
          <c:spPr>
            <a:solidFill>
              <a:schemeClr val="accent3">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Graphs'!$L$149:$AB$149</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301136.96124005667</c:v>
                </c:pt>
                <c:pt idx="13">
                  <c:v>753886.92275591311</c:v>
                </c:pt>
                <c:pt idx="14">
                  <c:v>903236.17322413344</c:v>
                </c:pt>
                <c:pt idx="15">
                  <c:v>2733719.9923580131</c:v>
                </c:pt>
                <c:pt idx="16">
                  <c:v>4560051.3923962228</c:v>
                </c:pt>
              </c:numCache>
            </c:numRef>
          </c:val>
          <c:extLst>
            <c:ext xmlns:c16="http://schemas.microsoft.com/office/drawing/2014/chart" uri="{C3380CC4-5D6E-409C-BE32-E72D297353CC}">
              <c16:uniqueId val="{00000008-851D-437E-A8B7-0B0934B4AFD0}"/>
            </c:ext>
          </c:extLst>
        </c:ser>
        <c:ser>
          <c:idx val="9"/>
          <c:order val="9"/>
          <c:tx>
            <c:strRef>
              <c:f>'Ch. 3 Tables and Graphs'!$J$150</c:f>
              <c:strCache>
                <c:ptCount val="1"/>
                <c:pt idx="0">
                  <c:v>Anticipated LTP 2038</c:v>
                </c:pt>
              </c:strCache>
            </c:strRef>
          </c:tx>
          <c:spPr>
            <a:solidFill>
              <a:schemeClr val="accent4">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Graphs'!$L$150:$AB$150</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301136.96124005667</c:v>
                </c:pt>
                <c:pt idx="15">
                  <c:v>753886.92275591311</c:v>
                </c:pt>
                <c:pt idx="16">
                  <c:v>903236.17322413344</c:v>
                </c:pt>
              </c:numCache>
            </c:numRef>
          </c:val>
          <c:extLst>
            <c:ext xmlns:c16="http://schemas.microsoft.com/office/drawing/2014/chart" uri="{C3380CC4-5D6E-409C-BE32-E72D297353CC}">
              <c16:uniqueId val="{00000009-851D-437E-A8B7-0B0934B4AFD0}"/>
            </c:ext>
          </c:extLst>
        </c:ser>
        <c:ser>
          <c:idx val="10"/>
          <c:order val="10"/>
          <c:tx>
            <c:strRef>
              <c:f>'Ch. 3 Tables and Graphs'!$J$151</c:f>
              <c:strCache>
                <c:ptCount val="1"/>
                <c:pt idx="0">
                  <c:v>Anticipated LTP 2040</c:v>
                </c:pt>
              </c:strCache>
            </c:strRef>
          </c:tx>
          <c:spPr>
            <a:solidFill>
              <a:schemeClr val="accent5">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Graphs'!$L$151:$AB$151</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602273.92248011334</c:v>
                </c:pt>
              </c:numCache>
            </c:numRef>
          </c:val>
          <c:extLst>
            <c:ext xmlns:c16="http://schemas.microsoft.com/office/drawing/2014/chart" uri="{C3380CC4-5D6E-409C-BE32-E72D297353CC}">
              <c16:uniqueId val="{0000000A-851D-437E-A8B7-0B0934B4AFD0}"/>
            </c:ext>
          </c:extLst>
        </c:ser>
        <c:dLbls>
          <c:showLegendKey val="0"/>
          <c:showVal val="0"/>
          <c:showCatName val="0"/>
          <c:showSerName val="0"/>
          <c:showPercent val="0"/>
          <c:showBubbleSize val="0"/>
        </c:dLbls>
        <c:axId val="885248848"/>
        <c:axId val="885245968"/>
      </c:areaChart>
      <c:lineChart>
        <c:grouping val="standard"/>
        <c:varyColors val="0"/>
        <c:ser>
          <c:idx val="11"/>
          <c:order val="11"/>
          <c:tx>
            <c:strRef>
              <c:f>'Ch. 3 Tables and Graphs'!$J$152</c:f>
              <c:strCache>
                <c:ptCount val="1"/>
                <c:pt idx="0">
                  <c:v> RPS Target Amount </c:v>
                </c:pt>
              </c:strCache>
            </c:strRef>
          </c:tx>
          <c:spPr>
            <a:ln w="28575" cap="rnd">
              <a:solidFill>
                <a:schemeClr val="accent6">
                  <a:lumMod val="60000"/>
                </a:schemeClr>
              </a:solidFill>
              <a:round/>
            </a:ln>
            <a:effectLst/>
          </c:spPr>
          <c:marker>
            <c:symbol val="none"/>
          </c:marker>
          <c:val>
            <c:numRef>
              <c:f>'Ch. 3 Tables and Graphs'!$K$152:$AC$152</c:f>
              <c:numCache>
                <c:formatCode>_(* #,##0_);_(* \(#,##0\);_(* "-"??_);_(@_)</c:formatCode>
                <c:ptCount val="19"/>
                <c:pt idx="0">
                  <c:v>27600405.588387385</c:v>
                </c:pt>
                <c:pt idx="1">
                  <c:v>29002290.034856889</c:v>
                </c:pt>
                <c:pt idx="2" formatCode="General">
                  <c:v>32271366.637528446</c:v>
                </c:pt>
                <c:pt idx="3" formatCode="General">
                  <c:v>35668466.102237098</c:v>
                </c:pt>
                <c:pt idx="4" formatCode="General">
                  <c:v>39219696.579589069</c:v>
                </c:pt>
                <c:pt idx="5" formatCode="General">
                  <c:v>42714576.506556571</c:v>
                </c:pt>
                <c:pt idx="6" formatCode="General">
                  <c:v>46451375.958900839</c:v>
                </c:pt>
                <c:pt idx="7" formatCode="General">
                  <c:v>47763046.369001523</c:v>
                </c:pt>
                <c:pt idx="8" formatCode="General">
                  <c:v>49157149.335623778</c:v>
                </c:pt>
                <c:pt idx="9" formatCode="General">
                  <c:v>50422454.053407259</c:v>
                </c:pt>
                <c:pt idx="10" formatCode="General">
                  <c:v>51819398.992800236</c:v>
                </c:pt>
                <c:pt idx="11" formatCode="General">
                  <c:v>53183157.834484629</c:v>
                </c:pt>
                <c:pt idx="12" formatCode="General">
                  <c:v>54619816.175018631</c:v>
                </c:pt>
                <c:pt idx="13" formatCode="General">
                  <c:v>55968808.33996474</c:v>
                </c:pt>
                <c:pt idx="14" formatCode="General">
                  <c:v>57495269.951376133</c:v>
                </c:pt>
                <c:pt idx="15" formatCode="General">
                  <c:v>59011627.267375305</c:v>
                </c:pt>
                <c:pt idx="16" formatCode="General">
                  <c:v>60610591.166864343</c:v>
                </c:pt>
                <c:pt idx="17" formatCode="General">
                  <c:v>60794608.347521521</c:v>
                </c:pt>
                <c:pt idx="18" formatCode="General">
                  <c:v>60982050.779746927</c:v>
                </c:pt>
              </c:numCache>
            </c:numRef>
          </c:val>
          <c:smooth val="0"/>
          <c:extLst>
            <c:ext xmlns:c16="http://schemas.microsoft.com/office/drawing/2014/chart" uri="{C3380CC4-5D6E-409C-BE32-E72D297353CC}">
              <c16:uniqueId val="{00000002-8B8A-4A7B-8437-FBD230D4124A}"/>
            </c:ext>
          </c:extLst>
        </c:ser>
        <c:dLbls>
          <c:showLegendKey val="0"/>
          <c:showVal val="0"/>
          <c:showCatName val="0"/>
          <c:showSerName val="0"/>
          <c:showPercent val="0"/>
          <c:showBubbleSize val="0"/>
        </c:dLbls>
        <c:marker val="1"/>
        <c:smooth val="0"/>
        <c:axId val="885248848"/>
        <c:axId val="885245968"/>
      </c:lineChart>
      <c:catAx>
        <c:axId val="8852488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245968"/>
        <c:crosses val="autoZero"/>
        <c:auto val="1"/>
        <c:lblAlgn val="ctr"/>
        <c:lblOffset val="100"/>
        <c:noMultiLvlLbl val="0"/>
      </c:catAx>
      <c:valAx>
        <c:axId val="88524596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2488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'Ch. 3 Tables and Graphs'!$J$141</c:f>
              <c:strCache>
                <c:ptCount val="1"/>
                <c:pt idx="0">
                  <c:v>Under Contract</c:v>
                </c:pt>
              </c:strCache>
            </c:strRef>
          </c:tx>
          <c:spPr>
            <a:solidFill>
              <a:schemeClr val="accent1"/>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Graphs'!$K$141:$AC$141</c:f>
              <c:numCache>
                <c:formatCode>_(* #,##0_);_(* \(#,##0\);_(* "-"??_);_(@_)</c:formatCode>
                <c:ptCount val="19"/>
                <c:pt idx="0">
                  <c:v>3277082.2922999999</c:v>
                </c:pt>
                <c:pt idx="1">
                  <c:v>5899145.5745999999</c:v>
                </c:pt>
                <c:pt idx="2">
                  <c:v>7166599.5745999999</c:v>
                </c:pt>
                <c:pt idx="3">
                  <c:v>7788308.5745999999</c:v>
                </c:pt>
                <c:pt idx="4">
                  <c:v>8469769.5745999999</c:v>
                </c:pt>
                <c:pt idx="5">
                  <c:v>12713502.5746</c:v>
                </c:pt>
                <c:pt idx="6">
                  <c:v>15278826.969599999</c:v>
                </c:pt>
                <c:pt idx="7">
                  <c:v>17352938.612624999</c:v>
                </c:pt>
                <c:pt idx="8">
                  <c:v>17388541.487434875</c:v>
                </c:pt>
                <c:pt idx="9">
                  <c:v>17423992.477870699</c:v>
                </c:pt>
                <c:pt idx="10">
                  <c:v>17374234.078354347</c:v>
                </c:pt>
                <c:pt idx="11">
                  <c:v>17324816.775835574</c:v>
                </c:pt>
                <c:pt idx="12">
                  <c:v>15413526.924829397</c:v>
                </c:pt>
                <c:pt idx="13">
                  <c:v>14934293.883078249</c:v>
                </c:pt>
                <c:pt idx="14">
                  <c:v>14341752.011535857</c:v>
                </c:pt>
                <c:pt idx="15">
                  <c:v>13917423.382051179</c:v>
                </c:pt>
                <c:pt idx="16">
                  <c:v>10189038.664252423</c:v>
                </c:pt>
                <c:pt idx="17">
                  <c:v>9956687.5009311624</c:v>
                </c:pt>
                <c:pt idx="18">
                  <c:v>9536249.9834265057</c:v>
                </c:pt>
              </c:numCache>
            </c:numRef>
          </c:val>
          <c:extLst>
            <c:ext xmlns:c16="http://schemas.microsoft.com/office/drawing/2014/chart" uri="{C3380CC4-5D6E-409C-BE32-E72D297353CC}">
              <c16:uniqueId val="{00000000-711A-43E2-9E2C-83167BC4F78F}"/>
            </c:ext>
          </c:extLst>
        </c:ser>
        <c:ser>
          <c:idx val="1"/>
          <c:order val="1"/>
          <c:tx>
            <c:strRef>
              <c:f>'Ch. 3 Tables and Graphs'!$J$142</c:f>
              <c:strCache>
                <c:ptCount val="1"/>
                <c:pt idx="0">
                  <c:v>Anticipated LTP 2022</c:v>
                </c:pt>
              </c:strCache>
            </c:strRef>
          </c:tx>
          <c:spPr>
            <a:solidFill>
              <a:schemeClr val="accent2"/>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Graphs'!$K$142:$AC$142</c:f>
              <c:numCache>
                <c:formatCode>_(* #,##0_);_(* \(#,##0\);_(* "-"??_);_(@_)</c:formatCode>
                <c:ptCount val="19"/>
                <c:pt idx="1">
                  <c:v>0</c:v>
                </c:pt>
                <c:pt idx="2">
                  <c:v>0</c:v>
                </c:pt>
                <c:pt idx="3">
                  <c:v>2356752</c:v>
                </c:pt>
                <c:pt idx="4">
                  <c:v>3173431.2399999998</c:v>
                </c:pt>
                <c:pt idx="5">
                  <c:v>3161706.3988000001</c:v>
                </c:pt>
                <c:pt idx="6">
                  <c:v>3150040.1818059999</c:v>
                </c:pt>
                <c:pt idx="7">
                  <c:v>3138432.2958969702</c:v>
                </c:pt>
                <c:pt idx="8">
                  <c:v>3126882.4494174849</c:v>
                </c:pt>
                <c:pt idx="9">
                  <c:v>3115390.3521703975</c:v>
                </c:pt>
                <c:pt idx="10">
                  <c:v>3103955.7154095452</c:v>
                </c:pt>
                <c:pt idx="11">
                  <c:v>3092578.2518324973</c:v>
                </c:pt>
                <c:pt idx="12">
                  <c:v>3081257.675573335</c:v>
                </c:pt>
                <c:pt idx="13">
                  <c:v>3069993.7021954684</c:v>
                </c:pt>
                <c:pt idx="14">
                  <c:v>3058786.0486844913</c:v>
                </c:pt>
                <c:pt idx="15">
                  <c:v>3047634.433441069</c:v>
                </c:pt>
                <c:pt idx="16">
                  <c:v>3036538.5762738632</c:v>
                </c:pt>
                <c:pt idx="17">
                  <c:v>3025498.1983924941</c:v>
                </c:pt>
                <c:pt idx="18">
                  <c:v>3014513.0224005319</c:v>
                </c:pt>
              </c:numCache>
            </c:numRef>
          </c:val>
          <c:extLst>
            <c:ext xmlns:c16="http://schemas.microsoft.com/office/drawing/2014/chart" uri="{C3380CC4-5D6E-409C-BE32-E72D297353CC}">
              <c16:uniqueId val="{00000001-711A-43E2-9E2C-83167BC4F78F}"/>
            </c:ext>
          </c:extLst>
        </c:ser>
        <c:ser>
          <c:idx val="2"/>
          <c:order val="2"/>
          <c:tx>
            <c:strRef>
              <c:f>'Ch. 3 Tables and Graphs'!$J$143</c:f>
              <c:strCache>
                <c:ptCount val="1"/>
                <c:pt idx="0">
                  <c:v>Anticipated LTP 2024</c:v>
                </c:pt>
              </c:strCache>
            </c:strRef>
          </c:tx>
          <c:spPr>
            <a:solidFill>
              <a:schemeClr val="accent3"/>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Graphs'!$K$143:$AC$143</c:f>
              <c:numCache>
                <c:formatCode>_(* #,##0_);_(* \(#,##0\);_(* "-"??_);_(@_)</c:formatCode>
                <c:ptCount val="19"/>
                <c:pt idx="1">
                  <c:v>602273.92248011334</c:v>
                </c:pt>
                <c:pt idx="2">
                  <c:v>1507773.8455118262</c:v>
                </c:pt>
                <c:pt idx="3">
                  <c:v>1806472.3464482669</c:v>
                </c:pt>
                <c:pt idx="4">
                  <c:v>3088175.9847160256</c:v>
                </c:pt>
                <c:pt idx="5">
                  <c:v>7159527.6897924459</c:v>
                </c:pt>
                <c:pt idx="6">
                  <c:v>7138022.6363434829</c:v>
                </c:pt>
                <c:pt idx="7">
                  <c:v>7116625.1081617661</c:v>
                </c:pt>
                <c:pt idx="8">
                  <c:v>7095334.5676209573</c:v>
                </c:pt>
                <c:pt idx="9">
                  <c:v>7074150.4797828514</c:v>
                </c:pt>
                <c:pt idx="10">
                  <c:v>7053072.3123839386</c:v>
                </c:pt>
                <c:pt idx="11">
                  <c:v>7032099.535822018</c:v>
                </c:pt>
                <c:pt idx="12">
                  <c:v>7011231.6231429074</c:v>
                </c:pt>
                <c:pt idx="13">
                  <c:v>6990468.0500271935</c:v>
                </c:pt>
                <c:pt idx="14">
                  <c:v>6969808.2947770571</c:v>
                </c:pt>
                <c:pt idx="15">
                  <c:v>6949251.8383031711</c:v>
                </c:pt>
                <c:pt idx="16">
                  <c:v>6489267.9390692068</c:v>
                </c:pt>
                <c:pt idx="17">
                  <c:v>5994931.5358918421</c:v>
                </c:pt>
                <c:pt idx="18">
                  <c:v>5942597.0397728141</c:v>
                </c:pt>
              </c:numCache>
            </c:numRef>
          </c:val>
          <c:extLst>
            <c:ext xmlns:c16="http://schemas.microsoft.com/office/drawing/2014/chart" uri="{C3380CC4-5D6E-409C-BE32-E72D297353CC}">
              <c16:uniqueId val="{00000002-711A-43E2-9E2C-83167BC4F78F}"/>
            </c:ext>
          </c:extLst>
        </c:ser>
        <c:ser>
          <c:idx val="3"/>
          <c:order val="3"/>
          <c:tx>
            <c:strRef>
              <c:f>'Ch. 3 Tables and Graphs'!$J$144</c:f>
              <c:strCache>
                <c:ptCount val="1"/>
                <c:pt idx="0">
                  <c:v>Anticipated LTP 2026</c:v>
                </c:pt>
              </c:strCache>
            </c:strRef>
          </c:tx>
          <c:spPr>
            <a:solidFill>
              <a:schemeClr val="accent4"/>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Graphs'!$K$144:$AC$144</c:f>
              <c:numCache>
                <c:formatCode>_(* #,##0_);_(* \(#,##0\);_(* "-"??_);_(@_)</c:formatCode>
                <c:ptCount val="19"/>
                <c:pt idx="1">
                  <c:v>0</c:v>
                </c:pt>
                <c:pt idx="2">
                  <c:v>0</c:v>
                </c:pt>
                <c:pt idx="3">
                  <c:v>602273.92248011334</c:v>
                </c:pt>
                <c:pt idx="4">
                  <c:v>1507773.8455118262</c:v>
                </c:pt>
                <c:pt idx="5">
                  <c:v>1806472.3464482669</c:v>
                </c:pt>
                <c:pt idx="6">
                  <c:v>5882439.9847160261</c:v>
                </c:pt>
                <c:pt idx="7">
                  <c:v>9950527.7847924456</c:v>
                </c:pt>
                <c:pt idx="8">
                  <c:v>9925775.1458684839</c:v>
                </c:pt>
                <c:pt idx="9">
                  <c:v>9901146.270139141</c:v>
                </c:pt>
                <c:pt idx="10">
                  <c:v>9876640.5387884453</c:v>
                </c:pt>
                <c:pt idx="11">
                  <c:v>9852257.3360945024</c:v>
                </c:pt>
                <c:pt idx="12">
                  <c:v>9827996.0494140312</c:v>
                </c:pt>
                <c:pt idx="13">
                  <c:v>9803856.0691669602</c:v>
                </c:pt>
                <c:pt idx="14">
                  <c:v>9779836.7888211254</c:v>
                </c:pt>
                <c:pt idx="15">
                  <c:v>9755937.6048770212</c:v>
                </c:pt>
                <c:pt idx="16">
                  <c:v>9732157.9168526344</c:v>
                </c:pt>
                <c:pt idx="17">
                  <c:v>9708497.1272683721</c:v>
                </c:pt>
                <c:pt idx="18">
                  <c:v>9245424.4165895805</c:v>
                </c:pt>
              </c:numCache>
            </c:numRef>
          </c:val>
          <c:extLst>
            <c:ext xmlns:c16="http://schemas.microsoft.com/office/drawing/2014/chart" uri="{C3380CC4-5D6E-409C-BE32-E72D297353CC}">
              <c16:uniqueId val="{00000003-711A-43E2-9E2C-83167BC4F78F}"/>
            </c:ext>
          </c:extLst>
        </c:ser>
        <c:ser>
          <c:idx val="4"/>
          <c:order val="4"/>
          <c:tx>
            <c:strRef>
              <c:f>'Ch. 3 Tables and Graphs'!$J$145</c:f>
              <c:strCache>
                <c:ptCount val="1"/>
                <c:pt idx="0">
                  <c:v>Anticipated LTP 2028</c:v>
                </c:pt>
              </c:strCache>
            </c:strRef>
          </c:tx>
          <c:spPr>
            <a:solidFill>
              <a:schemeClr val="accent5"/>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Graphs'!$K$145:$AC$145</c:f>
              <c:numCache>
                <c:formatCode>_(* #,##0_);_(* \(#,##0\);_(* "-"??_);_(@_)</c:formatCode>
                <c:ptCount val="19"/>
                <c:pt idx="1">
                  <c:v>0</c:v>
                </c:pt>
                <c:pt idx="2">
                  <c:v>0</c:v>
                </c:pt>
                <c:pt idx="3">
                  <c:v>0</c:v>
                </c:pt>
                <c:pt idx="4">
                  <c:v>0</c:v>
                </c:pt>
                <c:pt idx="5">
                  <c:v>602273.92248011334</c:v>
                </c:pt>
                <c:pt idx="6">
                  <c:v>1507773.8455118262</c:v>
                </c:pt>
                <c:pt idx="7">
                  <c:v>1806472.3464482669</c:v>
                </c:pt>
                <c:pt idx="8">
                  <c:v>5382439.9847160261</c:v>
                </c:pt>
                <c:pt idx="9">
                  <c:v>8953027.7847924456</c:v>
                </c:pt>
                <c:pt idx="10">
                  <c:v>8933262.6458684839</c:v>
                </c:pt>
                <c:pt idx="11">
                  <c:v>8913596.332639141</c:v>
                </c:pt>
                <c:pt idx="12">
                  <c:v>8894028.3509759437</c:v>
                </c:pt>
                <c:pt idx="13">
                  <c:v>8874558.209221065</c:v>
                </c:pt>
                <c:pt idx="14">
                  <c:v>8855185.4181749597</c:v>
                </c:pt>
                <c:pt idx="15">
                  <c:v>8835909.4910840839</c:v>
                </c:pt>
                <c:pt idx="16">
                  <c:v>8816729.9436286651</c:v>
                </c:pt>
                <c:pt idx="17">
                  <c:v>8797646.293910522</c:v>
                </c:pt>
                <c:pt idx="18">
                  <c:v>8778658.062440969</c:v>
                </c:pt>
              </c:numCache>
            </c:numRef>
          </c:val>
          <c:extLst>
            <c:ext xmlns:c16="http://schemas.microsoft.com/office/drawing/2014/chart" uri="{C3380CC4-5D6E-409C-BE32-E72D297353CC}">
              <c16:uniqueId val="{00000004-711A-43E2-9E2C-83167BC4F78F}"/>
            </c:ext>
          </c:extLst>
        </c:ser>
        <c:ser>
          <c:idx val="5"/>
          <c:order val="5"/>
          <c:tx>
            <c:strRef>
              <c:f>'Ch. 3 Tables and Graphs'!$J$146</c:f>
              <c:strCache>
                <c:ptCount val="1"/>
                <c:pt idx="0">
                  <c:v>Anticipated LTP 2030</c:v>
                </c:pt>
              </c:strCache>
            </c:strRef>
          </c:tx>
          <c:spPr>
            <a:solidFill>
              <a:schemeClr val="accent6"/>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Graphs'!$K$146:$AC$146</c:f>
              <c:numCache>
                <c:formatCode>_(* #,##0_);_(* \(#,##0\);_(* "-"??_);_(@_)</c:formatCode>
                <c:ptCount val="19"/>
                <c:pt idx="1">
                  <c:v>0</c:v>
                </c:pt>
                <c:pt idx="2">
                  <c:v>0</c:v>
                </c:pt>
                <c:pt idx="3">
                  <c:v>0</c:v>
                </c:pt>
                <c:pt idx="4">
                  <c:v>0</c:v>
                </c:pt>
                <c:pt idx="5">
                  <c:v>0</c:v>
                </c:pt>
                <c:pt idx="6">
                  <c:v>0</c:v>
                </c:pt>
                <c:pt idx="7">
                  <c:v>602273.92248011334</c:v>
                </c:pt>
                <c:pt idx="8">
                  <c:v>1507773.8455118262</c:v>
                </c:pt>
                <c:pt idx="9">
                  <c:v>1806472.3464482669</c:v>
                </c:pt>
                <c:pt idx="10">
                  <c:v>3632439.9847160256</c:v>
                </c:pt>
                <c:pt idx="11">
                  <c:v>5454277.7847924456</c:v>
                </c:pt>
                <c:pt idx="12">
                  <c:v>5437006.3958684839</c:v>
                </c:pt>
                <c:pt idx="13">
                  <c:v>5419821.363889141</c:v>
                </c:pt>
                <c:pt idx="14">
                  <c:v>5402722.2570696948</c:v>
                </c:pt>
                <c:pt idx="15">
                  <c:v>5385708.6457843464</c:v>
                </c:pt>
                <c:pt idx="16">
                  <c:v>5368780.1025554258</c:v>
                </c:pt>
                <c:pt idx="17">
                  <c:v>5351936.2020426476</c:v>
                </c:pt>
                <c:pt idx="18">
                  <c:v>5335176.521032434</c:v>
                </c:pt>
              </c:numCache>
            </c:numRef>
          </c:val>
          <c:extLst>
            <c:ext xmlns:c16="http://schemas.microsoft.com/office/drawing/2014/chart" uri="{C3380CC4-5D6E-409C-BE32-E72D297353CC}">
              <c16:uniqueId val="{00000005-711A-43E2-9E2C-83167BC4F78F}"/>
            </c:ext>
          </c:extLst>
        </c:ser>
        <c:ser>
          <c:idx val="6"/>
          <c:order val="6"/>
          <c:tx>
            <c:strRef>
              <c:f>'Ch. 3 Tables and Graphs'!$J$147</c:f>
              <c:strCache>
                <c:ptCount val="1"/>
                <c:pt idx="0">
                  <c:v>Anticipated LTP 2032</c:v>
                </c:pt>
              </c:strCache>
            </c:strRef>
          </c:tx>
          <c:spPr>
            <a:solidFill>
              <a:schemeClr val="accent1">
                <a:lumMod val="60000"/>
              </a:schemeClr>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Graphs'!$K$147:$AC$147</c:f>
              <c:numCache>
                <c:formatCode>_(* #,##0_);_(* \(#,##0\);_(* "-"??_);_(@_)</c:formatCode>
                <c:ptCount val="19"/>
                <c:pt idx="1">
                  <c:v>0</c:v>
                </c:pt>
                <c:pt idx="2">
                  <c:v>0</c:v>
                </c:pt>
                <c:pt idx="3">
                  <c:v>0</c:v>
                </c:pt>
                <c:pt idx="4">
                  <c:v>0</c:v>
                </c:pt>
                <c:pt idx="5">
                  <c:v>0</c:v>
                </c:pt>
                <c:pt idx="6">
                  <c:v>0</c:v>
                </c:pt>
                <c:pt idx="7">
                  <c:v>0</c:v>
                </c:pt>
                <c:pt idx="8">
                  <c:v>0</c:v>
                </c:pt>
                <c:pt idx="9">
                  <c:v>602273.92248011334</c:v>
                </c:pt>
                <c:pt idx="10">
                  <c:v>1206636.8842717693</c:v>
                </c:pt>
                <c:pt idx="11">
                  <c:v>1353722.3849324107</c:v>
                </c:pt>
                <c:pt idx="12">
                  <c:v>3181953.7730077486</c:v>
                </c:pt>
                <c:pt idx="13">
                  <c:v>5006044.00414271</c:v>
                </c:pt>
                <c:pt idx="14">
                  <c:v>4991013.7841219958</c:v>
                </c:pt>
                <c:pt idx="15">
                  <c:v>4976058.7152013863</c:v>
                </c:pt>
                <c:pt idx="16">
                  <c:v>4961178.4216253795</c:v>
                </c:pt>
                <c:pt idx="17">
                  <c:v>4946372.529517252</c:v>
                </c:pt>
                <c:pt idx="18">
                  <c:v>4931640.6668696664</c:v>
                </c:pt>
              </c:numCache>
            </c:numRef>
          </c:val>
          <c:extLst>
            <c:ext xmlns:c16="http://schemas.microsoft.com/office/drawing/2014/chart" uri="{C3380CC4-5D6E-409C-BE32-E72D297353CC}">
              <c16:uniqueId val="{00000006-711A-43E2-9E2C-83167BC4F78F}"/>
            </c:ext>
          </c:extLst>
        </c:ser>
        <c:ser>
          <c:idx val="7"/>
          <c:order val="7"/>
          <c:tx>
            <c:strRef>
              <c:f>'Ch. 3 Tables and Graphs'!$J$148</c:f>
              <c:strCache>
                <c:ptCount val="1"/>
                <c:pt idx="0">
                  <c:v>Anticipated LTP 2034</c:v>
                </c:pt>
              </c:strCache>
            </c:strRef>
          </c:tx>
          <c:spPr>
            <a:solidFill>
              <a:schemeClr val="accent2">
                <a:lumMod val="60000"/>
              </a:schemeClr>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Graphs'!$K$148:$AC$148</c:f>
              <c:numCache>
                <c:formatCode>_(* #,##0_);_(* \(#,##0\);_(* "-"??_);_(@_)</c:formatCode>
                <c:ptCount val="19"/>
                <c:pt idx="1">
                  <c:v>0</c:v>
                </c:pt>
                <c:pt idx="2">
                  <c:v>0</c:v>
                </c:pt>
                <c:pt idx="3">
                  <c:v>0</c:v>
                </c:pt>
                <c:pt idx="4">
                  <c:v>0</c:v>
                </c:pt>
                <c:pt idx="5">
                  <c:v>0</c:v>
                </c:pt>
                <c:pt idx="6">
                  <c:v>0</c:v>
                </c:pt>
                <c:pt idx="7">
                  <c:v>0</c:v>
                </c:pt>
                <c:pt idx="8">
                  <c:v>0</c:v>
                </c:pt>
                <c:pt idx="9">
                  <c:v>0</c:v>
                </c:pt>
                <c:pt idx="10">
                  <c:v>0</c:v>
                </c:pt>
                <c:pt idx="11">
                  <c:v>301136.96124005667</c:v>
                </c:pt>
                <c:pt idx="12">
                  <c:v>753886.92275591311</c:v>
                </c:pt>
                <c:pt idx="13">
                  <c:v>903236.17322413344</c:v>
                </c:pt>
                <c:pt idx="14">
                  <c:v>2733719.9923580131</c:v>
                </c:pt>
                <c:pt idx="15">
                  <c:v>4560051.3923962228</c:v>
                </c:pt>
                <c:pt idx="16">
                  <c:v>4547251.135434242</c:v>
                </c:pt>
                <c:pt idx="17">
                  <c:v>4534514.87975707</c:v>
                </c:pt>
                <c:pt idx="18">
                  <c:v>4521842.3053582851</c:v>
                </c:pt>
              </c:numCache>
            </c:numRef>
          </c:val>
          <c:extLst>
            <c:ext xmlns:c16="http://schemas.microsoft.com/office/drawing/2014/chart" uri="{C3380CC4-5D6E-409C-BE32-E72D297353CC}">
              <c16:uniqueId val="{00000007-711A-43E2-9E2C-83167BC4F78F}"/>
            </c:ext>
          </c:extLst>
        </c:ser>
        <c:ser>
          <c:idx val="8"/>
          <c:order val="8"/>
          <c:tx>
            <c:strRef>
              <c:f>'Ch. 3 Tables and Graphs'!$J$149</c:f>
              <c:strCache>
                <c:ptCount val="1"/>
                <c:pt idx="0">
                  <c:v>Anticipated LTP 2036</c:v>
                </c:pt>
              </c:strCache>
            </c:strRef>
          </c:tx>
          <c:spPr>
            <a:solidFill>
              <a:schemeClr val="accent3">
                <a:lumMod val="60000"/>
              </a:schemeClr>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Graphs'!$K$149:$AC$149</c:f>
              <c:numCache>
                <c:formatCode>_(* #,##0_);_(* \(#,##0\);_(* "-"??_);_(@_)</c:formatCode>
                <c:ptCount val="19"/>
                <c:pt idx="1">
                  <c:v>0</c:v>
                </c:pt>
                <c:pt idx="2">
                  <c:v>0</c:v>
                </c:pt>
                <c:pt idx="3">
                  <c:v>0</c:v>
                </c:pt>
                <c:pt idx="4">
                  <c:v>0</c:v>
                </c:pt>
                <c:pt idx="5">
                  <c:v>0</c:v>
                </c:pt>
                <c:pt idx="6">
                  <c:v>0</c:v>
                </c:pt>
                <c:pt idx="7">
                  <c:v>0</c:v>
                </c:pt>
                <c:pt idx="8">
                  <c:v>0</c:v>
                </c:pt>
                <c:pt idx="9">
                  <c:v>0</c:v>
                </c:pt>
                <c:pt idx="10">
                  <c:v>0</c:v>
                </c:pt>
                <c:pt idx="11">
                  <c:v>0</c:v>
                </c:pt>
                <c:pt idx="12">
                  <c:v>0</c:v>
                </c:pt>
                <c:pt idx="13">
                  <c:v>301136.96124005667</c:v>
                </c:pt>
                <c:pt idx="14">
                  <c:v>753886.92275591311</c:v>
                </c:pt>
                <c:pt idx="15">
                  <c:v>903236.17322413344</c:v>
                </c:pt>
                <c:pt idx="16">
                  <c:v>2733719.9923580131</c:v>
                </c:pt>
                <c:pt idx="17">
                  <c:v>4560051.3923962228</c:v>
                </c:pt>
                <c:pt idx="18">
                  <c:v>4547251.135434242</c:v>
                </c:pt>
              </c:numCache>
            </c:numRef>
          </c:val>
          <c:extLst>
            <c:ext xmlns:c16="http://schemas.microsoft.com/office/drawing/2014/chart" uri="{C3380CC4-5D6E-409C-BE32-E72D297353CC}">
              <c16:uniqueId val="{00000008-711A-43E2-9E2C-83167BC4F78F}"/>
            </c:ext>
          </c:extLst>
        </c:ser>
        <c:ser>
          <c:idx val="9"/>
          <c:order val="9"/>
          <c:tx>
            <c:strRef>
              <c:f>'Ch. 3 Tables and Graphs'!$J$150</c:f>
              <c:strCache>
                <c:ptCount val="1"/>
                <c:pt idx="0">
                  <c:v>Anticipated LTP 2038</c:v>
                </c:pt>
              </c:strCache>
            </c:strRef>
          </c:tx>
          <c:spPr>
            <a:solidFill>
              <a:schemeClr val="accent4">
                <a:lumMod val="60000"/>
              </a:schemeClr>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Graphs'!$K$150:$AC$150</c:f>
              <c:numCache>
                <c:formatCode>_(* #,##0_);_(* \(#,##0\);_(* "-"??_);_(@_)</c:formatCode>
                <c:ptCount val="19"/>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301136.96124005667</c:v>
                </c:pt>
                <c:pt idx="16">
                  <c:v>753886.92275591311</c:v>
                </c:pt>
                <c:pt idx="17">
                  <c:v>903236.17322413344</c:v>
                </c:pt>
                <c:pt idx="18">
                  <c:v>2733719.9923580131</c:v>
                </c:pt>
              </c:numCache>
            </c:numRef>
          </c:val>
          <c:extLst>
            <c:ext xmlns:c16="http://schemas.microsoft.com/office/drawing/2014/chart" uri="{C3380CC4-5D6E-409C-BE32-E72D297353CC}">
              <c16:uniqueId val="{00000009-711A-43E2-9E2C-83167BC4F78F}"/>
            </c:ext>
          </c:extLst>
        </c:ser>
        <c:ser>
          <c:idx val="10"/>
          <c:order val="10"/>
          <c:tx>
            <c:strRef>
              <c:f>'Ch. 3 Tables and Graphs'!$J$151</c:f>
              <c:strCache>
                <c:ptCount val="1"/>
                <c:pt idx="0">
                  <c:v>Anticipated LTP 2040</c:v>
                </c:pt>
              </c:strCache>
            </c:strRef>
          </c:tx>
          <c:spPr>
            <a:solidFill>
              <a:schemeClr val="accent5">
                <a:lumMod val="60000"/>
              </a:schemeClr>
            </a:solidFill>
            <a:ln>
              <a:noFill/>
            </a:ln>
            <a:effectLst/>
          </c:spP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Graphs'!$K$151:$AC$151</c:f>
              <c:numCache>
                <c:formatCode>_(* #,##0_);_(* \(#,##0\);_(* "-"??_);_(@_)</c:formatCode>
                <c:ptCount val="19"/>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602273.92248011334</c:v>
                </c:pt>
                <c:pt idx="18">
                  <c:v>905499.92303171277</c:v>
                </c:pt>
              </c:numCache>
            </c:numRef>
          </c:val>
          <c:extLst>
            <c:ext xmlns:c16="http://schemas.microsoft.com/office/drawing/2014/chart" uri="{C3380CC4-5D6E-409C-BE32-E72D297353CC}">
              <c16:uniqueId val="{0000000A-711A-43E2-9E2C-83167BC4F78F}"/>
            </c:ext>
          </c:extLst>
        </c:ser>
        <c:dLbls>
          <c:showLegendKey val="0"/>
          <c:showVal val="0"/>
          <c:showCatName val="0"/>
          <c:showSerName val="0"/>
          <c:showPercent val="0"/>
          <c:showBubbleSize val="0"/>
        </c:dLbls>
        <c:axId val="695829176"/>
        <c:axId val="695828456"/>
      </c:areaChart>
      <c:lineChart>
        <c:grouping val="standard"/>
        <c:varyColors val="0"/>
        <c:ser>
          <c:idx val="11"/>
          <c:order val="11"/>
          <c:tx>
            <c:strRef>
              <c:f>'Ch. 3 Tables and Graphs'!$J$152</c:f>
              <c:strCache>
                <c:ptCount val="1"/>
                <c:pt idx="0">
                  <c:v> RPS Target Amount </c:v>
                </c:pt>
              </c:strCache>
            </c:strRef>
          </c:tx>
          <c:spPr>
            <a:ln w="28575" cap="rnd">
              <a:solidFill>
                <a:schemeClr val="accent6">
                  <a:lumMod val="60000"/>
                </a:schemeClr>
              </a:solidFill>
              <a:round/>
            </a:ln>
            <a:effectLst/>
          </c:spPr>
          <c:marker>
            <c:symbol val="none"/>
          </c:marker>
          <c:cat>
            <c:strRef>
              <c:f>'Ch. 3 Tables and Graphs'!$K$140:$AC$140</c:f>
              <c:strCache>
                <c:ptCount val="19"/>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pt idx="17">
                  <c:v>2041-42</c:v>
                </c:pt>
                <c:pt idx="18">
                  <c:v>2042-43</c:v>
                </c:pt>
              </c:strCache>
            </c:strRef>
          </c:cat>
          <c:val>
            <c:numRef>
              <c:f>'Ch. 3 Tables and Graphs'!$K$152:$AC$152</c:f>
              <c:numCache>
                <c:formatCode>_(* #,##0_);_(* \(#,##0\);_(* "-"??_);_(@_)</c:formatCode>
                <c:ptCount val="19"/>
                <c:pt idx="0">
                  <c:v>27600405.588387385</c:v>
                </c:pt>
                <c:pt idx="1">
                  <c:v>29002290.034856889</c:v>
                </c:pt>
                <c:pt idx="2" formatCode="General">
                  <c:v>32271366.637528446</c:v>
                </c:pt>
                <c:pt idx="3" formatCode="General">
                  <c:v>35668466.102237098</c:v>
                </c:pt>
                <c:pt idx="4" formatCode="General">
                  <c:v>39219696.579589069</c:v>
                </c:pt>
                <c:pt idx="5" formatCode="General">
                  <c:v>42714576.506556571</c:v>
                </c:pt>
                <c:pt idx="6" formatCode="General">
                  <c:v>46451375.958900839</c:v>
                </c:pt>
                <c:pt idx="7" formatCode="General">
                  <c:v>47763046.369001523</c:v>
                </c:pt>
                <c:pt idx="8" formatCode="General">
                  <c:v>49157149.335623778</c:v>
                </c:pt>
                <c:pt idx="9" formatCode="General">
                  <c:v>50422454.053407259</c:v>
                </c:pt>
                <c:pt idx="10" formatCode="General">
                  <c:v>51819398.992800236</c:v>
                </c:pt>
                <c:pt idx="11" formatCode="General">
                  <c:v>53183157.834484629</c:v>
                </c:pt>
                <c:pt idx="12" formatCode="General">
                  <c:v>54619816.175018631</c:v>
                </c:pt>
                <c:pt idx="13" formatCode="General">
                  <c:v>55968808.33996474</c:v>
                </c:pt>
                <c:pt idx="14" formatCode="General">
                  <c:v>57495269.951376133</c:v>
                </c:pt>
                <c:pt idx="15" formatCode="General">
                  <c:v>59011627.267375305</c:v>
                </c:pt>
                <c:pt idx="16" formatCode="General">
                  <c:v>60610591.166864343</c:v>
                </c:pt>
                <c:pt idx="17" formatCode="General">
                  <c:v>60794608.347521521</c:v>
                </c:pt>
                <c:pt idx="18" formatCode="General">
                  <c:v>60982050.779746927</c:v>
                </c:pt>
              </c:numCache>
            </c:numRef>
          </c:val>
          <c:smooth val="0"/>
          <c:extLst>
            <c:ext xmlns:c16="http://schemas.microsoft.com/office/drawing/2014/chart" uri="{C3380CC4-5D6E-409C-BE32-E72D297353CC}">
              <c16:uniqueId val="{0000000B-711A-43E2-9E2C-83167BC4F78F}"/>
            </c:ext>
          </c:extLst>
        </c:ser>
        <c:dLbls>
          <c:showLegendKey val="0"/>
          <c:showVal val="0"/>
          <c:showCatName val="0"/>
          <c:showSerName val="0"/>
          <c:showPercent val="0"/>
          <c:showBubbleSize val="0"/>
        </c:dLbls>
        <c:marker val="1"/>
        <c:smooth val="0"/>
        <c:axId val="695829176"/>
        <c:axId val="695828456"/>
      </c:lineChart>
      <c:catAx>
        <c:axId val="6958291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5828456"/>
        <c:crosses val="autoZero"/>
        <c:auto val="1"/>
        <c:lblAlgn val="ctr"/>
        <c:lblOffset val="100"/>
        <c:noMultiLvlLbl val="0"/>
      </c:catAx>
      <c:valAx>
        <c:axId val="695828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58291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Projected RPS Expenses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459949205034911"/>
          <c:y val="8.2637438813406378E-2"/>
          <c:w val="0.88540050794965086"/>
          <c:h val="0.74388625450939416"/>
        </c:manualLayout>
      </c:layout>
      <c:barChart>
        <c:barDir val="col"/>
        <c:grouping val="stacked"/>
        <c:varyColors val="0"/>
        <c:ser>
          <c:idx val="3"/>
          <c:order val="0"/>
          <c:tx>
            <c:strRef>
              <c:f>'$ Tables and Graphs'!$Y$3</c:f>
              <c:strCache>
                <c:ptCount val="1"/>
                <c:pt idx="0">
                  <c:v>Set Asides</c:v>
                </c:pt>
              </c:strCache>
            </c:strRef>
          </c:tx>
          <c:spPr>
            <a:solidFill>
              <a:schemeClr val="bg2"/>
            </a:solidFill>
            <a:ln>
              <a:noFill/>
            </a:ln>
            <a:effectLst/>
          </c:spPr>
          <c:invertIfNegative val="0"/>
          <c:cat>
            <c:strRef>
              <c:f>'$ Tables and Graphs'!$T$4:$T$26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Graphs'!$Y$4:$Y$26</c:f>
              <c:numCache>
                <c:formatCode>"$"#,##0_);[Red]\("$"#,##0\)</c:formatCode>
                <c:ptCount val="23"/>
                <c:pt idx="0">
                  <c:v>18018880.058405567</c:v>
                </c:pt>
                <c:pt idx="1">
                  <c:v>83942135.092404008</c:v>
                </c:pt>
                <c:pt idx="2">
                  <c:v>67623889.800951704</c:v>
                </c:pt>
                <c:pt idx="3">
                  <c:v>67322647.088471591</c:v>
                </c:pt>
                <c:pt idx="4">
                  <c:v>87208829.557390258</c:v>
                </c:pt>
                <c:pt idx="5">
                  <c:v>67147929.289274544</c:v>
                </c:pt>
                <c:pt idx="6">
                  <c:v>66888811.399599314</c:v>
                </c:pt>
                <c:pt idx="7">
                  <c:v>86862404.659270331</c:v>
                </c:pt>
                <c:pt idx="8">
                  <c:v>66906426.967615873</c:v>
                </c:pt>
                <c:pt idx="9">
                  <c:v>66920397.125927687</c:v>
                </c:pt>
                <c:pt idx="10">
                  <c:v>87023386.929470733</c:v>
                </c:pt>
                <c:pt idx="11">
                  <c:v>67120451.256649822</c:v>
                </c:pt>
                <c:pt idx="12">
                  <c:v>67234402.603198841</c:v>
                </c:pt>
                <c:pt idx="13">
                  <c:v>67289396.046359867</c:v>
                </c:pt>
                <c:pt idx="14">
                  <c:v>67378693.799014568</c:v>
                </c:pt>
                <c:pt idx="15">
                  <c:v>67444210.839039311</c:v>
                </c:pt>
                <c:pt idx="16">
                  <c:v>67522169.66182524</c:v>
                </c:pt>
                <c:pt idx="17">
                  <c:v>67559698.762090176</c:v>
                </c:pt>
                <c:pt idx="18">
                  <c:v>67642751.566603482</c:v>
                </c:pt>
                <c:pt idx="19">
                  <c:v>67710238.723197311</c:v>
                </c:pt>
                <c:pt idx="20">
                  <c:v>67790826.711418763</c:v>
                </c:pt>
                <c:pt idx="21">
                  <c:v>67846294.061737657</c:v>
                </c:pt>
                <c:pt idx="22">
                  <c:v>67902792.45759207</c:v>
                </c:pt>
              </c:numCache>
            </c:numRef>
          </c:val>
          <c:extLst>
            <c:ext xmlns:c16="http://schemas.microsoft.com/office/drawing/2014/chart" uri="{C3380CC4-5D6E-409C-BE32-E72D297353CC}">
              <c16:uniqueId val="{00000000-2553-479C-8535-85E23C6CAD83}"/>
            </c:ext>
          </c:extLst>
        </c:ser>
        <c:ser>
          <c:idx val="4"/>
          <c:order val="1"/>
          <c:tx>
            <c:strRef>
              <c:f>'$ Tables and Graphs'!$U$3</c:f>
              <c:strCache>
                <c:ptCount val="1"/>
                <c:pt idx="0">
                  <c:v>Under Contract</c:v>
                </c:pt>
              </c:strCache>
            </c:strRef>
          </c:tx>
          <c:spPr>
            <a:solidFill>
              <a:schemeClr val="accent5"/>
            </a:solidFill>
            <a:ln>
              <a:noFill/>
            </a:ln>
            <a:effectLst/>
          </c:spPr>
          <c:invertIfNegative val="0"/>
          <c:cat>
            <c:strRef>
              <c:f>'$ Tables and Graphs'!$T$4:$T$26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Graphs'!$U$4:$U$26</c:f>
              <c:numCache>
                <c:formatCode>"$"#,##0_);[Red]\("$"#,##0\)</c:formatCode>
                <c:ptCount val="23"/>
                <c:pt idx="0">
                  <c:v>252812797.56071144</c:v>
                </c:pt>
                <c:pt idx="1">
                  <c:v>250269525.24051452</c:v>
                </c:pt>
                <c:pt idx="2">
                  <c:v>301314634.21774334</c:v>
                </c:pt>
                <c:pt idx="3">
                  <c:v>514848789.13291961</c:v>
                </c:pt>
                <c:pt idx="4">
                  <c:v>415844412.51762962</c:v>
                </c:pt>
                <c:pt idx="5">
                  <c:v>545004078.00921476</c:v>
                </c:pt>
                <c:pt idx="6">
                  <c:v>442384377.12599903</c:v>
                </c:pt>
                <c:pt idx="7">
                  <c:v>400113716.42969835</c:v>
                </c:pt>
                <c:pt idx="8">
                  <c:v>374839569.18385422</c:v>
                </c:pt>
                <c:pt idx="9">
                  <c:v>362517798.18232417</c:v>
                </c:pt>
                <c:pt idx="10">
                  <c:v>349361628.89332199</c:v>
                </c:pt>
                <c:pt idx="11">
                  <c:v>326622801.40768045</c:v>
                </c:pt>
                <c:pt idx="12">
                  <c:v>283411603.63475013</c:v>
                </c:pt>
                <c:pt idx="13">
                  <c:v>237289656.6851154</c:v>
                </c:pt>
                <c:pt idx="14">
                  <c:v>228128898.24539453</c:v>
                </c:pt>
                <c:pt idx="15">
                  <c:v>215468460.28770864</c:v>
                </c:pt>
                <c:pt idx="16">
                  <c:v>196924360.81039086</c:v>
                </c:pt>
                <c:pt idx="17">
                  <c:v>182453721.73904365</c:v>
                </c:pt>
                <c:pt idx="18">
                  <c:v>174538517.27020448</c:v>
                </c:pt>
                <c:pt idx="19">
                  <c:v>167170732.5630171</c:v>
                </c:pt>
                <c:pt idx="20">
                  <c:v>159436160.89492184</c:v>
                </c:pt>
                <c:pt idx="21">
                  <c:v>151762063.12292013</c:v>
                </c:pt>
                <c:pt idx="22">
                  <c:v>54293433.867397621</c:v>
                </c:pt>
              </c:numCache>
            </c:numRef>
          </c:val>
          <c:extLst>
            <c:ext xmlns:c16="http://schemas.microsoft.com/office/drawing/2014/chart" uri="{C3380CC4-5D6E-409C-BE32-E72D297353CC}">
              <c16:uniqueId val="{00000001-2553-479C-8535-85E23C6CAD83}"/>
            </c:ext>
          </c:extLst>
        </c:ser>
        <c:ser>
          <c:idx val="0"/>
          <c:order val="2"/>
          <c:tx>
            <c:strRef>
              <c:f>'$ Tables and Graphs'!$V$3</c:f>
              <c:strCache>
                <c:ptCount val="1"/>
                <c:pt idx="0">
                  <c:v>23 In Progress</c:v>
                </c:pt>
              </c:strCache>
            </c:strRef>
          </c:tx>
          <c:spPr>
            <a:solidFill>
              <a:schemeClr val="accent2"/>
            </a:solidFill>
            <a:ln>
              <a:noFill/>
            </a:ln>
            <a:effectLst/>
          </c:spPr>
          <c:invertIfNegative val="0"/>
          <c:cat>
            <c:strRef>
              <c:f>'$ Tables and Graphs'!$T$4:$T$26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Graphs'!$V$4:$V$26</c:f>
              <c:numCache>
                <c:formatCode>"$"#,##0_);[Red]\("$"#,##0\)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2553-479C-8535-85E23C6CAD83}"/>
            </c:ext>
          </c:extLst>
        </c:ser>
        <c:ser>
          <c:idx val="1"/>
          <c:order val="3"/>
          <c:tx>
            <c:strRef>
              <c:f>'$ Tables and Graphs'!$W$3</c:f>
              <c:strCache>
                <c:ptCount val="1"/>
                <c:pt idx="0">
                  <c:v>24 Plan (projected)</c:v>
                </c:pt>
              </c:strCache>
            </c:strRef>
          </c:tx>
          <c:spPr>
            <a:solidFill>
              <a:schemeClr val="accent2">
                <a:lumMod val="75000"/>
              </a:schemeClr>
            </a:solidFill>
            <a:ln>
              <a:noFill/>
            </a:ln>
            <a:effectLst/>
          </c:spPr>
          <c:invertIfNegative val="0"/>
          <c:cat>
            <c:strRef>
              <c:f>'$ Tables and Graphs'!$T$4:$T$26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Graphs'!$W$4:$W$26</c:f>
              <c:numCache>
                <c:formatCode>"$"#,##0_);[Red]\("$"#,##0\)</c:formatCode>
                <c:ptCount val="23"/>
                <c:pt idx="0">
                  <c:v>0</c:v>
                </c:pt>
                <c:pt idx="1">
                  <c:v>0</c:v>
                </c:pt>
                <c:pt idx="2">
                  <c:v>0</c:v>
                </c:pt>
                <c:pt idx="3">
                  <c:v>0</c:v>
                </c:pt>
                <c:pt idx="4">
                  <c:v>0</c:v>
                </c:pt>
                <c:pt idx="5">
                  <c:v>0</c:v>
                </c:pt>
                <c:pt idx="6">
                  <c:v>204284231.95154271</c:v>
                </c:pt>
                <c:pt idx="7">
                  <c:v>355629652.78074044</c:v>
                </c:pt>
                <c:pt idx="8">
                  <c:v>211386246.42050368</c:v>
                </c:pt>
                <c:pt idx="9">
                  <c:v>207336815.10472474</c:v>
                </c:pt>
                <c:pt idx="10">
                  <c:v>201888135.36493108</c:v>
                </c:pt>
                <c:pt idx="11">
                  <c:v>196822211.84238029</c:v>
                </c:pt>
                <c:pt idx="12">
                  <c:v>197368823.85208559</c:v>
                </c:pt>
                <c:pt idx="13">
                  <c:v>160961600.05732954</c:v>
                </c:pt>
                <c:pt idx="14">
                  <c:v>119752331.12859929</c:v>
                </c:pt>
                <c:pt idx="15">
                  <c:v>110087363.44081269</c:v>
                </c:pt>
                <c:pt idx="16">
                  <c:v>105503454.55051669</c:v>
                </c:pt>
                <c:pt idx="17">
                  <c:v>102053095.73580331</c:v>
                </c:pt>
                <c:pt idx="18">
                  <c:v>97773520.188038558</c:v>
                </c:pt>
                <c:pt idx="19">
                  <c:v>93827757.838770658</c:v>
                </c:pt>
                <c:pt idx="20">
                  <c:v>90151765.910062924</c:v>
                </c:pt>
                <c:pt idx="21">
                  <c:v>86290528.319301993</c:v>
                </c:pt>
                <c:pt idx="22">
                  <c:v>82456403.041873693</c:v>
                </c:pt>
              </c:numCache>
            </c:numRef>
          </c:val>
          <c:extLst>
            <c:ext xmlns:c16="http://schemas.microsoft.com/office/drawing/2014/chart" uri="{C3380CC4-5D6E-409C-BE32-E72D297353CC}">
              <c16:uniqueId val="{00000003-2553-479C-8535-85E23C6CAD83}"/>
            </c:ext>
          </c:extLst>
        </c:ser>
        <c:ser>
          <c:idx val="2"/>
          <c:order val="4"/>
          <c:tx>
            <c:strRef>
              <c:f>'$ Tables and Graphs'!$X$3</c:f>
              <c:strCache>
                <c:ptCount val="1"/>
                <c:pt idx="0">
                  <c:v>Future Plans (projected)</c:v>
                </c:pt>
              </c:strCache>
            </c:strRef>
          </c:tx>
          <c:spPr>
            <a:solidFill>
              <a:schemeClr val="accent4"/>
            </a:solidFill>
            <a:ln>
              <a:noFill/>
            </a:ln>
            <a:effectLst/>
          </c:spPr>
          <c:invertIfNegative val="0"/>
          <c:cat>
            <c:strRef>
              <c:f>'$ Tables and Graphs'!$T$4:$T$26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Graphs'!$X$4:$X$26</c:f>
              <c:numCache>
                <c:formatCode>"$"#,##0_);[Red]\("$"#,##0\)</c:formatCode>
                <c:ptCount val="23"/>
                <c:pt idx="0">
                  <c:v>0</c:v>
                </c:pt>
                <c:pt idx="1">
                  <c:v>0</c:v>
                </c:pt>
                <c:pt idx="2">
                  <c:v>0</c:v>
                </c:pt>
                <c:pt idx="3">
                  <c:v>0</c:v>
                </c:pt>
                <c:pt idx="4">
                  <c:v>0</c:v>
                </c:pt>
                <c:pt idx="5">
                  <c:v>0</c:v>
                </c:pt>
                <c:pt idx="6">
                  <c:v>0</c:v>
                </c:pt>
                <c:pt idx="7">
                  <c:v>0</c:v>
                </c:pt>
                <c:pt idx="8">
                  <c:v>188268348.16654176</c:v>
                </c:pt>
                <c:pt idx="9">
                  <c:v>286545621.04256403</c:v>
                </c:pt>
                <c:pt idx="10">
                  <c:v>369585667.7329179</c:v>
                </c:pt>
                <c:pt idx="11">
                  <c:v>431942375.15244353</c:v>
                </c:pt>
                <c:pt idx="12">
                  <c:v>509353766.42587763</c:v>
                </c:pt>
                <c:pt idx="13">
                  <c:v>555922953.87204468</c:v>
                </c:pt>
                <c:pt idx="14">
                  <c:v>592649812.34071672</c:v>
                </c:pt>
                <c:pt idx="15">
                  <c:v>517278485.65358102</c:v>
                </c:pt>
                <c:pt idx="16">
                  <c:v>483682218.95050079</c:v>
                </c:pt>
                <c:pt idx="17">
                  <c:v>454693067.64240253</c:v>
                </c:pt>
                <c:pt idx="18">
                  <c:v>415426777.44821393</c:v>
                </c:pt>
                <c:pt idx="19">
                  <c:v>374963877.49786043</c:v>
                </c:pt>
                <c:pt idx="20">
                  <c:v>333238421.0119369</c:v>
                </c:pt>
                <c:pt idx="21">
                  <c:v>285955128.42056578</c:v>
                </c:pt>
                <c:pt idx="22">
                  <c:v>299771211.25228387</c:v>
                </c:pt>
              </c:numCache>
            </c:numRef>
          </c:val>
          <c:extLst>
            <c:ext xmlns:c16="http://schemas.microsoft.com/office/drawing/2014/chart" uri="{C3380CC4-5D6E-409C-BE32-E72D297353CC}">
              <c16:uniqueId val="{00000004-2553-479C-8535-85E23C6CAD83}"/>
            </c:ext>
          </c:extLst>
        </c:ser>
        <c:dLbls>
          <c:showLegendKey val="0"/>
          <c:showVal val="0"/>
          <c:showCatName val="0"/>
          <c:showSerName val="0"/>
          <c:showPercent val="0"/>
          <c:showBubbleSize val="0"/>
        </c:dLbls>
        <c:gapWidth val="150"/>
        <c:overlap val="100"/>
        <c:axId val="590624800"/>
        <c:axId val="590625784"/>
      </c:barChart>
      <c:lineChart>
        <c:grouping val="standard"/>
        <c:varyColors val="0"/>
        <c:ser>
          <c:idx val="5"/>
          <c:order val="5"/>
          <c:tx>
            <c:strRef>
              <c:f>'$ Tables and Graphs'!$Z$3</c:f>
              <c:strCache>
                <c:ptCount val="1"/>
                <c:pt idx="0">
                  <c:v>Year-End RPS Balance</c:v>
                </c:pt>
              </c:strCache>
            </c:strRef>
          </c:tx>
          <c:spPr>
            <a:ln w="28575" cap="rnd">
              <a:noFill/>
              <a:round/>
            </a:ln>
            <a:effectLst/>
          </c:spPr>
          <c:marker>
            <c:symbol val="dash"/>
            <c:size val="20"/>
            <c:spPr>
              <a:solidFill>
                <a:schemeClr val="accent6"/>
              </a:solidFill>
              <a:ln w="9525">
                <a:solidFill>
                  <a:schemeClr val="accent6"/>
                </a:solidFill>
              </a:ln>
              <a:effectLst/>
            </c:spPr>
          </c:marker>
          <c:cat>
            <c:strRef>
              <c:f>'$ Tables and Graphs'!$T$4:$T$26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Graphs'!$Z$4:$Z$26</c:f>
              <c:numCache>
                <c:formatCode>"$"#,##0_);[Red]\("$"#,##0\)</c:formatCode>
                <c:ptCount val="23"/>
                <c:pt idx="0">
                  <c:v>293790554.98094952</c:v>
                </c:pt>
                <c:pt idx="1">
                  <c:v>248194878.09190208</c:v>
                </c:pt>
                <c:pt idx="2">
                  <c:v>388721054.17245066</c:v>
                </c:pt>
                <c:pt idx="3">
                  <c:v>607245523.51881266</c:v>
                </c:pt>
                <c:pt idx="4">
                  <c:v>602495656.91314125</c:v>
                </c:pt>
                <c:pt idx="5">
                  <c:v>478785834.79958737</c:v>
                </c:pt>
                <c:pt idx="6">
                  <c:v>333861421.2501756</c:v>
                </c:pt>
                <c:pt idx="7">
                  <c:v>117032966.29143178</c:v>
                </c:pt>
                <c:pt idx="8">
                  <c:v>-117085201.47781885</c:v>
                </c:pt>
                <c:pt idx="9">
                  <c:v>-414522340.76323557</c:v>
                </c:pt>
                <c:pt idx="10">
                  <c:v>-788830400.85972083</c:v>
                </c:pt>
                <c:pt idx="11">
                  <c:v>-1229300252.7246542</c:v>
                </c:pt>
                <c:pt idx="12">
                  <c:v>-1616543944.9908264</c:v>
                </c:pt>
                <c:pt idx="13">
                  <c:v>-2027357235.8580136</c:v>
                </c:pt>
                <c:pt idx="14">
                  <c:v>-2327761805.0748463</c:v>
                </c:pt>
                <c:pt idx="15">
                  <c:v>-2592192961.1482263</c:v>
                </c:pt>
                <c:pt idx="16">
                  <c:v>-2808764837.8001537</c:v>
                </c:pt>
                <c:pt idx="17">
                  <c:v>-2966460104.0134473</c:v>
                </c:pt>
                <c:pt idx="18">
                  <c:v>-3076572806.5201778</c:v>
                </c:pt>
                <c:pt idx="19">
                  <c:v>-3132758032.7611189</c:v>
                </c:pt>
                <c:pt idx="20">
                  <c:v>-3135245159.3643899</c:v>
                </c:pt>
                <c:pt idx="21">
                  <c:v>-3093835104.2570462</c:v>
                </c:pt>
                <c:pt idx="22">
                  <c:v>-2953892466.4579778</c:v>
                </c:pt>
              </c:numCache>
            </c:numRef>
          </c:val>
          <c:smooth val="0"/>
          <c:extLst>
            <c:ext xmlns:c16="http://schemas.microsoft.com/office/drawing/2014/chart" uri="{C3380CC4-5D6E-409C-BE32-E72D297353CC}">
              <c16:uniqueId val="{00000005-2553-479C-8535-85E23C6CAD83}"/>
            </c:ext>
          </c:extLst>
        </c:ser>
        <c:dLbls>
          <c:showLegendKey val="0"/>
          <c:showVal val="0"/>
          <c:showCatName val="0"/>
          <c:showSerName val="0"/>
          <c:showPercent val="0"/>
          <c:showBubbleSize val="0"/>
        </c:dLbls>
        <c:marker val="1"/>
        <c:smooth val="0"/>
        <c:axId val="590624800"/>
        <c:axId val="590625784"/>
      </c:lineChart>
      <c:catAx>
        <c:axId val="590624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0625784"/>
        <c:crosses val="autoZero"/>
        <c:auto val="1"/>
        <c:lblAlgn val="ctr"/>
        <c:lblOffset val="100"/>
        <c:noMultiLvlLbl val="0"/>
      </c:catAx>
      <c:valAx>
        <c:axId val="59062578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0624800"/>
        <c:crosses val="autoZero"/>
        <c:crossBetween val="between"/>
      </c:valAx>
      <c:spPr>
        <a:noFill/>
        <a:ln>
          <a:noFill/>
        </a:ln>
        <a:effectLst/>
      </c:spPr>
    </c:plotArea>
    <c:legend>
      <c:legendPos val="b"/>
      <c:legendEntry>
        <c:idx val="2"/>
        <c:delete val="1"/>
      </c:legendEntry>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153150" cy="9095054"/>
    <xdr:sp macro="" textlink="">
      <xdr:nvSpPr>
        <xdr:cNvPr id="2" name="TextBox 1">
          <a:extLst>
            <a:ext uri="{FF2B5EF4-FFF2-40B4-BE49-F238E27FC236}">
              <a16:creationId xmlns:a16="http://schemas.microsoft.com/office/drawing/2014/main" id="{6917C4A5-53B4-47A7-9714-8679422F431A}"/>
            </a:ext>
          </a:extLst>
        </xdr:cNvPr>
        <xdr:cNvSpPr txBox="1"/>
      </xdr:nvSpPr>
      <xdr:spPr>
        <a:xfrm>
          <a:off x="0" y="0"/>
          <a:ext cx="6153150" cy="90950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u="sng">
              <a:solidFill>
                <a:schemeClr val="tx1"/>
              </a:solidFill>
              <a:effectLst/>
              <a:latin typeface="+mn-lt"/>
              <a:ea typeface="+mn-ea"/>
              <a:cs typeface="+mn-cs"/>
            </a:rPr>
            <a:t>Appendix</a:t>
          </a:r>
          <a:r>
            <a:rPr lang="en-US" sz="1100" b="1" u="sng" baseline="0">
              <a:solidFill>
                <a:schemeClr val="tx1"/>
              </a:solidFill>
              <a:effectLst/>
              <a:latin typeface="+mn-lt"/>
              <a:ea typeface="+mn-ea"/>
              <a:cs typeface="+mn-cs"/>
            </a:rPr>
            <a:t> B</a:t>
          </a:r>
          <a:r>
            <a:rPr lang="en-US" sz="1100" b="1" u="sng">
              <a:solidFill>
                <a:schemeClr val="tx1"/>
              </a:solidFill>
              <a:effectLst/>
              <a:latin typeface="+mn-lt"/>
              <a:ea typeface="+mn-ea"/>
              <a:cs typeface="+mn-cs"/>
            </a:rPr>
            <a:t> Annotation by Tab</a:t>
          </a:r>
        </a:p>
        <a:p>
          <a:endParaRPr lang="en-US" sz="1400">
            <a:effectLst/>
          </a:endParaRPr>
        </a:p>
        <a:p>
          <a:r>
            <a:rPr lang="en-US" sz="1100" b="1" u="sng">
              <a:solidFill>
                <a:schemeClr val="tx1"/>
              </a:solidFill>
              <a:effectLst/>
              <a:latin typeface="+mn-lt"/>
              <a:ea typeface="+mn-ea"/>
              <a:cs typeface="+mn-cs"/>
            </a:rPr>
            <a:t>Collections and ACP</a:t>
          </a:r>
          <a:endParaRPr lang="en-US">
            <a:effectLst/>
          </a:endParaRPr>
        </a:p>
        <a:p>
          <a:r>
            <a:rPr lang="en-US" sz="1100">
              <a:solidFill>
                <a:schemeClr val="tx1"/>
              </a:solidFill>
              <a:effectLst/>
              <a:latin typeface="+mn-lt"/>
              <a:ea typeface="+mn-ea"/>
              <a:cs typeface="+mn-cs"/>
            </a:rPr>
            <a:t>This tab contains tables that show the Total Applicable Reference Year Delivered Volumes provided by each Utility, the RPS Rate Cap cost per MWh determined in law and the resulting Delivery Year RPS Budget. This tab also includes tables showing Net Available ACPs for each Utility as of </a:t>
          </a:r>
          <a:r>
            <a:rPr lang="en-US" sz="1100" u="none">
              <a:solidFill>
                <a:schemeClr val="tx1"/>
              </a:solidFill>
              <a:effectLst/>
              <a:latin typeface="+mn-lt"/>
              <a:ea typeface="+mn-ea"/>
              <a:cs typeface="+mn-cs"/>
            </a:rPr>
            <a:t>August</a:t>
          </a:r>
          <a:r>
            <a:rPr lang="en-US" sz="1100" u="none" baseline="0">
              <a:solidFill>
                <a:schemeClr val="tx1"/>
              </a:solidFill>
              <a:effectLst/>
              <a:latin typeface="+mn-lt"/>
              <a:ea typeface="+mn-ea"/>
              <a:cs typeface="+mn-cs"/>
            </a:rPr>
            <a:t> 2023</a:t>
          </a:r>
          <a:r>
            <a:rPr lang="en-US" sz="1100">
              <a:solidFill>
                <a:schemeClr val="tx1"/>
              </a:solidFill>
              <a:effectLst/>
              <a:latin typeface="+mn-lt"/>
              <a:ea typeface="+mn-ea"/>
              <a:cs typeface="+mn-cs"/>
            </a:rPr>
            <a:t>, and the annual Delivery Year RPS Utility balance.</a:t>
          </a:r>
          <a:endParaRPr lang="en-US">
            <a:effectLst/>
          </a:endParaRPr>
        </a:p>
        <a:p>
          <a:r>
            <a:rPr lang="en-US" sz="1100">
              <a:solidFill>
                <a:schemeClr val="tx1"/>
              </a:solidFill>
              <a:effectLst/>
              <a:latin typeface="+mn-lt"/>
              <a:ea typeface="+mn-ea"/>
              <a:cs typeface="+mn-cs"/>
            </a:rPr>
            <a:t> </a:t>
          </a:r>
          <a:endParaRPr lang="en-US" sz="1100" b="1" u="sng">
            <a:solidFill>
              <a:schemeClr val="tx1"/>
            </a:solidFill>
            <a:effectLst/>
            <a:latin typeface="+mn-lt"/>
            <a:ea typeface="+mn-ea"/>
            <a:cs typeface="+mn-cs"/>
          </a:endParaRPr>
        </a:p>
        <a:p>
          <a:r>
            <a:rPr lang="en-US" sz="1100" b="1" u="sng">
              <a:solidFill>
                <a:schemeClr val="tx1"/>
              </a:solidFill>
              <a:effectLst/>
              <a:latin typeface="+mn-lt"/>
              <a:ea typeface="+mn-ea"/>
              <a:cs typeface="+mn-cs"/>
            </a:rPr>
            <a:t>Indexed REC</a:t>
          </a:r>
          <a:r>
            <a:rPr lang="en-US" sz="1100" b="1" u="sng" baseline="0">
              <a:solidFill>
                <a:schemeClr val="tx1"/>
              </a:solidFill>
              <a:effectLst/>
              <a:latin typeface="+mn-lt"/>
              <a:ea typeface="+mn-ea"/>
              <a:cs typeface="+mn-cs"/>
            </a:rPr>
            <a:t> Price Calculator</a:t>
          </a:r>
          <a:endParaRPr lang="en-US">
            <a:effectLst/>
          </a:endParaRPr>
        </a:p>
        <a:p>
          <a:r>
            <a:rPr lang="en-US" sz="1100">
              <a:solidFill>
                <a:schemeClr val="tx1"/>
              </a:solidFill>
              <a:effectLst/>
              <a:latin typeface="+mn-lt"/>
              <a:ea typeface="+mn-ea"/>
              <a:cs typeface="+mn-cs"/>
            </a:rPr>
            <a:t>This tab contains the REC price calculations for the Utility Scale Wind, Solar, and Brownfield Indexed RECs.</a:t>
          </a:r>
          <a:endParaRPr lang="en-US">
            <a:effectLst/>
          </a:endParaRPr>
        </a:p>
        <a:p>
          <a:endParaRPr lang="en-US" sz="1100" b="1" u="sng">
            <a:solidFill>
              <a:schemeClr val="tx1"/>
            </a:solidFill>
            <a:effectLst/>
            <a:latin typeface="+mn-lt"/>
            <a:ea typeface="+mn-ea"/>
            <a:cs typeface="+mn-cs"/>
          </a:endParaRPr>
        </a:p>
        <a:p>
          <a:r>
            <a:rPr lang="en-US" sz="1100" b="1" u="sng">
              <a:solidFill>
                <a:schemeClr val="tx1"/>
              </a:solidFill>
              <a:effectLst/>
              <a:latin typeface="+mn-lt"/>
              <a:ea typeface="+mn-ea"/>
              <a:cs typeface="+mn-cs"/>
            </a:rPr>
            <a:t>Indexed REC Activities</a:t>
          </a:r>
        </a:p>
        <a:p>
          <a:r>
            <a:rPr lang="en-US" sz="1100" b="0" u="none" baseline="0">
              <a:solidFill>
                <a:schemeClr val="tx1"/>
              </a:solidFill>
              <a:effectLst/>
              <a:latin typeface="+mn-lt"/>
              <a:ea typeface="+mn-ea"/>
              <a:cs typeface="+mn-cs"/>
            </a:rPr>
            <a:t>This tab contains the total RECs Delivered, the Total RECs under Contract through 2023, the Total Projected RECs to be Delivered.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Indexed REC Spend</a:t>
          </a:r>
        </a:p>
        <a:p>
          <a:r>
            <a:rPr lang="en-US" sz="1100" b="0" u="none" baseline="0">
              <a:solidFill>
                <a:schemeClr val="tx1"/>
              </a:solidFill>
              <a:effectLst/>
              <a:latin typeface="+mn-lt"/>
              <a:ea typeface="+mn-ea"/>
              <a:cs typeface="+mn-cs"/>
            </a:rPr>
            <a:t>This tab includes tables that consolidate the entire current and projected </a:t>
          </a:r>
          <a:r>
            <a:rPr lang="en-US" sz="1100">
              <a:solidFill>
                <a:schemeClr val="tx1"/>
              </a:solidFill>
              <a:effectLst/>
              <a:latin typeface="+mn-lt"/>
              <a:ea typeface="+mn-ea"/>
              <a:cs typeface="+mn-cs"/>
            </a:rPr>
            <a:t>Utility Scale Wind, Solar, and Brownfield Indexed REC</a:t>
          </a:r>
          <a:r>
            <a:rPr lang="en-US" sz="1100" b="0" u="none" baseline="0">
              <a:solidFill>
                <a:schemeClr val="tx1"/>
              </a:solidFill>
              <a:effectLst/>
              <a:latin typeface="+mn-lt"/>
              <a:ea typeface="+mn-ea"/>
              <a:cs typeface="+mn-cs"/>
            </a:rPr>
            <a:t> spending by Delivery Year.</a:t>
          </a:r>
        </a:p>
        <a:p>
          <a:pPr marL="0" indent="0"/>
          <a:endParaRPr lang="en-US" sz="1100" b="1" u="sng">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ABP Future Assumptions</a:t>
          </a:r>
        </a:p>
        <a:p>
          <a:r>
            <a:rPr lang="en-US" sz="1100" b="0" u="none" baseline="0">
              <a:solidFill>
                <a:schemeClr val="tx1"/>
              </a:solidFill>
              <a:effectLst/>
              <a:latin typeface="+mn-lt"/>
              <a:ea typeface="+mn-ea"/>
              <a:cs typeface="+mn-cs"/>
            </a:rPr>
            <a:t>This tab contains assumptions used as inputs to model Delivery Years 2024-2025, 2025-2026 ABP Block Sizes, Capacity Factors, REC Prices, REC Degradation Rate, and REC Price Annual Decrease.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24-25 Activities</a:t>
          </a:r>
        </a:p>
        <a:p>
          <a:r>
            <a:rPr lang="en-US" sz="1100" b="0" u="none" baseline="0">
              <a:solidFill>
                <a:schemeClr val="tx1"/>
              </a:solidFill>
              <a:effectLst/>
              <a:latin typeface="+mn-lt"/>
              <a:ea typeface="+mn-ea"/>
              <a:cs typeface="+mn-cs"/>
            </a:rPr>
            <a:t>This tab contains the REC delivery schedules for ABP that are under contract, as well as the REC payment schedule using the ABP Future assumptions tab as inputs.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Projected ABP RECs</a:t>
          </a:r>
        </a:p>
        <a:p>
          <a:r>
            <a:rPr lang="en-US" sz="1100" b="0" u="none" baseline="0">
              <a:solidFill>
                <a:schemeClr val="tx1"/>
              </a:solidFill>
              <a:effectLst/>
              <a:latin typeface="+mn-lt"/>
              <a:ea typeface="+mn-ea"/>
              <a:cs typeface="+mn-cs"/>
            </a:rPr>
            <a:t>This tab contains the projected ABP RECs to be delivered.</a:t>
          </a:r>
        </a:p>
        <a:p>
          <a:endParaRPr lang="en-US" sz="1100" b="0" u="none" baseline="0">
            <a:solidFill>
              <a:schemeClr val="tx1"/>
            </a:solidFill>
            <a:effectLst/>
            <a:latin typeface="+mn-lt"/>
            <a:ea typeface="+mn-ea"/>
            <a:cs typeface="+mn-cs"/>
          </a:endParaRPr>
        </a:p>
        <a:p>
          <a:r>
            <a:rPr lang="en-US" sz="1100" b="1" u="sng" baseline="0">
              <a:solidFill>
                <a:schemeClr val="tx1"/>
              </a:solidFill>
              <a:effectLst/>
              <a:latin typeface="+mn-lt"/>
              <a:ea typeface="+mn-ea"/>
              <a:cs typeface="+mn-cs"/>
            </a:rPr>
            <a:t>Projected ABP Spend</a:t>
          </a:r>
        </a:p>
        <a:p>
          <a:r>
            <a:rPr lang="en-US" sz="1100" b="0" u="none" baseline="0">
              <a:solidFill>
                <a:schemeClr val="tx1"/>
              </a:solidFill>
              <a:effectLst/>
              <a:latin typeface="+mn-lt"/>
              <a:ea typeface="+mn-ea"/>
              <a:cs typeface="+mn-cs"/>
            </a:rPr>
            <a:t>This tab contains the projected ABP spending.</a:t>
          </a:r>
        </a:p>
        <a:p>
          <a:endParaRPr lang="en-US" sz="1100" b="0" u="none" baseline="0">
            <a:solidFill>
              <a:schemeClr val="tx1"/>
            </a:solidFill>
            <a:effectLst/>
            <a:latin typeface="+mn-lt"/>
            <a:ea typeface="+mn-ea"/>
            <a:cs typeface="+mn-cs"/>
          </a:endParaRPr>
        </a:p>
        <a:p>
          <a:r>
            <a:rPr lang="en-US" sz="1100" b="1" u="sng" baseline="0">
              <a:solidFill>
                <a:schemeClr val="tx1"/>
              </a:solidFill>
              <a:effectLst/>
              <a:latin typeface="+mn-lt"/>
              <a:ea typeface="+mn-ea"/>
              <a:cs typeface="+mn-cs"/>
            </a:rPr>
            <a:t>ABP Under Contract</a:t>
          </a:r>
        </a:p>
        <a:p>
          <a:r>
            <a:rPr lang="en-US" sz="1100" b="0" u="none" baseline="0">
              <a:solidFill>
                <a:schemeClr val="tx1"/>
              </a:solidFill>
              <a:effectLst/>
              <a:latin typeface="+mn-lt"/>
              <a:ea typeface="+mn-ea"/>
              <a:cs typeface="+mn-cs"/>
            </a:rPr>
            <a:t>This tab shows current ABP RECs under contract.</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Total REC Delivery Activities</a:t>
          </a:r>
          <a:endParaRPr lang="en-US">
            <a:effectLst/>
          </a:endParaRPr>
        </a:p>
        <a:p>
          <a:r>
            <a:rPr lang="en-US" sz="1100">
              <a:solidFill>
                <a:schemeClr val="tx1"/>
              </a:solidFill>
              <a:effectLst/>
              <a:latin typeface="+mn-lt"/>
              <a:ea typeface="+mn-ea"/>
              <a:cs typeface="+mn-cs"/>
            </a:rPr>
            <a:t>This tab contains tables showing the REC Delivery Schedule created by each year’s new ABP opening, Utility Wind, Utility Solar and Brownfield Procurement.</a:t>
          </a:r>
          <a:r>
            <a:rPr lang="en-US" sz="1100" baseline="0">
              <a:solidFill>
                <a:schemeClr val="tx1"/>
              </a:solidFill>
              <a:effectLst/>
              <a:latin typeface="+mn-lt"/>
              <a:ea typeface="+mn-ea"/>
              <a:cs typeface="+mn-cs"/>
            </a:rPr>
            <a:t> </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Total REC Spend Activities</a:t>
          </a:r>
          <a:endParaRPr lang="en-US">
            <a:effectLst/>
          </a:endParaRPr>
        </a:p>
        <a:p>
          <a:r>
            <a:rPr lang="en-US" sz="1100">
              <a:solidFill>
                <a:schemeClr val="tx1"/>
              </a:solidFill>
              <a:effectLst/>
              <a:latin typeface="+mn-lt"/>
              <a:ea typeface="+mn-ea"/>
              <a:cs typeface="+mn-cs"/>
            </a:rPr>
            <a:t>This tab contains tables showing the spend created each year by new ABP opening, Utility Wind, Utility Solar and Brownfield Procurements. </a:t>
          </a:r>
        </a:p>
        <a:p>
          <a:endParaRPr lang="en-US" sz="1100">
            <a:solidFill>
              <a:schemeClr val="tx1"/>
            </a:solidFill>
            <a:effectLst/>
            <a:latin typeface="+mn-lt"/>
            <a:ea typeface="+mn-ea"/>
            <a:cs typeface="+mn-cs"/>
          </a:endParaRPr>
        </a:p>
        <a:p>
          <a:r>
            <a:rPr lang="en-US" sz="1100" b="1" u="sng">
              <a:solidFill>
                <a:schemeClr val="tx1"/>
              </a:solidFill>
              <a:effectLst/>
              <a:latin typeface="+mn-lt"/>
              <a:ea typeface="+mn-ea"/>
              <a:cs typeface="+mn-cs"/>
            </a:rPr>
            <a:t>$ Tables and Graphs</a:t>
          </a:r>
          <a:endParaRPr lang="en-US">
            <a:effectLst/>
          </a:endParaRPr>
        </a:p>
        <a:p>
          <a:r>
            <a:rPr lang="en-US" sz="1100">
              <a:solidFill>
                <a:schemeClr val="tx1"/>
              </a:solidFill>
              <a:effectLst/>
              <a:latin typeface="+mn-lt"/>
              <a:ea typeface="+mn-ea"/>
              <a:cs typeface="+mn-cs"/>
            </a:rPr>
            <a:t>This tab contains the RPS Spend Model tables and graphs showing Legacy Programs, In Progress, Proposed in This Plan, Potential Future Activities, and Set Asides (Figure 3-3). The spend data is also broken out by Utility. This data is calculated from the “RPS Spend” Tab.</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Ch.</a:t>
          </a:r>
          <a:r>
            <a:rPr lang="en-US" sz="1100" b="1" u="sng" baseline="0">
              <a:solidFill>
                <a:schemeClr val="tx1"/>
              </a:solidFill>
              <a:effectLst/>
              <a:latin typeface="+mn-lt"/>
              <a:ea typeface="+mn-ea"/>
              <a:cs typeface="+mn-cs"/>
            </a:rPr>
            <a:t> 3 Tables and Graphs</a:t>
          </a:r>
        </a:p>
        <a:p>
          <a:r>
            <a:rPr lang="en-US" sz="1100" b="0" u="none" baseline="0">
              <a:solidFill>
                <a:schemeClr val="tx1"/>
              </a:solidFill>
              <a:effectLst/>
              <a:latin typeface="+mn-lt"/>
              <a:ea typeface="+mn-ea"/>
              <a:cs typeface="+mn-cs"/>
            </a:rPr>
            <a:t>This tab includes Figures for chapter 3 of the Long-term Renewable Resources Procurement Plan.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13</xdr:col>
      <xdr:colOff>590322</xdr:colOff>
      <xdr:row>107</xdr:row>
      <xdr:rowOff>41051</xdr:rowOff>
    </xdr:from>
    <xdr:to>
      <xdr:col>23</xdr:col>
      <xdr:colOff>853847</xdr:colOff>
      <xdr:row>135</xdr:row>
      <xdr:rowOff>187098</xdr:rowOff>
    </xdr:to>
    <xdr:graphicFrame macro="">
      <xdr:nvGraphicFramePr>
        <xdr:cNvPr id="2" name="Chart 1">
          <a:extLst>
            <a:ext uri="{FF2B5EF4-FFF2-40B4-BE49-F238E27FC236}">
              <a16:creationId xmlns:a16="http://schemas.microsoft.com/office/drawing/2014/main" id="{A8A3553D-86CE-4574-B73E-B7F27B66A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423522</xdr:colOff>
      <xdr:row>0</xdr:row>
      <xdr:rowOff>188912</xdr:rowOff>
    </xdr:from>
    <xdr:to>
      <xdr:col>14</xdr:col>
      <xdr:colOff>94910</xdr:colOff>
      <xdr:row>28</xdr:row>
      <xdr:rowOff>11906</xdr:rowOff>
    </xdr:to>
    <xdr:graphicFrame macro="">
      <xdr:nvGraphicFramePr>
        <xdr:cNvPr id="4" name="Chart 3">
          <a:extLst>
            <a:ext uri="{FF2B5EF4-FFF2-40B4-BE49-F238E27FC236}">
              <a16:creationId xmlns:a16="http://schemas.microsoft.com/office/drawing/2014/main" id="{2F03C03D-F4D4-49DE-94E3-BD04B72EC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892968</xdr:colOff>
      <xdr:row>153</xdr:row>
      <xdr:rowOff>101997</xdr:rowOff>
    </xdr:from>
    <xdr:to>
      <xdr:col>25</xdr:col>
      <xdr:colOff>163511</xdr:colOff>
      <xdr:row>184</xdr:row>
      <xdr:rowOff>86519</xdr:rowOff>
    </xdr:to>
    <xdr:graphicFrame macro="">
      <xdr:nvGraphicFramePr>
        <xdr:cNvPr id="7" name="Chart 6">
          <a:extLst>
            <a:ext uri="{FF2B5EF4-FFF2-40B4-BE49-F238E27FC236}">
              <a16:creationId xmlns:a16="http://schemas.microsoft.com/office/drawing/2014/main" id="{01A4F5E9-D336-5E16-9548-37457983C1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762001</xdr:colOff>
      <xdr:row>154</xdr:row>
      <xdr:rowOff>135617</xdr:rowOff>
    </xdr:from>
    <xdr:to>
      <xdr:col>38</xdr:col>
      <xdr:colOff>299358</xdr:colOff>
      <xdr:row>188</xdr:row>
      <xdr:rowOff>54429</xdr:rowOff>
    </xdr:to>
    <xdr:graphicFrame macro="">
      <xdr:nvGraphicFramePr>
        <xdr:cNvPr id="5" name="Chart 4">
          <a:extLst>
            <a:ext uri="{FF2B5EF4-FFF2-40B4-BE49-F238E27FC236}">
              <a16:creationId xmlns:a16="http://schemas.microsoft.com/office/drawing/2014/main" id="{DD756BE9-9D77-8DFB-A666-8DE1CD4E3C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29</xdr:col>
      <xdr:colOff>228600</xdr:colOff>
      <xdr:row>2</xdr:row>
      <xdr:rowOff>51856</xdr:rowOff>
    </xdr:from>
    <xdr:to>
      <xdr:col>41</xdr:col>
      <xdr:colOff>255058</xdr:colOff>
      <xdr:row>26</xdr:row>
      <xdr:rowOff>116415</xdr:rowOff>
    </xdr:to>
    <xdr:graphicFrame macro="">
      <xdr:nvGraphicFramePr>
        <xdr:cNvPr id="2" name="Chart 1">
          <a:extLst>
            <a:ext uri="{FF2B5EF4-FFF2-40B4-BE49-F238E27FC236}">
              <a16:creationId xmlns:a16="http://schemas.microsoft.com/office/drawing/2014/main" id="{06F05998-B4E1-4526-83F9-1EB99B0FD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A17E-D200-4FAE-8680-D980E1C1E70A}">
  <sheetPr>
    <tabColor theme="0"/>
    <pageSetUpPr fitToPage="1"/>
  </sheetPr>
  <dimension ref="A1"/>
  <sheetViews>
    <sheetView showGridLines="0" zoomScale="120" zoomScaleNormal="120" zoomScaleSheetLayoutView="100" workbookViewId="0">
      <selection activeCell="L15" sqref="L15"/>
    </sheetView>
  </sheetViews>
  <sheetFormatPr defaultColWidth="8.5703125" defaultRowHeight="15" x14ac:dyDescent="0.25"/>
  <cols>
    <col min="13" max="13" width="11.42578125" bestFit="1" customWidth="1"/>
  </cols>
  <sheetData/>
  <printOptions horizontalCentered="1" verticalCentered="1"/>
  <pageMargins left="0.7" right="0.7" top="0.75" bottom="0.75" header="0.3" footer="0.3"/>
  <pageSetup fitToHeight="3" orientation="portrait" r:id="rId1"/>
  <customProperties>
    <customPr name="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76085-826D-4141-AB7F-626D98B67713}">
  <sheetPr>
    <tabColor theme="7" tint="0.59999389629810485"/>
    <pageSetUpPr fitToPage="1"/>
  </sheetPr>
  <dimension ref="A1:U205"/>
  <sheetViews>
    <sheetView zoomScaleNormal="100" workbookViewId="0">
      <selection activeCell="B188" sqref="B188"/>
    </sheetView>
  </sheetViews>
  <sheetFormatPr defaultColWidth="8.5703125" defaultRowHeight="15" x14ac:dyDescent="0.25"/>
  <cols>
    <col min="1" max="1" width="45.140625" style="19" bestFit="1" customWidth="1"/>
    <col min="2" max="2" width="14.42578125" style="19" customWidth="1"/>
    <col min="3" max="4" width="16.5703125" style="19" bestFit="1" customWidth="1"/>
    <col min="5" max="7" width="17" style="19" bestFit="1" customWidth="1"/>
    <col min="8" max="8" width="16.5703125" style="19" bestFit="1" customWidth="1"/>
    <col min="9" max="10" width="17" style="19" bestFit="1" customWidth="1"/>
    <col min="11" max="11" width="16.5703125" style="19" bestFit="1" customWidth="1"/>
    <col min="12" max="12" width="17" style="19" bestFit="1" customWidth="1"/>
    <col min="13" max="13" width="16.5703125" style="19" bestFit="1" customWidth="1"/>
    <col min="14" max="15" width="17" style="19" bestFit="1" customWidth="1"/>
    <col min="16" max="16" width="16.5703125" style="19" bestFit="1" customWidth="1"/>
    <col min="17" max="17" width="16.42578125" style="19" bestFit="1" customWidth="1"/>
    <col min="18" max="20" width="17" style="19" bestFit="1" customWidth="1"/>
    <col min="21" max="21" width="15.42578125" style="19" bestFit="1" customWidth="1"/>
    <col min="22" max="26" width="13.5703125" style="19" bestFit="1" customWidth="1"/>
    <col min="27" max="34" width="8.5703125" style="19"/>
    <col min="35" max="35" width="8.5703125" style="19" customWidth="1"/>
    <col min="36" max="16382" width="8.5703125" style="19"/>
    <col min="16383" max="16384" width="8.5703125" style="19" bestFit="1"/>
  </cols>
  <sheetData>
    <row r="1" spans="1:21" ht="15.75" x14ac:dyDescent="0.25">
      <c r="A1" s="77" t="s">
        <v>181</v>
      </c>
      <c r="B1" s="77">
        <v>2024</v>
      </c>
      <c r="C1" s="218">
        <v>2025</v>
      </c>
      <c r="D1" s="218">
        <v>2026</v>
      </c>
      <c r="E1" s="218">
        <v>2027</v>
      </c>
      <c r="F1" s="218">
        <v>2028</v>
      </c>
      <c r="G1" s="218">
        <v>2029</v>
      </c>
      <c r="H1" s="218">
        <v>2030</v>
      </c>
      <c r="I1" s="218">
        <v>2031</v>
      </c>
      <c r="J1" s="218">
        <v>2032</v>
      </c>
      <c r="K1" s="218">
        <v>2033</v>
      </c>
      <c r="L1" s="218">
        <v>2034</v>
      </c>
      <c r="M1" s="218">
        <v>2035</v>
      </c>
      <c r="N1" s="218">
        <v>2036</v>
      </c>
      <c r="O1" s="218">
        <v>2037</v>
      </c>
      <c r="P1" s="218">
        <v>2038</v>
      </c>
      <c r="Q1" s="218">
        <v>2039</v>
      </c>
      <c r="R1" s="218">
        <v>2040</v>
      </c>
      <c r="S1" s="218">
        <v>2041</v>
      </c>
      <c r="T1" s="218">
        <v>2042</v>
      </c>
      <c r="U1" s="218">
        <v>2043</v>
      </c>
    </row>
    <row r="2" spans="1:21" x14ac:dyDescent="0.25">
      <c r="A2" s="164" t="s">
        <v>138</v>
      </c>
      <c r="B2" s="164">
        <f>'ABP Future Assumptions'!I6</f>
        <v>0</v>
      </c>
      <c r="C2" s="166"/>
      <c r="D2" s="166"/>
      <c r="E2" s="166"/>
      <c r="F2" s="166"/>
      <c r="G2" s="166"/>
      <c r="H2" s="166"/>
      <c r="I2" s="166"/>
      <c r="J2" s="166"/>
      <c r="K2" s="166"/>
      <c r="L2" s="166"/>
      <c r="M2" s="166"/>
      <c r="N2" s="166"/>
      <c r="O2" s="166"/>
      <c r="P2" s="166"/>
      <c r="Q2" s="166"/>
      <c r="R2" s="166"/>
      <c r="S2" s="166"/>
      <c r="T2" s="166"/>
      <c r="U2" s="166"/>
    </row>
    <row r="3" spans="1:21" x14ac:dyDescent="0.25">
      <c r="A3" s="164" t="s">
        <v>144</v>
      </c>
      <c r="B3" s="166">
        <f>'ABP Future Assumptions'!I13*0.15</f>
        <v>0</v>
      </c>
      <c r="C3" s="166">
        <f>('ABP Future Assumptions'!I13-'Projected ABP Spend'!B3)/6</f>
        <v>0</v>
      </c>
      <c r="D3" s="166">
        <f>C3</f>
        <v>0</v>
      </c>
      <c r="E3" s="166">
        <f>D3</f>
        <v>0</v>
      </c>
      <c r="F3" s="166">
        <f>E3</f>
        <v>0</v>
      </c>
      <c r="G3" s="166">
        <f>F3</f>
        <v>0</v>
      </c>
      <c r="H3" s="166">
        <f>G3</f>
        <v>0</v>
      </c>
      <c r="J3" s="166"/>
      <c r="K3" s="166"/>
      <c r="L3" s="166"/>
      <c r="M3" s="166"/>
      <c r="N3" s="166"/>
      <c r="O3" s="166"/>
      <c r="P3" s="166"/>
      <c r="Q3" s="166"/>
      <c r="R3" s="166"/>
      <c r="S3" s="166"/>
      <c r="T3" s="166"/>
      <c r="U3" s="166"/>
    </row>
    <row r="4" spans="1:21" x14ac:dyDescent="0.25">
      <c r="A4" s="164" t="s">
        <v>153</v>
      </c>
      <c r="B4" s="164"/>
      <c r="C4" s="166">
        <f>'ABP Future Assumptions'!I26/20</f>
        <v>0</v>
      </c>
      <c r="D4" s="166">
        <f>C4*0.995</f>
        <v>0</v>
      </c>
      <c r="E4" s="166">
        <f t="shared" ref="E4:U4" si="0">D4*0.995</f>
        <v>0</v>
      </c>
      <c r="F4" s="166">
        <f t="shared" si="0"/>
        <v>0</v>
      </c>
      <c r="G4" s="166">
        <f t="shared" si="0"/>
        <v>0</v>
      </c>
      <c r="H4" s="166">
        <f t="shared" si="0"/>
        <v>0</v>
      </c>
      <c r="I4" s="166">
        <f t="shared" si="0"/>
        <v>0</v>
      </c>
      <c r="J4" s="166">
        <f t="shared" si="0"/>
        <v>0</v>
      </c>
      <c r="K4" s="166">
        <f t="shared" si="0"/>
        <v>0</v>
      </c>
      <c r="L4" s="166">
        <f t="shared" si="0"/>
        <v>0</v>
      </c>
      <c r="M4" s="166">
        <f t="shared" si="0"/>
        <v>0</v>
      </c>
      <c r="N4" s="166">
        <f t="shared" si="0"/>
        <v>0</v>
      </c>
      <c r="O4" s="166">
        <f t="shared" si="0"/>
        <v>0</v>
      </c>
      <c r="P4" s="166">
        <f t="shared" si="0"/>
        <v>0</v>
      </c>
      <c r="Q4" s="166">
        <f t="shared" si="0"/>
        <v>0</v>
      </c>
      <c r="R4" s="166">
        <f t="shared" si="0"/>
        <v>0</v>
      </c>
      <c r="S4" s="166">
        <f t="shared" si="0"/>
        <v>0</v>
      </c>
      <c r="T4" s="166">
        <f t="shared" si="0"/>
        <v>0</v>
      </c>
      <c r="U4" s="166">
        <f t="shared" si="0"/>
        <v>0</v>
      </c>
    </row>
    <row r="5" spans="1:21" x14ac:dyDescent="0.25">
      <c r="A5" s="164" t="s">
        <v>158</v>
      </c>
      <c r="B5" s="164"/>
      <c r="C5" s="166">
        <f>'ABP Future Assumptions'!I43/20</f>
        <v>0</v>
      </c>
      <c r="D5" s="166">
        <f>C5*0.995</f>
        <v>0</v>
      </c>
      <c r="E5" s="166">
        <f>D5*0.995</f>
        <v>0</v>
      </c>
      <c r="F5" s="166">
        <f t="shared" ref="F5:U5" si="1">E5*0.995</f>
        <v>0</v>
      </c>
      <c r="G5" s="166">
        <f t="shared" si="1"/>
        <v>0</v>
      </c>
      <c r="H5" s="166">
        <f t="shared" si="1"/>
        <v>0</v>
      </c>
      <c r="I5" s="166">
        <f t="shared" si="1"/>
        <v>0</v>
      </c>
      <c r="J5" s="166">
        <f t="shared" si="1"/>
        <v>0</v>
      </c>
      <c r="K5" s="166">
        <f t="shared" si="1"/>
        <v>0</v>
      </c>
      <c r="L5" s="166">
        <f t="shared" si="1"/>
        <v>0</v>
      </c>
      <c r="M5" s="166">
        <f t="shared" si="1"/>
        <v>0</v>
      </c>
      <c r="N5" s="166">
        <f t="shared" si="1"/>
        <v>0</v>
      </c>
      <c r="O5" s="166">
        <f t="shared" si="1"/>
        <v>0</v>
      </c>
      <c r="P5" s="166">
        <f t="shared" si="1"/>
        <v>0</v>
      </c>
      <c r="Q5" s="166">
        <f t="shared" si="1"/>
        <v>0</v>
      </c>
      <c r="R5" s="166">
        <f t="shared" si="1"/>
        <v>0</v>
      </c>
      <c r="S5" s="166">
        <f t="shared" si="1"/>
        <v>0</v>
      </c>
      <c r="T5" s="166">
        <f t="shared" si="1"/>
        <v>0</v>
      </c>
      <c r="U5" s="166">
        <f t="shared" si="1"/>
        <v>0</v>
      </c>
    </row>
    <row r="6" spans="1:21" x14ac:dyDescent="0.25">
      <c r="A6" s="164" t="s">
        <v>162</v>
      </c>
      <c r="B6" s="166">
        <f>'ABP Future Assumptions'!I59*0.15</f>
        <v>0</v>
      </c>
      <c r="C6" s="166">
        <f>('ABP Future Assumptions'!I59-'Projected ABP Spend'!B6)/6</f>
        <v>0</v>
      </c>
      <c r="D6" s="166">
        <f>C6</f>
        <v>0</v>
      </c>
      <c r="E6" s="166">
        <f t="shared" ref="D6:H7" si="2">D6</f>
        <v>0</v>
      </c>
      <c r="F6" s="166">
        <f t="shared" si="2"/>
        <v>0</v>
      </c>
      <c r="G6" s="166">
        <f t="shared" si="2"/>
        <v>0</v>
      </c>
      <c r="H6" s="166">
        <f t="shared" si="2"/>
        <v>0</v>
      </c>
      <c r="I6" s="166"/>
      <c r="J6" s="166"/>
      <c r="K6" s="166"/>
      <c r="L6" s="166"/>
      <c r="M6" s="166"/>
      <c r="N6" s="166"/>
      <c r="O6" s="166"/>
      <c r="P6" s="166"/>
      <c r="Q6" s="166"/>
      <c r="R6" s="166"/>
      <c r="S6" s="166"/>
      <c r="T6" s="166"/>
      <c r="U6" s="166"/>
    </row>
    <row r="7" spans="1:21" x14ac:dyDescent="0.25">
      <c r="A7" s="164" t="s">
        <v>165</v>
      </c>
      <c r="B7" s="166">
        <f>'ABP Future Assumptions'!I75*0.15</f>
        <v>0</v>
      </c>
      <c r="C7" s="166">
        <f>('ABP Future Assumptions'!I75-'Projected ABP Spend'!B7)/6</f>
        <v>0</v>
      </c>
      <c r="D7" s="166">
        <f t="shared" si="2"/>
        <v>0</v>
      </c>
      <c r="E7" s="166">
        <f t="shared" si="2"/>
        <v>0</v>
      </c>
      <c r="F7" s="166">
        <f t="shared" si="2"/>
        <v>0</v>
      </c>
      <c r="G7" s="166">
        <f t="shared" si="2"/>
        <v>0</v>
      </c>
      <c r="H7" s="166">
        <f t="shared" si="2"/>
        <v>0</v>
      </c>
      <c r="I7" s="166"/>
      <c r="J7" s="166"/>
      <c r="K7" s="166"/>
      <c r="L7" s="166"/>
      <c r="M7" s="166"/>
      <c r="N7" s="166"/>
      <c r="O7" s="166"/>
      <c r="P7" s="166"/>
      <c r="Q7" s="166"/>
      <c r="R7" s="166"/>
      <c r="S7" s="166"/>
      <c r="T7" s="166"/>
      <c r="U7" s="166"/>
    </row>
    <row r="8" spans="1:21" x14ac:dyDescent="0.25">
      <c r="A8" s="163" t="s">
        <v>109</v>
      </c>
      <c r="B8" s="18">
        <f t="shared" ref="B8:T8" si="3">SUM(B2:B7)</f>
        <v>0</v>
      </c>
      <c r="C8" s="18">
        <f t="shared" si="3"/>
        <v>0</v>
      </c>
      <c r="D8" s="18">
        <f t="shared" si="3"/>
        <v>0</v>
      </c>
      <c r="E8" s="18">
        <f t="shared" si="3"/>
        <v>0</v>
      </c>
      <c r="F8" s="18">
        <f t="shared" si="3"/>
        <v>0</v>
      </c>
      <c r="G8" s="18">
        <f t="shared" si="3"/>
        <v>0</v>
      </c>
      <c r="H8" s="18">
        <f t="shared" si="3"/>
        <v>0</v>
      </c>
      <c r="I8" s="18">
        <f t="shared" si="3"/>
        <v>0</v>
      </c>
      <c r="J8" s="18">
        <f t="shared" si="3"/>
        <v>0</v>
      </c>
      <c r="K8" s="18">
        <f t="shared" si="3"/>
        <v>0</v>
      </c>
      <c r="L8" s="18">
        <f t="shared" si="3"/>
        <v>0</v>
      </c>
      <c r="M8" s="18">
        <f t="shared" si="3"/>
        <v>0</v>
      </c>
      <c r="N8" s="18">
        <f t="shared" si="3"/>
        <v>0</v>
      </c>
      <c r="O8" s="18">
        <f t="shared" si="3"/>
        <v>0</v>
      </c>
      <c r="P8" s="18">
        <f t="shared" si="3"/>
        <v>0</v>
      </c>
      <c r="Q8" s="18">
        <f t="shared" si="3"/>
        <v>0</v>
      </c>
      <c r="R8" s="18">
        <f t="shared" si="3"/>
        <v>0</v>
      </c>
      <c r="S8" s="18">
        <f t="shared" si="3"/>
        <v>0</v>
      </c>
      <c r="T8" s="18">
        <f t="shared" si="3"/>
        <v>0</v>
      </c>
      <c r="U8" s="18">
        <f t="shared" ref="U8" si="4">SUM(U2:U7)</f>
        <v>0</v>
      </c>
    </row>
    <row r="9" spans="1:21" x14ac:dyDescent="0.25">
      <c r="A9" s="163"/>
      <c r="B9" s="163"/>
      <c r="C9" s="18"/>
      <c r="D9" s="18"/>
      <c r="E9" s="18"/>
      <c r="F9" s="18"/>
      <c r="G9" s="18"/>
      <c r="H9" s="18"/>
      <c r="I9" s="18"/>
      <c r="J9" s="18"/>
      <c r="K9" s="18"/>
      <c r="L9" s="18"/>
      <c r="M9" s="18"/>
      <c r="N9" s="18"/>
      <c r="O9" s="18"/>
      <c r="P9" s="18"/>
      <c r="Q9" s="18"/>
      <c r="R9" s="18"/>
      <c r="S9" s="18"/>
      <c r="T9" s="18"/>
      <c r="U9" s="18"/>
    </row>
    <row r="10" spans="1:21" ht="15.75" x14ac:dyDescent="0.25">
      <c r="A10" s="77">
        <v>2024</v>
      </c>
      <c r="B10" s="218">
        <v>2024</v>
      </c>
      <c r="C10" s="218">
        <v>2025</v>
      </c>
      <c r="D10" s="218">
        <v>2026</v>
      </c>
      <c r="E10" s="218">
        <v>2027</v>
      </c>
      <c r="F10" s="218">
        <v>2028</v>
      </c>
      <c r="G10" s="218">
        <v>2029</v>
      </c>
      <c r="H10" s="218">
        <v>2030</v>
      </c>
      <c r="I10" s="218">
        <v>2031</v>
      </c>
      <c r="J10" s="218">
        <v>2032</v>
      </c>
      <c r="K10" s="218">
        <v>2033</v>
      </c>
      <c r="L10" s="218">
        <v>2034</v>
      </c>
      <c r="M10" s="218">
        <v>2035</v>
      </c>
      <c r="N10" s="218">
        <v>2036</v>
      </c>
      <c r="O10" s="218">
        <v>2037</v>
      </c>
      <c r="P10" s="218">
        <v>2038</v>
      </c>
      <c r="Q10" s="218">
        <v>2039</v>
      </c>
      <c r="R10" s="218">
        <v>2040</v>
      </c>
      <c r="S10" s="218">
        <v>2041</v>
      </c>
      <c r="T10" s="218">
        <v>2042</v>
      </c>
      <c r="U10" s="218">
        <v>2043</v>
      </c>
    </row>
    <row r="11" spans="1:21" x14ac:dyDescent="0.25">
      <c r="A11" s="164" t="s">
        <v>138</v>
      </c>
      <c r="B11" s="164"/>
      <c r="C11" s="166">
        <f>'24-25 ABP Summary'!B11</f>
        <v>160339848.81633624</v>
      </c>
      <c r="D11" s="166">
        <f>'24-25 ABP Summary'!C11</f>
        <v>0</v>
      </c>
      <c r="E11" s="166">
        <f>'24-25 ABP Summary'!D11</f>
        <v>0</v>
      </c>
      <c r="F11" s="166">
        <f>'24-25 ABP Summary'!E11</f>
        <v>0</v>
      </c>
      <c r="G11" s="166">
        <f>'24-25 ABP Summary'!F11</f>
        <v>0</v>
      </c>
      <c r="H11" s="166">
        <f>'24-25 ABP Summary'!G11</f>
        <v>0</v>
      </c>
      <c r="I11" s="166">
        <f>'24-25 ABP Summary'!H11</f>
        <v>0</v>
      </c>
      <c r="J11" s="166">
        <f>'24-25 ABP Summary'!I11</f>
        <v>0</v>
      </c>
      <c r="K11" s="166">
        <f>'24-25 ABP Summary'!J11</f>
        <v>0</v>
      </c>
      <c r="L11" s="166">
        <f>'24-25 ABP Summary'!K11</f>
        <v>0</v>
      </c>
      <c r="M11" s="166">
        <f>'24-25 ABP Summary'!L11</f>
        <v>0</v>
      </c>
      <c r="N11" s="166">
        <f>'24-25 ABP Summary'!M11</f>
        <v>0</v>
      </c>
      <c r="O11" s="166">
        <f>'24-25 ABP Summary'!N11</f>
        <v>0</v>
      </c>
      <c r="P11" s="166">
        <f>'24-25 ABP Summary'!O11</f>
        <v>0</v>
      </c>
      <c r="Q11" s="166">
        <f>'24-25 ABP Summary'!P11</f>
        <v>0</v>
      </c>
      <c r="R11" s="166">
        <f>'24-25 ABP Summary'!Q11</f>
        <v>0</v>
      </c>
      <c r="S11" s="166">
        <f>'24-25 ABP Summary'!R11</f>
        <v>0</v>
      </c>
      <c r="T11" s="166">
        <f>'24-25 ABP Summary'!S11</f>
        <v>0</v>
      </c>
      <c r="U11" s="166">
        <f>'24-25 ABP Summary'!T11</f>
        <v>0</v>
      </c>
    </row>
    <row r="12" spans="1:21" x14ac:dyDescent="0.25">
      <c r="A12" s="164" t="s">
        <v>144</v>
      </c>
      <c r="B12" s="164"/>
      <c r="C12" s="166">
        <f>'24-25 ABP Summary'!B12</f>
        <v>16741207.534772398</v>
      </c>
      <c r="D12" s="166">
        <f>'24-25 ABP Summary'!C12</f>
        <v>15811140.449507266</v>
      </c>
      <c r="E12" s="166">
        <f>'24-25 ABP Summary'!D12</f>
        <v>15811140.449507266</v>
      </c>
      <c r="F12" s="166">
        <f>'24-25 ABP Summary'!E12</f>
        <v>15811140.449507266</v>
      </c>
      <c r="G12" s="166">
        <f>'24-25 ABP Summary'!F12</f>
        <v>15811140.449507266</v>
      </c>
      <c r="H12" s="166">
        <f>'24-25 ABP Summary'!G12</f>
        <v>15811140.449507266</v>
      </c>
      <c r="I12" s="166">
        <f>'24-25 ABP Summary'!H12</f>
        <v>15811140.449507266</v>
      </c>
      <c r="J12" s="166">
        <f>'24-25 ABP Summary'!I12</f>
        <v>0</v>
      </c>
      <c r="K12" s="166">
        <f>'24-25 ABP Summary'!J12</f>
        <v>0</v>
      </c>
      <c r="L12" s="166">
        <f>'24-25 ABP Summary'!K12</f>
        <v>0</v>
      </c>
      <c r="M12" s="166">
        <f>'24-25 ABP Summary'!L12</f>
        <v>0</v>
      </c>
      <c r="N12" s="166">
        <f>'24-25 ABP Summary'!M12</f>
        <v>0</v>
      </c>
      <c r="O12" s="166">
        <f>'24-25 ABP Summary'!N12</f>
        <v>0</v>
      </c>
      <c r="P12" s="166">
        <f>'24-25 ABP Summary'!O12</f>
        <v>0</v>
      </c>
      <c r="Q12" s="166">
        <f>'24-25 ABP Summary'!P12</f>
        <v>0</v>
      </c>
      <c r="R12" s="166">
        <f>'24-25 ABP Summary'!Q12</f>
        <v>0</v>
      </c>
      <c r="S12" s="166">
        <f>'24-25 ABP Summary'!R12</f>
        <v>0</v>
      </c>
      <c r="T12" s="166">
        <f>'24-25 ABP Summary'!S12</f>
        <v>0</v>
      </c>
      <c r="U12" s="166">
        <f>'24-25 ABP Summary'!T12</f>
        <v>0</v>
      </c>
    </row>
    <row r="13" spans="1:21" x14ac:dyDescent="0.25">
      <c r="A13" s="164" t="s">
        <v>153</v>
      </c>
      <c r="B13" s="164"/>
      <c r="C13" s="166">
        <f>'24-25 ABP Summary'!B13</f>
        <v>0</v>
      </c>
      <c r="D13" s="166">
        <f>'24-25 ABP Summary'!C13</f>
        <v>13809309.912177913</v>
      </c>
      <c r="E13" s="166">
        <f>'24-25 ABP Summary'!D13</f>
        <v>13740263.362617023</v>
      </c>
      <c r="F13" s="166">
        <f>'24-25 ABP Summary'!E13</f>
        <v>13671562.045803938</v>
      </c>
      <c r="G13" s="166">
        <f>'24-25 ABP Summary'!F13</f>
        <v>13603204.23557492</v>
      </c>
      <c r="H13" s="166">
        <f>'24-25 ABP Summary'!G13</f>
        <v>13535188.214397043</v>
      </c>
      <c r="I13" s="166">
        <f>'24-25 ABP Summary'!H13</f>
        <v>13467512.273325058</v>
      </c>
      <c r="J13" s="166">
        <f>'24-25 ABP Summary'!I13</f>
        <v>13400174.711958434</v>
      </c>
      <c r="K13" s="166">
        <f>'24-25 ABP Summary'!J13</f>
        <v>13333173.838398643</v>
      </c>
      <c r="L13" s="166">
        <f>'24-25 ABP Summary'!K13</f>
        <v>13266507.969206648</v>
      </c>
      <c r="M13" s="166">
        <f>'24-25 ABP Summary'!L13</f>
        <v>13200175.429360615</v>
      </c>
      <c r="N13" s="166">
        <f>'24-25 ABP Summary'!M13</f>
        <v>13134174.55221381</v>
      </c>
      <c r="O13" s="166">
        <f>'24-25 ABP Summary'!N13</f>
        <v>13068503.67945274</v>
      </c>
      <c r="P13" s="166">
        <f>'24-25 ABP Summary'!O13</f>
        <v>13003161.161055477</v>
      </c>
      <c r="Q13" s="166">
        <f>'24-25 ABP Summary'!P13</f>
        <v>12938145.355250198</v>
      </c>
      <c r="R13" s="166">
        <f>'24-25 ABP Summary'!Q13</f>
        <v>12873454.628473949</v>
      </c>
      <c r="S13" s="166">
        <f>'24-25 ABP Summary'!R13</f>
        <v>12809087.355331577</v>
      </c>
      <c r="T13" s="166">
        <f>'24-25 ABP Summary'!S13</f>
        <v>12745041.918554921</v>
      </c>
      <c r="U13" s="166">
        <f>'24-25 ABP Summary'!T13</f>
        <v>12681316.708962146</v>
      </c>
    </row>
    <row r="14" spans="1:21" x14ac:dyDescent="0.25">
      <c r="A14" s="164" t="s">
        <v>158</v>
      </c>
      <c r="B14" s="164"/>
      <c r="C14" s="166">
        <f>'24-25 ABP Summary'!B14</f>
        <v>8601833.8951314129</v>
      </c>
      <c r="D14" s="166">
        <f>'24-25 ABP Summary'!C14</f>
        <v>8558824.725655755</v>
      </c>
      <c r="E14" s="166">
        <f>'24-25 ABP Summary'!D14</f>
        <v>8516030.6020274758</v>
      </c>
      <c r="F14" s="166">
        <f>'24-25 ABP Summary'!E14</f>
        <v>8473450.4490173385</v>
      </c>
      <c r="G14" s="166">
        <f>'24-25 ABP Summary'!F14</f>
        <v>8431083.1967722513</v>
      </c>
      <c r="H14" s="166">
        <f>'24-25 ABP Summary'!G14</f>
        <v>8388927.78078839</v>
      </c>
      <c r="I14" s="166">
        <f>'24-25 ABP Summary'!H14</f>
        <v>8346983.141884448</v>
      </c>
      <c r="J14" s="166">
        <f>'24-25 ABP Summary'!I14</f>
        <v>8305248.2261750251</v>
      </c>
      <c r="K14" s="166">
        <f>'24-25 ABP Summary'!J14</f>
        <v>8263721.9850441515</v>
      </c>
      <c r="L14" s="166">
        <f>'24-25 ABP Summary'!K14</f>
        <v>8222403.375118929</v>
      </c>
      <c r="M14" s="166">
        <f>'24-25 ABP Summary'!L14</f>
        <v>8181291.358243335</v>
      </c>
      <c r="N14" s="166">
        <f>'24-25 ABP Summary'!M14</f>
        <v>8140384.9014521195</v>
      </c>
      <c r="O14" s="166">
        <f>'24-25 ABP Summary'!N14</f>
        <v>8099682.9769448582</v>
      </c>
      <c r="P14" s="166">
        <f>'24-25 ABP Summary'!O14</f>
        <v>8059184.5620601336</v>
      </c>
      <c r="Q14" s="166">
        <f>'24-25 ABP Summary'!P14</f>
        <v>8018888.6392498324</v>
      </c>
      <c r="R14" s="166">
        <f>'24-25 ABP Summary'!Q14</f>
        <v>7978794.1960535841</v>
      </c>
      <c r="S14" s="166">
        <f>'24-25 ABP Summary'!R14</f>
        <v>7938900.2250733171</v>
      </c>
      <c r="T14" s="166">
        <f>'24-25 ABP Summary'!S14</f>
        <v>7899205.7239479488</v>
      </c>
      <c r="U14" s="166">
        <f>'24-25 ABP Summary'!T14</f>
        <v>7859709.6953282095</v>
      </c>
    </row>
    <row r="15" spans="1:21" x14ac:dyDescent="0.25">
      <c r="A15" s="164" t="s">
        <v>162</v>
      </c>
      <c r="B15" s="164"/>
      <c r="C15" s="166">
        <f>'24-25 ABP Summary'!B15</f>
        <v>0</v>
      </c>
      <c r="D15" s="166">
        <f>'24-25 ABP Summary'!C15</f>
        <v>5636343.3831327278</v>
      </c>
      <c r="E15" s="166">
        <f>'24-25 ABP Summary'!D15</f>
        <v>5323213.1951809097</v>
      </c>
      <c r="F15" s="166">
        <f>'24-25 ABP Summary'!E15</f>
        <v>5323213.1951809097</v>
      </c>
      <c r="G15" s="166">
        <f>'24-25 ABP Summary'!F15</f>
        <v>5323213.1951809097</v>
      </c>
      <c r="H15" s="166">
        <f>'24-25 ABP Summary'!G15</f>
        <v>5323213.1951809097</v>
      </c>
      <c r="I15" s="166">
        <f>'24-25 ABP Summary'!H15</f>
        <v>5323213.1951809097</v>
      </c>
      <c r="J15" s="166">
        <f>'24-25 ABP Summary'!I15</f>
        <v>5323213.1951809097</v>
      </c>
      <c r="K15" s="166">
        <f>'24-25 ABP Summary'!J15</f>
        <v>0</v>
      </c>
      <c r="L15" s="166">
        <f>'24-25 ABP Summary'!K15</f>
        <v>0</v>
      </c>
      <c r="M15" s="166">
        <f>'24-25 ABP Summary'!L15</f>
        <v>0</v>
      </c>
      <c r="N15" s="166">
        <f>'24-25 ABP Summary'!M15</f>
        <v>0</v>
      </c>
      <c r="O15" s="166">
        <f>'24-25 ABP Summary'!N15</f>
        <v>0</v>
      </c>
      <c r="P15" s="166">
        <f>'24-25 ABP Summary'!O15</f>
        <v>0</v>
      </c>
      <c r="Q15" s="166">
        <f>'24-25 ABP Summary'!P15</f>
        <v>0</v>
      </c>
      <c r="R15" s="166">
        <f>'24-25 ABP Summary'!Q15</f>
        <v>0</v>
      </c>
      <c r="S15" s="166">
        <f>'24-25 ABP Summary'!R15</f>
        <v>0</v>
      </c>
      <c r="T15" s="166">
        <f>'24-25 ABP Summary'!S15</f>
        <v>0</v>
      </c>
      <c r="U15" s="166">
        <f>'24-25 ABP Summary'!T15</f>
        <v>0</v>
      </c>
    </row>
    <row r="16" spans="1:21" x14ac:dyDescent="0.25">
      <c r="A16" s="164" t="s">
        <v>165</v>
      </c>
      <c r="B16" s="164"/>
      <c r="C16" s="166">
        <f>'24-25 ABP Summary'!B16</f>
        <v>18601341.705302659</v>
      </c>
      <c r="D16" s="166">
        <f>'24-25 ABP Summary'!C16</f>
        <v>17567933.832785849</v>
      </c>
      <c r="E16" s="166">
        <f>'24-25 ABP Summary'!D16</f>
        <v>17567933.832785849</v>
      </c>
      <c r="F16" s="166">
        <f>'24-25 ABP Summary'!E16</f>
        <v>17567933.832785849</v>
      </c>
      <c r="G16" s="166">
        <f>'24-25 ABP Summary'!F16</f>
        <v>17567933.832785849</v>
      </c>
      <c r="H16" s="166">
        <f>'24-25 ABP Summary'!G16</f>
        <v>17567933.832785849</v>
      </c>
      <c r="I16" s="166">
        <f>'24-25 ABP Summary'!H16</f>
        <v>17567933.832785849</v>
      </c>
      <c r="J16" s="166">
        <f>'24-25 ABP Summary'!I16</f>
        <v>0</v>
      </c>
      <c r="K16" s="166">
        <f>'24-25 ABP Summary'!J16</f>
        <v>0</v>
      </c>
      <c r="L16" s="166">
        <f>'24-25 ABP Summary'!K16</f>
        <v>0</v>
      </c>
      <c r="M16" s="166">
        <f>'24-25 ABP Summary'!L16</f>
        <v>0</v>
      </c>
      <c r="N16" s="166">
        <f>'24-25 ABP Summary'!M16</f>
        <v>0</v>
      </c>
      <c r="O16" s="166">
        <f>'24-25 ABP Summary'!N16</f>
        <v>0</v>
      </c>
      <c r="P16" s="166">
        <f>'24-25 ABP Summary'!O16</f>
        <v>0</v>
      </c>
      <c r="Q16" s="166">
        <f>'24-25 ABP Summary'!P16</f>
        <v>0</v>
      </c>
      <c r="R16" s="166">
        <f>'24-25 ABP Summary'!Q16</f>
        <v>0</v>
      </c>
      <c r="S16" s="166">
        <f>'24-25 ABP Summary'!R16</f>
        <v>0</v>
      </c>
      <c r="T16" s="166">
        <f>'24-25 ABP Summary'!S16</f>
        <v>0</v>
      </c>
      <c r="U16" s="166">
        <f>'24-25 ABP Summary'!T16</f>
        <v>0</v>
      </c>
    </row>
    <row r="17" spans="1:21" x14ac:dyDescent="0.25">
      <c r="A17" s="163" t="s">
        <v>109</v>
      </c>
      <c r="B17" s="163"/>
      <c r="C17" s="18">
        <f t="shared" ref="C17:T17" si="5">SUM(C11:C16)</f>
        <v>204284231.95154271</v>
      </c>
      <c r="D17" s="18">
        <f t="shared" si="5"/>
        <v>61383552.303259507</v>
      </c>
      <c r="E17" s="18">
        <f t="shared" si="5"/>
        <v>60958581.442118526</v>
      </c>
      <c r="F17" s="18">
        <f t="shared" si="5"/>
        <v>60847299.972295299</v>
      </c>
      <c r="G17" s="18">
        <f t="shared" si="5"/>
        <v>60736574.909821197</v>
      </c>
      <c r="H17" s="18">
        <f t="shared" si="5"/>
        <v>60626403.472659454</v>
      </c>
      <c r="I17" s="18">
        <f t="shared" si="5"/>
        <v>60516782.892683521</v>
      </c>
      <c r="J17" s="18">
        <f t="shared" si="5"/>
        <v>27028636.133314371</v>
      </c>
      <c r="K17" s="18">
        <f t="shared" si="5"/>
        <v>21596895.823442794</v>
      </c>
      <c r="L17" s="18">
        <f t="shared" si="5"/>
        <v>21488911.344325576</v>
      </c>
      <c r="M17" s="18">
        <f t="shared" si="5"/>
        <v>21381466.787603952</v>
      </c>
      <c r="N17" s="18">
        <f t="shared" si="5"/>
        <v>21274559.453665931</v>
      </c>
      <c r="O17" s="18">
        <f t="shared" si="5"/>
        <v>21168186.656397596</v>
      </c>
      <c r="P17" s="18">
        <f t="shared" si="5"/>
        <v>21062345.723115612</v>
      </c>
      <c r="Q17" s="18">
        <f t="shared" si="5"/>
        <v>20957033.99450003</v>
      </c>
      <c r="R17" s="18">
        <f t="shared" si="5"/>
        <v>20852248.824527532</v>
      </c>
      <c r="S17" s="18">
        <f t="shared" si="5"/>
        <v>20747987.580404893</v>
      </c>
      <c r="T17" s="18">
        <f t="shared" si="5"/>
        <v>20644247.64250287</v>
      </c>
      <c r="U17" s="18">
        <f t="shared" ref="U17" si="6">SUM(U11:U16)</f>
        <v>20541026.404290356</v>
      </c>
    </row>
    <row r="19" spans="1:21" ht="15.75" x14ac:dyDescent="0.25">
      <c r="A19" s="77">
        <v>2025</v>
      </c>
      <c r="B19" s="218">
        <v>2024</v>
      </c>
      <c r="C19" s="218">
        <v>2025</v>
      </c>
      <c r="D19" s="218">
        <v>2026</v>
      </c>
      <c r="E19" s="218">
        <v>2027</v>
      </c>
      <c r="F19" s="218">
        <v>2028</v>
      </c>
      <c r="G19" s="218">
        <v>2029</v>
      </c>
      <c r="H19" s="218">
        <v>2030</v>
      </c>
      <c r="I19" s="218">
        <v>2031</v>
      </c>
      <c r="J19" s="218">
        <v>2032</v>
      </c>
      <c r="K19" s="218">
        <v>2033</v>
      </c>
      <c r="L19" s="218">
        <v>2034</v>
      </c>
      <c r="M19" s="218">
        <v>2035</v>
      </c>
      <c r="N19" s="218">
        <v>2036</v>
      </c>
      <c r="O19" s="218">
        <v>2037</v>
      </c>
      <c r="P19" s="218">
        <v>2038</v>
      </c>
      <c r="Q19" s="218">
        <v>2039</v>
      </c>
      <c r="R19" s="218">
        <v>2040</v>
      </c>
      <c r="S19" s="218">
        <v>2041</v>
      </c>
      <c r="T19" s="218">
        <v>2042</v>
      </c>
      <c r="U19" s="218">
        <v>2043</v>
      </c>
    </row>
    <row r="20" spans="1:21" x14ac:dyDescent="0.25">
      <c r="A20" s="164" t="s">
        <v>138</v>
      </c>
      <c r="B20" s="164"/>
      <c r="C20" s="166"/>
      <c r="D20" s="166">
        <f>C11*'ABP Future Assumptions'!$B$93</f>
        <v>153926254.86368278</v>
      </c>
      <c r="E20" s="166">
        <f>D11*'ABP Future Assumptions'!$B$93</f>
        <v>0</v>
      </c>
      <c r="F20" s="166">
        <f>E11*'ABP Future Assumptions'!$B$93</f>
        <v>0</v>
      </c>
      <c r="G20" s="166">
        <f>F11*'ABP Future Assumptions'!$B$93</f>
        <v>0</v>
      </c>
      <c r="H20" s="166">
        <f>G11*'ABP Future Assumptions'!$B$93</f>
        <v>0</v>
      </c>
      <c r="I20" s="166">
        <f>H11*'ABP Future Assumptions'!$B$93</f>
        <v>0</v>
      </c>
      <c r="J20" s="166">
        <f>I11*'ABP Future Assumptions'!$B$93</f>
        <v>0</v>
      </c>
      <c r="K20" s="166">
        <f>J11*'ABP Future Assumptions'!$B$93</f>
        <v>0</v>
      </c>
      <c r="L20" s="166">
        <f>K11*'ABP Future Assumptions'!$B$93</f>
        <v>0</v>
      </c>
      <c r="M20" s="166">
        <f>L11*'ABP Future Assumptions'!$B$93</f>
        <v>0</v>
      </c>
      <c r="N20" s="166">
        <f>M11*'ABP Future Assumptions'!$B$93</f>
        <v>0</v>
      </c>
      <c r="O20" s="166">
        <f>N11*'ABP Future Assumptions'!$B$93</f>
        <v>0</v>
      </c>
      <c r="P20" s="166">
        <f>O11*'ABP Future Assumptions'!$B$93</f>
        <v>0</v>
      </c>
      <c r="Q20" s="166">
        <f>P11*'ABP Future Assumptions'!$B$93</f>
        <v>0</v>
      </c>
      <c r="R20" s="166">
        <f>Q11*'ABP Future Assumptions'!$B$93</f>
        <v>0</v>
      </c>
      <c r="S20" s="166">
        <f>R11*'ABP Future Assumptions'!$B$93</f>
        <v>0</v>
      </c>
      <c r="T20" s="166">
        <f>S11*'ABP Future Assumptions'!$B$93</f>
        <v>0</v>
      </c>
      <c r="U20" s="166">
        <f>T11*'ABP Future Assumptions'!$B$93</f>
        <v>0</v>
      </c>
    </row>
    <row r="21" spans="1:21" x14ac:dyDescent="0.25">
      <c r="A21" s="164" t="s">
        <v>144</v>
      </c>
      <c r="B21" s="164"/>
      <c r="C21" s="166"/>
      <c r="D21" s="166">
        <f>C12*'ABP Future Assumptions'!$B$93</f>
        <v>16071559.233381502</v>
      </c>
      <c r="E21" s="166">
        <f>D12*'ABP Future Assumptions'!$B$93</f>
        <v>15178694.831526974</v>
      </c>
      <c r="F21" s="166">
        <f>E12*'ABP Future Assumptions'!$B$93</f>
        <v>15178694.831526974</v>
      </c>
      <c r="G21" s="166">
        <f>F12*'ABP Future Assumptions'!$B$93</f>
        <v>15178694.831526974</v>
      </c>
      <c r="H21" s="166">
        <f>G12*'ABP Future Assumptions'!$B$93</f>
        <v>15178694.831526974</v>
      </c>
      <c r="I21" s="166">
        <f>H12*'ABP Future Assumptions'!$B$93</f>
        <v>15178694.831526974</v>
      </c>
      <c r="J21" s="166">
        <f>I12*'ABP Future Assumptions'!$B$93</f>
        <v>15178694.831526974</v>
      </c>
      <c r="K21" s="166">
        <f>J12*'ABP Future Assumptions'!$B$93</f>
        <v>0</v>
      </c>
      <c r="L21" s="166">
        <f>K12*'ABP Future Assumptions'!$B$93</f>
        <v>0</v>
      </c>
      <c r="M21" s="166">
        <f>L12*'ABP Future Assumptions'!$B$93</f>
        <v>0</v>
      </c>
      <c r="N21" s="166">
        <f>M12*'ABP Future Assumptions'!$B$93</f>
        <v>0</v>
      </c>
      <c r="O21" s="166">
        <f>N12*'ABP Future Assumptions'!$B$93</f>
        <v>0</v>
      </c>
      <c r="P21" s="166">
        <f>O12*'ABP Future Assumptions'!$B$93</f>
        <v>0</v>
      </c>
      <c r="Q21" s="166">
        <f>P12*'ABP Future Assumptions'!$B$93</f>
        <v>0</v>
      </c>
      <c r="R21" s="166">
        <f>Q12*'ABP Future Assumptions'!$B$93</f>
        <v>0</v>
      </c>
      <c r="S21" s="166">
        <f>R12*'ABP Future Assumptions'!$B$93</f>
        <v>0</v>
      </c>
      <c r="T21" s="166">
        <f>S12*'ABP Future Assumptions'!$B$93</f>
        <v>0</v>
      </c>
      <c r="U21" s="166">
        <f>T12*'ABP Future Assumptions'!$B$93</f>
        <v>0</v>
      </c>
    </row>
    <row r="22" spans="1:21" x14ac:dyDescent="0.25">
      <c r="A22" s="164" t="s">
        <v>153</v>
      </c>
      <c r="B22" s="164"/>
      <c r="C22" s="166"/>
      <c r="D22" s="166">
        <f>C13*'ABP Future Assumptions'!$B$93</f>
        <v>0</v>
      </c>
      <c r="E22" s="166">
        <f>D13*'ABP Future Assumptions'!$B$93</f>
        <v>13256937.515690796</v>
      </c>
      <c r="F22" s="166">
        <f>E13*'ABP Future Assumptions'!$B$93</f>
        <v>13190652.828112341</v>
      </c>
      <c r="G22" s="166">
        <f>F13*'ABP Future Assumptions'!$B$93</f>
        <v>13124699.56397178</v>
      </c>
      <c r="H22" s="166">
        <f>G13*'ABP Future Assumptions'!$B$93</f>
        <v>13059076.066151923</v>
      </c>
      <c r="I22" s="166">
        <f>H13*'ABP Future Assumptions'!$B$93</f>
        <v>12993780.685821161</v>
      </c>
      <c r="J22" s="166">
        <f>I13*'ABP Future Assumptions'!$B$93</f>
        <v>12928811.782392055</v>
      </c>
      <c r="K22" s="166">
        <f>J13*'ABP Future Assumptions'!$B$93</f>
        <v>12864167.723480096</v>
      </c>
      <c r="L22" s="166">
        <f>K13*'ABP Future Assumptions'!$B$93</f>
        <v>12799846.884862697</v>
      </c>
      <c r="M22" s="166">
        <f>L13*'ABP Future Assumptions'!$B$93</f>
        <v>12735847.650438381</v>
      </c>
      <c r="N22" s="166">
        <f>M13*'ABP Future Assumptions'!$B$93</f>
        <v>12672168.41218619</v>
      </c>
      <c r="O22" s="166">
        <f>N13*'ABP Future Assumptions'!$B$93</f>
        <v>12608807.570125258</v>
      </c>
      <c r="P22" s="166">
        <f>O13*'ABP Future Assumptions'!$B$93</f>
        <v>12545763.53227463</v>
      </c>
      <c r="Q22" s="166">
        <f>P13*'ABP Future Assumptions'!$B$93</f>
        <v>12483034.714613257</v>
      </c>
      <c r="R22" s="166">
        <f>Q13*'ABP Future Assumptions'!$B$93</f>
        <v>12420619.54104019</v>
      </c>
      <c r="S22" s="166">
        <f>R13*'ABP Future Assumptions'!$B$93</f>
        <v>12358516.443334991</v>
      </c>
      <c r="T22" s="166">
        <f>S13*'ABP Future Assumptions'!$B$93</f>
        <v>12296723.861118313</v>
      </c>
      <c r="U22" s="166">
        <f>T13*'ABP Future Assumptions'!$B$93</f>
        <v>12235240.241812723</v>
      </c>
    </row>
    <row r="23" spans="1:21" x14ac:dyDescent="0.25">
      <c r="A23" s="164" t="s">
        <v>158</v>
      </c>
      <c r="B23" s="164"/>
      <c r="C23" s="166"/>
      <c r="D23" s="166">
        <f>C14*'ABP Future Assumptions'!$B$93</f>
        <v>8257760.5393261565</v>
      </c>
      <c r="E23" s="166">
        <f>D14*'ABP Future Assumptions'!$B$93</f>
        <v>8216471.7366295243</v>
      </c>
      <c r="F23" s="166">
        <f>E14*'ABP Future Assumptions'!$B$93</f>
        <v>8175389.3779463768</v>
      </c>
      <c r="G23" s="166">
        <f>F14*'ABP Future Assumptions'!$B$93</f>
        <v>8134512.4310566448</v>
      </c>
      <c r="H23" s="166">
        <f>G14*'ABP Future Assumptions'!$B$93</f>
        <v>8093839.8689013608</v>
      </c>
      <c r="I23" s="166">
        <f>H14*'ABP Future Assumptions'!$B$93</f>
        <v>8053370.6695568543</v>
      </c>
      <c r="J23" s="166">
        <f>I14*'ABP Future Assumptions'!$B$93</f>
        <v>8013103.8162090695</v>
      </c>
      <c r="K23" s="166">
        <f>J14*'ABP Future Assumptions'!$B$93</f>
        <v>7973038.2971280236</v>
      </c>
      <c r="L23" s="166">
        <f>K14*'ABP Future Assumptions'!$B$93</f>
        <v>7933173.1056423848</v>
      </c>
      <c r="M23" s="166">
        <f>L14*'ABP Future Assumptions'!$B$93</f>
        <v>7893507.2401141711</v>
      </c>
      <c r="N23" s="166">
        <f>M14*'ABP Future Assumptions'!$B$93</f>
        <v>7854039.7039136011</v>
      </c>
      <c r="O23" s="166">
        <f>N14*'ABP Future Assumptions'!$B$93</f>
        <v>7814769.5053940341</v>
      </c>
      <c r="P23" s="166">
        <f>O14*'ABP Future Assumptions'!$B$93</f>
        <v>7775695.6578670638</v>
      </c>
      <c r="Q23" s="166">
        <f>P14*'ABP Future Assumptions'!$B$93</f>
        <v>7736817.1795777278</v>
      </c>
      <c r="R23" s="166">
        <f>Q14*'ABP Future Assumptions'!$B$93</f>
        <v>7698133.0936798388</v>
      </c>
      <c r="S23" s="166">
        <f>R14*'ABP Future Assumptions'!$B$93</f>
        <v>7659642.4282114403</v>
      </c>
      <c r="T23" s="166">
        <f>S14*'ABP Future Assumptions'!$B$93</f>
        <v>7621344.2160703838</v>
      </c>
      <c r="U23" s="166">
        <f>T14*'ABP Future Assumptions'!$B$93</f>
        <v>7583237.4949900303</v>
      </c>
    </row>
    <row r="24" spans="1:21" x14ac:dyDescent="0.25">
      <c r="A24" s="164" t="s">
        <v>162</v>
      </c>
      <c r="B24" s="164"/>
      <c r="C24" s="166"/>
      <c r="D24" s="166">
        <f>C15*'ABP Future Assumptions'!$B$93</f>
        <v>0</v>
      </c>
      <c r="E24" s="166">
        <f>D15*'ABP Future Assumptions'!$B$93</f>
        <v>5410889.6478074184</v>
      </c>
      <c r="F24" s="166">
        <f>E15*'ABP Future Assumptions'!$B$93</f>
        <v>5110284.6673736731</v>
      </c>
      <c r="G24" s="166">
        <f>F15*'ABP Future Assumptions'!$B$93</f>
        <v>5110284.6673736731</v>
      </c>
      <c r="H24" s="166">
        <f>G15*'ABP Future Assumptions'!$B$93</f>
        <v>5110284.6673736731</v>
      </c>
      <c r="I24" s="166">
        <f>H15*'ABP Future Assumptions'!$B$93</f>
        <v>5110284.6673736731</v>
      </c>
      <c r="J24" s="166">
        <f>I15*'ABP Future Assumptions'!$B$93</f>
        <v>5110284.6673736731</v>
      </c>
      <c r="K24" s="166">
        <f>J15*'ABP Future Assumptions'!$B$93</f>
        <v>5110284.6673736731</v>
      </c>
      <c r="L24" s="166">
        <f>K15*'ABP Future Assumptions'!$B$93</f>
        <v>0</v>
      </c>
      <c r="M24" s="166">
        <f>L15*'ABP Future Assumptions'!$B$93</f>
        <v>0</v>
      </c>
      <c r="N24" s="166">
        <f>M15*'ABP Future Assumptions'!$B$93</f>
        <v>0</v>
      </c>
      <c r="O24" s="166">
        <f>N15*'ABP Future Assumptions'!$B$93</f>
        <v>0</v>
      </c>
      <c r="P24" s="166">
        <f>O15*'ABP Future Assumptions'!$B$93</f>
        <v>0</v>
      </c>
      <c r="Q24" s="166">
        <f>P15*'ABP Future Assumptions'!$B$93</f>
        <v>0</v>
      </c>
      <c r="R24" s="166">
        <f>Q15*'ABP Future Assumptions'!$B$93</f>
        <v>0</v>
      </c>
      <c r="S24" s="166">
        <f>R15*'ABP Future Assumptions'!$B$93</f>
        <v>0</v>
      </c>
      <c r="T24" s="166">
        <f>S15*'ABP Future Assumptions'!$B$93</f>
        <v>0</v>
      </c>
      <c r="U24" s="166">
        <f>T15*'ABP Future Assumptions'!$B$93</f>
        <v>0</v>
      </c>
    </row>
    <row r="25" spans="1:21" x14ac:dyDescent="0.25">
      <c r="A25" s="164" t="s">
        <v>165</v>
      </c>
      <c r="B25" s="164"/>
      <c r="C25" s="166"/>
      <c r="D25" s="166">
        <f>C16*'ABP Future Assumptions'!$B$93</f>
        <v>17857288.037090551</v>
      </c>
      <c r="E25" s="166">
        <f>D16*'ABP Future Assumptions'!$B$93</f>
        <v>16865216.479474414</v>
      </c>
      <c r="F25" s="166">
        <f>E16*'ABP Future Assumptions'!$B$93</f>
        <v>16865216.479474414</v>
      </c>
      <c r="G25" s="166">
        <f>F16*'ABP Future Assumptions'!$B$93</f>
        <v>16865216.479474414</v>
      </c>
      <c r="H25" s="166">
        <f>G16*'ABP Future Assumptions'!$B$93</f>
        <v>16865216.479474414</v>
      </c>
      <c r="I25" s="166">
        <f>H16*'ABP Future Assumptions'!$B$93</f>
        <v>16865216.479474414</v>
      </c>
      <c r="J25" s="166">
        <f>I16*'ABP Future Assumptions'!$B$93</f>
        <v>16865216.479474414</v>
      </c>
      <c r="K25" s="166">
        <f>J16*'ABP Future Assumptions'!$B$93</f>
        <v>0</v>
      </c>
      <c r="L25" s="166">
        <f>K16*'ABP Future Assumptions'!$B$93</f>
        <v>0</v>
      </c>
      <c r="M25" s="166">
        <f>L16*'ABP Future Assumptions'!$B$93</f>
        <v>0</v>
      </c>
      <c r="N25" s="166">
        <f>M16*'ABP Future Assumptions'!$B$93</f>
        <v>0</v>
      </c>
      <c r="O25" s="166">
        <f>N16*'ABP Future Assumptions'!$B$93</f>
        <v>0</v>
      </c>
      <c r="P25" s="166">
        <f>O16*'ABP Future Assumptions'!$B$93</f>
        <v>0</v>
      </c>
      <c r="Q25" s="166">
        <f>P16*'ABP Future Assumptions'!$B$93</f>
        <v>0</v>
      </c>
      <c r="R25" s="166">
        <f>Q16*'ABP Future Assumptions'!$B$93</f>
        <v>0</v>
      </c>
      <c r="S25" s="166">
        <f>R16*'ABP Future Assumptions'!$B$93</f>
        <v>0</v>
      </c>
      <c r="T25" s="166">
        <f>S16*'ABP Future Assumptions'!$B$93</f>
        <v>0</v>
      </c>
      <c r="U25" s="166">
        <f>T16*'ABP Future Assumptions'!$B$93</f>
        <v>0</v>
      </c>
    </row>
    <row r="26" spans="1:21" x14ac:dyDescent="0.25">
      <c r="A26" s="163" t="s">
        <v>109</v>
      </c>
      <c r="B26" s="163"/>
      <c r="C26" s="18">
        <f t="shared" ref="C26:T26" si="7">SUM(C20:C25)</f>
        <v>0</v>
      </c>
      <c r="D26" s="18">
        <f t="shared" si="7"/>
        <v>196112862.67348099</v>
      </c>
      <c r="E26" s="18">
        <f t="shared" si="7"/>
        <v>58928210.211129129</v>
      </c>
      <c r="F26" s="18">
        <f t="shared" si="7"/>
        <v>58520238.184433773</v>
      </c>
      <c r="G26" s="18">
        <f t="shared" si="7"/>
        <v>58413407.973403484</v>
      </c>
      <c r="H26" s="18">
        <f t="shared" si="7"/>
        <v>58307111.913428336</v>
      </c>
      <c r="I26" s="18">
        <f t="shared" si="7"/>
        <v>58201347.333753079</v>
      </c>
      <c r="J26" s="18">
        <f t="shared" si="7"/>
        <v>58096111.57697618</v>
      </c>
      <c r="K26" s="18">
        <f t="shared" si="7"/>
        <v>25947490.687981792</v>
      </c>
      <c r="L26" s="18">
        <f t="shared" si="7"/>
        <v>20733019.990505081</v>
      </c>
      <c r="M26" s="18">
        <f t="shared" si="7"/>
        <v>20629354.890552551</v>
      </c>
      <c r="N26" s="18">
        <f t="shared" si="7"/>
        <v>20526208.11609979</v>
      </c>
      <c r="O26" s="18">
        <f t="shared" si="7"/>
        <v>20423577.075519294</v>
      </c>
      <c r="P26" s="18">
        <f t="shared" si="7"/>
        <v>20321459.190141693</v>
      </c>
      <c r="Q26" s="18">
        <f t="shared" si="7"/>
        <v>20219851.894190986</v>
      </c>
      <c r="R26" s="18">
        <f t="shared" si="7"/>
        <v>20118752.634720027</v>
      </c>
      <c r="S26" s="18">
        <f t="shared" si="7"/>
        <v>20018158.871546432</v>
      </c>
      <c r="T26" s="18">
        <f t="shared" si="7"/>
        <v>19918068.077188697</v>
      </c>
      <c r="U26" s="18">
        <f t="shared" ref="U26" si="8">SUM(U20:U25)</f>
        <v>19818477.736802753</v>
      </c>
    </row>
    <row r="28" spans="1:21" ht="15.75" x14ac:dyDescent="0.25">
      <c r="A28" s="77">
        <v>2026</v>
      </c>
      <c r="B28" s="218">
        <v>2024</v>
      </c>
      <c r="C28" s="218">
        <v>2025</v>
      </c>
      <c r="D28" s="218">
        <v>2026</v>
      </c>
      <c r="E28" s="218">
        <v>2027</v>
      </c>
      <c r="F28" s="218">
        <v>2028</v>
      </c>
      <c r="G28" s="218">
        <v>2029</v>
      </c>
      <c r="H28" s="218">
        <v>2030</v>
      </c>
      <c r="I28" s="218">
        <v>2031</v>
      </c>
      <c r="J28" s="218">
        <v>2032</v>
      </c>
      <c r="K28" s="218">
        <v>2033</v>
      </c>
      <c r="L28" s="218">
        <v>2034</v>
      </c>
      <c r="M28" s="218">
        <v>2035</v>
      </c>
      <c r="N28" s="218">
        <v>2036</v>
      </c>
      <c r="O28" s="218">
        <v>2037</v>
      </c>
      <c r="P28" s="218">
        <v>2038</v>
      </c>
      <c r="Q28" s="218">
        <v>2039</v>
      </c>
      <c r="R28" s="218">
        <v>2040</v>
      </c>
      <c r="S28" s="218">
        <v>2041</v>
      </c>
      <c r="T28" s="218">
        <v>2042</v>
      </c>
      <c r="U28" s="218">
        <v>2043</v>
      </c>
    </row>
    <row r="29" spans="1:21" x14ac:dyDescent="0.25">
      <c r="A29" s="164" t="s">
        <v>138</v>
      </c>
      <c r="B29" s="164"/>
      <c r="C29" s="166"/>
      <c r="D29" s="166">
        <f>C20*'ABP Future Assumptions'!$B$93*(IF('Indexed REC Activities'!$A$86="Yes",0,1))</f>
        <v>0</v>
      </c>
      <c r="E29" s="166">
        <f>D20*'ABP Future Assumptions'!$B$93*(IF('Indexed REC Activities'!$A$86="Yes",0,1))</f>
        <v>147769204.66913545</v>
      </c>
      <c r="F29" s="166">
        <f>E20*'ABP Future Assumptions'!$B$93*(IF('Indexed REC Activities'!$A$86="Yes",0,1))</f>
        <v>0</v>
      </c>
      <c r="G29" s="166">
        <f>F20*'ABP Future Assumptions'!$B$93*(IF('Indexed REC Activities'!$A$86="Yes",0,1))</f>
        <v>0</v>
      </c>
      <c r="H29" s="166">
        <f>G20*'ABP Future Assumptions'!$B$93*(IF('Indexed REC Activities'!$A$86="Yes",0,1))</f>
        <v>0</v>
      </c>
      <c r="I29" s="166">
        <f>H20*'ABP Future Assumptions'!$B$93*(IF('Indexed REC Activities'!$A$86="Yes",0,1))</f>
        <v>0</v>
      </c>
      <c r="J29" s="166">
        <f>I20*'ABP Future Assumptions'!$B$93*(IF('Indexed REC Activities'!$A$86="Yes",0,1))</f>
        <v>0</v>
      </c>
      <c r="K29" s="166">
        <f>J20*'ABP Future Assumptions'!$B$93*(IF('Indexed REC Activities'!$A$86="Yes",0,1))</f>
        <v>0</v>
      </c>
      <c r="L29" s="166">
        <f>K20*'ABP Future Assumptions'!$B$93*(IF('Indexed REC Activities'!$A$86="Yes",0,1))</f>
        <v>0</v>
      </c>
      <c r="M29" s="166">
        <f>L20*'ABP Future Assumptions'!$B$93*(IF('Indexed REC Activities'!$A$86="Yes",0,1))</f>
        <v>0</v>
      </c>
      <c r="N29" s="166">
        <f>M20*'ABP Future Assumptions'!$B$93*(IF('Indexed REC Activities'!$A$86="Yes",0,1))</f>
        <v>0</v>
      </c>
      <c r="O29" s="166">
        <f>N20*'ABP Future Assumptions'!$B$93*(IF('Indexed REC Activities'!$A$86="Yes",0,1))</f>
        <v>0</v>
      </c>
      <c r="P29" s="166">
        <f>O20*'ABP Future Assumptions'!$B$93*(IF('Indexed REC Activities'!$A$86="Yes",0,1))</f>
        <v>0</v>
      </c>
      <c r="Q29" s="166">
        <f>P20*'ABP Future Assumptions'!$B$93*(IF('Indexed REC Activities'!$A$86="Yes",0,1))</f>
        <v>0</v>
      </c>
      <c r="R29" s="166">
        <f>Q20*'ABP Future Assumptions'!$B$93*(IF('Indexed REC Activities'!$A$86="Yes",0,1))</f>
        <v>0</v>
      </c>
      <c r="S29" s="166">
        <f>R20*'ABP Future Assumptions'!$B$93*(IF('Indexed REC Activities'!$A$86="Yes",0,1))</f>
        <v>0</v>
      </c>
      <c r="T29" s="166">
        <f>S20*'ABP Future Assumptions'!$B$93*(IF('Indexed REC Activities'!$A$86="Yes",0,1))</f>
        <v>0</v>
      </c>
      <c r="U29" s="166">
        <f>T20*'ABP Future Assumptions'!$B$93*(IF('Indexed REC Activities'!$A$86="Yes",0,1))</f>
        <v>0</v>
      </c>
    </row>
    <row r="30" spans="1:21" x14ac:dyDescent="0.25">
      <c r="A30" s="164" t="s">
        <v>144</v>
      </c>
      <c r="B30" s="164"/>
      <c r="C30" s="166"/>
      <c r="D30" s="166">
        <f>C21*'ABP Future Assumptions'!$B$93*(IF('Indexed REC Activities'!$A$86="Yes",0,1))</f>
        <v>0</v>
      </c>
      <c r="E30" s="166">
        <f>D21*'ABP Future Assumptions'!$B$93*(IF('Indexed REC Activities'!$A$86="Yes",0,1))</f>
        <v>15428696.864046242</v>
      </c>
      <c r="F30" s="166">
        <f>E21*'ABP Future Assumptions'!$B$93*(IF('Indexed REC Activities'!$A$86="Yes",0,1))</f>
        <v>14571547.038265895</v>
      </c>
      <c r="G30" s="166">
        <f>F21*'ABP Future Assumptions'!$B$93*(IF('Indexed REC Activities'!$A$86="Yes",0,1))</f>
        <v>14571547.038265895</v>
      </c>
      <c r="H30" s="166">
        <f>G21*'ABP Future Assumptions'!$B$93*(IF('Indexed REC Activities'!$A$86="Yes",0,1))</f>
        <v>14571547.038265895</v>
      </c>
      <c r="I30" s="166">
        <f>H21*'ABP Future Assumptions'!$B$93*(IF('Indexed REC Activities'!$A$86="Yes",0,1))</f>
        <v>14571547.038265895</v>
      </c>
      <c r="J30" s="166">
        <f>I21*'ABP Future Assumptions'!$B$93*(IF('Indexed REC Activities'!$A$86="Yes",0,1))</f>
        <v>14571547.038265895</v>
      </c>
      <c r="K30" s="166">
        <f>J21*'ABP Future Assumptions'!$B$93*(IF('Indexed REC Activities'!$A$86="Yes",0,1))</f>
        <v>14571547.038265895</v>
      </c>
      <c r="L30" s="166">
        <f>K21*'ABP Future Assumptions'!$B$93*(IF('Indexed REC Activities'!$A$86="Yes",0,1))</f>
        <v>0</v>
      </c>
      <c r="M30" s="166">
        <f>L21*'ABP Future Assumptions'!$B$93*(IF('Indexed REC Activities'!$A$86="Yes",0,1))</f>
        <v>0</v>
      </c>
      <c r="N30" s="166">
        <f>M21*'ABP Future Assumptions'!$B$93*(IF('Indexed REC Activities'!$A$86="Yes",0,1))</f>
        <v>0</v>
      </c>
      <c r="O30" s="166">
        <f>N21*'ABP Future Assumptions'!$B$93*(IF('Indexed REC Activities'!$A$86="Yes",0,1))</f>
        <v>0</v>
      </c>
      <c r="P30" s="166">
        <f>O21*'ABP Future Assumptions'!$B$93*(IF('Indexed REC Activities'!$A$86="Yes",0,1))</f>
        <v>0</v>
      </c>
      <c r="Q30" s="166">
        <f>P21*'ABP Future Assumptions'!$B$93*(IF('Indexed REC Activities'!$A$86="Yes",0,1))</f>
        <v>0</v>
      </c>
      <c r="R30" s="166">
        <f>Q21*'ABP Future Assumptions'!$B$93*(IF('Indexed REC Activities'!$A$86="Yes",0,1))</f>
        <v>0</v>
      </c>
      <c r="S30" s="166">
        <f>R21*'ABP Future Assumptions'!$B$93*(IF('Indexed REC Activities'!$A$86="Yes",0,1))</f>
        <v>0</v>
      </c>
      <c r="T30" s="166">
        <f>S21*'ABP Future Assumptions'!$B$93*(IF('Indexed REC Activities'!$A$86="Yes",0,1))</f>
        <v>0</v>
      </c>
      <c r="U30" s="166">
        <f>T21*'ABP Future Assumptions'!$B$93*(IF('Indexed REC Activities'!$A$86="Yes",0,1))</f>
        <v>0</v>
      </c>
    </row>
    <row r="31" spans="1:21" x14ac:dyDescent="0.25">
      <c r="A31" s="164" t="s">
        <v>153</v>
      </c>
      <c r="B31" s="164"/>
      <c r="C31" s="166"/>
      <c r="D31" s="166">
        <f>C22*'ABP Future Assumptions'!$B$93*(IF('Indexed REC Activities'!$A$86="Yes",0,1))</f>
        <v>0</v>
      </c>
      <c r="E31" s="166">
        <f>D22*'ABP Future Assumptions'!$B$93*(IF('Indexed REC Activities'!$A$86="Yes",0,1))</f>
        <v>0</v>
      </c>
      <c r="F31" s="166">
        <f>E22*'ABP Future Assumptions'!$B$93*(IF('Indexed REC Activities'!$A$86="Yes",0,1))</f>
        <v>12726660.015063163</v>
      </c>
      <c r="G31" s="166">
        <f>F22*'ABP Future Assumptions'!$B$93*(IF('Indexed REC Activities'!$A$86="Yes",0,1))</f>
        <v>12663026.714987848</v>
      </c>
      <c r="H31" s="166">
        <f>G22*'ABP Future Assumptions'!$B$93*(IF('Indexed REC Activities'!$A$86="Yes",0,1))</f>
        <v>12599711.581412908</v>
      </c>
      <c r="I31" s="166">
        <f>H22*'ABP Future Assumptions'!$B$93*(IF('Indexed REC Activities'!$A$86="Yes",0,1))</f>
        <v>12536713.023505846</v>
      </c>
      <c r="J31" s="166">
        <f>I22*'ABP Future Assumptions'!$B$93*(IF('Indexed REC Activities'!$A$86="Yes",0,1))</f>
        <v>12474029.458388314</v>
      </c>
      <c r="K31" s="166">
        <f>J22*'ABP Future Assumptions'!$B$93*(IF('Indexed REC Activities'!$A$86="Yes",0,1))</f>
        <v>12411659.311096372</v>
      </c>
      <c r="L31" s="166">
        <f>K22*'ABP Future Assumptions'!$B$93*(IF('Indexed REC Activities'!$A$86="Yes",0,1))</f>
        <v>12349601.014540892</v>
      </c>
      <c r="M31" s="166">
        <f>L22*'ABP Future Assumptions'!$B$93*(IF('Indexed REC Activities'!$A$86="Yes",0,1))</f>
        <v>12287853.009468189</v>
      </c>
      <c r="N31" s="166">
        <f>M22*'ABP Future Assumptions'!$B$93*(IF('Indexed REC Activities'!$A$86="Yes",0,1))</f>
        <v>12226413.744420845</v>
      </c>
      <c r="O31" s="166">
        <f>N22*'ABP Future Assumptions'!$B$93*(IF('Indexed REC Activities'!$A$86="Yes",0,1))</f>
        <v>12165281.675698742</v>
      </c>
      <c r="P31" s="166">
        <f>O22*'ABP Future Assumptions'!$B$93*(IF('Indexed REC Activities'!$A$86="Yes",0,1))</f>
        <v>12104455.267320247</v>
      </c>
      <c r="Q31" s="166">
        <f>P22*'ABP Future Assumptions'!$B$93*(IF('Indexed REC Activities'!$A$86="Yes",0,1))</f>
        <v>12043932.990983645</v>
      </c>
      <c r="R31" s="166">
        <f>Q22*'ABP Future Assumptions'!$B$93*(IF('Indexed REC Activities'!$A$86="Yes",0,1))</f>
        <v>11983713.326028727</v>
      </c>
      <c r="S31" s="166">
        <f>R22*'ABP Future Assumptions'!$B$93*(IF('Indexed REC Activities'!$A$86="Yes",0,1))</f>
        <v>11923794.759398581</v>
      </c>
      <c r="T31" s="166">
        <f>S22*'ABP Future Assumptions'!$B$93*(IF('Indexed REC Activities'!$A$86="Yes",0,1))</f>
        <v>11864175.785601592</v>
      </c>
      <c r="U31" s="166">
        <f>T22*'ABP Future Assumptions'!$B$93*(IF('Indexed REC Activities'!$A$86="Yes",0,1))</f>
        <v>11804854.90667358</v>
      </c>
    </row>
    <row r="32" spans="1:21" x14ac:dyDescent="0.25">
      <c r="A32" s="164" t="s">
        <v>158</v>
      </c>
      <c r="B32" s="164"/>
      <c r="C32" s="166"/>
      <c r="D32" s="166">
        <f>C23*'ABP Future Assumptions'!$B$93*(IF('Indexed REC Activities'!$A$86="Yes",0,1))</f>
        <v>0</v>
      </c>
      <c r="E32" s="166">
        <f>D23*'ABP Future Assumptions'!$B$93*(IF('Indexed REC Activities'!$A$86="Yes",0,1))</f>
        <v>7927450.1177531099</v>
      </c>
      <c r="F32" s="166">
        <f>E23*'ABP Future Assumptions'!$B$93*(IF('Indexed REC Activities'!$A$86="Yes",0,1))</f>
        <v>7887812.8671643427</v>
      </c>
      <c r="G32" s="166">
        <f>F23*'ABP Future Assumptions'!$B$93*(IF('Indexed REC Activities'!$A$86="Yes",0,1))</f>
        <v>7848373.8028285215</v>
      </c>
      <c r="H32" s="166">
        <f>G23*'ABP Future Assumptions'!$B$93*(IF('Indexed REC Activities'!$A$86="Yes",0,1))</f>
        <v>7809131.9338143785</v>
      </c>
      <c r="I32" s="166">
        <f>H23*'ABP Future Assumptions'!$B$93*(IF('Indexed REC Activities'!$A$86="Yes",0,1))</f>
        <v>7770086.2741453061</v>
      </c>
      <c r="J32" s="166">
        <f>I23*'ABP Future Assumptions'!$B$93*(IF('Indexed REC Activities'!$A$86="Yes",0,1))</f>
        <v>7731235.8427745802</v>
      </c>
      <c r="K32" s="166">
        <f>J23*'ABP Future Assumptions'!$B$93*(IF('Indexed REC Activities'!$A$86="Yes",0,1))</f>
        <v>7692579.6635607062</v>
      </c>
      <c r="L32" s="166">
        <f>K23*'ABP Future Assumptions'!$B$93*(IF('Indexed REC Activities'!$A$86="Yes",0,1))</f>
        <v>7654116.7652429026</v>
      </c>
      <c r="M32" s="166">
        <f>L23*'ABP Future Assumptions'!$B$93*(IF('Indexed REC Activities'!$A$86="Yes",0,1))</f>
        <v>7615846.1814166894</v>
      </c>
      <c r="N32" s="166">
        <f>M23*'ABP Future Assumptions'!$B$93*(IF('Indexed REC Activities'!$A$86="Yes",0,1))</f>
        <v>7577766.9505096041</v>
      </c>
      <c r="O32" s="166">
        <f>N23*'ABP Future Assumptions'!$B$93*(IF('Indexed REC Activities'!$A$86="Yes",0,1))</f>
        <v>7539878.1157570565</v>
      </c>
      <c r="P32" s="166">
        <f>O23*'ABP Future Assumptions'!$B$93*(IF('Indexed REC Activities'!$A$86="Yes",0,1))</f>
        <v>7502178.7251782725</v>
      </c>
      <c r="Q32" s="166">
        <f>P23*'ABP Future Assumptions'!$B$93*(IF('Indexed REC Activities'!$A$86="Yes",0,1))</f>
        <v>7464667.8315523807</v>
      </c>
      <c r="R32" s="166">
        <f>Q23*'ABP Future Assumptions'!$B$93*(IF('Indexed REC Activities'!$A$86="Yes",0,1))</f>
        <v>7427344.4923946187</v>
      </c>
      <c r="S32" s="166">
        <f>R23*'ABP Future Assumptions'!$B$93*(IF('Indexed REC Activities'!$A$86="Yes",0,1))</f>
        <v>7390207.7699326454</v>
      </c>
      <c r="T32" s="166">
        <f>S23*'ABP Future Assumptions'!$B$93*(IF('Indexed REC Activities'!$A$86="Yes",0,1))</f>
        <v>7353256.7310829824</v>
      </c>
      <c r="U32" s="166">
        <f>T23*'ABP Future Assumptions'!$B$93*(IF('Indexed REC Activities'!$A$86="Yes",0,1))</f>
        <v>7316490.447427568</v>
      </c>
    </row>
    <row r="33" spans="1:21" x14ac:dyDescent="0.25">
      <c r="A33" s="164" t="s">
        <v>162</v>
      </c>
      <c r="B33" s="164"/>
      <c r="C33" s="166"/>
      <c r="D33" s="166">
        <f>C24*'ABP Future Assumptions'!$B$93*(IF('Indexed REC Activities'!$A$86="Yes",0,1))</f>
        <v>0</v>
      </c>
      <c r="E33" s="166">
        <f>D24*'ABP Future Assumptions'!$B$93*(IF('Indexed REC Activities'!$A$86="Yes",0,1))</f>
        <v>0</v>
      </c>
      <c r="F33" s="166">
        <f>E24*'ABP Future Assumptions'!$B$93*(IF('Indexed REC Activities'!$A$86="Yes",0,1))</f>
        <v>5194454.0618951218</v>
      </c>
      <c r="G33" s="166">
        <f>F24*'ABP Future Assumptions'!$B$93*(IF('Indexed REC Activities'!$A$86="Yes",0,1))</f>
        <v>4905873.2806787258</v>
      </c>
      <c r="H33" s="166">
        <f>G24*'ABP Future Assumptions'!$B$93*(IF('Indexed REC Activities'!$A$86="Yes",0,1))</f>
        <v>4905873.2806787258</v>
      </c>
      <c r="I33" s="166">
        <f>H24*'ABP Future Assumptions'!$B$93*(IF('Indexed REC Activities'!$A$86="Yes",0,1))</f>
        <v>4905873.2806787258</v>
      </c>
      <c r="J33" s="166">
        <f>I24*'ABP Future Assumptions'!$B$93*(IF('Indexed REC Activities'!$A$86="Yes",0,1))</f>
        <v>4905873.2806787258</v>
      </c>
      <c r="K33" s="166">
        <f>J24*'ABP Future Assumptions'!$B$93*(IF('Indexed REC Activities'!$A$86="Yes",0,1))</f>
        <v>4905873.2806787258</v>
      </c>
      <c r="L33" s="166">
        <f>K24*'ABP Future Assumptions'!$B$93*(IF('Indexed REC Activities'!$A$86="Yes",0,1))</f>
        <v>4905873.2806787258</v>
      </c>
      <c r="M33" s="166">
        <f>L24*'ABP Future Assumptions'!$B$93*(IF('Indexed REC Activities'!$A$86="Yes",0,1))</f>
        <v>0</v>
      </c>
      <c r="N33" s="166">
        <f>M24*'ABP Future Assumptions'!$B$93*(IF('Indexed REC Activities'!$A$86="Yes",0,1))</f>
        <v>0</v>
      </c>
      <c r="O33" s="166">
        <f>N24*'ABP Future Assumptions'!$B$93*(IF('Indexed REC Activities'!$A$86="Yes",0,1))</f>
        <v>0</v>
      </c>
      <c r="P33" s="166">
        <f>O24*'ABP Future Assumptions'!$B$93*(IF('Indexed REC Activities'!$A$86="Yes",0,1))</f>
        <v>0</v>
      </c>
      <c r="Q33" s="166">
        <f>P24*'ABP Future Assumptions'!$B$93*(IF('Indexed REC Activities'!$A$86="Yes",0,1))</f>
        <v>0</v>
      </c>
      <c r="R33" s="166">
        <f>Q24*'ABP Future Assumptions'!$B$93*(IF('Indexed REC Activities'!$A$86="Yes",0,1))</f>
        <v>0</v>
      </c>
      <c r="S33" s="166">
        <f>R24*'ABP Future Assumptions'!$B$93*(IF('Indexed REC Activities'!$A$86="Yes",0,1))</f>
        <v>0</v>
      </c>
      <c r="T33" s="166">
        <f>S24*'ABP Future Assumptions'!$B$93*(IF('Indexed REC Activities'!$A$86="Yes",0,1))</f>
        <v>0</v>
      </c>
      <c r="U33" s="166">
        <f>T24*'ABP Future Assumptions'!$B$93*(IF('Indexed REC Activities'!$A$86="Yes",0,1))</f>
        <v>0</v>
      </c>
    </row>
    <row r="34" spans="1:21" x14ac:dyDescent="0.25">
      <c r="A34" s="164" t="s">
        <v>165</v>
      </c>
      <c r="B34" s="164"/>
      <c r="C34" s="166"/>
      <c r="D34" s="166">
        <f>C25*'ABP Future Assumptions'!$B$93*(IF('Indexed REC Activities'!$A$86="Yes",0,1))</f>
        <v>0</v>
      </c>
      <c r="E34" s="166">
        <f>D25*'ABP Future Assumptions'!$B$93*(IF('Indexed REC Activities'!$A$86="Yes",0,1))</f>
        <v>17142996.515606929</v>
      </c>
      <c r="F34" s="166">
        <f>E25*'ABP Future Assumptions'!$B$93*(IF('Indexed REC Activities'!$A$86="Yes",0,1))</f>
        <v>16190607.820295436</v>
      </c>
      <c r="G34" s="166">
        <f>F25*'ABP Future Assumptions'!$B$93*(IF('Indexed REC Activities'!$A$86="Yes",0,1))</f>
        <v>16190607.820295436</v>
      </c>
      <c r="H34" s="166">
        <f>G25*'ABP Future Assumptions'!$B$93*(IF('Indexed REC Activities'!$A$86="Yes",0,1))</f>
        <v>16190607.820295436</v>
      </c>
      <c r="I34" s="166">
        <f>H25*'ABP Future Assumptions'!$B$93*(IF('Indexed REC Activities'!$A$86="Yes",0,1))</f>
        <v>16190607.820295436</v>
      </c>
      <c r="J34" s="166">
        <f>I25*'ABP Future Assumptions'!$B$93*(IF('Indexed REC Activities'!$A$86="Yes",0,1))</f>
        <v>16190607.820295436</v>
      </c>
      <c r="K34" s="166">
        <f>J25*'ABP Future Assumptions'!$B$93*(IF('Indexed REC Activities'!$A$86="Yes",0,1))</f>
        <v>16190607.820295436</v>
      </c>
      <c r="L34" s="166">
        <f>K25*'ABP Future Assumptions'!$B$93*(IF('Indexed REC Activities'!$A$86="Yes",0,1))</f>
        <v>0</v>
      </c>
      <c r="M34" s="166">
        <f>L25*'ABP Future Assumptions'!$B$93*(IF('Indexed REC Activities'!$A$86="Yes",0,1))</f>
        <v>0</v>
      </c>
      <c r="N34" s="166">
        <f>M25*'ABP Future Assumptions'!$B$93*(IF('Indexed REC Activities'!$A$86="Yes",0,1))</f>
        <v>0</v>
      </c>
      <c r="O34" s="166">
        <f>N25*'ABP Future Assumptions'!$B$93*(IF('Indexed REC Activities'!$A$86="Yes",0,1))</f>
        <v>0</v>
      </c>
      <c r="P34" s="166">
        <f>O25*'ABP Future Assumptions'!$B$93*(IF('Indexed REC Activities'!$A$86="Yes",0,1))</f>
        <v>0</v>
      </c>
      <c r="Q34" s="166">
        <f>P25*'ABP Future Assumptions'!$B$93*(IF('Indexed REC Activities'!$A$86="Yes",0,1))</f>
        <v>0</v>
      </c>
      <c r="R34" s="166">
        <f>Q25*'ABP Future Assumptions'!$B$93*(IF('Indexed REC Activities'!$A$86="Yes",0,1))</f>
        <v>0</v>
      </c>
      <c r="S34" s="166">
        <f>R25*'ABP Future Assumptions'!$B$93*(IF('Indexed REC Activities'!$A$86="Yes",0,1))</f>
        <v>0</v>
      </c>
      <c r="T34" s="166">
        <f>S25*'ABP Future Assumptions'!$B$93*(IF('Indexed REC Activities'!$A$86="Yes",0,1))</f>
        <v>0</v>
      </c>
      <c r="U34" s="166">
        <f>T25*'ABP Future Assumptions'!$B$93*(IF('Indexed REC Activities'!$A$86="Yes",0,1))</f>
        <v>0</v>
      </c>
    </row>
    <row r="35" spans="1:21" x14ac:dyDescent="0.25">
      <c r="A35" s="163" t="s">
        <v>109</v>
      </c>
      <c r="B35" s="163"/>
      <c r="C35" s="18">
        <f t="shared" ref="C35:T35" si="9">SUM(C29:C34)</f>
        <v>0</v>
      </c>
      <c r="D35" s="18">
        <f t="shared" si="9"/>
        <v>0</v>
      </c>
      <c r="E35" s="18">
        <f t="shared" si="9"/>
        <v>188268348.16654176</v>
      </c>
      <c r="F35" s="18">
        <f t="shared" si="9"/>
        <v>56571081.802683964</v>
      </c>
      <c r="G35" s="18">
        <f t="shared" si="9"/>
        <v>56179428.657056428</v>
      </c>
      <c r="H35" s="18">
        <f t="shared" si="9"/>
        <v>56076871.654467344</v>
      </c>
      <c r="I35" s="18">
        <f t="shared" si="9"/>
        <v>55974827.436891213</v>
      </c>
      <c r="J35" s="18">
        <f t="shared" si="9"/>
        <v>55873293.440402955</v>
      </c>
      <c r="K35" s="18">
        <f t="shared" si="9"/>
        <v>55772267.113897137</v>
      </c>
      <c r="L35" s="18">
        <f t="shared" si="9"/>
        <v>24909591.06046252</v>
      </c>
      <c r="M35" s="18">
        <f t="shared" si="9"/>
        <v>19903699.190884877</v>
      </c>
      <c r="N35" s="18">
        <f t="shared" si="9"/>
        <v>19804180.694930449</v>
      </c>
      <c r="O35" s="18">
        <f t="shared" si="9"/>
        <v>19705159.791455798</v>
      </c>
      <c r="P35" s="18">
        <f t="shared" si="9"/>
        <v>19606633.992498521</v>
      </c>
      <c r="Q35" s="18">
        <f t="shared" si="9"/>
        <v>19508600.822536025</v>
      </c>
      <c r="R35" s="18">
        <f t="shared" si="9"/>
        <v>19411057.818423346</v>
      </c>
      <c r="S35" s="18">
        <f t="shared" si="9"/>
        <v>19314002.529331226</v>
      </c>
      <c r="T35" s="18">
        <f t="shared" si="9"/>
        <v>19217432.516684573</v>
      </c>
      <c r="U35" s="18">
        <f t="shared" ref="U35" si="10">SUM(U29:U34)</f>
        <v>19121345.354101148</v>
      </c>
    </row>
    <row r="37" spans="1:21" ht="15.75" x14ac:dyDescent="0.25">
      <c r="A37" s="77">
        <v>2027</v>
      </c>
      <c r="B37" s="218">
        <v>2024</v>
      </c>
      <c r="C37" s="218">
        <v>2025</v>
      </c>
      <c r="D37" s="218">
        <v>2026</v>
      </c>
      <c r="E37" s="218">
        <v>2027</v>
      </c>
      <c r="F37" s="218">
        <v>2028</v>
      </c>
      <c r="G37" s="218">
        <v>2029</v>
      </c>
      <c r="H37" s="218">
        <v>2030</v>
      </c>
      <c r="I37" s="218">
        <v>2031</v>
      </c>
      <c r="J37" s="218">
        <v>2032</v>
      </c>
      <c r="K37" s="218">
        <v>2033</v>
      </c>
      <c r="L37" s="218">
        <v>2034</v>
      </c>
      <c r="M37" s="218">
        <v>2035</v>
      </c>
      <c r="N37" s="218">
        <v>2036</v>
      </c>
      <c r="O37" s="218">
        <v>2037</v>
      </c>
      <c r="P37" s="218">
        <v>2038</v>
      </c>
      <c r="Q37" s="218">
        <v>2039</v>
      </c>
      <c r="R37" s="218">
        <v>2040</v>
      </c>
      <c r="S37" s="218">
        <v>2041</v>
      </c>
      <c r="T37" s="218">
        <v>2042</v>
      </c>
      <c r="U37" s="218">
        <v>2043</v>
      </c>
    </row>
    <row r="38" spans="1:21" x14ac:dyDescent="0.25">
      <c r="A38" s="164" t="s">
        <v>138</v>
      </c>
      <c r="B38" s="164"/>
      <c r="C38" s="166"/>
      <c r="D38" s="166"/>
      <c r="E38" s="166">
        <f>D29*'ABP Future Assumptions'!$B$93</f>
        <v>0</v>
      </c>
      <c r="F38" s="166">
        <f>E29*'ABP Future Assumptions'!$B$93</f>
        <v>141858436.48237002</v>
      </c>
      <c r="G38" s="166">
        <f>F29*'ABP Future Assumptions'!$B$93</f>
        <v>0</v>
      </c>
      <c r="H38" s="166">
        <f>G29*'ABP Future Assumptions'!$B$93</f>
        <v>0</v>
      </c>
      <c r="I38" s="166">
        <f>H29*'ABP Future Assumptions'!$B$93</f>
        <v>0</v>
      </c>
      <c r="J38" s="166">
        <f>I29*'ABP Future Assumptions'!$B$93</f>
        <v>0</v>
      </c>
      <c r="K38" s="166">
        <f>J29*'ABP Future Assumptions'!$B$93</f>
        <v>0</v>
      </c>
      <c r="L38" s="166">
        <f>K29*'ABP Future Assumptions'!$B$93</f>
        <v>0</v>
      </c>
      <c r="M38" s="166">
        <f>L29*'ABP Future Assumptions'!$B$93</f>
        <v>0</v>
      </c>
      <c r="N38" s="166">
        <f>M29*'ABP Future Assumptions'!$B$93</f>
        <v>0</v>
      </c>
      <c r="O38" s="166">
        <f>N29*'ABP Future Assumptions'!$B$93</f>
        <v>0</v>
      </c>
      <c r="P38" s="166">
        <f>O29*'ABP Future Assumptions'!$B$93</f>
        <v>0</v>
      </c>
      <c r="Q38" s="166">
        <f>P29*'ABP Future Assumptions'!$B$93</f>
        <v>0</v>
      </c>
      <c r="R38" s="166">
        <f>Q29*'ABP Future Assumptions'!$B$93</f>
        <v>0</v>
      </c>
      <c r="S38" s="166">
        <f>R29*'ABP Future Assumptions'!$B$93</f>
        <v>0</v>
      </c>
      <c r="T38" s="166">
        <f>S29*'ABP Future Assumptions'!$B$93</f>
        <v>0</v>
      </c>
      <c r="U38" s="166">
        <f>T29*'ABP Future Assumptions'!$B$93</f>
        <v>0</v>
      </c>
    </row>
    <row r="39" spans="1:21" x14ac:dyDescent="0.25">
      <c r="A39" s="164" t="s">
        <v>144</v>
      </c>
      <c r="B39" s="164"/>
      <c r="C39" s="166"/>
      <c r="D39" s="166"/>
      <c r="E39" s="166">
        <f>D30*'ABP Future Assumptions'!$B$93</f>
        <v>0</v>
      </c>
      <c r="F39" s="166">
        <f>E30*'ABP Future Assumptions'!$B$93</f>
        <v>14811548.989484392</v>
      </c>
      <c r="G39" s="166">
        <f>F30*'ABP Future Assumptions'!$B$93</f>
        <v>13988685.156735258</v>
      </c>
      <c r="H39" s="166">
        <f>G30*'ABP Future Assumptions'!$B$93</f>
        <v>13988685.156735258</v>
      </c>
      <c r="I39" s="166">
        <f>H30*'ABP Future Assumptions'!$B$93</f>
        <v>13988685.156735258</v>
      </c>
      <c r="J39" s="166">
        <f>I30*'ABP Future Assumptions'!$B$93</f>
        <v>13988685.156735258</v>
      </c>
      <c r="K39" s="166">
        <f>J30*'ABP Future Assumptions'!$B$93</f>
        <v>13988685.156735258</v>
      </c>
      <c r="L39" s="166">
        <f>K30*'ABP Future Assumptions'!$B$93</f>
        <v>13988685.156735258</v>
      </c>
      <c r="M39" s="166">
        <f>L30*'ABP Future Assumptions'!$B$93</f>
        <v>0</v>
      </c>
      <c r="N39" s="166">
        <f>M30*'ABP Future Assumptions'!$B$93</f>
        <v>0</v>
      </c>
      <c r="O39" s="166">
        <f>N30*'ABP Future Assumptions'!$B$93</f>
        <v>0</v>
      </c>
      <c r="P39" s="166">
        <f>O30*'ABP Future Assumptions'!$B$93</f>
        <v>0</v>
      </c>
      <c r="Q39" s="166">
        <f>P30*'ABP Future Assumptions'!$B$93</f>
        <v>0</v>
      </c>
      <c r="R39" s="166">
        <f>Q30*'ABP Future Assumptions'!$B$93</f>
        <v>0</v>
      </c>
      <c r="S39" s="166">
        <f>R30*'ABP Future Assumptions'!$B$93</f>
        <v>0</v>
      </c>
      <c r="T39" s="166">
        <f>S30*'ABP Future Assumptions'!$B$93</f>
        <v>0</v>
      </c>
      <c r="U39" s="166">
        <f>T30*'ABP Future Assumptions'!$B$93</f>
        <v>0</v>
      </c>
    </row>
    <row r="40" spans="1:21" x14ac:dyDescent="0.25">
      <c r="A40" s="164" t="s">
        <v>153</v>
      </c>
      <c r="B40" s="164"/>
      <c r="C40" s="166"/>
      <c r="D40" s="166"/>
      <c r="E40" s="166">
        <f>D31*'ABP Future Assumptions'!$B$93</f>
        <v>0</v>
      </c>
      <c r="F40" s="166">
        <f>E31*'ABP Future Assumptions'!$B$93</f>
        <v>0</v>
      </c>
      <c r="G40" s="166">
        <f>F31*'ABP Future Assumptions'!$B$93</f>
        <v>12217593.614460636</v>
      </c>
      <c r="H40" s="166">
        <f>G31*'ABP Future Assumptions'!$B$93</f>
        <v>12156505.646388333</v>
      </c>
      <c r="I40" s="166">
        <f>H31*'ABP Future Assumptions'!$B$93</f>
        <v>12095723.11815639</v>
      </c>
      <c r="J40" s="166">
        <f>I31*'ABP Future Assumptions'!$B$93</f>
        <v>12035244.502565611</v>
      </c>
      <c r="K40" s="166">
        <f>J31*'ABP Future Assumptions'!$B$93</f>
        <v>11975068.280052781</v>
      </c>
      <c r="L40" s="166">
        <f>K31*'ABP Future Assumptions'!$B$93</f>
        <v>11915192.938652517</v>
      </c>
      <c r="M40" s="166">
        <f>L31*'ABP Future Assumptions'!$B$93</f>
        <v>11855616.973959256</v>
      </c>
      <c r="N40" s="166">
        <f>M31*'ABP Future Assumptions'!$B$93</f>
        <v>11796338.889089461</v>
      </c>
      <c r="O40" s="166">
        <f>N31*'ABP Future Assumptions'!$B$93</f>
        <v>11737357.194644012</v>
      </c>
      <c r="P40" s="166">
        <f>O31*'ABP Future Assumptions'!$B$93</f>
        <v>11678670.408670792</v>
      </c>
      <c r="Q40" s="166">
        <f>P31*'ABP Future Assumptions'!$B$93</f>
        <v>11620277.056627437</v>
      </c>
      <c r="R40" s="166">
        <f>Q31*'ABP Future Assumptions'!$B$93</f>
        <v>11562175.671344299</v>
      </c>
      <c r="S40" s="166">
        <f>R31*'ABP Future Assumptions'!$B$93</f>
        <v>11504364.792987578</v>
      </c>
      <c r="T40" s="166">
        <f>S31*'ABP Future Assumptions'!$B$93</f>
        <v>11446842.969022637</v>
      </c>
      <c r="U40" s="166">
        <f>T31*'ABP Future Assumptions'!$B$93</f>
        <v>11389608.754177528</v>
      </c>
    </row>
    <row r="41" spans="1:21" x14ac:dyDescent="0.25">
      <c r="A41" s="164" t="s">
        <v>158</v>
      </c>
      <c r="B41" s="164"/>
      <c r="C41" s="166"/>
      <c r="D41" s="166"/>
      <c r="E41" s="166">
        <f>D32*'ABP Future Assumptions'!$B$93</f>
        <v>0</v>
      </c>
      <c r="F41" s="166">
        <f>E32*'ABP Future Assumptions'!$B$93</f>
        <v>7610352.1130429851</v>
      </c>
      <c r="G41" s="166">
        <f>F32*'ABP Future Assumptions'!$B$93</f>
        <v>7572300.3524777684</v>
      </c>
      <c r="H41" s="166">
        <f>G32*'ABP Future Assumptions'!$B$93</f>
        <v>7534438.8507153802</v>
      </c>
      <c r="I41" s="166">
        <f>H32*'ABP Future Assumptions'!$B$93</f>
        <v>7496766.6564618032</v>
      </c>
      <c r="J41" s="166">
        <f>I32*'ABP Future Assumptions'!$B$93</f>
        <v>7459282.8231794937</v>
      </c>
      <c r="K41" s="166">
        <f>J32*'ABP Future Assumptions'!$B$93</f>
        <v>7421986.4090635972</v>
      </c>
      <c r="L41" s="166">
        <f>K32*'ABP Future Assumptions'!$B$93</f>
        <v>7384876.4770182781</v>
      </c>
      <c r="M41" s="166">
        <f>L32*'ABP Future Assumptions'!$B$93</f>
        <v>7347952.0946331862</v>
      </c>
      <c r="N41" s="166">
        <f>M32*'ABP Future Assumptions'!$B$93</f>
        <v>7311212.3341600215</v>
      </c>
      <c r="O41" s="166">
        <f>N32*'ABP Future Assumptions'!$B$93</f>
        <v>7274656.2724892199</v>
      </c>
      <c r="P41" s="166">
        <f>O32*'ABP Future Assumptions'!$B$93</f>
        <v>7238282.9911267739</v>
      </c>
      <c r="Q41" s="166">
        <f>P32*'ABP Future Assumptions'!$B$93</f>
        <v>7202091.5761711411</v>
      </c>
      <c r="R41" s="166">
        <f>Q32*'ABP Future Assumptions'!$B$93</f>
        <v>7166081.1182902856</v>
      </c>
      <c r="S41" s="166">
        <f>R32*'ABP Future Assumptions'!$B$93</f>
        <v>7130250.712698834</v>
      </c>
      <c r="T41" s="166">
        <f>S32*'ABP Future Assumptions'!$B$93</f>
        <v>7094599.4591353396</v>
      </c>
      <c r="U41" s="166">
        <f>T32*'ABP Future Assumptions'!$B$93</f>
        <v>7059126.4618396629</v>
      </c>
    </row>
    <row r="42" spans="1:21" x14ac:dyDescent="0.25">
      <c r="A42" s="164" t="s">
        <v>162</v>
      </c>
      <c r="B42" s="164"/>
      <c r="C42" s="166"/>
      <c r="D42" s="166"/>
      <c r="E42" s="166">
        <f>D33*'ABP Future Assumptions'!$B$93</f>
        <v>0</v>
      </c>
      <c r="F42" s="166">
        <f>E33*'ABP Future Assumptions'!$B$93</f>
        <v>0</v>
      </c>
      <c r="G42" s="166">
        <f>F33*'ABP Future Assumptions'!$B$93</f>
        <v>4986675.899419317</v>
      </c>
      <c r="H42" s="166">
        <f>G33*'ABP Future Assumptions'!$B$93</f>
        <v>4709638.3494515764</v>
      </c>
      <c r="I42" s="166">
        <f>H33*'ABP Future Assumptions'!$B$93</f>
        <v>4709638.3494515764</v>
      </c>
      <c r="J42" s="166">
        <f>I33*'ABP Future Assumptions'!$B$93</f>
        <v>4709638.3494515764</v>
      </c>
      <c r="K42" s="166">
        <f>J33*'ABP Future Assumptions'!$B$93</f>
        <v>4709638.3494515764</v>
      </c>
      <c r="L42" s="166">
        <f>K33*'ABP Future Assumptions'!$B$93</f>
        <v>4709638.3494515764</v>
      </c>
      <c r="M42" s="166">
        <f>L33*'ABP Future Assumptions'!$B$93</f>
        <v>4709638.3494515764</v>
      </c>
      <c r="N42" s="166">
        <f>M33*'ABP Future Assumptions'!$B$93</f>
        <v>0</v>
      </c>
      <c r="O42" s="166">
        <f>N33*'ABP Future Assumptions'!$B$93</f>
        <v>0</v>
      </c>
      <c r="P42" s="166">
        <f>O33*'ABP Future Assumptions'!$B$93</f>
        <v>0</v>
      </c>
      <c r="Q42" s="166">
        <f>P33*'ABP Future Assumptions'!$B$93</f>
        <v>0</v>
      </c>
      <c r="R42" s="166">
        <f>Q33*'ABP Future Assumptions'!$B$93</f>
        <v>0</v>
      </c>
      <c r="S42" s="166">
        <f>R33*'ABP Future Assumptions'!$B$93</f>
        <v>0</v>
      </c>
      <c r="T42" s="166">
        <f>S33*'ABP Future Assumptions'!$B$93</f>
        <v>0</v>
      </c>
      <c r="U42" s="166">
        <f>T33*'ABP Future Assumptions'!$B$93</f>
        <v>0</v>
      </c>
    </row>
    <row r="43" spans="1:21" x14ac:dyDescent="0.25">
      <c r="A43" s="164" t="s">
        <v>165</v>
      </c>
      <c r="B43" s="164"/>
      <c r="C43" s="166"/>
      <c r="D43" s="166"/>
      <c r="E43" s="166">
        <f>D34*'ABP Future Assumptions'!$B$93</f>
        <v>0</v>
      </c>
      <c r="F43" s="166">
        <f>E34*'ABP Future Assumptions'!$B$93</f>
        <v>16457276.654982651</v>
      </c>
      <c r="G43" s="166">
        <f>F34*'ABP Future Assumptions'!$B$93</f>
        <v>15542983.507483618</v>
      </c>
      <c r="H43" s="166">
        <f>G34*'ABP Future Assumptions'!$B$93</f>
        <v>15542983.507483618</v>
      </c>
      <c r="I43" s="166">
        <f>H34*'ABP Future Assumptions'!$B$93</f>
        <v>15542983.507483618</v>
      </c>
      <c r="J43" s="166">
        <f>I34*'ABP Future Assumptions'!$B$93</f>
        <v>15542983.507483618</v>
      </c>
      <c r="K43" s="166">
        <f>J34*'ABP Future Assumptions'!$B$93</f>
        <v>15542983.507483618</v>
      </c>
      <c r="L43" s="166">
        <f>K34*'ABP Future Assumptions'!$B$93</f>
        <v>15542983.507483618</v>
      </c>
      <c r="M43" s="166">
        <f>L34*'ABP Future Assumptions'!$B$93</f>
        <v>0</v>
      </c>
      <c r="N43" s="166">
        <f>M34*'ABP Future Assumptions'!$B$93</f>
        <v>0</v>
      </c>
      <c r="O43" s="166">
        <f>N34*'ABP Future Assumptions'!$B$93</f>
        <v>0</v>
      </c>
      <c r="P43" s="166">
        <f>O34*'ABP Future Assumptions'!$B$93</f>
        <v>0</v>
      </c>
      <c r="Q43" s="166">
        <f>P34*'ABP Future Assumptions'!$B$93</f>
        <v>0</v>
      </c>
      <c r="R43" s="166">
        <f>Q34*'ABP Future Assumptions'!$B$93</f>
        <v>0</v>
      </c>
      <c r="S43" s="166">
        <f>R34*'ABP Future Assumptions'!$B$93</f>
        <v>0</v>
      </c>
      <c r="T43" s="166">
        <f>S34*'ABP Future Assumptions'!$B$93</f>
        <v>0</v>
      </c>
      <c r="U43" s="166">
        <f>T34*'ABP Future Assumptions'!$B$93</f>
        <v>0</v>
      </c>
    </row>
    <row r="44" spans="1:21" x14ac:dyDescent="0.25">
      <c r="A44" s="163" t="s">
        <v>109</v>
      </c>
      <c r="B44" s="163"/>
      <c r="C44" s="18">
        <f t="shared" ref="C44:T44" si="11">SUM(C38:C43)</f>
        <v>0</v>
      </c>
      <c r="D44" s="18">
        <f t="shared" si="11"/>
        <v>0</v>
      </c>
      <c r="E44" s="18">
        <f t="shared" si="11"/>
        <v>0</v>
      </c>
      <c r="F44" s="18">
        <f t="shared" si="11"/>
        <v>180737614.23988006</v>
      </c>
      <c r="G44" s="18">
        <f t="shared" si="11"/>
        <v>54308238.530576594</v>
      </c>
      <c r="H44" s="18">
        <f t="shared" si="11"/>
        <v>53932251.510774173</v>
      </c>
      <c r="I44" s="18">
        <f t="shared" si="11"/>
        <v>53833796.788288645</v>
      </c>
      <c r="J44" s="18">
        <f t="shared" si="11"/>
        <v>53735834.339415558</v>
      </c>
      <c r="K44" s="18">
        <f t="shared" si="11"/>
        <v>53638361.702786826</v>
      </c>
      <c r="L44" s="18">
        <f t="shared" si="11"/>
        <v>53541376.429341249</v>
      </c>
      <c r="M44" s="18">
        <f t="shared" si="11"/>
        <v>23913207.418044019</v>
      </c>
      <c r="N44" s="18">
        <f t="shared" si="11"/>
        <v>19107551.223249484</v>
      </c>
      <c r="O44" s="18">
        <f t="shared" si="11"/>
        <v>19012013.467133231</v>
      </c>
      <c r="P44" s="18">
        <f t="shared" si="11"/>
        <v>18916953.399797566</v>
      </c>
      <c r="Q44" s="18">
        <f t="shared" si="11"/>
        <v>18822368.632798579</v>
      </c>
      <c r="R44" s="18">
        <f t="shared" si="11"/>
        <v>18728256.789634585</v>
      </c>
      <c r="S44" s="18">
        <f t="shared" si="11"/>
        <v>18634615.50568641</v>
      </c>
      <c r="T44" s="18">
        <f t="shared" si="11"/>
        <v>18541442.428157978</v>
      </c>
      <c r="U44" s="18">
        <f t="shared" ref="U44" si="12">SUM(U38:U43)</f>
        <v>18448735.21601719</v>
      </c>
    </row>
    <row r="46" spans="1:21" ht="15.75" x14ac:dyDescent="0.25">
      <c r="A46" s="77">
        <v>2028</v>
      </c>
      <c r="B46" s="218">
        <v>2024</v>
      </c>
      <c r="C46" s="218">
        <v>2025</v>
      </c>
      <c r="D46" s="218">
        <v>2026</v>
      </c>
      <c r="E46" s="218">
        <v>2027</v>
      </c>
      <c r="F46" s="218">
        <v>2028</v>
      </c>
      <c r="G46" s="218">
        <v>2029</v>
      </c>
      <c r="H46" s="218">
        <v>2030</v>
      </c>
      <c r="I46" s="218">
        <v>2031</v>
      </c>
      <c r="J46" s="218">
        <v>2032</v>
      </c>
      <c r="K46" s="218">
        <v>2033</v>
      </c>
      <c r="L46" s="218">
        <v>2034</v>
      </c>
      <c r="M46" s="218">
        <v>2035</v>
      </c>
      <c r="N46" s="218">
        <v>2036</v>
      </c>
      <c r="O46" s="218">
        <v>2037</v>
      </c>
      <c r="P46" s="218">
        <v>2038</v>
      </c>
      <c r="Q46" s="218">
        <v>2039</v>
      </c>
      <c r="R46" s="218">
        <v>2040</v>
      </c>
      <c r="S46" s="218">
        <v>2041</v>
      </c>
      <c r="T46" s="218">
        <v>2042</v>
      </c>
      <c r="U46" s="218">
        <v>2043</v>
      </c>
    </row>
    <row r="47" spans="1:21" x14ac:dyDescent="0.25">
      <c r="A47" s="164" t="s">
        <v>138</v>
      </c>
      <c r="B47" s="164"/>
      <c r="C47" s="166"/>
      <c r="D47" s="166"/>
      <c r="E47" s="166"/>
      <c r="F47" s="166">
        <f>E38*'ABP Future Assumptions'!$B$93</f>
        <v>0</v>
      </c>
      <c r="G47" s="166">
        <f>F38*'ABP Future Assumptions'!$B$93</f>
        <v>136184099.02307522</v>
      </c>
      <c r="H47" s="166">
        <f>G38*'ABP Future Assumptions'!$B$93</f>
        <v>0</v>
      </c>
      <c r="I47" s="166">
        <f>H38*'ABP Future Assumptions'!$B$93</f>
        <v>0</v>
      </c>
      <c r="J47" s="166">
        <f>I38*'ABP Future Assumptions'!$B$93</f>
        <v>0</v>
      </c>
      <c r="K47" s="166">
        <f>J38*'ABP Future Assumptions'!$B$93</f>
        <v>0</v>
      </c>
      <c r="L47" s="166">
        <f>K38*'ABP Future Assumptions'!$B$93</f>
        <v>0</v>
      </c>
      <c r="M47" s="166">
        <f>L38*'ABP Future Assumptions'!$B$93</f>
        <v>0</v>
      </c>
      <c r="N47" s="166">
        <f>M38*'ABP Future Assumptions'!$B$93</f>
        <v>0</v>
      </c>
      <c r="O47" s="166">
        <f>N38*'ABP Future Assumptions'!$B$93</f>
        <v>0</v>
      </c>
      <c r="P47" s="166">
        <f>O38*'ABP Future Assumptions'!$B$93</f>
        <v>0</v>
      </c>
      <c r="Q47" s="166">
        <f>P38*'ABP Future Assumptions'!$B$93</f>
        <v>0</v>
      </c>
      <c r="R47" s="166">
        <f>Q38*'ABP Future Assumptions'!$B$93</f>
        <v>0</v>
      </c>
      <c r="S47" s="166">
        <f>R38*'ABP Future Assumptions'!$B$93</f>
        <v>0</v>
      </c>
      <c r="T47" s="166">
        <f>S38*'ABP Future Assumptions'!$B$93</f>
        <v>0</v>
      </c>
      <c r="U47" s="166">
        <f>T38*'ABP Future Assumptions'!$B$93</f>
        <v>0</v>
      </c>
    </row>
    <row r="48" spans="1:21" x14ac:dyDescent="0.25">
      <c r="A48" s="164" t="s">
        <v>144</v>
      </c>
      <c r="B48" s="164"/>
      <c r="C48" s="166"/>
      <c r="D48" s="166"/>
      <c r="E48" s="166"/>
      <c r="F48" s="166">
        <f>E39*'ABP Future Assumptions'!$B$93</f>
        <v>0</v>
      </c>
      <c r="G48" s="166">
        <f>F39*'ABP Future Assumptions'!$B$93</f>
        <v>14219087.029905016</v>
      </c>
      <c r="H48" s="166">
        <f>G39*'ABP Future Assumptions'!$B$93</f>
        <v>13429137.750465848</v>
      </c>
      <c r="I48" s="166">
        <f>H39*'ABP Future Assumptions'!$B$93</f>
        <v>13429137.750465848</v>
      </c>
      <c r="J48" s="166">
        <f>I39*'ABP Future Assumptions'!$B$93</f>
        <v>13429137.750465848</v>
      </c>
      <c r="K48" s="166">
        <f>J39*'ABP Future Assumptions'!$B$93</f>
        <v>13429137.750465848</v>
      </c>
      <c r="L48" s="166">
        <f>K39*'ABP Future Assumptions'!$B$93</f>
        <v>13429137.750465848</v>
      </c>
      <c r="M48" s="166">
        <f>L39*'ABP Future Assumptions'!$B$93</f>
        <v>13429137.750465848</v>
      </c>
      <c r="N48" s="166">
        <f>M39*'ABP Future Assumptions'!$B$93</f>
        <v>0</v>
      </c>
      <c r="O48" s="166">
        <f>N39*'ABP Future Assumptions'!$B$93</f>
        <v>0</v>
      </c>
      <c r="P48" s="166">
        <f>O39*'ABP Future Assumptions'!$B$93</f>
        <v>0</v>
      </c>
      <c r="Q48" s="166">
        <f>P39*'ABP Future Assumptions'!$B$93</f>
        <v>0</v>
      </c>
      <c r="R48" s="166">
        <f>Q39*'ABP Future Assumptions'!$B$93</f>
        <v>0</v>
      </c>
      <c r="S48" s="166">
        <f>R39*'ABP Future Assumptions'!$B$93</f>
        <v>0</v>
      </c>
      <c r="T48" s="166">
        <f>S39*'ABP Future Assumptions'!$B$93</f>
        <v>0</v>
      </c>
      <c r="U48" s="166">
        <f>T39*'ABP Future Assumptions'!$B$93</f>
        <v>0</v>
      </c>
    </row>
    <row r="49" spans="1:21" x14ac:dyDescent="0.25">
      <c r="A49" s="164" t="s">
        <v>153</v>
      </c>
      <c r="B49" s="164"/>
      <c r="C49" s="166"/>
      <c r="D49" s="166"/>
      <c r="E49" s="166"/>
      <c r="F49" s="166">
        <f>E40*'ABP Future Assumptions'!$B$93</f>
        <v>0</v>
      </c>
      <c r="G49" s="166">
        <f>F40*'ABP Future Assumptions'!$B$93</f>
        <v>0</v>
      </c>
      <c r="H49" s="166">
        <f>G40*'ABP Future Assumptions'!$B$93</f>
        <v>11728889.869882209</v>
      </c>
      <c r="I49" s="166">
        <f>H40*'ABP Future Assumptions'!$B$93</f>
        <v>11670245.4205328</v>
      </c>
      <c r="J49" s="166">
        <f>I40*'ABP Future Assumptions'!$B$93</f>
        <v>11611894.193430135</v>
      </c>
      <c r="K49" s="166">
        <f>J40*'ABP Future Assumptions'!$B$93</f>
        <v>11553834.722462986</v>
      </c>
      <c r="L49" s="166">
        <f>K40*'ABP Future Assumptions'!$B$93</f>
        <v>11496065.548850669</v>
      </c>
      <c r="M49" s="166">
        <f>L40*'ABP Future Assumptions'!$B$93</f>
        <v>11438585.221106416</v>
      </c>
      <c r="N49" s="166">
        <f>M40*'ABP Future Assumptions'!$B$93</f>
        <v>11381392.295000885</v>
      </c>
      <c r="O49" s="166">
        <f>N40*'ABP Future Assumptions'!$B$93</f>
        <v>11324485.333525883</v>
      </c>
      <c r="P49" s="166">
        <f>O40*'ABP Future Assumptions'!$B$93</f>
        <v>11267862.90685825</v>
      </c>
      <c r="Q49" s="166">
        <f>P40*'ABP Future Assumptions'!$B$93</f>
        <v>11211523.592323961</v>
      </c>
      <c r="R49" s="166">
        <f>Q40*'ABP Future Assumptions'!$B$93</f>
        <v>11155465.97436234</v>
      </c>
      <c r="S49" s="166">
        <f>R40*'ABP Future Assumptions'!$B$93</f>
        <v>11099688.644490527</v>
      </c>
      <c r="T49" s="166">
        <f>S40*'ABP Future Assumptions'!$B$93</f>
        <v>11044190.201268075</v>
      </c>
      <c r="U49" s="166">
        <f>T40*'ABP Future Assumptions'!$B$93</f>
        <v>10988969.250261731</v>
      </c>
    </row>
    <row r="50" spans="1:21" x14ac:dyDescent="0.25">
      <c r="A50" s="164" t="s">
        <v>158</v>
      </c>
      <c r="B50" s="164"/>
      <c r="C50" s="166"/>
      <c r="D50" s="166"/>
      <c r="E50" s="166"/>
      <c r="F50" s="166">
        <f>E41*'ABP Future Assumptions'!$B$93</f>
        <v>0</v>
      </c>
      <c r="G50" s="166">
        <f>F41*'ABP Future Assumptions'!$B$93</f>
        <v>7305938.0285212658</v>
      </c>
      <c r="H50" s="166">
        <f>G41*'ABP Future Assumptions'!$B$93</f>
        <v>7269408.3383786576</v>
      </c>
      <c r="I50" s="166">
        <f>H41*'ABP Future Assumptions'!$B$93</f>
        <v>7233061.2966867648</v>
      </c>
      <c r="J50" s="166">
        <f>I41*'ABP Future Assumptions'!$B$93</f>
        <v>7196895.9902033312</v>
      </c>
      <c r="K50" s="166">
        <f>J41*'ABP Future Assumptions'!$B$93</f>
        <v>7160911.5102523137</v>
      </c>
      <c r="L50" s="166">
        <f>K41*'ABP Future Assumptions'!$B$93</f>
        <v>7125106.9527010527</v>
      </c>
      <c r="M50" s="166">
        <f>L41*'ABP Future Assumptions'!$B$93</f>
        <v>7089481.417937547</v>
      </c>
      <c r="N50" s="166">
        <f>M41*'ABP Future Assumptions'!$B$93</f>
        <v>7054034.0108478582</v>
      </c>
      <c r="O50" s="166">
        <f>N41*'ABP Future Assumptions'!$B$93</f>
        <v>7018763.8407936208</v>
      </c>
      <c r="P50" s="166">
        <f>O41*'ABP Future Assumptions'!$B$93</f>
        <v>6983670.0215896508</v>
      </c>
      <c r="Q50" s="166">
        <f>P41*'ABP Future Assumptions'!$B$93</f>
        <v>6948751.6714817025</v>
      </c>
      <c r="R50" s="166">
        <f>Q41*'ABP Future Assumptions'!$B$93</f>
        <v>6914007.913124295</v>
      </c>
      <c r="S50" s="166">
        <f>R41*'ABP Future Assumptions'!$B$93</f>
        <v>6879437.873558674</v>
      </c>
      <c r="T50" s="166">
        <f>S41*'ABP Future Assumptions'!$B$93</f>
        <v>6845040.6841908805</v>
      </c>
      <c r="U50" s="166">
        <f>T41*'ABP Future Assumptions'!$B$93</f>
        <v>6810815.4807699258</v>
      </c>
    </row>
    <row r="51" spans="1:21" x14ac:dyDescent="0.25">
      <c r="A51" s="164" t="s">
        <v>162</v>
      </c>
      <c r="B51" s="164"/>
      <c r="C51" s="166"/>
      <c r="D51" s="166"/>
      <c r="E51" s="166"/>
      <c r="F51" s="166">
        <f>E42*'ABP Future Assumptions'!$B$93</f>
        <v>0</v>
      </c>
      <c r="G51" s="166">
        <f>F42*'ABP Future Assumptions'!$B$93</f>
        <v>0</v>
      </c>
      <c r="H51" s="166">
        <f>G42*'ABP Future Assumptions'!$B$93</f>
        <v>4787208.8634425439</v>
      </c>
      <c r="I51" s="166">
        <f>H42*'ABP Future Assumptions'!$B$93</f>
        <v>4521252.8154735127</v>
      </c>
      <c r="J51" s="166">
        <f>I42*'ABP Future Assumptions'!$B$93</f>
        <v>4521252.8154735127</v>
      </c>
      <c r="K51" s="166">
        <f>J42*'ABP Future Assumptions'!$B$93</f>
        <v>4521252.8154735127</v>
      </c>
      <c r="L51" s="166">
        <f>K42*'ABP Future Assumptions'!$B$93</f>
        <v>4521252.8154735127</v>
      </c>
      <c r="M51" s="166">
        <f>L42*'ABP Future Assumptions'!$B$93</f>
        <v>4521252.8154735127</v>
      </c>
      <c r="N51" s="166">
        <f>M42*'ABP Future Assumptions'!$B$93</f>
        <v>4521252.8154735127</v>
      </c>
      <c r="O51" s="166">
        <f>N42*'ABP Future Assumptions'!$B$93</f>
        <v>0</v>
      </c>
      <c r="P51" s="166">
        <f>O42*'ABP Future Assumptions'!$B$93</f>
        <v>0</v>
      </c>
      <c r="Q51" s="166">
        <f>P42*'ABP Future Assumptions'!$B$93</f>
        <v>0</v>
      </c>
      <c r="R51" s="166">
        <f>Q42*'ABP Future Assumptions'!$B$93</f>
        <v>0</v>
      </c>
      <c r="S51" s="166">
        <f>R42*'ABP Future Assumptions'!$B$93</f>
        <v>0</v>
      </c>
      <c r="T51" s="166">
        <f>S42*'ABP Future Assumptions'!$B$93</f>
        <v>0</v>
      </c>
      <c r="U51" s="166">
        <f>T42*'ABP Future Assumptions'!$B$93</f>
        <v>0</v>
      </c>
    </row>
    <row r="52" spans="1:21" x14ac:dyDescent="0.25">
      <c r="A52" s="164" t="s">
        <v>165</v>
      </c>
      <c r="B52" s="164"/>
      <c r="C52" s="166"/>
      <c r="D52" s="166"/>
      <c r="E52" s="166"/>
      <c r="F52" s="166">
        <f>E43*'ABP Future Assumptions'!$B$93</f>
        <v>0</v>
      </c>
      <c r="G52" s="166">
        <f>F43*'ABP Future Assumptions'!$B$93</f>
        <v>15798985.588783344</v>
      </c>
      <c r="H52" s="166">
        <f>G43*'ABP Future Assumptions'!$B$93</f>
        <v>14921264.167184273</v>
      </c>
      <c r="I52" s="166">
        <f>H43*'ABP Future Assumptions'!$B$93</f>
        <v>14921264.167184273</v>
      </c>
      <c r="J52" s="166">
        <f>I43*'ABP Future Assumptions'!$B$93</f>
        <v>14921264.167184273</v>
      </c>
      <c r="K52" s="166">
        <f>J43*'ABP Future Assumptions'!$B$93</f>
        <v>14921264.167184273</v>
      </c>
      <c r="L52" s="166">
        <f>K43*'ABP Future Assumptions'!$B$93</f>
        <v>14921264.167184273</v>
      </c>
      <c r="M52" s="166">
        <f>L43*'ABP Future Assumptions'!$B$93</f>
        <v>14921264.167184273</v>
      </c>
      <c r="N52" s="166">
        <f>M43*'ABP Future Assumptions'!$B$93</f>
        <v>0</v>
      </c>
      <c r="O52" s="166">
        <f>N43*'ABP Future Assumptions'!$B$93</f>
        <v>0</v>
      </c>
      <c r="P52" s="166">
        <f>O43*'ABP Future Assumptions'!$B$93</f>
        <v>0</v>
      </c>
      <c r="Q52" s="166">
        <f>P43*'ABP Future Assumptions'!$B$93</f>
        <v>0</v>
      </c>
      <c r="R52" s="166">
        <f>Q43*'ABP Future Assumptions'!$B$93</f>
        <v>0</v>
      </c>
      <c r="S52" s="166">
        <f>R43*'ABP Future Assumptions'!$B$93</f>
        <v>0</v>
      </c>
      <c r="T52" s="166">
        <f>S43*'ABP Future Assumptions'!$B$93</f>
        <v>0</v>
      </c>
      <c r="U52" s="166">
        <f>T43*'ABP Future Assumptions'!$B$93</f>
        <v>0</v>
      </c>
    </row>
    <row r="53" spans="1:21" x14ac:dyDescent="0.25">
      <c r="A53" s="163" t="s">
        <v>109</v>
      </c>
      <c r="B53" s="163"/>
      <c r="C53" s="18">
        <f t="shared" ref="C53:T53" si="13">SUM(C47:C52)</f>
        <v>0</v>
      </c>
      <c r="D53" s="18">
        <f t="shared" si="13"/>
        <v>0</v>
      </c>
      <c r="E53" s="18">
        <f t="shared" si="13"/>
        <v>0</v>
      </c>
      <c r="F53" s="18">
        <f t="shared" si="13"/>
        <v>0</v>
      </c>
      <c r="G53" s="18">
        <f t="shared" si="13"/>
        <v>173508109.67028487</v>
      </c>
      <c r="H53" s="18">
        <f t="shared" si="13"/>
        <v>52135908.98935353</v>
      </c>
      <c r="I53" s="18">
        <f t="shared" si="13"/>
        <v>51774961.450343199</v>
      </c>
      <c r="J53" s="18">
        <f t="shared" si="13"/>
        <v>51680444.916757099</v>
      </c>
      <c r="K53" s="18">
        <f t="shared" si="13"/>
        <v>51586400.965838932</v>
      </c>
      <c r="L53" s="18">
        <f t="shared" si="13"/>
        <v>51492827.234675355</v>
      </c>
      <c r="M53" s="18">
        <f t="shared" si="13"/>
        <v>51399721.372167595</v>
      </c>
      <c r="N53" s="18">
        <f t="shared" si="13"/>
        <v>22956679.121322256</v>
      </c>
      <c r="O53" s="18">
        <f t="shared" si="13"/>
        <v>18343249.174319506</v>
      </c>
      <c r="P53" s="18">
        <f t="shared" si="13"/>
        <v>18251532.928447902</v>
      </c>
      <c r="Q53" s="18">
        <f t="shared" si="13"/>
        <v>18160275.263805665</v>
      </c>
      <c r="R53" s="18">
        <f t="shared" si="13"/>
        <v>18069473.887486637</v>
      </c>
      <c r="S53" s="18">
        <f t="shared" si="13"/>
        <v>17979126.518049203</v>
      </c>
      <c r="T53" s="18">
        <f t="shared" si="13"/>
        <v>17889230.885458954</v>
      </c>
      <c r="U53" s="18">
        <f t="shared" ref="U53" si="14">SUM(U47:U52)</f>
        <v>17799784.731031656</v>
      </c>
    </row>
    <row r="55" spans="1:21" ht="15.75" x14ac:dyDescent="0.25">
      <c r="A55" s="77">
        <v>2029</v>
      </c>
      <c r="B55" s="218">
        <v>2024</v>
      </c>
      <c r="C55" s="218">
        <v>2025</v>
      </c>
      <c r="D55" s="218">
        <v>2026</v>
      </c>
      <c r="E55" s="218">
        <v>2027</v>
      </c>
      <c r="F55" s="218">
        <v>2028</v>
      </c>
      <c r="G55" s="218">
        <v>2029</v>
      </c>
      <c r="H55" s="218">
        <v>2030</v>
      </c>
      <c r="I55" s="218">
        <v>2031</v>
      </c>
      <c r="J55" s="218">
        <v>2032</v>
      </c>
      <c r="K55" s="218">
        <v>2033</v>
      </c>
      <c r="L55" s="218">
        <v>2034</v>
      </c>
      <c r="M55" s="218">
        <v>2035</v>
      </c>
      <c r="N55" s="218">
        <v>2036</v>
      </c>
      <c r="O55" s="218">
        <v>2037</v>
      </c>
      <c r="P55" s="218">
        <v>2038</v>
      </c>
      <c r="Q55" s="218">
        <v>2039</v>
      </c>
      <c r="R55" s="218">
        <v>2040</v>
      </c>
      <c r="S55" s="218">
        <v>2041</v>
      </c>
      <c r="T55" s="218">
        <v>2042</v>
      </c>
      <c r="U55" s="218">
        <v>2043</v>
      </c>
    </row>
    <row r="56" spans="1:21" x14ac:dyDescent="0.25">
      <c r="A56" s="164" t="s">
        <v>138</v>
      </c>
      <c r="B56" s="164"/>
      <c r="C56" s="166"/>
      <c r="D56" s="166"/>
      <c r="E56" s="166"/>
      <c r="F56" s="166"/>
      <c r="G56" s="166">
        <f>F47*'ABP Future Assumptions'!$B$93</f>
        <v>0</v>
      </c>
      <c r="H56" s="166">
        <f>G47*'ABP Future Assumptions'!$B$93</f>
        <v>130736735.06215221</v>
      </c>
      <c r="I56" s="166">
        <f>H47*'ABP Future Assumptions'!$B$93</f>
        <v>0</v>
      </c>
      <c r="J56" s="166">
        <f>I47*'ABP Future Assumptions'!$B$93</f>
        <v>0</v>
      </c>
      <c r="K56" s="166">
        <f>J47*'ABP Future Assumptions'!$B$93</f>
        <v>0</v>
      </c>
      <c r="L56" s="166">
        <f>K47*'ABP Future Assumptions'!$B$93</f>
        <v>0</v>
      </c>
      <c r="M56" s="166">
        <f>L47*'ABP Future Assumptions'!$B$93</f>
        <v>0</v>
      </c>
      <c r="N56" s="166">
        <f>M47*'ABP Future Assumptions'!$B$93</f>
        <v>0</v>
      </c>
      <c r="O56" s="166">
        <f>N47*'ABP Future Assumptions'!$B$93</f>
        <v>0</v>
      </c>
      <c r="P56" s="166">
        <f>O47*'ABP Future Assumptions'!$B$93</f>
        <v>0</v>
      </c>
      <c r="Q56" s="166">
        <f>P47*'ABP Future Assumptions'!$B$93</f>
        <v>0</v>
      </c>
      <c r="R56" s="166">
        <f>Q47*'ABP Future Assumptions'!$B$93</f>
        <v>0</v>
      </c>
      <c r="S56" s="166">
        <f>R47*'ABP Future Assumptions'!$B$93</f>
        <v>0</v>
      </c>
      <c r="T56" s="166">
        <f>S47*'ABP Future Assumptions'!$B$93</f>
        <v>0</v>
      </c>
      <c r="U56" s="166">
        <f>T47*'ABP Future Assumptions'!$B$93</f>
        <v>0</v>
      </c>
    </row>
    <row r="57" spans="1:21" x14ac:dyDescent="0.25">
      <c r="A57" s="164" t="s">
        <v>144</v>
      </c>
      <c r="B57" s="164"/>
      <c r="C57" s="166"/>
      <c r="D57" s="166"/>
      <c r="E57" s="166"/>
      <c r="F57" s="166"/>
      <c r="G57" s="166">
        <f>F48*'ABP Future Assumptions'!$B$93</f>
        <v>0</v>
      </c>
      <c r="H57" s="166">
        <f>G48*'ABP Future Assumptions'!$B$93</f>
        <v>13650323.548708815</v>
      </c>
      <c r="I57" s="166">
        <f>H48*'ABP Future Assumptions'!$B$93</f>
        <v>12891972.240447214</v>
      </c>
      <c r="J57" s="166">
        <f>I48*'ABP Future Assumptions'!$B$93</f>
        <v>12891972.240447214</v>
      </c>
      <c r="K57" s="166">
        <f>J48*'ABP Future Assumptions'!$B$93</f>
        <v>12891972.240447214</v>
      </c>
      <c r="L57" s="166">
        <f>K48*'ABP Future Assumptions'!$B$93</f>
        <v>12891972.240447214</v>
      </c>
      <c r="M57" s="166">
        <f>L48*'ABP Future Assumptions'!$B$93</f>
        <v>12891972.240447214</v>
      </c>
      <c r="N57" s="166">
        <f>M48*'ABP Future Assumptions'!$B$93</f>
        <v>12891972.240447214</v>
      </c>
      <c r="O57" s="166">
        <f>N48*'ABP Future Assumptions'!$B$93</f>
        <v>0</v>
      </c>
      <c r="P57" s="166">
        <f>O48*'ABP Future Assumptions'!$B$93</f>
        <v>0</v>
      </c>
      <c r="Q57" s="166">
        <f>P48*'ABP Future Assumptions'!$B$93</f>
        <v>0</v>
      </c>
      <c r="R57" s="166">
        <f>Q48*'ABP Future Assumptions'!$B$93</f>
        <v>0</v>
      </c>
      <c r="S57" s="166">
        <f>R48*'ABP Future Assumptions'!$B$93</f>
        <v>0</v>
      </c>
      <c r="T57" s="166">
        <f>S48*'ABP Future Assumptions'!$B$93</f>
        <v>0</v>
      </c>
      <c r="U57" s="166">
        <f>T48*'ABP Future Assumptions'!$B$93</f>
        <v>0</v>
      </c>
    </row>
    <row r="58" spans="1:21" x14ac:dyDescent="0.25">
      <c r="A58" s="164" t="s">
        <v>153</v>
      </c>
      <c r="B58" s="164"/>
      <c r="C58" s="166"/>
      <c r="D58" s="166"/>
      <c r="E58" s="166"/>
      <c r="F58" s="166"/>
      <c r="G58" s="166">
        <f>F49*'ABP Future Assumptions'!$B$93</f>
        <v>0</v>
      </c>
      <c r="H58" s="166">
        <f>G49*'ABP Future Assumptions'!$B$93</f>
        <v>0</v>
      </c>
      <c r="I58" s="166">
        <f>H49*'ABP Future Assumptions'!$B$93</f>
        <v>11259734.275086921</v>
      </c>
      <c r="J58" s="166">
        <f>I49*'ABP Future Assumptions'!$B$93</f>
        <v>11203435.603711488</v>
      </c>
      <c r="K58" s="166">
        <f>J49*'ABP Future Assumptions'!$B$93</f>
        <v>11147418.425692929</v>
      </c>
      <c r="L58" s="166">
        <f>K49*'ABP Future Assumptions'!$B$93</f>
        <v>11091681.333564466</v>
      </c>
      <c r="M58" s="166">
        <f>L49*'ABP Future Assumptions'!$B$93</f>
        <v>11036222.926896641</v>
      </c>
      <c r="N58" s="166">
        <f>M49*'ABP Future Assumptions'!$B$93</f>
        <v>10981041.812262159</v>
      </c>
      <c r="O58" s="166">
        <f>N49*'ABP Future Assumptions'!$B$93</f>
        <v>10926136.603200849</v>
      </c>
      <c r="P58" s="166">
        <f>O49*'ABP Future Assumptions'!$B$93</f>
        <v>10871505.920184847</v>
      </c>
      <c r="Q58" s="166">
        <f>P49*'ABP Future Assumptions'!$B$93</f>
        <v>10817148.390583919</v>
      </c>
      <c r="R58" s="166">
        <f>Q49*'ABP Future Assumptions'!$B$93</f>
        <v>10763062.648631003</v>
      </c>
      <c r="S58" s="166">
        <f>R49*'ABP Future Assumptions'!$B$93</f>
        <v>10709247.335387846</v>
      </c>
      <c r="T58" s="166">
        <f>S49*'ABP Future Assumptions'!$B$93</f>
        <v>10655701.098710906</v>
      </c>
      <c r="U58" s="166">
        <f>T49*'ABP Future Assumptions'!$B$93</f>
        <v>10602422.593217352</v>
      </c>
    </row>
    <row r="59" spans="1:21" x14ac:dyDescent="0.25">
      <c r="A59" s="164" t="s">
        <v>158</v>
      </c>
      <c r="B59" s="164"/>
      <c r="C59" s="166"/>
      <c r="D59" s="166"/>
      <c r="E59" s="166"/>
      <c r="F59" s="166"/>
      <c r="G59" s="166">
        <f>F50*'ABP Future Assumptions'!$B$93</f>
        <v>0</v>
      </c>
      <c r="H59" s="166">
        <f>G50*'ABP Future Assumptions'!$B$93</f>
        <v>7013700.5073804148</v>
      </c>
      <c r="I59" s="166">
        <f>H50*'ABP Future Assumptions'!$B$93</f>
        <v>6978632.0048435107</v>
      </c>
      <c r="J59" s="166">
        <f>I50*'ABP Future Assumptions'!$B$93</f>
        <v>6943738.8448192943</v>
      </c>
      <c r="K59" s="166">
        <f>J50*'ABP Future Assumptions'!$B$93</f>
        <v>6909020.1505951975</v>
      </c>
      <c r="L59" s="166">
        <f>K50*'ABP Future Assumptions'!$B$93</f>
        <v>6874475.0498422207</v>
      </c>
      <c r="M59" s="166">
        <f>L50*'ABP Future Assumptions'!$B$93</f>
        <v>6840102.67459301</v>
      </c>
      <c r="N59" s="166">
        <f>M50*'ABP Future Assumptions'!$B$93</f>
        <v>6805902.1612200448</v>
      </c>
      <c r="O59" s="166">
        <f>N50*'ABP Future Assumptions'!$B$93</f>
        <v>6771872.6504139435</v>
      </c>
      <c r="P59" s="166">
        <f>O50*'ABP Future Assumptions'!$B$93</f>
        <v>6738013.2871618755</v>
      </c>
      <c r="Q59" s="166">
        <f>P50*'ABP Future Assumptions'!$B$93</f>
        <v>6704323.2207260644</v>
      </c>
      <c r="R59" s="166">
        <f>Q50*'ABP Future Assumptions'!$B$93</f>
        <v>6670801.6046224339</v>
      </c>
      <c r="S59" s="166">
        <f>R50*'ABP Future Assumptions'!$B$93</f>
        <v>6637447.5965993227</v>
      </c>
      <c r="T59" s="166">
        <f>S50*'ABP Future Assumptions'!$B$93</f>
        <v>6604260.3586163269</v>
      </c>
      <c r="U59" s="166">
        <f>T50*'ABP Future Assumptions'!$B$93</f>
        <v>6571239.0568232452</v>
      </c>
    </row>
    <row r="60" spans="1:21" x14ac:dyDescent="0.25">
      <c r="A60" s="164" t="s">
        <v>162</v>
      </c>
      <c r="B60" s="164"/>
      <c r="C60" s="166"/>
      <c r="D60" s="166"/>
      <c r="E60" s="166"/>
      <c r="F60" s="166"/>
      <c r="G60" s="166">
        <f>F51*'ABP Future Assumptions'!$B$93</f>
        <v>0</v>
      </c>
      <c r="H60" s="166">
        <f>G51*'ABP Future Assumptions'!$B$93</f>
        <v>0</v>
      </c>
      <c r="I60" s="166">
        <f>H51*'ABP Future Assumptions'!$B$93</f>
        <v>4595720.5089048417</v>
      </c>
      <c r="J60" s="166">
        <f>I51*'ABP Future Assumptions'!$B$93</f>
        <v>4340402.7028545719</v>
      </c>
      <c r="K60" s="166">
        <f>J51*'ABP Future Assumptions'!$B$93</f>
        <v>4340402.7028545719</v>
      </c>
      <c r="L60" s="166">
        <f>K51*'ABP Future Assumptions'!$B$93</f>
        <v>4340402.7028545719</v>
      </c>
      <c r="M60" s="166">
        <f>L51*'ABP Future Assumptions'!$B$93</f>
        <v>4340402.7028545719</v>
      </c>
      <c r="N60" s="166">
        <f>M51*'ABP Future Assumptions'!$B$93</f>
        <v>4340402.7028545719</v>
      </c>
      <c r="O60" s="166">
        <f>N51*'ABP Future Assumptions'!$B$93</f>
        <v>4340402.7028545719</v>
      </c>
      <c r="P60" s="166">
        <f>O51*'ABP Future Assumptions'!$B$93</f>
        <v>0</v>
      </c>
      <c r="Q60" s="166">
        <f>P51*'ABP Future Assumptions'!$B$93</f>
        <v>0</v>
      </c>
      <c r="R60" s="166">
        <f>Q51*'ABP Future Assumptions'!$B$93</f>
        <v>0</v>
      </c>
      <c r="S60" s="166">
        <f>R51*'ABP Future Assumptions'!$B$93</f>
        <v>0</v>
      </c>
      <c r="T60" s="166">
        <f>S51*'ABP Future Assumptions'!$B$93</f>
        <v>0</v>
      </c>
      <c r="U60" s="166">
        <f>T51*'ABP Future Assumptions'!$B$93</f>
        <v>0</v>
      </c>
    </row>
    <row r="61" spans="1:21" x14ac:dyDescent="0.25">
      <c r="A61" s="164" t="s">
        <v>165</v>
      </c>
      <c r="B61" s="164"/>
      <c r="C61" s="166"/>
      <c r="D61" s="166"/>
      <c r="E61" s="166"/>
      <c r="F61" s="166"/>
      <c r="G61" s="166">
        <f>F52*'ABP Future Assumptions'!$B$93</f>
        <v>0</v>
      </c>
      <c r="H61" s="166">
        <f>G52*'ABP Future Assumptions'!$B$93</f>
        <v>15167026.16523201</v>
      </c>
      <c r="I61" s="166">
        <f>H52*'ABP Future Assumptions'!$B$93</f>
        <v>14324413.600496901</v>
      </c>
      <c r="J61" s="166">
        <f>I52*'ABP Future Assumptions'!$B$93</f>
        <v>14324413.600496901</v>
      </c>
      <c r="K61" s="166">
        <f>J52*'ABP Future Assumptions'!$B$93</f>
        <v>14324413.600496901</v>
      </c>
      <c r="L61" s="166">
        <f>K52*'ABP Future Assumptions'!$B$93</f>
        <v>14324413.600496901</v>
      </c>
      <c r="M61" s="166">
        <f>L52*'ABP Future Assumptions'!$B$93</f>
        <v>14324413.600496901</v>
      </c>
      <c r="N61" s="166">
        <f>M52*'ABP Future Assumptions'!$B$93</f>
        <v>14324413.600496901</v>
      </c>
      <c r="O61" s="166">
        <f>N52*'ABP Future Assumptions'!$B$93</f>
        <v>0</v>
      </c>
      <c r="P61" s="166">
        <f>O52*'ABP Future Assumptions'!$B$93</f>
        <v>0</v>
      </c>
      <c r="Q61" s="166">
        <f>P52*'ABP Future Assumptions'!$B$93</f>
        <v>0</v>
      </c>
      <c r="R61" s="166">
        <f>Q52*'ABP Future Assumptions'!$B$93</f>
        <v>0</v>
      </c>
      <c r="S61" s="166">
        <f>R52*'ABP Future Assumptions'!$B$93</f>
        <v>0</v>
      </c>
      <c r="T61" s="166">
        <f>S52*'ABP Future Assumptions'!$B$93</f>
        <v>0</v>
      </c>
      <c r="U61" s="166">
        <f>T52*'ABP Future Assumptions'!$B$93</f>
        <v>0</v>
      </c>
    </row>
    <row r="62" spans="1:21" x14ac:dyDescent="0.25">
      <c r="A62" s="163" t="s">
        <v>109</v>
      </c>
      <c r="B62" s="163"/>
      <c r="C62" s="18">
        <f t="shared" ref="C62:T62" si="15">SUM(C56:C61)</f>
        <v>0</v>
      </c>
      <c r="D62" s="18">
        <f t="shared" si="15"/>
        <v>0</v>
      </c>
      <c r="E62" s="18">
        <f t="shared" si="15"/>
        <v>0</v>
      </c>
      <c r="F62" s="18">
        <f t="shared" si="15"/>
        <v>0</v>
      </c>
      <c r="G62" s="18">
        <f t="shared" si="15"/>
        <v>0</v>
      </c>
      <c r="H62" s="18">
        <f t="shared" si="15"/>
        <v>166567785.28347346</v>
      </c>
      <c r="I62" s="18">
        <f t="shared" si="15"/>
        <v>50050472.629779391</v>
      </c>
      <c r="J62" s="18">
        <f t="shared" si="15"/>
        <v>49703962.992329471</v>
      </c>
      <c r="K62" s="18">
        <f t="shared" si="15"/>
        <v>49613227.120086819</v>
      </c>
      <c r="L62" s="18">
        <f t="shared" si="15"/>
        <v>49522944.927205376</v>
      </c>
      <c r="M62" s="18">
        <f t="shared" si="15"/>
        <v>49433114.145288341</v>
      </c>
      <c r="N62" s="18">
        <f t="shared" si="15"/>
        <v>49343732.517280892</v>
      </c>
      <c r="O62" s="18">
        <f t="shared" si="15"/>
        <v>22038411.956469364</v>
      </c>
      <c r="P62" s="18">
        <f t="shared" si="15"/>
        <v>17609519.207346722</v>
      </c>
      <c r="Q62" s="18">
        <f t="shared" si="15"/>
        <v>17521471.611309983</v>
      </c>
      <c r="R62" s="18">
        <f t="shared" si="15"/>
        <v>17433864.253253438</v>
      </c>
      <c r="S62" s="18">
        <f t="shared" si="15"/>
        <v>17346694.93198717</v>
      </c>
      <c r="T62" s="18">
        <f t="shared" si="15"/>
        <v>17259961.457327232</v>
      </c>
      <c r="U62" s="18">
        <f t="shared" ref="U62" si="16">SUM(U56:U61)</f>
        <v>17173661.650040597</v>
      </c>
    </row>
    <row r="64" spans="1:21" ht="15.75" x14ac:dyDescent="0.25">
      <c r="A64" s="77">
        <v>2030</v>
      </c>
      <c r="B64" s="218">
        <v>2024</v>
      </c>
      <c r="C64" s="218">
        <v>2025</v>
      </c>
      <c r="D64" s="218">
        <v>2026</v>
      </c>
      <c r="E64" s="218">
        <v>2027</v>
      </c>
      <c r="F64" s="218">
        <v>2028</v>
      </c>
      <c r="G64" s="218">
        <v>2029</v>
      </c>
      <c r="H64" s="218">
        <v>2030</v>
      </c>
      <c r="I64" s="218">
        <v>2031</v>
      </c>
      <c r="J64" s="218">
        <v>2032</v>
      </c>
      <c r="K64" s="218">
        <v>2033</v>
      </c>
      <c r="L64" s="218">
        <v>2034</v>
      </c>
      <c r="M64" s="218">
        <v>2035</v>
      </c>
      <c r="N64" s="218">
        <v>2036</v>
      </c>
      <c r="O64" s="218">
        <v>2037</v>
      </c>
      <c r="P64" s="218">
        <v>2038</v>
      </c>
      <c r="Q64" s="218">
        <v>2039</v>
      </c>
      <c r="R64" s="218">
        <v>2040</v>
      </c>
      <c r="S64" s="218">
        <v>2041</v>
      </c>
      <c r="T64" s="218">
        <v>2042</v>
      </c>
      <c r="U64" s="218">
        <v>2043</v>
      </c>
    </row>
    <row r="65" spans="1:21" x14ac:dyDescent="0.25">
      <c r="A65" s="164" t="s">
        <v>138</v>
      </c>
      <c r="B65" s="164"/>
      <c r="C65" s="166"/>
      <c r="D65" s="166"/>
      <c r="E65" s="166"/>
      <c r="F65" s="166"/>
      <c r="G65" s="166"/>
      <c r="H65" s="166">
        <f>G56*'ABP Future Assumptions'!$B$93</f>
        <v>0</v>
      </c>
      <c r="I65" s="166">
        <f>H56*'ABP Future Assumptions'!$B$93</f>
        <v>125507265.65966612</v>
      </c>
      <c r="J65" s="166">
        <f>I56*'ABP Future Assumptions'!$B$93</f>
        <v>0</v>
      </c>
      <c r="K65" s="166">
        <f>J56*'ABP Future Assumptions'!$B$93</f>
        <v>0</v>
      </c>
      <c r="L65" s="166">
        <f>K56*'ABP Future Assumptions'!$B$93</f>
        <v>0</v>
      </c>
      <c r="M65" s="166">
        <f>L56*'ABP Future Assumptions'!$B$93</f>
        <v>0</v>
      </c>
      <c r="N65" s="166">
        <f>M56*'ABP Future Assumptions'!$B$93</f>
        <v>0</v>
      </c>
      <c r="O65" s="166">
        <f>N56*'ABP Future Assumptions'!$B$93</f>
        <v>0</v>
      </c>
      <c r="P65" s="166">
        <f>O56*'ABP Future Assumptions'!$B$93</f>
        <v>0</v>
      </c>
      <c r="Q65" s="166">
        <f>P56*'ABP Future Assumptions'!$B$93</f>
        <v>0</v>
      </c>
      <c r="R65" s="166">
        <f>Q56*'ABP Future Assumptions'!$B$93</f>
        <v>0</v>
      </c>
      <c r="S65" s="166">
        <f>R56*'ABP Future Assumptions'!$B$93</f>
        <v>0</v>
      </c>
      <c r="T65" s="166">
        <f>S56*'ABP Future Assumptions'!$B$93</f>
        <v>0</v>
      </c>
      <c r="U65" s="166">
        <f>T56*'ABP Future Assumptions'!$B$93</f>
        <v>0</v>
      </c>
    </row>
    <row r="66" spans="1:21" x14ac:dyDescent="0.25">
      <c r="A66" s="164" t="s">
        <v>144</v>
      </c>
      <c r="B66" s="164"/>
      <c r="C66" s="166"/>
      <c r="D66" s="166"/>
      <c r="E66" s="166"/>
      <c r="F66" s="166"/>
      <c r="G66" s="166"/>
      <c r="H66" s="166">
        <f>G57*'ABP Future Assumptions'!$B$93</f>
        <v>0</v>
      </c>
      <c r="I66" s="166">
        <f>H57*'ABP Future Assumptions'!$B$93</f>
        <v>13104310.606760463</v>
      </c>
      <c r="J66" s="166">
        <f>I57*'ABP Future Assumptions'!$B$93</f>
        <v>12376293.350829326</v>
      </c>
      <c r="K66" s="166">
        <f>J57*'ABP Future Assumptions'!$B$93</f>
        <v>12376293.350829326</v>
      </c>
      <c r="L66" s="166">
        <f>K57*'ABP Future Assumptions'!$B$93</f>
        <v>12376293.350829326</v>
      </c>
      <c r="M66" s="166">
        <f>L57*'ABP Future Assumptions'!$B$93</f>
        <v>12376293.350829326</v>
      </c>
      <c r="N66" s="166">
        <f>M57*'ABP Future Assumptions'!$B$93</f>
        <v>12376293.350829326</v>
      </c>
      <c r="O66" s="166">
        <f>N57*'ABP Future Assumptions'!$B$93</f>
        <v>12376293.350829326</v>
      </c>
      <c r="P66" s="166">
        <f>O57*'ABP Future Assumptions'!$B$93</f>
        <v>0</v>
      </c>
      <c r="Q66" s="166">
        <f>P57*'ABP Future Assumptions'!$B$93</f>
        <v>0</v>
      </c>
      <c r="R66" s="166">
        <f>Q57*'ABP Future Assumptions'!$B$93</f>
        <v>0</v>
      </c>
      <c r="S66" s="166">
        <f>R57*'ABP Future Assumptions'!$B$93</f>
        <v>0</v>
      </c>
      <c r="T66" s="166">
        <f>S57*'ABP Future Assumptions'!$B$93</f>
        <v>0</v>
      </c>
      <c r="U66" s="166">
        <f>T57*'ABP Future Assumptions'!$B$93</f>
        <v>0</v>
      </c>
    </row>
    <row r="67" spans="1:21" x14ac:dyDescent="0.25">
      <c r="A67" s="164" t="s">
        <v>153</v>
      </c>
      <c r="B67" s="164"/>
      <c r="C67" s="166"/>
      <c r="D67" s="166"/>
      <c r="E67" s="166"/>
      <c r="F67" s="166"/>
      <c r="G67" s="166"/>
      <c r="H67" s="166">
        <f>G58*'ABP Future Assumptions'!$B$93</f>
        <v>0</v>
      </c>
      <c r="I67" s="166">
        <f>H58*'ABP Future Assumptions'!$B$93</f>
        <v>0</v>
      </c>
      <c r="J67" s="166">
        <f>I58*'ABP Future Assumptions'!$B$93</f>
        <v>10809344.904083444</v>
      </c>
      <c r="K67" s="166">
        <f>J58*'ABP Future Assumptions'!$B$93</f>
        <v>10755298.179563029</v>
      </c>
      <c r="L67" s="166">
        <f>K58*'ABP Future Assumptions'!$B$93</f>
        <v>10701521.688665211</v>
      </c>
      <c r="M67" s="166">
        <f>L58*'ABP Future Assumptions'!$B$93</f>
        <v>10648014.080221888</v>
      </c>
      <c r="N67" s="166">
        <f>M58*'ABP Future Assumptions'!$B$93</f>
        <v>10594774.009820774</v>
      </c>
      <c r="O67" s="166">
        <f>N58*'ABP Future Assumptions'!$B$93</f>
        <v>10541800.139771672</v>
      </c>
      <c r="P67" s="166">
        <f>O58*'ABP Future Assumptions'!$B$93</f>
        <v>10489091.139072815</v>
      </c>
      <c r="Q67" s="166">
        <f>P58*'ABP Future Assumptions'!$B$93</f>
        <v>10436645.683377452</v>
      </c>
      <c r="R67" s="166">
        <f>Q58*'ABP Future Assumptions'!$B$93</f>
        <v>10384462.454960562</v>
      </c>
      <c r="S67" s="166">
        <f>R58*'ABP Future Assumptions'!$B$93</f>
        <v>10332540.142685762</v>
      </c>
      <c r="T67" s="166">
        <f>S58*'ABP Future Assumptions'!$B$93</f>
        <v>10280877.441972332</v>
      </c>
      <c r="U67" s="166">
        <f>T58*'ABP Future Assumptions'!$B$93</f>
        <v>10229473.05476247</v>
      </c>
    </row>
    <row r="68" spans="1:21" x14ac:dyDescent="0.25">
      <c r="A68" s="164" t="s">
        <v>158</v>
      </c>
      <c r="B68" s="164"/>
      <c r="C68" s="166"/>
      <c r="D68" s="166"/>
      <c r="E68" s="166"/>
      <c r="F68" s="166"/>
      <c r="G68" s="166"/>
      <c r="H68" s="166">
        <f>G59*'ABP Future Assumptions'!$B$93</f>
        <v>0</v>
      </c>
      <c r="I68" s="166">
        <f>H59*'ABP Future Assumptions'!$B$93</f>
        <v>6733152.4870851981</v>
      </c>
      <c r="J68" s="166">
        <f>I59*'ABP Future Assumptions'!$B$93</f>
        <v>6699486.7246497702</v>
      </c>
      <c r="K68" s="166">
        <f>J59*'ABP Future Assumptions'!$B$93</f>
        <v>6665989.2910265224</v>
      </c>
      <c r="L68" s="166">
        <f>K59*'ABP Future Assumptions'!$B$93</f>
        <v>6632659.3445713893</v>
      </c>
      <c r="M68" s="166">
        <f>L59*'ABP Future Assumptions'!$B$93</f>
        <v>6599496.047848532</v>
      </c>
      <c r="N68" s="166">
        <f>M59*'ABP Future Assumptions'!$B$93</f>
        <v>6566498.5676092897</v>
      </c>
      <c r="O68" s="166">
        <f>N59*'ABP Future Assumptions'!$B$93</f>
        <v>6533666.0747712431</v>
      </c>
      <c r="P68" s="166">
        <f>O59*'ABP Future Assumptions'!$B$93</f>
        <v>6500997.744397385</v>
      </c>
      <c r="Q68" s="166">
        <f>P59*'ABP Future Assumptions'!$B$93</f>
        <v>6468492.7556754006</v>
      </c>
      <c r="R68" s="166">
        <f>Q59*'ABP Future Assumptions'!$B$93</f>
        <v>6436150.2918970212</v>
      </c>
      <c r="S68" s="166">
        <f>R59*'ABP Future Assumptions'!$B$93</f>
        <v>6403969.5404375363</v>
      </c>
      <c r="T68" s="166">
        <f>S59*'ABP Future Assumptions'!$B$93</f>
        <v>6371949.6927353498</v>
      </c>
      <c r="U68" s="166">
        <f>T59*'ABP Future Assumptions'!$B$93</f>
        <v>6340089.9442716734</v>
      </c>
    </row>
    <row r="69" spans="1:21" x14ac:dyDescent="0.25">
      <c r="A69" s="164" t="s">
        <v>162</v>
      </c>
      <c r="B69" s="164"/>
      <c r="C69" s="166"/>
      <c r="D69" s="166"/>
      <c r="E69" s="166"/>
      <c r="F69" s="166"/>
      <c r="G69" s="166"/>
      <c r="H69" s="166">
        <f>G60*'ABP Future Assumptions'!$B$93</f>
        <v>0</v>
      </c>
      <c r="I69" s="166">
        <f>H60*'ABP Future Assumptions'!$B$93</f>
        <v>0</v>
      </c>
      <c r="J69" s="166">
        <f>I60*'ABP Future Assumptions'!$B$93</f>
        <v>4411891.6885486478</v>
      </c>
      <c r="K69" s="166">
        <f>J60*'ABP Future Assumptions'!$B$93</f>
        <v>4166786.5947403889</v>
      </c>
      <c r="L69" s="166">
        <f>K60*'ABP Future Assumptions'!$B$93</f>
        <v>4166786.5947403889</v>
      </c>
      <c r="M69" s="166">
        <f>L60*'ABP Future Assumptions'!$B$93</f>
        <v>4166786.5947403889</v>
      </c>
      <c r="N69" s="166">
        <f>M60*'ABP Future Assumptions'!$B$93</f>
        <v>4166786.5947403889</v>
      </c>
      <c r="O69" s="166">
        <f>N60*'ABP Future Assumptions'!$B$93</f>
        <v>4166786.5947403889</v>
      </c>
      <c r="P69" s="166">
        <f>O60*'ABP Future Assumptions'!$B$93</f>
        <v>4166786.5947403889</v>
      </c>
      <c r="Q69" s="166">
        <f>P60*'ABP Future Assumptions'!$B$93</f>
        <v>0</v>
      </c>
      <c r="R69" s="166">
        <f>Q60*'ABP Future Assumptions'!$B$93</f>
        <v>0</v>
      </c>
      <c r="S69" s="166">
        <f>R60*'ABP Future Assumptions'!$B$93</f>
        <v>0</v>
      </c>
      <c r="T69" s="166">
        <f>S60*'ABP Future Assumptions'!$B$93</f>
        <v>0</v>
      </c>
      <c r="U69" s="166">
        <f>T60*'ABP Future Assumptions'!$B$93</f>
        <v>0</v>
      </c>
    </row>
    <row r="70" spans="1:21" x14ac:dyDescent="0.25">
      <c r="A70" s="164" t="s">
        <v>165</v>
      </c>
      <c r="B70" s="164"/>
      <c r="C70" s="166"/>
      <c r="D70" s="166"/>
      <c r="E70" s="166"/>
      <c r="F70" s="166"/>
      <c r="G70" s="166"/>
      <c r="H70" s="166">
        <f>G61*'ABP Future Assumptions'!$B$93</f>
        <v>0</v>
      </c>
      <c r="I70" s="166">
        <f>H61*'ABP Future Assumptions'!$B$93</f>
        <v>14560345.11862273</v>
      </c>
      <c r="J70" s="166">
        <f>I61*'ABP Future Assumptions'!$B$93</f>
        <v>13751437.056477025</v>
      </c>
      <c r="K70" s="166">
        <f>J61*'ABP Future Assumptions'!$B$93</f>
        <v>13751437.056477025</v>
      </c>
      <c r="L70" s="166">
        <f>K61*'ABP Future Assumptions'!$B$93</f>
        <v>13751437.056477025</v>
      </c>
      <c r="M70" s="166">
        <f>L61*'ABP Future Assumptions'!$B$93</f>
        <v>13751437.056477025</v>
      </c>
      <c r="N70" s="166">
        <f>M61*'ABP Future Assumptions'!$B$93</f>
        <v>13751437.056477025</v>
      </c>
      <c r="O70" s="166">
        <f>N61*'ABP Future Assumptions'!$B$93</f>
        <v>13751437.056477025</v>
      </c>
      <c r="P70" s="166">
        <f>O61*'ABP Future Assumptions'!$B$93</f>
        <v>0</v>
      </c>
      <c r="Q70" s="166">
        <f>P61*'ABP Future Assumptions'!$B$93</f>
        <v>0</v>
      </c>
      <c r="R70" s="166">
        <f>Q61*'ABP Future Assumptions'!$B$93</f>
        <v>0</v>
      </c>
      <c r="S70" s="166">
        <f>R61*'ABP Future Assumptions'!$B$93</f>
        <v>0</v>
      </c>
      <c r="T70" s="166">
        <f>S61*'ABP Future Assumptions'!$B$93</f>
        <v>0</v>
      </c>
      <c r="U70" s="166">
        <f>T61*'ABP Future Assumptions'!$B$93</f>
        <v>0</v>
      </c>
    </row>
    <row r="71" spans="1:21" x14ac:dyDescent="0.25">
      <c r="A71" s="163" t="s">
        <v>109</v>
      </c>
      <c r="B71" s="163"/>
      <c r="C71" s="18">
        <f t="shared" ref="C71:T71" si="17">SUM(C65:C70)</f>
        <v>0</v>
      </c>
      <c r="D71" s="18">
        <f t="shared" si="17"/>
        <v>0</v>
      </c>
      <c r="E71" s="18">
        <f t="shared" si="17"/>
        <v>0</v>
      </c>
      <c r="F71" s="18">
        <f t="shared" si="17"/>
        <v>0</v>
      </c>
      <c r="G71" s="18">
        <f t="shared" si="17"/>
        <v>0</v>
      </c>
      <c r="H71" s="18">
        <f t="shared" si="17"/>
        <v>0</v>
      </c>
      <c r="I71" s="18">
        <f t="shared" si="17"/>
        <v>159905073.87213451</v>
      </c>
      <c r="J71" s="18">
        <f t="shared" si="17"/>
        <v>48048453.724588215</v>
      </c>
      <c r="K71" s="18">
        <f t="shared" si="17"/>
        <v>47715804.47263629</v>
      </c>
      <c r="L71" s="18">
        <f t="shared" si="17"/>
        <v>47628698.035283342</v>
      </c>
      <c r="M71" s="18">
        <f t="shared" si="17"/>
        <v>47542027.130117163</v>
      </c>
      <c r="N71" s="18">
        <f t="shared" si="17"/>
        <v>47455789.579476804</v>
      </c>
      <c r="O71" s="18">
        <f t="shared" si="17"/>
        <v>47369983.216589652</v>
      </c>
      <c r="P71" s="18">
        <f t="shared" si="17"/>
        <v>21156875.478210591</v>
      </c>
      <c r="Q71" s="18">
        <f t="shared" si="17"/>
        <v>16905138.439052854</v>
      </c>
      <c r="R71" s="18">
        <f t="shared" si="17"/>
        <v>16820612.746857584</v>
      </c>
      <c r="S71" s="18">
        <f t="shared" si="17"/>
        <v>16736509.683123298</v>
      </c>
      <c r="T71" s="18">
        <f t="shared" si="17"/>
        <v>16652827.134707682</v>
      </c>
      <c r="U71" s="18">
        <f t="shared" ref="U71" si="18">SUM(U65:U70)</f>
        <v>16569562.999034144</v>
      </c>
    </row>
    <row r="73" spans="1:21" ht="15.75" x14ac:dyDescent="0.25">
      <c r="A73" s="77">
        <v>2031</v>
      </c>
      <c r="B73" s="218">
        <v>2024</v>
      </c>
      <c r="C73" s="218">
        <v>2025</v>
      </c>
      <c r="D73" s="218">
        <v>2026</v>
      </c>
      <c r="E73" s="218">
        <v>2027</v>
      </c>
      <c r="F73" s="218">
        <v>2028</v>
      </c>
      <c r="G73" s="218">
        <v>2029</v>
      </c>
      <c r="H73" s="218">
        <v>2030</v>
      </c>
      <c r="I73" s="218">
        <v>2031</v>
      </c>
      <c r="J73" s="218">
        <v>2032</v>
      </c>
      <c r="K73" s="218">
        <v>2033</v>
      </c>
      <c r="L73" s="218">
        <v>2034</v>
      </c>
      <c r="M73" s="218">
        <v>2035</v>
      </c>
      <c r="N73" s="218">
        <v>2036</v>
      </c>
      <c r="O73" s="218">
        <v>2037</v>
      </c>
      <c r="P73" s="218">
        <v>2038</v>
      </c>
      <c r="Q73" s="218">
        <v>2039</v>
      </c>
      <c r="R73" s="218">
        <v>2040</v>
      </c>
      <c r="S73" s="218">
        <v>2041</v>
      </c>
      <c r="T73" s="218">
        <v>2042</v>
      </c>
      <c r="U73" s="218">
        <v>2043</v>
      </c>
    </row>
    <row r="74" spans="1:21" x14ac:dyDescent="0.25">
      <c r="A74" s="164" t="s">
        <v>138</v>
      </c>
      <c r="B74" s="164"/>
      <c r="C74" s="166"/>
      <c r="D74" s="166"/>
      <c r="E74" s="166"/>
      <c r="F74" s="166"/>
      <c r="G74" s="166"/>
      <c r="H74" s="166"/>
      <c r="I74" s="166">
        <f>H65*'ABP Future Assumptions'!$B$93</f>
        <v>0</v>
      </c>
      <c r="J74" s="166">
        <f>I65*'ABP Future Assumptions'!$B$93</f>
        <v>120486975.03327948</v>
      </c>
      <c r="K74" s="166">
        <f>J65*'ABP Future Assumptions'!$B$93</f>
        <v>0</v>
      </c>
      <c r="L74" s="166">
        <f>K65*'ABP Future Assumptions'!$B$93</f>
        <v>0</v>
      </c>
      <c r="M74" s="166">
        <f>L65*'ABP Future Assumptions'!$B$93</f>
        <v>0</v>
      </c>
      <c r="N74" s="166">
        <f>M65*'ABP Future Assumptions'!$B$93</f>
        <v>0</v>
      </c>
      <c r="O74" s="166">
        <f>N65*'ABP Future Assumptions'!$B$93</f>
        <v>0</v>
      </c>
      <c r="P74" s="166">
        <f>O65*'ABP Future Assumptions'!$B$93</f>
        <v>0</v>
      </c>
      <c r="Q74" s="166">
        <f>P65*'ABP Future Assumptions'!$B$93</f>
        <v>0</v>
      </c>
      <c r="R74" s="166">
        <f>Q65*'ABP Future Assumptions'!$B$93</f>
        <v>0</v>
      </c>
      <c r="S74" s="166">
        <f>R65*'ABP Future Assumptions'!$B$93</f>
        <v>0</v>
      </c>
      <c r="T74" s="166">
        <f>S65*'ABP Future Assumptions'!$B$93</f>
        <v>0</v>
      </c>
      <c r="U74" s="166">
        <f>T65*'ABP Future Assumptions'!$B$93</f>
        <v>0</v>
      </c>
    </row>
    <row r="75" spans="1:21" x14ac:dyDescent="0.25">
      <c r="A75" s="164" t="s">
        <v>144</v>
      </c>
      <c r="B75" s="164"/>
      <c r="C75" s="166"/>
      <c r="D75" s="166"/>
      <c r="E75" s="166"/>
      <c r="F75" s="166"/>
      <c r="G75" s="166"/>
      <c r="H75" s="166"/>
      <c r="I75" s="166">
        <f>H66*'ABP Future Assumptions'!$B$93</f>
        <v>0</v>
      </c>
      <c r="J75" s="166">
        <f>I66*'ABP Future Assumptions'!$B$93</f>
        <v>12580138.182490043</v>
      </c>
      <c r="K75" s="166">
        <f>J66*'ABP Future Assumptions'!$B$93</f>
        <v>11881241.616796153</v>
      </c>
      <c r="L75" s="166">
        <f>K66*'ABP Future Assumptions'!$B$93</f>
        <v>11881241.616796153</v>
      </c>
      <c r="M75" s="166">
        <f>L66*'ABP Future Assumptions'!$B$93</f>
        <v>11881241.616796153</v>
      </c>
      <c r="N75" s="166">
        <f>M66*'ABP Future Assumptions'!$B$93</f>
        <v>11881241.616796153</v>
      </c>
      <c r="O75" s="166">
        <f>N66*'ABP Future Assumptions'!$B$93</f>
        <v>11881241.616796153</v>
      </c>
      <c r="P75" s="166">
        <f>O66*'ABP Future Assumptions'!$B$93</f>
        <v>11881241.616796153</v>
      </c>
      <c r="Q75" s="166">
        <f>P66*'ABP Future Assumptions'!$B$93</f>
        <v>0</v>
      </c>
      <c r="R75" s="166">
        <f>Q66*'ABP Future Assumptions'!$B$93</f>
        <v>0</v>
      </c>
      <c r="S75" s="166">
        <f>R66*'ABP Future Assumptions'!$B$93</f>
        <v>0</v>
      </c>
      <c r="T75" s="166">
        <f>S66*'ABP Future Assumptions'!$B$93</f>
        <v>0</v>
      </c>
      <c r="U75" s="166">
        <f>T66*'ABP Future Assumptions'!$B$93</f>
        <v>0</v>
      </c>
    </row>
    <row r="76" spans="1:21" x14ac:dyDescent="0.25">
      <c r="A76" s="164" t="s">
        <v>153</v>
      </c>
      <c r="B76" s="164"/>
      <c r="C76" s="166"/>
      <c r="D76" s="166"/>
      <c r="E76" s="166"/>
      <c r="F76" s="166"/>
      <c r="G76" s="166"/>
      <c r="H76" s="166"/>
      <c r="I76" s="166">
        <f>H67*'ABP Future Assumptions'!$B$93</f>
        <v>0</v>
      </c>
      <c r="J76" s="166">
        <f>I67*'ABP Future Assumptions'!$B$93</f>
        <v>0</v>
      </c>
      <c r="K76" s="166">
        <f>J67*'ABP Future Assumptions'!$B$93</f>
        <v>10376971.107920107</v>
      </c>
      <c r="L76" s="166">
        <f>K67*'ABP Future Assumptions'!$B$93</f>
        <v>10325086.252380507</v>
      </c>
      <c r="M76" s="166">
        <f>L67*'ABP Future Assumptions'!$B$93</f>
        <v>10273460.821118603</v>
      </c>
      <c r="N76" s="166">
        <f>M67*'ABP Future Assumptions'!$B$93</f>
        <v>10222093.517013012</v>
      </c>
      <c r="O76" s="166">
        <f>N67*'ABP Future Assumptions'!$B$93</f>
        <v>10170983.049427943</v>
      </c>
      <c r="P76" s="166">
        <f>O67*'ABP Future Assumptions'!$B$93</f>
        <v>10120128.134180805</v>
      </c>
      <c r="Q76" s="166">
        <f>P67*'ABP Future Assumptions'!$B$93</f>
        <v>10069527.493509902</v>
      </c>
      <c r="R76" s="166">
        <f>Q67*'ABP Future Assumptions'!$B$93</f>
        <v>10019179.856042353</v>
      </c>
      <c r="S76" s="166">
        <f>R67*'ABP Future Assumptions'!$B$93</f>
        <v>9969083.9567621388</v>
      </c>
      <c r="T76" s="166">
        <f>S67*'ABP Future Assumptions'!$B$93</f>
        <v>9919238.5369783305</v>
      </c>
      <c r="U76" s="166">
        <f>T67*'ABP Future Assumptions'!$B$93</f>
        <v>9869642.3442934379</v>
      </c>
    </row>
    <row r="77" spans="1:21" x14ac:dyDescent="0.25">
      <c r="A77" s="164" t="s">
        <v>158</v>
      </c>
      <c r="B77" s="164"/>
      <c r="C77" s="166"/>
      <c r="D77" s="166"/>
      <c r="E77" s="166"/>
      <c r="F77" s="166"/>
      <c r="G77" s="166"/>
      <c r="H77" s="166"/>
      <c r="I77" s="166">
        <f>H68*'ABP Future Assumptions'!$B$93</f>
        <v>0</v>
      </c>
      <c r="J77" s="166">
        <f>I68*'ABP Future Assumptions'!$B$93</f>
        <v>6463826.38760179</v>
      </c>
      <c r="K77" s="166">
        <f>J68*'ABP Future Assumptions'!$B$93</f>
        <v>6431507.2556637796</v>
      </c>
      <c r="L77" s="166">
        <f>K68*'ABP Future Assumptions'!$B$93</f>
        <v>6399349.719385461</v>
      </c>
      <c r="M77" s="166">
        <f>L68*'ABP Future Assumptions'!$B$93</f>
        <v>6367352.9707885338</v>
      </c>
      <c r="N77" s="166">
        <f>M68*'ABP Future Assumptions'!$B$93</f>
        <v>6335516.2059345907</v>
      </c>
      <c r="O77" s="166">
        <f>N68*'ABP Future Assumptions'!$B$93</f>
        <v>6303838.6249049176</v>
      </c>
      <c r="P77" s="166">
        <f>O68*'ABP Future Assumptions'!$B$93</f>
        <v>6272319.4317803932</v>
      </c>
      <c r="Q77" s="166">
        <f>P68*'ABP Future Assumptions'!$B$93</f>
        <v>6240957.834621489</v>
      </c>
      <c r="R77" s="166">
        <f>Q68*'ABP Future Assumptions'!$B$93</f>
        <v>6209753.0454483842</v>
      </c>
      <c r="S77" s="166">
        <f>R68*'ABP Future Assumptions'!$B$93</f>
        <v>6178704.28022114</v>
      </c>
      <c r="T77" s="166">
        <f>S68*'ABP Future Assumptions'!$B$93</f>
        <v>6147810.7588200346</v>
      </c>
      <c r="U77" s="166">
        <f>T68*'ABP Future Assumptions'!$B$93</f>
        <v>6117071.7050259355</v>
      </c>
    </row>
    <row r="78" spans="1:21" x14ac:dyDescent="0.25">
      <c r="A78" s="164" t="s">
        <v>162</v>
      </c>
      <c r="B78" s="164"/>
      <c r="C78" s="166"/>
      <c r="D78" s="166"/>
      <c r="E78" s="166"/>
      <c r="F78" s="166"/>
      <c r="G78" s="166"/>
      <c r="H78" s="166"/>
      <c r="I78" s="166">
        <f>H69*'ABP Future Assumptions'!$B$93</f>
        <v>0</v>
      </c>
      <c r="J78" s="166">
        <f>I69*'ABP Future Assumptions'!$B$93</f>
        <v>0</v>
      </c>
      <c r="K78" s="166">
        <f>J69*'ABP Future Assumptions'!$B$93</f>
        <v>4235416.0210067015</v>
      </c>
      <c r="L78" s="166">
        <f>K69*'ABP Future Assumptions'!$B$93</f>
        <v>4000115.1309507731</v>
      </c>
      <c r="M78" s="166">
        <f>L69*'ABP Future Assumptions'!$B$93</f>
        <v>4000115.1309507731</v>
      </c>
      <c r="N78" s="166">
        <f>M69*'ABP Future Assumptions'!$B$93</f>
        <v>4000115.1309507731</v>
      </c>
      <c r="O78" s="166">
        <f>N69*'ABP Future Assumptions'!$B$93</f>
        <v>4000115.1309507731</v>
      </c>
      <c r="P78" s="166">
        <f>O69*'ABP Future Assumptions'!$B$93</f>
        <v>4000115.1309507731</v>
      </c>
      <c r="Q78" s="166">
        <f>P69*'ABP Future Assumptions'!$B$93</f>
        <v>4000115.1309507731</v>
      </c>
      <c r="R78" s="166">
        <f>Q69*'ABP Future Assumptions'!$B$93</f>
        <v>0</v>
      </c>
      <c r="S78" s="166">
        <f>R69*'ABP Future Assumptions'!$B$93</f>
        <v>0</v>
      </c>
      <c r="T78" s="166">
        <f>S69*'ABP Future Assumptions'!$B$93</f>
        <v>0</v>
      </c>
      <c r="U78" s="166">
        <f>T69*'ABP Future Assumptions'!$B$93</f>
        <v>0</v>
      </c>
    </row>
    <row r="79" spans="1:21" x14ac:dyDescent="0.25">
      <c r="A79" s="164" t="s">
        <v>165</v>
      </c>
      <c r="B79" s="164"/>
      <c r="C79" s="166"/>
      <c r="D79" s="166"/>
      <c r="E79" s="166"/>
      <c r="F79" s="166"/>
      <c r="G79" s="166"/>
      <c r="H79" s="166"/>
      <c r="I79" s="166">
        <f>H70*'ABP Future Assumptions'!$B$93</f>
        <v>0</v>
      </c>
      <c r="J79" s="166">
        <f>I70*'ABP Future Assumptions'!$B$93</f>
        <v>13977931.313877819</v>
      </c>
      <c r="K79" s="166">
        <f>J70*'ABP Future Assumptions'!$B$93</f>
        <v>13201379.574217943</v>
      </c>
      <c r="L79" s="166">
        <f>K70*'ABP Future Assumptions'!$B$93</f>
        <v>13201379.574217943</v>
      </c>
      <c r="M79" s="166">
        <f>L70*'ABP Future Assumptions'!$B$93</f>
        <v>13201379.574217943</v>
      </c>
      <c r="N79" s="166">
        <f>M70*'ABP Future Assumptions'!$B$93</f>
        <v>13201379.574217943</v>
      </c>
      <c r="O79" s="166">
        <f>N70*'ABP Future Assumptions'!$B$93</f>
        <v>13201379.574217943</v>
      </c>
      <c r="P79" s="166">
        <f>O70*'ABP Future Assumptions'!$B$93</f>
        <v>13201379.574217943</v>
      </c>
      <c r="Q79" s="166">
        <f>P70*'ABP Future Assumptions'!$B$93</f>
        <v>0</v>
      </c>
      <c r="R79" s="166">
        <f>Q70*'ABP Future Assumptions'!$B$93</f>
        <v>0</v>
      </c>
      <c r="S79" s="166">
        <f>R70*'ABP Future Assumptions'!$B$93</f>
        <v>0</v>
      </c>
      <c r="T79" s="166">
        <f>S70*'ABP Future Assumptions'!$B$93</f>
        <v>0</v>
      </c>
      <c r="U79" s="166">
        <f>T70*'ABP Future Assumptions'!$B$93</f>
        <v>0</v>
      </c>
    </row>
    <row r="80" spans="1:21" x14ac:dyDescent="0.25">
      <c r="A80" s="163" t="s">
        <v>109</v>
      </c>
      <c r="B80" s="163"/>
      <c r="C80" s="18">
        <f t="shared" ref="C80:T80" si="19">SUM(C74:C79)</f>
        <v>0</v>
      </c>
      <c r="D80" s="18">
        <f t="shared" si="19"/>
        <v>0</v>
      </c>
      <c r="E80" s="18">
        <f t="shared" si="19"/>
        <v>0</v>
      </c>
      <c r="F80" s="18">
        <f t="shared" si="19"/>
        <v>0</v>
      </c>
      <c r="G80" s="18">
        <f t="shared" si="19"/>
        <v>0</v>
      </c>
      <c r="H80" s="18">
        <f t="shared" si="19"/>
        <v>0</v>
      </c>
      <c r="I80" s="18">
        <f t="shared" si="19"/>
        <v>0</v>
      </c>
      <c r="J80" s="18">
        <f t="shared" si="19"/>
        <v>153508870.91724914</v>
      </c>
      <c r="K80" s="18">
        <f t="shared" si="19"/>
        <v>46126515.575604685</v>
      </c>
      <c r="L80" s="18">
        <f t="shared" si="19"/>
        <v>45807172.29373084</v>
      </c>
      <c r="M80" s="18">
        <f t="shared" si="19"/>
        <v>45723550.113872007</v>
      </c>
      <c r="N80" s="18">
        <f t="shared" si="19"/>
        <v>45640346.044912472</v>
      </c>
      <c r="O80" s="18">
        <f t="shared" si="19"/>
        <v>45557557.996297732</v>
      </c>
      <c r="P80" s="18">
        <f t="shared" si="19"/>
        <v>45475183.887926072</v>
      </c>
      <c r="Q80" s="18">
        <f t="shared" si="19"/>
        <v>20310600.459082164</v>
      </c>
      <c r="R80" s="18">
        <f t="shared" si="19"/>
        <v>16228932.901490737</v>
      </c>
      <c r="S80" s="18">
        <f t="shared" si="19"/>
        <v>16147788.236983279</v>
      </c>
      <c r="T80" s="18">
        <f t="shared" si="19"/>
        <v>16067049.295798365</v>
      </c>
      <c r="U80" s="18">
        <f t="shared" ref="U80" si="20">SUM(U74:U79)</f>
        <v>15986714.049319373</v>
      </c>
    </row>
    <row r="82" spans="1:21" ht="15.75" x14ac:dyDescent="0.25">
      <c r="A82" s="77">
        <v>2032</v>
      </c>
      <c r="B82" s="218">
        <v>2024</v>
      </c>
      <c r="C82" s="218">
        <v>2025</v>
      </c>
      <c r="D82" s="218">
        <v>2026</v>
      </c>
      <c r="E82" s="218">
        <v>2027</v>
      </c>
      <c r="F82" s="218">
        <v>2028</v>
      </c>
      <c r="G82" s="218">
        <v>2029</v>
      </c>
      <c r="H82" s="218">
        <v>2030</v>
      </c>
      <c r="I82" s="218">
        <v>2031</v>
      </c>
      <c r="J82" s="218">
        <v>2032</v>
      </c>
      <c r="K82" s="218">
        <v>2033</v>
      </c>
      <c r="L82" s="218">
        <v>2034</v>
      </c>
      <c r="M82" s="218">
        <v>2035</v>
      </c>
      <c r="N82" s="218">
        <v>2036</v>
      </c>
      <c r="O82" s="218">
        <v>2037</v>
      </c>
      <c r="P82" s="218">
        <v>2038</v>
      </c>
      <c r="Q82" s="218">
        <v>2039</v>
      </c>
      <c r="R82" s="218">
        <v>2040</v>
      </c>
      <c r="S82" s="218">
        <v>2041</v>
      </c>
      <c r="T82" s="218">
        <v>2042</v>
      </c>
      <c r="U82" s="218">
        <v>2043</v>
      </c>
    </row>
    <row r="83" spans="1:21" x14ac:dyDescent="0.25">
      <c r="A83" s="164" t="s">
        <v>138</v>
      </c>
      <c r="B83" s="164"/>
      <c r="C83" s="166"/>
      <c r="D83" s="166"/>
      <c r="E83" s="166"/>
      <c r="F83" s="166"/>
      <c r="G83" s="166"/>
      <c r="H83" s="166"/>
      <c r="I83" s="166"/>
      <c r="J83" s="166">
        <f>I74*'ABP Future Assumptions'!$B$93</f>
        <v>0</v>
      </c>
      <c r="K83" s="166">
        <f>J74*'ABP Future Assumptions'!$B$93</f>
        <v>115667496.0319483</v>
      </c>
      <c r="L83" s="166">
        <f>K74*'ABP Future Assumptions'!$B$93</f>
        <v>0</v>
      </c>
      <c r="M83" s="166">
        <f>L74*'ABP Future Assumptions'!$B$93</f>
        <v>0</v>
      </c>
      <c r="N83" s="166">
        <f>M74*'ABP Future Assumptions'!$B$93</f>
        <v>0</v>
      </c>
      <c r="O83" s="166">
        <f>N74*'ABP Future Assumptions'!$B$93</f>
        <v>0</v>
      </c>
      <c r="P83" s="166">
        <f>O74*'ABP Future Assumptions'!$B$93</f>
        <v>0</v>
      </c>
      <c r="Q83" s="166">
        <f>P74*'ABP Future Assumptions'!$B$93</f>
        <v>0</v>
      </c>
      <c r="R83" s="166">
        <f>Q74*'ABP Future Assumptions'!$B$93</f>
        <v>0</v>
      </c>
      <c r="S83" s="166">
        <f>R74*'ABP Future Assumptions'!$B$93</f>
        <v>0</v>
      </c>
      <c r="T83" s="166">
        <f>S74*'ABP Future Assumptions'!$B$93</f>
        <v>0</v>
      </c>
      <c r="U83" s="166">
        <f>T74*'ABP Future Assumptions'!$B$93</f>
        <v>0</v>
      </c>
    </row>
    <row r="84" spans="1:21" x14ac:dyDescent="0.25">
      <c r="A84" s="164" t="s">
        <v>144</v>
      </c>
      <c r="B84" s="164"/>
      <c r="C84" s="166"/>
      <c r="D84" s="166"/>
      <c r="E84" s="166"/>
      <c r="F84" s="166"/>
      <c r="G84" s="166"/>
      <c r="H84" s="166"/>
      <c r="I84" s="166"/>
      <c r="J84" s="166">
        <f>I75*'ABP Future Assumptions'!$B$93</f>
        <v>0</v>
      </c>
      <c r="K84" s="166">
        <f>J75*'ABP Future Assumptions'!$B$93</f>
        <v>12076932.655190442</v>
      </c>
      <c r="L84" s="166">
        <f>K75*'ABP Future Assumptions'!$B$93</f>
        <v>11405991.952124307</v>
      </c>
      <c r="M84" s="166">
        <f>L75*'ABP Future Assumptions'!$B$93</f>
        <v>11405991.952124307</v>
      </c>
      <c r="N84" s="166">
        <f>M75*'ABP Future Assumptions'!$B$93</f>
        <v>11405991.952124307</v>
      </c>
      <c r="O84" s="166">
        <f>N75*'ABP Future Assumptions'!$B$93</f>
        <v>11405991.952124307</v>
      </c>
      <c r="P84" s="166">
        <f>O75*'ABP Future Assumptions'!$B$93</f>
        <v>11405991.952124307</v>
      </c>
      <c r="Q84" s="166">
        <f>P75*'ABP Future Assumptions'!$B$93</f>
        <v>11405991.952124307</v>
      </c>
      <c r="R84" s="166">
        <f>Q75*'ABP Future Assumptions'!$B$93</f>
        <v>0</v>
      </c>
      <c r="S84" s="166">
        <f>R75*'ABP Future Assumptions'!$B$93</f>
        <v>0</v>
      </c>
      <c r="T84" s="166">
        <f>S75*'ABP Future Assumptions'!$B$93</f>
        <v>0</v>
      </c>
      <c r="U84" s="166">
        <f>T75*'ABP Future Assumptions'!$B$93</f>
        <v>0</v>
      </c>
    </row>
    <row r="85" spans="1:21" x14ac:dyDescent="0.25">
      <c r="A85" s="164" t="s">
        <v>153</v>
      </c>
      <c r="B85" s="164"/>
      <c r="C85" s="166"/>
      <c r="D85" s="166"/>
      <c r="E85" s="166"/>
      <c r="F85" s="166"/>
      <c r="G85" s="166"/>
      <c r="H85" s="166"/>
      <c r="I85" s="166"/>
      <c r="J85" s="166">
        <f>I76*'ABP Future Assumptions'!$B$93</f>
        <v>0</v>
      </c>
      <c r="K85" s="166">
        <f>J76*'ABP Future Assumptions'!$B$93</f>
        <v>0</v>
      </c>
      <c r="L85" s="166">
        <f>K76*'ABP Future Assumptions'!$B$93</f>
        <v>9961892.2636033017</v>
      </c>
      <c r="M85" s="166">
        <f>L76*'ABP Future Assumptions'!$B$93</f>
        <v>9912082.8022852857</v>
      </c>
      <c r="N85" s="166">
        <f>M76*'ABP Future Assumptions'!$B$93</f>
        <v>9862522.3882738575</v>
      </c>
      <c r="O85" s="166">
        <f>N76*'ABP Future Assumptions'!$B$93</f>
        <v>9813209.7763324901</v>
      </c>
      <c r="P85" s="166">
        <f>O76*'ABP Future Assumptions'!$B$93</f>
        <v>9764143.7274508253</v>
      </c>
      <c r="Q85" s="166">
        <f>P76*'ABP Future Assumptions'!$B$93</f>
        <v>9715323.008813573</v>
      </c>
      <c r="R85" s="166">
        <f>Q76*'ABP Future Assumptions'!$B$93</f>
        <v>9666746.3937695045</v>
      </c>
      <c r="S85" s="166">
        <f>R76*'ABP Future Assumptions'!$B$93</f>
        <v>9618412.6618006583</v>
      </c>
      <c r="T85" s="166">
        <f>S76*'ABP Future Assumptions'!$B$93</f>
        <v>9570320.5984916519</v>
      </c>
      <c r="U85" s="166">
        <f>T76*'ABP Future Assumptions'!$B$93</f>
        <v>9522468.9954991974</v>
      </c>
    </row>
    <row r="86" spans="1:21" x14ac:dyDescent="0.25">
      <c r="A86" s="164" t="s">
        <v>158</v>
      </c>
      <c r="B86" s="164"/>
      <c r="C86" s="166"/>
      <c r="D86" s="166"/>
      <c r="E86" s="166"/>
      <c r="F86" s="166"/>
      <c r="G86" s="166"/>
      <c r="H86" s="166"/>
      <c r="I86" s="166"/>
      <c r="J86" s="166">
        <f>I77*'ABP Future Assumptions'!$B$93</f>
        <v>0</v>
      </c>
      <c r="K86" s="166">
        <f>J77*'ABP Future Assumptions'!$B$93</f>
        <v>6205273.3320977185</v>
      </c>
      <c r="L86" s="166">
        <f>K77*'ABP Future Assumptions'!$B$93</f>
        <v>6174246.9654372279</v>
      </c>
      <c r="M86" s="166">
        <f>L77*'ABP Future Assumptions'!$B$93</f>
        <v>6143375.7306100419</v>
      </c>
      <c r="N86" s="166">
        <f>M77*'ABP Future Assumptions'!$B$93</f>
        <v>6112658.8519569924</v>
      </c>
      <c r="O86" s="166">
        <f>N77*'ABP Future Assumptions'!$B$93</f>
        <v>6082095.5576972067</v>
      </c>
      <c r="P86" s="166">
        <f>O77*'ABP Future Assumptions'!$B$93</f>
        <v>6051685.0799087202</v>
      </c>
      <c r="Q86" s="166">
        <f>P77*'ABP Future Assumptions'!$B$93</f>
        <v>6021426.6545091774</v>
      </c>
      <c r="R86" s="166">
        <f>Q77*'ABP Future Assumptions'!$B$93</f>
        <v>5991319.5212366292</v>
      </c>
      <c r="S86" s="166">
        <f>R77*'ABP Future Assumptions'!$B$93</f>
        <v>5961362.923630449</v>
      </c>
      <c r="T86" s="166">
        <f>S77*'ABP Future Assumptions'!$B$93</f>
        <v>5931556.1090122946</v>
      </c>
      <c r="U86" s="166">
        <f>T77*'ABP Future Assumptions'!$B$93</f>
        <v>5901898.3284672331</v>
      </c>
    </row>
    <row r="87" spans="1:21" x14ac:dyDescent="0.25">
      <c r="A87" s="164" t="s">
        <v>162</v>
      </c>
      <c r="B87" s="164"/>
      <c r="C87" s="166"/>
      <c r="D87" s="166"/>
      <c r="E87" s="166"/>
      <c r="F87" s="166"/>
      <c r="G87" s="166"/>
      <c r="H87" s="166"/>
      <c r="I87" s="166"/>
      <c r="J87" s="166">
        <f>I78*'ABP Future Assumptions'!$B$93</f>
        <v>0</v>
      </c>
      <c r="K87" s="166">
        <f>J78*'ABP Future Assumptions'!$B$93</f>
        <v>0</v>
      </c>
      <c r="L87" s="166">
        <f>K78*'ABP Future Assumptions'!$B$93</f>
        <v>4065999.3801664333</v>
      </c>
      <c r="M87" s="166">
        <f>L78*'ABP Future Assumptions'!$B$93</f>
        <v>3840110.525712742</v>
      </c>
      <c r="N87" s="166">
        <f>M78*'ABP Future Assumptions'!$B$93</f>
        <v>3840110.525712742</v>
      </c>
      <c r="O87" s="166">
        <f>N78*'ABP Future Assumptions'!$B$93</f>
        <v>3840110.525712742</v>
      </c>
      <c r="P87" s="166">
        <f>O78*'ABP Future Assumptions'!$B$93</f>
        <v>3840110.525712742</v>
      </c>
      <c r="Q87" s="166">
        <f>P78*'ABP Future Assumptions'!$B$93</f>
        <v>3840110.525712742</v>
      </c>
      <c r="R87" s="166">
        <f>Q78*'ABP Future Assumptions'!$B$93</f>
        <v>3840110.525712742</v>
      </c>
      <c r="S87" s="166">
        <f>R78*'ABP Future Assumptions'!$B$93</f>
        <v>0</v>
      </c>
      <c r="T87" s="166">
        <f>S78*'ABP Future Assumptions'!$B$93</f>
        <v>0</v>
      </c>
      <c r="U87" s="166">
        <f>T78*'ABP Future Assumptions'!$B$93</f>
        <v>0</v>
      </c>
    </row>
    <row r="88" spans="1:21" x14ac:dyDescent="0.25">
      <c r="A88" s="164" t="s">
        <v>165</v>
      </c>
      <c r="B88" s="164"/>
      <c r="C88" s="166"/>
      <c r="D88" s="166"/>
      <c r="E88" s="166"/>
      <c r="F88" s="166"/>
      <c r="G88" s="166"/>
      <c r="H88" s="166"/>
      <c r="I88" s="166"/>
      <c r="J88" s="166">
        <f>I79*'ABP Future Assumptions'!$B$93</f>
        <v>0</v>
      </c>
      <c r="K88" s="166">
        <f>J79*'ABP Future Assumptions'!$B$93</f>
        <v>13418814.061322706</v>
      </c>
      <c r="L88" s="166">
        <f>K79*'ABP Future Assumptions'!$B$93</f>
        <v>12673324.391249225</v>
      </c>
      <c r="M88" s="166">
        <f>L79*'ABP Future Assumptions'!$B$93</f>
        <v>12673324.391249225</v>
      </c>
      <c r="N88" s="166">
        <f>M79*'ABP Future Assumptions'!$B$93</f>
        <v>12673324.391249225</v>
      </c>
      <c r="O88" s="166">
        <f>N79*'ABP Future Assumptions'!$B$93</f>
        <v>12673324.391249225</v>
      </c>
      <c r="P88" s="166">
        <f>O79*'ABP Future Assumptions'!$B$93</f>
        <v>12673324.391249225</v>
      </c>
      <c r="Q88" s="166">
        <f>P79*'ABP Future Assumptions'!$B$93</f>
        <v>12673324.391249225</v>
      </c>
      <c r="R88" s="166">
        <f>Q79*'ABP Future Assumptions'!$B$93</f>
        <v>0</v>
      </c>
      <c r="S88" s="166">
        <f>R79*'ABP Future Assumptions'!$B$93</f>
        <v>0</v>
      </c>
      <c r="T88" s="166">
        <f>S79*'ABP Future Assumptions'!$B$93</f>
        <v>0</v>
      </c>
      <c r="U88" s="166">
        <f>T79*'ABP Future Assumptions'!$B$93</f>
        <v>0</v>
      </c>
    </row>
    <row r="89" spans="1:21" x14ac:dyDescent="0.25">
      <c r="A89" s="163" t="s">
        <v>109</v>
      </c>
      <c r="B89" s="163"/>
      <c r="C89" s="18">
        <f t="shared" ref="C89:T89" si="21">SUM(C83:C88)</f>
        <v>0</v>
      </c>
      <c r="D89" s="18">
        <f t="shared" si="21"/>
        <v>0</v>
      </c>
      <c r="E89" s="18">
        <f t="shared" si="21"/>
        <v>0</v>
      </c>
      <c r="F89" s="18">
        <f t="shared" si="21"/>
        <v>0</v>
      </c>
      <c r="G89" s="18">
        <f t="shared" si="21"/>
        <v>0</v>
      </c>
      <c r="H89" s="18">
        <f t="shared" si="21"/>
        <v>0</v>
      </c>
      <c r="I89" s="18">
        <f t="shared" si="21"/>
        <v>0</v>
      </c>
      <c r="J89" s="18">
        <f t="shared" si="21"/>
        <v>0</v>
      </c>
      <c r="K89" s="18">
        <f t="shared" si="21"/>
        <v>147368516.08055916</v>
      </c>
      <c r="L89" s="18">
        <f t="shared" si="21"/>
        <v>44281454.952580497</v>
      </c>
      <c r="M89" s="18">
        <f t="shared" si="21"/>
        <v>43974885.401981607</v>
      </c>
      <c r="N89" s="18">
        <f t="shared" si="21"/>
        <v>43894608.109317124</v>
      </c>
      <c r="O89" s="18">
        <f t="shared" si="21"/>
        <v>43814732.20311597</v>
      </c>
      <c r="P89" s="18">
        <f t="shared" si="21"/>
        <v>43735255.676445819</v>
      </c>
      <c r="Q89" s="18">
        <f t="shared" si="21"/>
        <v>43656176.532409027</v>
      </c>
      <c r="R89" s="18">
        <f t="shared" si="21"/>
        <v>19498176.440718878</v>
      </c>
      <c r="S89" s="18">
        <f t="shared" si="21"/>
        <v>15579775.585431106</v>
      </c>
      <c r="T89" s="18">
        <f t="shared" si="21"/>
        <v>15501876.707503946</v>
      </c>
      <c r="U89" s="18">
        <f t="shared" ref="U89" si="22">SUM(U83:U88)</f>
        <v>15424367.323966431</v>
      </c>
    </row>
    <row r="91" spans="1:21" ht="15.75" x14ac:dyDescent="0.25">
      <c r="A91" s="77">
        <v>2033</v>
      </c>
      <c r="B91" s="218">
        <v>2024</v>
      </c>
      <c r="C91" s="218">
        <v>2025</v>
      </c>
      <c r="D91" s="218">
        <v>2026</v>
      </c>
      <c r="E91" s="218">
        <v>2027</v>
      </c>
      <c r="F91" s="218">
        <v>2028</v>
      </c>
      <c r="G91" s="218">
        <v>2029</v>
      </c>
      <c r="H91" s="218">
        <v>2030</v>
      </c>
      <c r="I91" s="218">
        <v>2031</v>
      </c>
      <c r="J91" s="218">
        <v>2032</v>
      </c>
      <c r="K91" s="218">
        <v>2033</v>
      </c>
      <c r="L91" s="218">
        <v>2034</v>
      </c>
      <c r="M91" s="218">
        <v>2035</v>
      </c>
      <c r="N91" s="218">
        <v>2036</v>
      </c>
      <c r="O91" s="218">
        <v>2037</v>
      </c>
      <c r="P91" s="218">
        <v>2038</v>
      </c>
      <c r="Q91" s="218">
        <v>2039</v>
      </c>
      <c r="R91" s="218">
        <v>2040</v>
      </c>
      <c r="S91" s="218">
        <v>2041</v>
      </c>
      <c r="T91" s="218">
        <v>2042</v>
      </c>
      <c r="U91" s="218">
        <v>2043</v>
      </c>
    </row>
    <row r="92" spans="1:21" x14ac:dyDescent="0.25">
      <c r="A92" s="164" t="s">
        <v>138</v>
      </c>
      <c r="B92" s="164"/>
      <c r="C92" s="166"/>
      <c r="D92" s="166"/>
      <c r="E92" s="166"/>
      <c r="F92" s="166"/>
      <c r="G92" s="166"/>
      <c r="H92" s="166"/>
      <c r="I92" s="166"/>
      <c r="J92" s="166"/>
      <c r="K92" s="166">
        <f>J83*'ABP Future Assumptions'!$B$93/2</f>
        <v>0</v>
      </c>
      <c r="L92" s="166">
        <f>K83*'ABP Future Assumptions'!$B$93/2</f>
        <v>55520398.095335178</v>
      </c>
      <c r="M92" s="166">
        <f>L83*'ABP Future Assumptions'!$B$93/2</f>
        <v>0</v>
      </c>
      <c r="N92" s="166">
        <f>M83*'ABP Future Assumptions'!$B$93/2</f>
        <v>0</v>
      </c>
      <c r="O92" s="166">
        <f>N83*'ABP Future Assumptions'!$B$93/2</f>
        <v>0</v>
      </c>
      <c r="P92" s="166">
        <f>O83*'ABP Future Assumptions'!$B$93/2</f>
        <v>0</v>
      </c>
      <c r="Q92" s="166">
        <f>P83*'ABP Future Assumptions'!$B$93/2</f>
        <v>0</v>
      </c>
      <c r="R92" s="166">
        <f>Q83*'ABP Future Assumptions'!$B$93/2</f>
        <v>0</v>
      </c>
      <c r="S92" s="166">
        <f>R83*'ABP Future Assumptions'!$B$93/2</f>
        <v>0</v>
      </c>
      <c r="T92" s="166">
        <f>S83*'ABP Future Assumptions'!$B$93/2</f>
        <v>0</v>
      </c>
      <c r="U92" s="166">
        <f>T83*'ABP Future Assumptions'!$B$93/2</f>
        <v>0</v>
      </c>
    </row>
    <row r="93" spans="1:21" x14ac:dyDescent="0.25">
      <c r="A93" s="164" t="s">
        <v>144</v>
      </c>
      <c r="B93" s="164"/>
      <c r="C93" s="166"/>
      <c r="D93" s="166"/>
      <c r="E93" s="166"/>
      <c r="F93" s="166"/>
      <c r="G93" s="166"/>
      <c r="H93" s="166"/>
      <c r="I93" s="166"/>
      <c r="J93" s="166"/>
      <c r="K93" s="166">
        <f>J84*'ABP Future Assumptions'!$B$93/2</f>
        <v>0</v>
      </c>
      <c r="L93" s="166">
        <f>K84*'ABP Future Assumptions'!$B$93/2</f>
        <v>5796927.674491412</v>
      </c>
      <c r="M93" s="166">
        <f>L84*'ABP Future Assumptions'!$B$93/2</f>
        <v>5474876.1370196668</v>
      </c>
      <c r="N93" s="166">
        <f>M84*'ABP Future Assumptions'!$B$93/2</f>
        <v>5474876.1370196668</v>
      </c>
      <c r="O93" s="166">
        <f>N84*'ABP Future Assumptions'!$B$93/2</f>
        <v>5474876.1370196668</v>
      </c>
      <c r="P93" s="166">
        <f>O84*'ABP Future Assumptions'!$B$93/2</f>
        <v>5474876.1370196668</v>
      </c>
      <c r="Q93" s="166">
        <f>P84*'ABP Future Assumptions'!$B$93/2</f>
        <v>5474876.1370196668</v>
      </c>
      <c r="R93" s="166">
        <f>Q84*'ABP Future Assumptions'!$B$93/2</f>
        <v>5474876.1370196668</v>
      </c>
      <c r="S93" s="166">
        <f>R84*'ABP Future Assumptions'!$B$93/2</f>
        <v>0</v>
      </c>
      <c r="T93" s="166">
        <f>S84*'ABP Future Assumptions'!$B$93/2</f>
        <v>0</v>
      </c>
      <c r="U93" s="166">
        <f>T84*'ABP Future Assumptions'!$B$93/2</f>
        <v>0</v>
      </c>
    </row>
    <row r="94" spans="1:21" x14ac:dyDescent="0.25">
      <c r="A94" s="164" t="s">
        <v>153</v>
      </c>
      <c r="B94" s="164"/>
      <c r="C94" s="166"/>
      <c r="D94" s="166"/>
      <c r="E94" s="166"/>
      <c r="F94" s="166"/>
      <c r="G94" s="166"/>
      <c r="H94" s="166"/>
      <c r="I94" s="166"/>
      <c r="J94" s="166"/>
      <c r="K94" s="166">
        <f>J85*'ABP Future Assumptions'!$B$93/2</f>
        <v>0</v>
      </c>
      <c r="L94" s="166">
        <f>K85*'ABP Future Assumptions'!$B$93/2</f>
        <v>0</v>
      </c>
      <c r="M94" s="166">
        <f>L85*'ABP Future Assumptions'!$B$93/2</f>
        <v>4781708.2865295848</v>
      </c>
      <c r="N94" s="166">
        <f>M85*'ABP Future Assumptions'!$B$93/2</f>
        <v>4757799.7450969368</v>
      </c>
      <c r="O94" s="166">
        <f>N85*'ABP Future Assumptions'!$B$93/2</f>
        <v>4734010.7463714518</v>
      </c>
      <c r="P94" s="166">
        <f>O85*'ABP Future Assumptions'!$B$93/2</f>
        <v>4710340.6926395949</v>
      </c>
      <c r="Q94" s="166">
        <f>P85*'ABP Future Assumptions'!$B$93/2</f>
        <v>4686788.9891763963</v>
      </c>
      <c r="R94" s="166">
        <f>Q85*'ABP Future Assumptions'!$B$93/2</f>
        <v>4663355.0442305151</v>
      </c>
      <c r="S94" s="166">
        <f>R85*'ABP Future Assumptions'!$B$93/2</f>
        <v>4640038.269009362</v>
      </c>
      <c r="T94" s="166">
        <f>S85*'ABP Future Assumptions'!$B$93/2</f>
        <v>4616838.0776643157</v>
      </c>
      <c r="U94" s="166">
        <f>T85*'ABP Future Assumptions'!$B$93/2</f>
        <v>4593753.8872759929</v>
      </c>
    </row>
    <row r="95" spans="1:21" x14ac:dyDescent="0.25">
      <c r="A95" s="164" t="s">
        <v>158</v>
      </c>
      <c r="B95" s="164"/>
      <c r="C95" s="166"/>
      <c r="D95" s="166"/>
      <c r="E95" s="166"/>
      <c r="F95" s="166"/>
      <c r="G95" s="166"/>
      <c r="H95" s="166"/>
      <c r="I95" s="166"/>
      <c r="J95" s="166"/>
      <c r="K95" s="166">
        <f>J86*'ABP Future Assumptions'!$B$93/2</f>
        <v>0</v>
      </c>
      <c r="L95" s="166">
        <f>K86*'ABP Future Assumptions'!$B$93/2</f>
        <v>2978531.1994069046</v>
      </c>
      <c r="M95" s="166">
        <f>L86*'ABP Future Assumptions'!$B$93/2</f>
        <v>2963638.5434098691</v>
      </c>
      <c r="N95" s="166">
        <f>M86*'ABP Future Assumptions'!$B$93/2</f>
        <v>2948820.3506928198</v>
      </c>
      <c r="O95" s="166">
        <f>N86*'ABP Future Assumptions'!$B$93/2</f>
        <v>2934076.2489393563</v>
      </c>
      <c r="P95" s="166">
        <f>O86*'ABP Future Assumptions'!$B$93/2</f>
        <v>2919405.8676946592</v>
      </c>
      <c r="Q95" s="166">
        <f>P86*'ABP Future Assumptions'!$B$93/2</f>
        <v>2904808.8383561857</v>
      </c>
      <c r="R95" s="166">
        <f>Q86*'ABP Future Assumptions'!$B$93/2</f>
        <v>2890284.7941644052</v>
      </c>
      <c r="S95" s="166">
        <f>R86*'ABP Future Assumptions'!$B$93/2</f>
        <v>2875833.370193582</v>
      </c>
      <c r="T95" s="166">
        <f>S86*'ABP Future Assumptions'!$B$93/2</f>
        <v>2861454.2033426156</v>
      </c>
      <c r="U95" s="166">
        <f>T86*'ABP Future Assumptions'!$B$93/2</f>
        <v>2847146.9323259015</v>
      </c>
    </row>
    <row r="96" spans="1:21" x14ac:dyDescent="0.25">
      <c r="A96" s="164" t="s">
        <v>162</v>
      </c>
      <c r="B96" s="164"/>
      <c r="C96" s="166"/>
      <c r="D96" s="166"/>
      <c r="E96" s="166"/>
      <c r="F96" s="166"/>
      <c r="G96" s="166"/>
      <c r="H96" s="166"/>
      <c r="I96" s="166"/>
      <c r="J96" s="166"/>
      <c r="K96" s="166">
        <f>J87*'ABP Future Assumptions'!$B$93/2</f>
        <v>0</v>
      </c>
      <c r="L96" s="166">
        <f>K87*'ABP Future Assumptions'!$B$93/2</f>
        <v>0</v>
      </c>
      <c r="M96" s="166">
        <f>L87*'ABP Future Assumptions'!$B$93/2</f>
        <v>1951679.702479888</v>
      </c>
      <c r="N96" s="166">
        <f>M87*'ABP Future Assumptions'!$B$93/2</f>
        <v>1843253.0523421161</v>
      </c>
      <c r="O96" s="166">
        <f>N87*'ABP Future Assumptions'!$B$93/2</f>
        <v>1843253.0523421161</v>
      </c>
      <c r="P96" s="166">
        <f>O87*'ABP Future Assumptions'!$B$93/2</f>
        <v>1843253.0523421161</v>
      </c>
      <c r="Q96" s="166">
        <f>P87*'ABP Future Assumptions'!$B$93/2</f>
        <v>1843253.0523421161</v>
      </c>
      <c r="R96" s="166">
        <f>Q87*'ABP Future Assumptions'!$B$93/2</f>
        <v>1843253.0523421161</v>
      </c>
      <c r="S96" s="166">
        <f>R87*'ABP Future Assumptions'!$B$93/2</f>
        <v>1843253.0523421161</v>
      </c>
      <c r="T96" s="166">
        <f>S87*'ABP Future Assumptions'!$B$93/2</f>
        <v>0</v>
      </c>
      <c r="U96" s="166">
        <f>T87*'ABP Future Assumptions'!$B$93/2</f>
        <v>0</v>
      </c>
    </row>
    <row r="97" spans="1:21" x14ac:dyDescent="0.25">
      <c r="A97" s="164" t="s">
        <v>165</v>
      </c>
      <c r="B97" s="164"/>
      <c r="C97" s="166"/>
      <c r="D97" s="166"/>
      <c r="E97" s="166"/>
      <c r="F97" s="166"/>
      <c r="G97" s="166"/>
      <c r="H97" s="166"/>
      <c r="I97" s="166"/>
      <c r="J97" s="166"/>
      <c r="K97" s="166">
        <f>J88*'ABP Future Assumptions'!$B$93/2</f>
        <v>0</v>
      </c>
      <c r="L97" s="166">
        <f>K88*'ABP Future Assumptions'!$B$93/2</f>
        <v>6441030.7494348986</v>
      </c>
      <c r="M97" s="166">
        <f>L88*'ABP Future Assumptions'!$B$93/2</f>
        <v>6083195.7077996274</v>
      </c>
      <c r="N97" s="166">
        <f>M88*'ABP Future Assumptions'!$B$93/2</f>
        <v>6083195.7077996274</v>
      </c>
      <c r="O97" s="166">
        <f>N88*'ABP Future Assumptions'!$B$93/2</f>
        <v>6083195.7077996274</v>
      </c>
      <c r="P97" s="166">
        <f>O88*'ABP Future Assumptions'!$B$93/2</f>
        <v>6083195.7077996274</v>
      </c>
      <c r="Q97" s="166">
        <f>P88*'ABP Future Assumptions'!$B$93/2</f>
        <v>6083195.7077996274</v>
      </c>
      <c r="R97" s="166">
        <f>Q88*'ABP Future Assumptions'!$B$93/2</f>
        <v>6083195.7077996274</v>
      </c>
      <c r="S97" s="166">
        <f>R88*'ABP Future Assumptions'!$B$93/2</f>
        <v>0</v>
      </c>
      <c r="T97" s="166">
        <f>S88*'ABP Future Assumptions'!$B$93/2</f>
        <v>0</v>
      </c>
      <c r="U97" s="166">
        <f>T88*'ABP Future Assumptions'!$B$93/2</f>
        <v>0</v>
      </c>
    </row>
    <row r="98" spans="1:21" x14ac:dyDescent="0.25">
      <c r="A98" s="163" t="s">
        <v>109</v>
      </c>
      <c r="B98" s="163"/>
      <c r="C98" s="18">
        <f t="shared" ref="C98:T98" si="23">SUM(C92:C97)</f>
        <v>0</v>
      </c>
      <c r="D98" s="18">
        <f t="shared" si="23"/>
        <v>0</v>
      </c>
      <c r="E98" s="18">
        <f t="shared" si="23"/>
        <v>0</v>
      </c>
      <c r="F98" s="18">
        <f t="shared" si="23"/>
        <v>0</v>
      </c>
      <c r="G98" s="18">
        <f t="shared" si="23"/>
        <v>0</v>
      </c>
      <c r="H98" s="18">
        <f t="shared" si="23"/>
        <v>0</v>
      </c>
      <c r="I98" s="18">
        <f t="shared" si="23"/>
        <v>0</v>
      </c>
      <c r="J98" s="18">
        <f t="shared" si="23"/>
        <v>0</v>
      </c>
      <c r="K98" s="18">
        <f t="shared" si="23"/>
        <v>0</v>
      </c>
      <c r="L98" s="18">
        <f t="shared" si="23"/>
        <v>70736887.718668401</v>
      </c>
      <c r="M98" s="18">
        <f t="shared" si="23"/>
        <v>21255098.377238635</v>
      </c>
      <c r="N98" s="18">
        <f t="shared" si="23"/>
        <v>21107944.99295117</v>
      </c>
      <c r="O98" s="18">
        <f t="shared" si="23"/>
        <v>21069411.892472219</v>
      </c>
      <c r="P98" s="18">
        <f t="shared" si="23"/>
        <v>21031071.457495663</v>
      </c>
      <c r="Q98" s="18">
        <f t="shared" si="23"/>
        <v>20992922.724693995</v>
      </c>
      <c r="R98" s="18">
        <f t="shared" si="23"/>
        <v>20954964.735556331</v>
      </c>
      <c r="S98" s="18">
        <f t="shared" si="23"/>
        <v>9359124.6915450599</v>
      </c>
      <c r="T98" s="18">
        <f t="shared" si="23"/>
        <v>7478292.2810069313</v>
      </c>
      <c r="U98" s="18">
        <f t="shared" ref="U98" si="24">SUM(U92:U97)</f>
        <v>7440900.8196018944</v>
      </c>
    </row>
    <row r="100" spans="1:21" ht="15.75" x14ac:dyDescent="0.25">
      <c r="A100" s="77">
        <v>2034</v>
      </c>
      <c r="B100" s="218">
        <v>2024</v>
      </c>
      <c r="C100" s="218">
        <v>2025</v>
      </c>
      <c r="D100" s="218">
        <v>2026</v>
      </c>
      <c r="E100" s="218">
        <v>2027</v>
      </c>
      <c r="F100" s="218">
        <v>2028</v>
      </c>
      <c r="G100" s="218">
        <v>2029</v>
      </c>
      <c r="H100" s="218">
        <v>2030</v>
      </c>
      <c r="I100" s="218">
        <v>2031</v>
      </c>
      <c r="J100" s="218">
        <v>2032</v>
      </c>
      <c r="K100" s="218">
        <v>2033</v>
      </c>
      <c r="L100" s="218">
        <v>2034</v>
      </c>
      <c r="M100" s="218">
        <v>2035</v>
      </c>
      <c r="N100" s="218">
        <v>2036</v>
      </c>
      <c r="O100" s="218">
        <v>2037</v>
      </c>
      <c r="P100" s="218">
        <v>2038</v>
      </c>
      <c r="Q100" s="218">
        <v>2039</v>
      </c>
      <c r="R100" s="218">
        <v>2040</v>
      </c>
      <c r="S100" s="218">
        <v>2041</v>
      </c>
      <c r="T100" s="218">
        <v>2042</v>
      </c>
      <c r="U100" s="218">
        <v>2043</v>
      </c>
    </row>
    <row r="101" spans="1:21" x14ac:dyDescent="0.25">
      <c r="A101" s="164" t="s">
        <v>138</v>
      </c>
      <c r="B101" s="164"/>
      <c r="C101" s="166"/>
      <c r="D101" s="166"/>
      <c r="E101" s="166"/>
      <c r="F101" s="166"/>
      <c r="G101" s="166"/>
      <c r="H101" s="166"/>
      <c r="I101" s="166"/>
      <c r="J101" s="166"/>
      <c r="K101" s="166"/>
      <c r="L101" s="166">
        <f>K92*'ABP Future Assumptions'!$B$93</f>
        <v>0</v>
      </c>
      <c r="M101" s="166">
        <f>L92*'ABP Future Assumptions'!$B$93</f>
        <v>53299582.171521768</v>
      </c>
      <c r="N101" s="166">
        <f>M92*'ABP Future Assumptions'!$B$93</f>
        <v>0</v>
      </c>
      <c r="O101" s="166">
        <f>N92*'ABP Future Assumptions'!$B$93</f>
        <v>0</v>
      </c>
      <c r="P101" s="166">
        <f>O92*'ABP Future Assumptions'!$B$93</f>
        <v>0</v>
      </c>
      <c r="Q101" s="166">
        <f>P92*'ABP Future Assumptions'!$B$93</f>
        <v>0</v>
      </c>
      <c r="R101" s="166">
        <f>Q92*'ABP Future Assumptions'!$B$93</f>
        <v>0</v>
      </c>
      <c r="S101" s="166">
        <f>R92*'ABP Future Assumptions'!$B$93</f>
        <v>0</v>
      </c>
      <c r="T101" s="166">
        <f>S92*'ABP Future Assumptions'!$B$93</f>
        <v>0</v>
      </c>
      <c r="U101" s="166">
        <f>T92*'ABP Future Assumptions'!$B$93</f>
        <v>0</v>
      </c>
    </row>
    <row r="102" spans="1:21" x14ac:dyDescent="0.25">
      <c r="A102" s="164" t="s">
        <v>144</v>
      </c>
      <c r="B102" s="164"/>
      <c r="C102" s="166"/>
      <c r="D102" s="166"/>
      <c r="E102" s="166"/>
      <c r="F102" s="166"/>
      <c r="G102" s="166"/>
      <c r="H102" s="166"/>
      <c r="I102" s="166"/>
      <c r="J102" s="166"/>
      <c r="K102" s="166"/>
      <c r="L102" s="166">
        <f>K93*'ABP Future Assumptions'!$B$93</f>
        <v>0</v>
      </c>
      <c r="M102" s="166">
        <f>L93*'ABP Future Assumptions'!$B$93</f>
        <v>5565050.567511755</v>
      </c>
      <c r="N102" s="166">
        <f>M93*'ABP Future Assumptions'!$B$93</f>
        <v>5255881.09153888</v>
      </c>
      <c r="O102" s="166">
        <f>N93*'ABP Future Assumptions'!$B$93</f>
        <v>5255881.09153888</v>
      </c>
      <c r="P102" s="166">
        <f>O93*'ABP Future Assumptions'!$B$93</f>
        <v>5255881.09153888</v>
      </c>
      <c r="Q102" s="166">
        <f>P93*'ABP Future Assumptions'!$B$93</f>
        <v>5255881.09153888</v>
      </c>
      <c r="R102" s="166">
        <f>Q93*'ABP Future Assumptions'!$B$93</f>
        <v>5255881.09153888</v>
      </c>
      <c r="S102" s="166">
        <f>R93*'ABP Future Assumptions'!$B$93</f>
        <v>5255881.09153888</v>
      </c>
      <c r="T102" s="166">
        <f>S93*'ABP Future Assumptions'!$B$93</f>
        <v>0</v>
      </c>
      <c r="U102" s="166">
        <f>T93*'ABP Future Assumptions'!$B$93</f>
        <v>0</v>
      </c>
    </row>
    <row r="103" spans="1:21" x14ac:dyDescent="0.25">
      <c r="A103" s="164" t="s">
        <v>153</v>
      </c>
      <c r="B103" s="164"/>
      <c r="C103" s="166"/>
      <c r="D103" s="166"/>
      <c r="E103" s="166"/>
      <c r="F103" s="166"/>
      <c r="G103" s="166"/>
      <c r="H103" s="166"/>
      <c r="I103" s="166"/>
      <c r="J103" s="166"/>
      <c r="K103" s="166"/>
      <c r="L103" s="166">
        <f>K94*'ABP Future Assumptions'!$B$93</f>
        <v>0</v>
      </c>
      <c r="M103" s="166">
        <f>L94*'ABP Future Assumptions'!$B$93</f>
        <v>0</v>
      </c>
      <c r="N103" s="166">
        <f>M94*'ABP Future Assumptions'!$B$93</f>
        <v>4590439.9550684011</v>
      </c>
      <c r="O103" s="166">
        <f>N94*'ABP Future Assumptions'!$B$93</f>
        <v>4567487.7552930592</v>
      </c>
      <c r="P103" s="166">
        <f>O94*'ABP Future Assumptions'!$B$93</f>
        <v>4544650.3165165931</v>
      </c>
      <c r="Q103" s="166">
        <f>P94*'ABP Future Assumptions'!$B$93</f>
        <v>4521927.0649340106</v>
      </c>
      <c r="R103" s="166">
        <f>Q94*'ABP Future Assumptions'!$B$93</f>
        <v>4499317.4296093406</v>
      </c>
      <c r="S103" s="166">
        <f>R94*'ABP Future Assumptions'!$B$93</f>
        <v>4476820.8424612945</v>
      </c>
      <c r="T103" s="166">
        <f>S94*'ABP Future Assumptions'!$B$93</f>
        <v>4454436.7382489871</v>
      </c>
      <c r="U103" s="166">
        <f>T94*'ABP Future Assumptions'!$B$93</f>
        <v>4432164.5545577426</v>
      </c>
    </row>
    <row r="104" spans="1:21" x14ac:dyDescent="0.25">
      <c r="A104" s="164" t="s">
        <v>158</v>
      </c>
      <c r="B104" s="164"/>
      <c r="C104" s="166"/>
      <c r="D104" s="166"/>
      <c r="E104" s="166"/>
      <c r="F104" s="166"/>
      <c r="G104" s="166"/>
      <c r="H104" s="166"/>
      <c r="I104" s="166"/>
      <c r="J104" s="166"/>
      <c r="K104" s="166"/>
      <c r="L104" s="166">
        <f>K95*'ABP Future Assumptions'!$B$93</f>
        <v>0</v>
      </c>
      <c r="M104" s="166">
        <f>L95*'ABP Future Assumptions'!$B$93</f>
        <v>2859389.9514306285</v>
      </c>
      <c r="N104" s="166">
        <f>M95*'ABP Future Assumptions'!$B$93</f>
        <v>2845093.001673474</v>
      </c>
      <c r="O104" s="166">
        <f>N95*'ABP Future Assumptions'!$B$93</f>
        <v>2830867.5366651071</v>
      </c>
      <c r="P104" s="166">
        <f>O95*'ABP Future Assumptions'!$B$93</f>
        <v>2816713.198981782</v>
      </c>
      <c r="Q104" s="166">
        <f>P95*'ABP Future Assumptions'!$B$93</f>
        <v>2802629.6329868725</v>
      </c>
      <c r="R104" s="166">
        <f>Q95*'ABP Future Assumptions'!$B$93</f>
        <v>2788616.484821938</v>
      </c>
      <c r="S104" s="166">
        <f>R95*'ABP Future Assumptions'!$B$93</f>
        <v>2774673.4023978291</v>
      </c>
      <c r="T104" s="166">
        <f>S95*'ABP Future Assumptions'!$B$93</f>
        <v>2760800.0353858387</v>
      </c>
      <c r="U104" s="166">
        <f>T95*'ABP Future Assumptions'!$B$93</f>
        <v>2746996.0352089107</v>
      </c>
    </row>
    <row r="105" spans="1:21" x14ac:dyDescent="0.25">
      <c r="A105" s="164" t="s">
        <v>162</v>
      </c>
      <c r="B105" s="164"/>
      <c r="C105" s="166"/>
      <c r="D105" s="166"/>
      <c r="E105" s="166"/>
      <c r="F105" s="166"/>
      <c r="G105" s="166"/>
      <c r="H105" s="166"/>
      <c r="I105" s="166"/>
      <c r="J105" s="166"/>
      <c r="K105" s="166"/>
      <c r="L105" s="166">
        <f>K96*'ABP Future Assumptions'!$B$93</f>
        <v>0</v>
      </c>
      <c r="M105" s="166">
        <f>L96*'ABP Future Assumptions'!$B$93</f>
        <v>0</v>
      </c>
      <c r="N105" s="166">
        <f>M96*'ABP Future Assumptions'!$B$93</f>
        <v>1873612.5143806925</v>
      </c>
      <c r="O105" s="166">
        <f>N96*'ABP Future Assumptions'!$B$93</f>
        <v>1769522.9302484314</v>
      </c>
      <c r="P105" s="166">
        <f>O96*'ABP Future Assumptions'!$B$93</f>
        <v>1769522.9302484314</v>
      </c>
      <c r="Q105" s="166">
        <f>P96*'ABP Future Assumptions'!$B$93</f>
        <v>1769522.9302484314</v>
      </c>
      <c r="R105" s="166">
        <f>Q96*'ABP Future Assumptions'!$B$93</f>
        <v>1769522.9302484314</v>
      </c>
      <c r="S105" s="166">
        <f>R96*'ABP Future Assumptions'!$B$93</f>
        <v>1769522.9302484314</v>
      </c>
      <c r="T105" s="166">
        <f>S96*'ABP Future Assumptions'!$B$93</f>
        <v>1769522.9302484314</v>
      </c>
      <c r="U105" s="166">
        <f>T96*'ABP Future Assumptions'!$B$93</f>
        <v>0</v>
      </c>
    </row>
    <row r="106" spans="1:21" x14ac:dyDescent="0.25">
      <c r="A106" s="164" t="s">
        <v>165</v>
      </c>
      <c r="B106" s="164"/>
      <c r="C106" s="166"/>
      <c r="D106" s="166"/>
      <c r="E106" s="166"/>
      <c r="F106" s="166"/>
      <c r="G106" s="166"/>
      <c r="H106" s="166"/>
      <c r="I106" s="166"/>
      <c r="J106" s="166"/>
      <c r="K106" s="166"/>
      <c r="L106" s="166">
        <f>K97*'ABP Future Assumptions'!$B$93</f>
        <v>0</v>
      </c>
      <c r="M106" s="166">
        <f>L97*'ABP Future Assumptions'!$B$93</f>
        <v>6183389.5194575023</v>
      </c>
      <c r="N106" s="166">
        <f>M97*'ABP Future Assumptions'!$B$93</f>
        <v>5839867.8794876421</v>
      </c>
      <c r="O106" s="166">
        <f>N97*'ABP Future Assumptions'!$B$93</f>
        <v>5839867.8794876421</v>
      </c>
      <c r="P106" s="166">
        <f>O97*'ABP Future Assumptions'!$B$93</f>
        <v>5839867.8794876421</v>
      </c>
      <c r="Q106" s="166">
        <f>P97*'ABP Future Assumptions'!$B$93</f>
        <v>5839867.8794876421</v>
      </c>
      <c r="R106" s="166">
        <f>Q97*'ABP Future Assumptions'!$B$93</f>
        <v>5839867.8794876421</v>
      </c>
      <c r="S106" s="166">
        <f>R97*'ABP Future Assumptions'!$B$93</f>
        <v>5839867.8794876421</v>
      </c>
      <c r="T106" s="166">
        <f>S97*'ABP Future Assumptions'!$B$93</f>
        <v>0</v>
      </c>
      <c r="U106" s="166">
        <f>T97*'ABP Future Assumptions'!$B$93</f>
        <v>0</v>
      </c>
    </row>
    <row r="107" spans="1:21" x14ac:dyDescent="0.25">
      <c r="A107" s="163" t="s">
        <v>109</v>
      </c>
      <c r="B107" s="163"/>
      <c r="C107" s="18">
        <f t="shared" ref="C107:T107" si="25">SUM(C101:C106)</f>
        <v>0</v>
      </c>
      <c r="D107" s="18">
        <f t="shared" si="25"/>
        <v>0</v>
      </c>
      <c r="E107" s="18">
        <f t="shared" si="25"/>
        <v>0</v>
      </c>
      <c r="F107" s="18">
        <f t="shared" si="25"/>
        <v>0</v>
      </c>
      <c r="G107" s="18">
        <f t="shared" si="25"/>
        <v>0</v>
      </c>
      <c r="H107" s="18">
        <f t="shared" si="25"/>
        <v>0</v>
      </c>
      <c r="I107" s="18">
        <f t="shared" si="25"/>
        <v>0</v>
      </c>
      <c r="J107" s="18">
        <f t="shared" si="25"/>
        <v>0</v>
      </c>
      <c r="K107" s="18">
        <f t="shared" si="25"/>
        <v>0</v>
      </c>
      <c r="L107" s="18">
        <f t="shared" si="25"/>
        <v>0</v>
      </c>
      <c r="M107" s="18">
        <f t="shared" si="25"/>
        <v>67907412.209921643</v>
      </c>
      <c r="N107" s="18">
        <f t="shared" si="25"/>
        <v>20404894.442149092</v>
      </c>
      <c r="O107" s="18">
        <f t="shared" si="25"/>
        <v>20263627.193233121</v>
      </c>
      <c r="P107" s="18">
        <f t="shared" si="25"/>
        <v>20226635.41677333</v>
      </c>
      <c r="Q107" s="18">
        <f t="shared" si="25"/>
        <v>20189828.599195838</v>
      </c>
      <c r="R107" s="18">
        <f t="shared" si="25"/>
        <v>20153205.815706231</v>
      </c>
      <c r="S107" s="18">
        <f t="shared" si="25"/>
        <v>20116766.146134079</v>
      </c>
      <c r="T107" s="18">
        <f t="shared" si="25"/>
        <v>8984759.7038832568</v>
      </c>
      <c r="U107" s="18">
        <f t="shared" ref="U107" si="26">SUM(U101:U106)</f>
        <v>7179160.5897666533</v>
      </c>
    </row>
    <row r="109" spans="1:21" ht="15.75" x14ac:dyDescent="0.25">
      <c r="A109" s="77">
        <v>2035</v>
      </c>
      <c r="B109" s="218">
        <v>2024</v>
      </c>
      <c r="C109" s="218">
        <v>2025</v>
      </c>
      <c r="D109" s="218">
        <v>2026</v>
      </c>
      <c r="E109" s="218">
        <v>2027</v>
      </c>
      <c r="F109" s="218">
        <v>2028</v>
      </c>
      <c r="G109" s="218">
        <v>2029</v>
      </c>
      <c r="H109" s="218">
        <v>2030</v>
      </c>
      <c r="I109" s="218">
        <v>2031</v>
      </c>
      <c r="J109" s="218">
        <v>2032</v>
      </c>
      <c r="K109" s="218">
        <v>2033</v>
      </c>
      <c r="L109" s="218">
        <v>2034</v>
      </c>
      <c r="M109" s="218">
        <v>2035</v>
      </c>
      <c r="N109" s="218">
        <v>2036</v>
      </c>
      <c r="O109" s="218">
        <v>2037</v>
      </c>
      <c r="P109" s="218">
        <v>2038</v>
      </c>
      <c r="Q109" s="218">
        <v>2039</v>
      </c>
      <c r="R109" s="218">
        <v>2040</v>
      </c>
      <c r="S109" s="218">
        <v>2041</v>
      </c>
      <c r="T109" s="218">
        <v>2042</v>
      </c>
      <c r="U109" s="218">
        <v>2043</v>
      </c>
    </row>
    <row r="110" spans="1:21" x14ac:dyDescent="0.25">
      <c r="A110" s="164" t="s">
        <v>138</v>
      </c>
      <c r="B110" s="164"/>
      <c r="C110" s="166"/>
      <c r="D110" s="166"/>
      <c r="E110" s="166"/>
      <c r="F110" s="166"/>
      <c r="G110" s="166"/>
      <c r="H110" s="166"/>
      <c r="I110" s="166"/>
      <c r="J110" s="166"/>
      <c r="K110" s="166"/>
      <c r="L110" s="166"/>
      <c r="M110" s="166">
        <f>L101*'ABP Future Assumptions'!$B$93</f>
        <v>0</v>
      </c>
      <c r="N110" s="166">
        <f>M101*'ABP Future Assumptions'!$B$93</f>
        <v>51167598.884660892</v>
      </c>
      <c r="O110" s="166">
        <f>N101*'ABP Future Assumptions'!$B$93</f>
        <v>0</v>
      </c>
      <c r="P110" s="166">
        <f>O101*'ABP Future Assumptions'!$B$93</f>
        <v>0</v>
      </c>
      <c r="Q110" s="166">
        <f>P101*'ABP Future Assumptions'!$B$93</f>
        <v>0</v>
      </c>
      <c r="R110" s="166">
        <f>Q101*'ABP Future Assumptions'!$B$93</f>
        <v>0</v>
      </c>
      <c r="S110" s="166">
        <f>R101*'ABP Future Assumptions'!$B$93</f>
        <v>0</v>
      </c>
      <c r="T110" s="166">
        <f>S101*'ABP Future Assumptions'!$B$93</f>
        <v>0</v>
      </c>
      <c r="U110" s="166">
        <f>T101*'ABP Future Assumptions'!$B$93</f>
        <v>0</v>
      </c>
    </row>
    <row r="111" spans="1:21" x14ac:dyDescent="0.25">
      <c r="A111" s="164" t="s">
        <v>144</v>
      </c>
      <c r="B111" s="164"/>
      <c r="C111" s="166"/>
      <c r="D111" s="166"/>
      <c r="E111" s="166"/>
      <c r="F111" s="166"/>
      <c r="G111" s="166"/>
      <c r="H111" s="166"/>
      <c r="I111" s="166"/>
      <c r="J111" s="166"/>
      <c r="K111" s="166"/>
      <c r="L111" s="166"/>
      <c r="M111" s="166">
        <f>L102*'ABP Future Assumptions'!$B$93</f>
        <v>0</v>
      </c>
      <c r="N111" s="166">
        <f>M102*'ABP Future Assumptions'!$B$93</f>
        <v>5342448.5448112851</v>
      </c>
      <c r="O111" s="166">
        <f>N102*'ABP Future Assumptions'!$B$93</f>
        <v>5045645.8478773246</v>
      </c>
      <c r="P111" s="166">
        <f>O102*'ABP Future Assumptions'!$B$93</f>
        <v>5045645.8478773246</v>
      </c>
      <c r="Q111" s="166">
        <f>P102*'ABP Future Assumptions'!$B$93</f>
        <v>5045645.8478773246</v>
      </c>
      <c r="R111" s="166">
        <f>Q102*'ABP Future Assumptions'!$B$93</f>
        <v>5045645.8478773246</v>
      </c>
      <c r="S111" s="166">
        <f>R102*'ABP Future Assumptions'!$B$93</f>
        <v>5045645.8478773246</v>
      </c>
      <c r="T111" s="166">
        <f>S102*'ABP Future Assumptions'!$B$93</f>
        <v>5045645.8478773246</v>
      </c>
      <c r="U111" s="166">
        <f>T102*'ABP Future Assumptions'!$B$93</f>
        <v>0</v>
      </c>
    </row>
    <row r="112" spans="1:21" x14ac:dyDescent="0.25">
      <c r="A112" s="164" t="s">
        <v>153</v>
      </c>
      <c r="B112" s="164"/>
      <c r="C112" s="166"/>
      <c r="D112" s="166"/>
      <c r="E112" s="166"/>
      <c r="F112" s="166"/>
      <c r="G112" s="166"/>
      <c r="H112" s="166"/>
      <c r="I112" s="166"/>
      <c r="J112" s="166"/>
      <c r="K112" s="166"/>
      <c r="L112" s="166"/>
      <c r="M112" s="166">
        <f>L103*'ABP Future Assumptions'!$B$93</f>
        <v>0</v>
      </c>
      <c r="N112" s="166">
        <f>M103*'ABP Future Assumptions'!$B$93</f>
        <v>0</v>
      </c>
      <c r="O112" s="166">
        <f>N103*'ABP Future Assumptions'!$B$93</f>
        <v>4406822.3568656649</v>
      </c>
      <c r="P112" s="166">
        <f>O103*'ABP Future Assumptions'!$B$93</f>
        <v>4384788.2450813362</v>
      </c>
      <c r="Q112" s="166">
        <f>P103*'ABP Future Assumptions'!$B$93</f>
        <v>4362864.3038559295</v>
      </c>
      <c r="R112" s="166">
        <f>Q103*'ABP Future Assumptions'!$B$93</f>
        <v>4341049.9823366497</v>
      </c>
      <c r="S112" s="166">
        <f>R103*'ABP Future Assumptions'!$B$93</f>
        <v>4319344.732424967</v>
      </c>
      <c r="T112" s="166">
        <f>S103*'ABP Future Assumptions'!$B$93</f>
        <v>4297748.008762843</v>
      </c>
      <c r="U112" s="166">
        <f>T103*'ABP Future Assumptions'!$B$93</f>
        <v>4276259.2687190278</v>
      </c>
    </row>
    <row r="113" spans="1:21" x14ac:dyDescent="0.25">
      <c r="A113" s="164" t="s">
        <v>158</v>
      </c>
      <c r="B113" s="164"/>
      <c r="C113" s="166"/>
      <c r="D113" s="166"/>
      <c r="E113" s="166"/>
      <c r="F113" s="166"/>
      <c r="G113" s="166"/>
      <c r="H113" s="166"/>
      <c r="I113" s="166"/>
      <c r="J113" s="166"/>
      <c r="K113" s="166"/>
      <c r="L113" s="166"/>
      <c r="M113" s="166">
        <f>L104*'ABP Future Assumptions'!$B$93</f>
        <v>0</v>
      </c>
      <c r="N113" s="166">
        <f>M104*'ABP Future Assumptions'!$B$93</f>
        <v>2745014.3533734032</v>
      </c>
      <c r="O113" s="166">
        <f>N104*'ABP Future Assumptions'!$B$93</f>
        <v>2731289.281606535</v>
      </c>
      <c r="P113" s="166">
        <f>O104*'ABP Future Assumptions'!$B$93</f>
        <v>2717632.8351985025</v>
      </c>
      <c r="Q113" s="166">
        <f>P104*'ABP Future Assumptions'!$B$93</f>
        <v>2704044.6710225106</v>
      </c>
      <c r="R113" s="166">
        <f>Q104*'ABP Future Assumptions'!$B$93</f>
        <v>2690524.4476673976</v>
      </c>
      <c r="S113" s="166">
        <f>R104*'ABP Future Assumptions'!$B$93</f>
        <v>2677071.8254290605</v>
      </c>
      <c r="T113" s="166">
        <f>S104*'ABP Future Assumptions'!$B$93</f>
        <v>2663686.4663019157</v>
      </c>
      <c r="U113" s="166">
        <f>T104*'ABP Future Assumptions'!$B$93</f>
        <v>2650368.0339704049</v>
      </c>
    </row>
    <row r="114" spans="1:21" x14ac:dyDescent="0.25">
      <c r="A114" s="164" t="s">
        <v>162</v>
      </c>
      <c r="B114" s="164"/>
      <c r="C114" s="166"/>
      <c r="D114" s="166"/>
      <c r="E114" s="166"/>
      <c r="F114" s="166"/>
      <c r="G114" s="166"/>
      <c r="H114" s="166"/>
      <c r="I114" s="166"/>
      <c r="J114" s="166"/>
      <c r="K114" s="166"/>
      <c r="L114" s="166"/>
      <c r="M114" s="166">
        <f>L105*'ABP Future Assumptions'!$B$93</f>
        <v>0</v>
      </c>
      <c r="N114" s="166">
        <f>M105*'ABP Future Assumptions'!$B$93</f>
        <v>0</v>
      </c>
      <c r="O114" s="166">
        <f>N105*'ABP Future Assumptions'!$B$93</f>
        <v>1798668.0138054648</v>
      </c>
      <c r="P114" s="166">
        <f>O105*'ABP Future Assumptions'!$B$93</f>
        <v>1698742.0130384942</v>
      </c>
      <c r="Q114" s="166">
        <f>P105*'ABP Future Assumptions'!$B$93</f>
        <v>1698742.0130384942</v>
      </c>
      <c r="R114" s="166">
        <f>Q105*'ABP Future Assumptions'!$B$93</f>
        <v>1698742.0130384942</v>
      </c>
      <c r="S114" s="166">
        <f>R105*'ABP Future Assumptions'!$B$93</f>
        <v>1698742.0130384942</v>
      </c>
      <c r="T114" s="166">
        <f>S105*'ABP Future Assumptions'!$B$93</f>
        <v>1698742.0130384942</v>
      </c>
      <c r="U114" s="166">
        <f>T105*'ABP Future Assumptions'!$B$93</f>
        <v>1698742.0130384942</v>
      </c>
    </row>
    <row r="115" spans="1:21" x14ac:dyDescent="0.25">
      <c r="A115" s="164" t="s">
        <v>165</v>
      </c>
      <c r="B115" s="164"/>
      <c r="C115" s="166"/>
      <c r="D115" s="166"/>
      <c r="E115" s="166"/>
      <c r="F115" s="166"/>
      <c r="G115" s="166"/>
      <c r="H115" s="166"/>
      <c r="I115" s="166"/>
      <c r="J115" s="166"/>
      <c r="K115" s="166"/>
      <c r="L115" s="166"/>
      <c r="M115" s="166">
        <f>L106*'ABP Future Assumptions'!$B$93</f>
        <v>0</v>
      </c>
      <c r="N115" s="166">
        <f>M106*'ABP Future Assumptions'!$B$93</f>
        <v>5936053.9386792015</v>
      </c>
      <c r="O115" s="166">
        <f>N106*'ABP Future Assumptions'!$B$93</f>
        <v>5606273.1643081363</v>
      </c>
      <c r="P115" s="166">
        <f>O106*'ABP Future Assumptions'!$B$93</f>
        <v>5606273.1643081363</v>
      </c>
      <c r="Q115" s="166">
        <f>P106*'ABP Future Assumptions'!$B$93</f>
        <v>5606273.1643081363</v>
      </c>
      <c r="R115" s="166">
        <f>Q106*'ABP Future Assumptions'!$B$93</f>
        <v>5606273.1643081363</v>
      </c>
      <c r="S115" s="166">
        <f>R106*'ABP Future Assumptions'!$B$93</f>
        <v>5606273.1643081363</v>
      </c>
      <c r="T115" s="166">
        <f>S106*'ABP Future Assumptions'!$B$93</f>
        <v>5606273.1643081363</v>
      </c>
      <c r="U115" s="166">
        <f>T106*'ABP Future Assumptions'!$B$93</f>
        <v>0</v>
      </c>
    </row>
    <row r="116" spans="1:21" x14ac:dyDescent="0.25">
      <c r="A116" s="163" t="s">
        <v>109</v>
      </c>
      <c r="B116" s="163"/>
      <c r="C116" s="18">
        <f t="shared" ref="C116:T116" si="27">SUM(C110:C115)</f>
        <v>0</v>
      </c>
      <c r="D116" s="18">
        <f t="shared" si="27"/>
        <v>0</v>
      </c>
      <c r="E116" s="18">
        <f t="shared" si="27"/>
        <v>0</v>
      </c>
      <c r="F116" s="18">
        <f t="shared" si="27"/>
        <v>0</v>
      </c>
      <c r="G116" s="18">
        <f t="shared" si="27"/>
        <v>0</v>
      </c>
      <c r="H116" s="18">
        <f t="shared" si="27"/>
        <v>0</v>
      </c>
      <c r="I116" s="18">
        <f t="shared" si="27"/>
        <v>0</v>
      </c>
      <c r="J116" s="18">
        <f t="shared" si="27"/>
        <v>0</v>
      </c>
      <c r="K116" s="18">
        <f t="shared" si="27"/>
        <v>0</v>
      </c>
      <c r="L116" s="18">
        <f t="shared" si="27"/>
        <v>0</v>
      </c>
      <c r="M116" s="18">
        <f t="shared" si="27"/>
        <v>0</v>
      </c>
      <c r="N116" s="18">
        <f t="shared" si="27"/>
        <v>65191115.721524782</v>
      </c>
      <c r="O116" s="18">
        <f t="shared" si="27"/>
        <v>19588698.664463125</v>
      </c>
      <c r="P116" s="18">
        <f t="shared" si="27"/>
        <v>19453082.105503794</v>
      </c>
      <c r="Q116" s="18">
        <f t="shared" si="27"/>
        <v>19417570.000102393</v>
      </c>
      <c r="R116" s="18">
        <f t="shared" si="27"/>
        <v>19382235.455228001</v>
      </c>
      <c r="S116" s="18">
        <f t="shared" si="27"/>
        <v>19347077.583077982</v>
      </c>
      <c r="T116" s="18">
        <f t="shared" si="27"/>
        <v>19312095.500288714</v>
      </c>
      <c r="U116" s="18">
        <f t="shared" ref="U116" si="28">SUM(U110:U115)</f>
        <v>8625369.3157279268</v>
      </c>
    </row>
    <row r="118" spans="1:21" ht="15.75" x14ac:dyDescent="0.25">
      <c r="A118" s="77">
        <v>2036</v>
      </c>
      <c r="B118" s="218">
        <v>2024</v>
      </c>
      <c r="C118" s="218">
        <v>2025</v>
      </c>
      <c r="D118" s="218">
        <v>2026</v>
      </c>
      <c r="E118" s="218">
        <v>2027</v>
      </c>
      <c r="F118" s="218">
        <v>2028</v>
      </c>
      <c r="G118" s="218">
        <v>2029</v>
      </c>
      <c r="H118" s="218">
        <v>2030</v>
      </c>
      <c r="I118" s="218">
        <v>2031</v>
      </c>
      <c r="J118" s="218">
        <v>2032</v>
      </c>
      <c r="K118" s="218">
        <v>2033</v>
      </c>
      <c r="L118" s="218">
        <v>2034</v>
      </c>
      <c r="M118" s="218">
        <v>2035</v>
      </c>
      <c r="N118" s="218">
        <v>2036</v>
      </c>
      <c r="O118" s="218">
        <v>2037</v>
      </c>
      <c r="P118" s="218">
        <v>2038</v>
      </c>
      <c r="Q118" s="218">
        <v>2039</v>
      </c>
      <c r="R118" s="218">
        <v>2040</v>
      </c>
      <c r="S118" s="218">
        <v>2041</v>
      </c>
      <c r="T118" s="218">
        <v>2042</v>
      </c>
      <c r="U118" s="218">
        <v>2043</v>
      </c>
    </row>
    <row r="119" spans="1:21" x14ac:dyDescent="0.25">
      <c r="A119" s="164" t="s">
        <v>138</v>
      </c>
      <c r="B119" s="164"/>
      <c r="C119" s="166"/>
      <c r="D119" s="166"/>
      <c r="E119" s="166"/>
      <c r="F119" s="166"/>
      <c r="G119" s="166"/>
      <c r="H119" s="166"/>
      <c r="I119" s="166"/>
      <c r="J119" s="166"/>
      <c r="K119" s="166"/>
      <c r="L119" s="166"/>
      <c r="M119" s="166"/>
      <c r="N119" s="166">
        <f>M110*'ABP Future Assumptions'!$B$93</f>
        <v>0</v>
      </c>
      <c r="O119" s="166">
        <f>N110*'ABP Future Assumptions'!$B$93</f>
        <v>49120894.929274455</v>
      </c>
      <c r="P119" s="166">
        <f>O110*'ABP Future Assumptions'!$B$93</f>
        <v>0</v>
      </c>
      <c r="Q119" s="166">
        <f>P110*'ABP Future Assumptions'!$B$93</f>
        <v>0</v>
      </c>
      <c r="R119" s="166">
        <f>Q110*'ABP Future Assumptions'!$B$93</f>
        <v>0</v>
      </c>
      <c r="S119" s="166">
        <f>R110*'ABP Future Assumptions'!$B$93</f>
        <v>0</v>
      </c>
      <c r="T119" s="166">
        <f>S110*'ABP Future Assumptions'!$B$93</f>
        <v>0</v>
      </c>
      <c r="U119" s="166">
        <f>T110*'ABP Future Assumptions'!$B$93</f>
        <v>0</v>
      </c>
    </row>
    <row r="120" spans="1:21" x14ac:dyDescent="0.25">
      <c r="A120" s="164" t="s">
        <v>144</v>
      </c>
      <c r="B120" s="164"/>
      <c r="C120" s="166"/>
      <c r="D120" s="166"/>
      <c r="E120" s="166"/>
      <c r="F120" s="166"/>
      <c r="G120" s="166"/>
      <c r="H120" s="166"/>
      <c r="I120" s="166"/>
      <c r="J120" s="166"/>
      <c r="K120" s="166"/>
      <c r="L120" s="166"/>
      <c r="M120" s="166"/>
      <c r="N120" s="166">
        <f>M111*'ABP Future Assumptions'!$B$93</f>
        <v>0</v>
      </c>
      <c r="O120" s="166">
        <f>N111*'ABP Future Assumptions'!$B$93</f>
        <v>5128750.6030188333</v>
      </c>
      <c r="P120" s="166">
        <f>O111*'ABP Future Assumptions'!$B$93</f>
        <v>4843820.0139622316</v>
      </c>
      <c r="Q120" s="166">
        <f>P111*'ABP Future Assumptions'!$B$93</f>
        <v>4843820.0139622316</v>
      </c>
      <c r="R120" s="166">
        <f>Q111*'ABP Future Assumptions'!$B$93</f>
        <v>4843820.0139622316</v>
      </c>
      <c r="S120" s="166">
        <f>R111*'ABP Future Assumptions'!$B$93</f>
        <v>4843820.0139622316</v>
      </c>
      <c r="T120" s="166">
        <f>S111*'ABP Future Assumptions'!$B$93</f>
        <v>4843820.0139622316</v>
      </c>
      <c r="U120" s="166">
        <f>T111*'ABP Future Assumptions'!$B$93</f>
        <v>4843820.0139622316</v>
      </c>
    </row>
    <row r="121" spans="1:21" x14ac:dyDescent="0.25">
      <c r="A121" s="164" t="s">
        <v>153</v>
      </c>
      <c r="B121" s="164"/>
      <c r="C121" s="166"/>
      <c r="D121" s="166"/>
      <c r="E121" s="166"/>
      <c r="F121" s="166"/>
      <c r="G121" s="166"/>
      <c r="H121" s="166"/>
      <c r="I121" s="166"/>
      <c r="J121" s="166"/>
      <c r="K121" s="166"/>
      <c r="L121" s="166"/>
      <c r="M121" s="166"/>
      <c r="N121" s="166">
        <f>M112*'ABP Future Assumptions'!$B$93</f>
        <v>0</v>
      </c>
      <c r="O121" s="166">
        <f>N112*'ABP Future Assumptions'!$B$93</f>
        <v>0</v>
      </c>
      <c r="P121" s="166">
        <f>O112*'ABP Future Assumptions'!$B$93</f>
        <v>4230549.4625910381</v>
      </c>
      <c r="Q121" s="166">
        <f>P112*'ABP Future Assumptions'!$B$93</f>
        <v>4209396.7152780825</v>
      </c>
      <c r="R121" s="166">
        <f>Q112*'ABP Future Assumptions'!$B$93</f>
        <v>4188349.7317016921</v>
      </c>
      <c r="S121" s="166">
        <f>R112*'ABP Future Assumptions'!$B$93</f>
        <v>4167407.9830431836</v>
      </c>
      <c r="T121" s="166">
        <f>S112*'ABP Future Assumptions'!$B$93</f>
        <v>4146570.9431279683</v>
      </c>
      <c r="U121" s="166">
        <f>T112*'ABP Future Assumptions'!$B$93</f>
        <v>4125838.0884123291</v>
      </c>
    </row>
    <row r="122" spans="1:21" x14ac:dyDescent="0.25">
      <c r="A122" s="164" t="s">
        <v>158</v>
      </c>
      <c r="B122" s="164"/>
      <c r="C122" s="166"/>
      <c r="D122" s="166"/>
      <c r="E122" s="166"/>
      <c r="F122" s="166"/>
      <c r="G122" s="166"/>
      <c r="H122" s="166"/>
      <c r="I122" s="166"/>
      <c r="J122" s="166"/>
      <c r="K122" s="166"/>
      <c r="L122" s="166"/>
      <c r="M122" s="166"/>
      <c r="N122" s="166">
        <f>M113*'ABP Future Assumptions'!$B$93</f>
        <v>0</v>
      </c>
      <c r="O122" s="166">
        <f>N113*'ABP Future Assumptions'!$B$93</f>
        <v>2635213.7792384671</v>
      </c>
      <c r="P122" s="166">
        <f>O113*'ABP Future Assumptions'!$B$93</f>
        <v>2622037.7103422736</v>
      </c>
      <c r="Q122" s="166">
        <f>P113*'ABP Future Assumptions'!$B$93</f>
        <v>2608927.5217905622</v>
      </c>
      <c r="R122" s="166">
        <f>Q113*'ABP Future Assumptions'!$B$93</f>
        <v>2595882.8841816103</v>
      </c>
      <c r="S122" s="166">
        <f>R113*'ABP Future Assumptions'!$B$93</f>
        <v>2582903.4697607015</v>
      </c>
      <c r="T122" s="166">
        <f>S113*'ABP Future Assumptions'!$B$93</f>
        <v>2569988.9524118979</v>
      </c>
      <c r="U122" s="166">
        <f>T113*'ABP Future Assumptions'!$B$93</f>
        <v>2557139.0076498389</v>
      </c>
    </row>
    <row r="123" spans="1:21" x14ac:dyDescent="0.25">
      <c r="A123" s="164" t="s">
        <v>162</v>
      </c>
      <c r="B123" s="164"/>
      <c r="C123" s="166"/>
      <c r="D123" s="166"/>
      <c r="E123" s="166"/>
      <c r="F123" s="166"/>
      <c r="G123" s="166"/>
      <c r="H123" s="166"/>
      <c r="I123" s="166"/>
      <c r="J123" s="166"/>
      <c r="K123" s="166"/>
      <c r="L123" s="166"/>
      <c r="M123" s="166"/>
      <c r="N123" s="166">
        <f>M114*'ABP Future Assumptions'!$B$93</f>
        <v>0</v>
      </c>
      <c r="O123" s="166">
        <f>N114*'ABP Future Assumptions'!$B$93</f>
        <v>0</v>
      </c>
      <c r="P123" s="166">
        <f>O114*'ABP Future Assumptions'!$B$93</f>
        <v>1726721.2932532462</v>
      </c>
      <c r="Q123" s="166">
        <f>P114*'ABP Future Assumptions'!$B$93</f>
        <v>1630792.3325169543</v>
      </c>
      <c r="R123" s="166">
        <f>Q114*'ABP Future Assumptions'!$B$93</f>
        <v>1630792.3325169543</v>
      </c>
      <c r="S123" s="166">
        <f>R114*'ABP Future Assumptions'!$B$93</f>
        <v>1630792.3325169543</v>
      </c>
      <c r="T123" s="166">
        <f>S114*'ABP Future Assumptions'!$B$93</f>
        <v>1630792.3325169543</v>
      </c>
      <c r="U123" s="166">
        <f>T114*'ABP Future Assumptions'!$B$93</f>
        <v>1630792.3325169543</v>
      </c>
    </row>
    <row r="124" spans="1:21" x14ac:dyDescent="0.25">
      <c r="A124" s="164" t="s">
        <v>165</v>
      </c>
      <c r="B124" s="164"/>
      <c r="C124" s="166"/>
      <c r="D124" s="166"/>
      <c r="E124" s="166"/>
      <c r="F124" s="166"/>
      <c r="G124" s="166"/>
      <c r="H124" s="166"/>
      <c r="I124" s="166"/>
      <c r="J124" s="166"/>
      <c r="K124" s="166"/>
      <c r="L124" s="166"/>
      <c r="M124" s="166"/>
      <c r="N124" s="166">
        <f>M115*'ABP Future Assumptions'!$B$93</f>
        <v>0</v>
      </c>
      <c r="O124" s="166">
        <f>N115*'ABP Future Assumptions'!$B$93</f>
        <v>5698611.7811320331</v>
      </c>
      <c r="P124" s="166">
        <f>O115*'ABP Future Assumptions'!$B$93</f>
        <v>5382022.2377358107</v>
      </c>
      <c r="Q124" s="166">
        <f>P115*'ABP Future Assumptions'!$B$93</f>
        <v>5382022.2377358107</v>
      </c>
      <c r="R124" s="166">
        <f>Q115*'ABP Future Assumptions'!$B$93</f>
        <v>5382022.2377358107</v>
      </c>
      <c r="S124" s="166">
        <f>R115*'ABP Future Assumptions'!$B$93</f>
        <v>5382022.2377358107</v>
      </c>
      <c r="T124" s="166">
        <f>S115*'ABP Future Assumptions'!$B$93</f>
        <v>5382022.2377358107</v>
      </c>
      <c r="U124" s="166">
        <f>T115*'ABP Future Assumptions'!$B$93</f>
        <v>5382022.2377358107</v>
      </c>
    </row>
    <row r="125" spans="1:21" x14ac:dyDescent="0.25">
      <c r="A125" s="163" t="s">
        <v>109</v>
      </c>
      <c r="B125" s="163"/>
      <c r="C125" s="18">
        <f t="shared" ref="C125:T125" si="29">SUM(C119:C124)</f>
        <v>0</v>
      </c>
      <c r="D125" s="18">
        <f t="shared" si="29"/>
        <v>0</v>
      </c>
      <c r="E125" s="18">
        <f t="shared" si="29"/>
        <v>0</v>
      </c>
      <c r="F125" s="18">
        <f t="shared" si="29"/>
        <v>0</v>
      </c>
      <c r="G125" s="18">
        <f t="shared" si="29"/>
        <v>0</v>
      </c>
      <c r="H125" s="18">
        <f t="shared" si="29"/>
        <v>0</v>
      </c>
      <c r="I125" s="18">
        <f t="shared" si="29"/>
        <v>0</v>
      </c>
      <c r="J125" s="18">
        <f t="shared" si="29"/>
        <v>0</v>
      </c>
      <c r="K125" s="18">
        <f t="shared" si="29"/>
        <v>0</v>
      </c>
      <c r="L125" s="18">
        <f t="shared" si="29"/>
        <v>0</v>
      </c>
      <c r="M125" s="18">
        <f t="shared" si="29"/>
        <v>0</v>
      </c>
      <c r="N125" s="18">
        <f t="shared" si="29"/>
        <v>0</v>
      </c>
      <c r="O125" s="18">
        <f t="shared" si="29"/>
        <v>62583471.092663795</v>
      </c>
      <c r="P125" s="18">
        <f t="shared" si="29"/>
        <v>18805150.7178846</v>
      </c>
      <c r="Q125" s="18">
        <f t="shared" si="29"/>
        <v>18674958.821283642</v>
      </c>
      <c r="R125" s="18">
        <f t="shared" si="29"/>
        <v>18640867.200098298</v>
      </c>
      <c r="S125" s="18">
        <f t="shared" si="29"/>
        <v>18606946.03701888</v>
      </c>
      <c r="T125" s="18">
        <f t="shared" si="29"/>
        <v>18573194.479754861</v>
      </c>
      <c r="U125" s="18">
        <f t="shared" ref="U125" si="30">SUM(U119:U124)</f>
        <v>18539611.680277165</v>
      </c>
    </row>
    <row r="127" spans="1:21" ht="15.75" x14ac:dyDescent="0.25">
      <c r="A127" s="77">
        <v>2037</v>
      </c>
      <c r="B127" s="218">
        <v>2024</v>
      </c>
      <c r="C127" s="218">
        <v>2025</v>
      </c>
      <c r="D127" s="218">
        <v>2026</v>
      </c>
      <c r="E127" s="218">
        <v>2027</v>
      </c>
      <c r="F127" s="218">
        <v>2028</v>
      </c>
      <c r="G127" s="218">
        <v>2029</v>
      </c>
      <c r="H127" s="218">
        <v>2030</v>
      </c>
      <c r="I127" s="218">
        <v>2031</v>
      </c>
      <c r="J127" s="218">
        <v>2032</v>
      </c>
      <c r="K127" s="218">
        <v>2033</v>
      </c>
      <c r="L127" s="218">
        <v>2034</v>
      </c>
      <c r="M127" s="218">
        <v>2035</v>
      </c>
      <c r="N127" s="218">
        <v>2036</v>
      </c>
      <c r="O127" s="218">
        <v>2037</v>
      </c>
      <c r="P127" s="218">
        <v>2038</v>
      </c>
      <c r="Q127" s="218">
        <v>2039</v>
      </c>
      <c r="R127" s="218">
        <v>2040</v>
      </c>
      <c r="S127" s="218">
        <v>2041</v>
      </c>
      <c r="T127" s="218">
        <v>2042</v>
      </c>
      <c r="U127" s="218">
        <v>2043</v>
      </c>
    </row>
    <row r="128" spans="1:21" x14ac:dyDescent="0.25">
      <c r="A128" s="164" t="s">
        <v>138</v>
      </c>
      <c r="B128" s="164"/>
      <c r="C128" s="166"/>
      <c r="D128" s="166"/>
      <c r="E128" s="166"/>
      <c r="F128" s="166"/>
      <c r="G128" s="166"/>
      <c r="H128" s="166"/>
      <c r="I128" s="166"/>
      <c r="J128" s="166"/>
      <c r="K128" s="166"/>
      <c r="L128" s="166"/>
      <c r="M128" s="166"/>
      <c r="N128" s="166"/>
      <c r="O128" s="166">
        <f>N119*'ABP Future Assumptions'!$B$93</f>
        <v>0</v>
      </c>
      <c r="P128" s="166">
        <f>O119*'ABP Future Assumptions'!$B$93</f>
        <v>47156059.132103473</v>
      </c>
      <c r="Q128" s="166">
        <f>P119*'ABP Future Assumptions'!$B$93</f>
        <v>0</v>
      </c>
      <c r="R128" s="166">
        <f>Q119*'ABP Future Assumptions'!$B$93</f>
        <v>0</v>
      </c>
      <c r="S128" s="166">
        <f>R119*'ABP Future Assumptions'!$B$93</f>
        <v>0</v>
      </c>
      <c r="T128" s="166">
        <f>S119*'ABP Future Assumptions'!$B$93</f>
        <v>0</v>
      </c>
      <c r="U128" s="166">
        <f>T119*'ABP Future Assumptions'!$B$93</f>
        <v>0</v>
      </c>
    </row>
    <row r="129" spans="1:21" x14ac:dyDescent="0.25">
      <c r="A129" s="164" t="s">
        <v>144</v>
      </c>
      <c r="B129" s="164"/>
      <c r="C129" s="166"/>
      <c r="D129" s="166"/>
      <c r="E129" s="166"/>
      <c r="F129" s="166"/>
      <c r="G129" s="166"/>
      <c r="H129" s="166"/>
      <c r="I129" s="166"/>
      <c r="J129" s="166"/>
      <c r="K129" s="166"/>
      <c r="L129" s="166"/>
      <c r="M129" s="166"/>
      <c r="N129" s="166"/>
      <c r="O129" s="166">
        <f>N120*'ABP Future Assumptions'!$B$93</f>
        <v>0</v>
      </c>
      <c r="P129" s="166">
        <f>O120*'ABP Future Assumptions'!$B$93</f>
        <v>4923600.5788980797</v>
      </c>
      <c r="Q129" s="166">
        <f>P120*'ABP Future Assumptions'!$B$93</f>
        <v>4650067.2134037418</v>
      </c>
      <c r="R129" s="166">
        <f>Q120*'ABP Future Assumptions'!$B$93</f>
        <v>4650067.2134037418</v>
      </c>
      <c r="S129" s="166">
        <f>R120*'ABP Future Assumptions'!$B$93</f>
        <v>4650067.2134037418</v>
      </c>
      <c r="T129" s="166">
        <f>S120*'ABP Future Assumptions'!$B$93</f>
        <v>4650067.2134037418</v>
      </c>
      <c r="U129" s="166">
        <f>T120*'ABP Future Assumptions'!$B$93</f>
        <v>4650067.2134037418</v>
      </c>
    </row>
    <row r="130" spans="1:21" x14ac:dyDescent="0.25">
      <c r="A130" s="164" t="s">
        <v>153</v>
      </c>
      <c r="B130" s="164"/>
      <c r="C130" s="166"/>
      <c r="D130" s="166"/>
      <c r="E130" s="166"/>
      <c r="F130" s="166"/>
      <c r="G130" s="166"/>
      <c r="H130" s="166"/>
      <c r="I130" s="166"/>
      <c r="J130" s="166"/>
      <c r="K130" s="166"/>
      <c r="L130" s="166"/>
      <c r="M130" s="166"/>
      <c r="N130" s="166"/>
      <c r="O130" s="166">
        <f>N121*'ABP Future Assumptions'!$B$93</f>
        <v>0</v>
      </c>
      <c r="P130" s="166">
        <f>O121*'ABP Future Assumptions'!$B$93</f>
        <v>0</v>
      </c>
      <c r="Q130" s="166">
        <f>P121*'ABP Future Assumptions'!$B$93</f>
        <v>4061327.4840873964</v>
      </c>
      <c r="R130" s="166">
        <f>Q121*'ABP Future Assumptions'!$B$93</f>
        <v>4041020.8466669591</v>
      </c>
      <c r="S130" s="166">
        <f>R121*'ABP Future Assumptions'!$B$93</f>
        <v>4020815.7424336243</v>
      </c>
      <c r="T130" s="166">
        <f>S121*'ABP Future Assumptions'!$B$93</f>
        <v>4000711.6637214562</v>
      </c>
      <c r="U130" s="166">
        <f>T121*'ABP Future Assumptions'!$B$93</f>
        <v>3980708.1054028496</v>
      </c>
    </row>
    <row r="131" spans="1:21" x14ac:dyDescent="0.25">
      <c r="A131" s="164" t="s">
        <v>158</v>
      </c>
      <c r="B131" s="164"/>
      <c r="C131" s="166"/>
      <c r="D131" s="166"/>
      <c r="E131" s="166"/>
      <c r="F131" s="166"/>
      <c r="G131" s="166"/>
      <c r="H131" s="166"/>
      <c r="I131" s="166"/>
      <c r="J131" s="166"/>
      <c r="K131" s="166"/>
      <c r="L131" s="166"/>
      <c r="M131" s="166"/>
      <c r="N131" s="166"/>
      <c r="O131" s="166">
        <f>N122*'ABP Future Assumptions'!$B$93</f>
        <v>0</v>
      </c>
      <c r="P131" s="166">
        <f>O122*'ABP Future Assumptions'!$B$93</f>
        <v>2529805.2280689282</v>
      </c>
      <c r="Q131" s="166">
        <f>P122*'ABP Future Assumptions'!$B$93</f>
        <v>2517156.2019285825</v>
      </c>
      <c r="R131" s="166">
        <f>Q122*'ABP Future Assumptions'!$B$93</f>
        <v>2504570.4209189396</v>
      </c>
      <c r="S131" s="166">
        <f>R122*'ABP Future Assumptions'!$B$93</f>
        <v>2492047.5688143456</v>
      </c>
      <c r="T131" s="166">
        <f>S122*'ABP Future Assumptions'!$B$93</f>
        <v>2479587.3309702734</v>
      </c>
      <c r="U131" s="166">
        <f>T122*'ABP Future Assumptions'!$B$93</f>
        <v>2467189.394315422</v>
      </c>
    </row>
    <row r="132" spans="1:21" x14ac:dyDescent="0.25">
      <c r="A132" s="164" t="s">
        <v>162</v>
      </c>
      <c r="B132" s="164"/>
      <c r="C132" s="166"/>
      <c r="D132" s="166"/>
      <c r="E132" s="166"/>
      <c r="F132" s="166"/>
      <c r="G132" s="166"/>
      <c r="H132" s="166"/>
      <c r="I132" s="166"/>
      <c r="J132" s="166"/>
      <c r="K132" s="166"/>
      <c r="L132" s="166"/>
      <c r="M132" s="166"/>
      <c r="N132" s="166"/>
      <c r="O132" s="166">
        <f>N123*'ABP Future Assumptions'!$B$93</f>
        <v>0</v>
      </c>
      <c r="P132" s="166">
        <f>O123*'ABP Future Assumptions'!$B$93</f>
        <v>0</v>
      </c>
      <c r="Q132" s="166">
        <f>P123*'ABP Future Assumptions'!$B$93</f>
        <v>1657652.4415231163</v>
      </c>
      <c r="R132" s="166">
        <f>Q123*'ABP Future Assumptions'!$B$93</f>
        <v>1565560.6392162761</v>
      </c>
      <c r="S132" s="166">
        <f>R123*'ABP Future Assumptions'!$B$93</f>
        <v>1565560.6392162761</v>
      </c>
      <c r="T132" s="166">
        <f>S123*'ABP Future Assumptions'!$B$93</f>
        <v>1565560.6392162761</v>
      </c>
      <c r="U132" s="166">
        <f>T123*'ABP Future Assumptions'!$B$93</f>
        <v>1565560.6392162761</v>
      </c>
    </row>
    <row r="133" spans="1:21" x14ac:dyDescent="0.25">
      <c r="A133" s="164" t="s">
        <v>165</v>
      </c>
      <c r="B133" s="164"/>
      <c r="C133" s="166"/>
      <c r="D133" s="166"/>
      <c r="E133" s="166"/>
      <c r="F133" s="166"/>
      <c r="G133" s="166"/>
      <c r="H133" s="166"/>
      <c r="I133" s="166"/>
      <c r="J133" s="166"/>
      <c r="K133" s="166"/>
      <c r="L133" s="166"/>
      <c r="M133" s="166"/>
      <c r="N133" s="166"/>
      <c r="O133" s="166">
        <f>N124*'ABP Future Assumptions'!$B$93</f>
        <v>0</v>
      </c>
      <c r="P133" s="166">
        <f>O124*'ABP Future Assumptions'!$B$93</f>
        <v>5470667.3098867517</v>
      </c>
      <c r="Q133" s="166">
        <f>P124*'ABP Future Assumptions'!$B$93</f>
        <v>5166741.3482263777</v>
      </c>
      <c r="R133" s="166">
        <f>Q124*'ABP Future Assumptions'!$B$93</f>
        <v>5166741.3482263777</v>
      </c>
      <c r="S133" s="166">
        <f>R124*'ABP Future Assumptions'!$B$93</f>
        <v>5166741.3482263777</v>
      </c>
      <c r="T133" s="166">
        <f>S124*'ABP Future Assumptions'!$B$93</f>
        <v>5166741.3482263777</v>
      </c>
      <c r="U133" s="166">
        <f>T124*'ABP Future Assumptions'!$B$93</f>
        <v>5166741.3482263777</v>
      </c>
    </row>
    <row r="134" spans="1:21" x14ac:dyDescent="0.25">
      <c r="A134" s="163" t="s">
        <v>109</v>
      </c>
      <c r="B134" s="163"/>
      <c r="C134" s="18">
        <f t="shared" ref="C134:T134" si="31">SUM(C128:C133)</f>
        <v>0</v>
      </c>
      <c r="D134" s="18">
        <f t="shared" si="31"/>
        <v>0</v>
      </c>
      <c r="E134" s="18">
        <f t="shared" si="31"/>
        <v>0</v>
      </c>
      <c r="F134" s="18">
        <f t="shared" si="31"/>
        <v>0</v>
      </c>
      <c r="G134" s="18">
        <f t="shared" si="31"/>
        <v>0</v>
      </c>
      <c r="H134" s="18">
        <f t="shared" si="31"/>
        <v>0</v>
      </c>
      <c r="I134" s="18">
        <f t="shared" si="31"/>
        <v>0</v>
      </c>
      <c r="J134" s="18">
        <f t="shared" si="31"/>
        <v>0</v>
      </c>
      <c r="K134" s="18">
        <f t="shared" si="31"/>
        <v>0</v>
      </c>
      <c r="L134" s="18">
        <f t="shared" si="31"/>
        <v>0</v>
      </c>
      <c r="M134" s="18">
        <f t="shared" si="31"/>
        <v>0</v>
      </c>
      <c r="N134" s="18">
        <f t="shared" si="31"/>
        <v>0</v>
      </c>
      <c r="O134" s="18">
        <f t="shared" si="31"/>
        <v>0</v>
      </c>
      <c r="P134" s="18">
        <f t="shared" si="31"/>
        <v>60080132.248957232</v>
      </c>
      <c r="Q134" s="18">
        <f t="shared" si="31"/>
        <v>18052944.689169213</v>
      </c>
      <c r="R134" s="18">
        <f t="shared" si="31"/>
        <v>17927960.468432292</v>
      </c>
      <c r="S134" s="18">
        <f t="shared" si="31"/>
        <v>17895232.512094364</v>
      </c>
      <c r="T134" s="18">
        <f t="shared" si="31"/>
        <v>17862668.195538126</v>
      </c>
      <c r="U134" s="18">
        <f t="shared" ref="U134" si="32">SUM(U128:U133)</f>
        <v>17830266.700564668</v>
      </c>
    </row>
    <row r="136" spans="1:21" ht="15.75" x14ac:dyDescent="0.25">
      <c r="A136" s="77">
        <v>2038</v>
      </c>
      <c r="B136" s="218">
        <v>2024</v>
      </c>
      <c r="C136" s="218">
        <v>2025</v>
      </c>
      <c r="D136" s="218">
        <v>2026</v>
      </c>
      <c r="E136" s="218">
        <v>2027</v>
      </c>
      <c r="F136" s="218">
        <v>2028</v>
      </c>
      <c r="G136" s="218">
        <v>2029</v>
      </c>
      <c r="H136" s="218">
        <v>2030</v>
      </c>
      <c r="I136" s="218">
        <v>2031</v>
      </c>
      <c r="J136" s="218">
        <v>2032</v>
      </c>
      <c r="K136" s="218">
        <v>2033</v>
      </c>
      <c r="L136" s="218">
        <v>2034</v>
      </c>
      <c r="M136" s="218">
        <v>2035</v>
      </c>
      <c r="N136" s="218">
        <v>2036</v>
      </c>
      <c r="O136" s="218">
        <v>2037</v>
      </c>
      <c r="P136" s="218">
        <v>2038</v>
      </c>
      <c r="Q136" s="218">
        <v>2039</v>
      </c>
      <c r="R136" s="218">
        <v>2040</v>
      </c>
      <c r="S136" s="218">
        <v>2041</v>
      </c>
      <c r="T136" s="218">
        <v>2042</v>
      </c>
      <c r="U136" s="218">
        <v>2043</v>
      </c>
    </row>
    <row r="137" spans="1:21" x14ac:dyDescent="0.25">
      <c r="A137" s="164" t="s">
        <v>138</v>
      </c>
      <c r="B137" s="164"/>
      <c r="C137" s="166"/>
      <c r="D137" s="166"/>
      <c r="E137" s="166"/>
      <c r="F137" s="166"/>
      <c r="G137" s="166"/>
      <c r="H137" s="166"/>
      <c r="I137" s="166"/>
      <c r="J137" s="166"/>
      <c r="K137" s="166"/>
      <c r="L137" s="166"/>
      <c r="M137" s="166"/>
      <c r="N137" s="166"/>
      <c r="O137" s="166"/>
      <c r="P137" s="166">
        <f>O128*'ABP Future Assumptions'!$B$93</f>
        <v>0</v>
      </c>
      <c r="Q137" s="166">
        <f>P128*'ABP Future Assumptions'!$B$93</f>
        <v>45269816.766819336</v>
      </c>
      <c r="R137" s="166">
        <f>Q128*'ABP Future Assumptions'!$B$93</f>
        <v>0</v>
      </c>
      <c r="S137" s="166">
        <f>R128*'ABP Future Assumptions'!$B$93</f>
        <v>0</v>
      </c>
      <c r="T137" s="166">
        <f>S128*'ABP Future Assumptions'!$B$93</f>
        <v>0</v>
      </c>
      <c r="U137" s="166">
        <f>T128*'ABP Future Assumptions'!$B$93</f>
        <v>0</v>
      </c>
    </row>
    <row r="138" spans="1:21" x14ac:dyDescent="0.25">
      <c r="A138" s="164" t="s">
        <v>144</v>
      </c>
      <c r="B138" s="164"/>
      <c r="C138" s="166"/>
      <c r="D138" s="166"/>
      <c r="E138" s="166"/>
      <c r="F138" s="166"/>
      <c r="G138" s="166"/>
      <c r="H138" s="166"/>
      <c r="I138" s="166"/>
      <c r="J138" s="166"/>
      <c r="K138" s="166"/>
      <c r="L138" s="166"/>
      <c r="M138" s="166"/>
      <c r="N138" s="166"/>
      <c r="O138" s="166"/>
      <c r="P138" s="166">
        <f>O129*'ABP Future Assumptions'!$B$93</f>
        <v>0</v>
      </c>
      <c r="Q138" s="166">
        <f>P129*'ABP Future Assumptions'!$B$93</f>
        <v>4726656.5557421567</v>
      </c>
      <c r="R138" s="166">
        <f>Q129*'ABP Future Assumptions'!$B$93</f>
        <v>4464064.5248675924</v>
      </c>
      <c r="S138" s="166">
        <f>R129*'ABP Future Assumptions'!$B$93</f>
        <v>4464064.5248675924</v>
      </c>
      <c r="T138" s="166">
        <f>S129*'ABP Future Assumptions'!$B$93</f>
        <v>4464064.5248675924</v>
      </c>
      <c r="U138" s="166">
        <f>T129*'ABP Future Assumptions'!$B$93</f>
        <v>4464064.5248675924</v>
      </c>
    </row>
    <row r="139" spans="1:21" x14ac:dyDescent="0.25">
      <c r="A139" s="164" t="s">
        <v>153</v>
      </c>
      <c r="B139" s="164"/>
      <c r="C139" s="166"/>
      <c r="D139" s="166"/>
      <c r="E139" s="166"/>
      <c r="F139" s="166"/>
      <c r="G139" s="166"/>
      <c r="H139" s="166"/>
      <c r="I139" s="166"/>
      <c r="J139" s="166"/>
      <c r="K139" s="166"/>
      <c r="L139" s="166"/>
      <c r="M139" s="166"/>
      <c r="N139" s="166"/>
      <c r="O139" s="166"/>
      <c r="P139" s="166">
        <f>O130*'ABP Future Assumptions'!$B$93</f>
        <v>0</v>
      </c>
      <c r="Q139" s="166">
        <f>P130*'ABP Future Assumptions'!$B$93</f>
        <v>0</v>
      </c>
      <c r="R139" s="166">
        <f>Q130*'ABP Future Assumptions'!$B$93</f>
        <v>3898874.3847239004</v>
      </c>
      <c r="S139" s="166">
        <f>R130*'ABP Future Assumptions'!$B$93</f>
        <v>3879380.0128002805</v>
      </c>
      <c r="T139" s="166">
        <f>S130*'ABP Future Assumptions'!$B$93</f>
        <v>3859983.1127362791</v>
      </c>
      <c r="U139" s="166">
        <f>T130*'ABP Future Assumptions'!$B$93</f>
        <v>3840683.197172598</v>
      </c>
    </row>
    <row r="140" spans="1:21" x14ac:dyDescent="0.25">
      <c r="A140" s="164" t="s">
        <v>158</v>
      </c>
      <c r="B140" s="164"/>
      <c r="C140" s="166"/>
      <c r="D140" s="166"/>
      <c r="E140" s="166"/>
      <c r="F140" s="166"/>
      <c r="G140" s="166"/>
      <c r="H140" s="166"/>
      <c r="I140" s="166"/>
      <c r="J140" s="166"/>
      <c r="K140" s="166"/>
      <c r="L140" s="166"/>
      <c r="M140" s="166"/>
      <c r="N140" s="166"/>
      <c r="O140" s="166"/>
      <c r="P140" s="166">
        <f>O131*'ABP Future Assumptions'!$B$93</f>
        <v>0</v>
      </c>
      <c r="Q140" s="166">
        <f>P131*'ABP Future Assumptions'!$B$93</f>
        <v>2428613.0189461708</v>
      </c>
      <c r="R140" s="166">
        <f>Q131*'ABP Future Assumptions'!$B$93</f>
        <v>2416469.9538514391</v>
      </c>
      <c r="S140" s="166">
        <f>R131*'ABP Future Assumptions'!$B$93</f>
        <v>2404387.604082182</v>
      </c>
      <c r="T140" s="166">
        <f>S131*'ABP Future Assumptions'!$B$93</f>
        <v>2392365.6660617716</v>
      </c>
      <c r="U140" s="166">
        <f>T131*'ABP Future Assumptions'!$B$93</f>
        <v>2380403.8377314624</v>
      </c>
    </row>
    <row r="141" spans="1:21" x14ac:dyDescent="0.25">
      <c r="A141" s="164" t="s">
        <v>162</v>
      </c>
      <c r="B141" s="164"/>
      <c r="C141" s="166"/>
      <c r="D141" s="166"/>
      <c r="E141" s="166"/>
      <c r="F141" s="166"/>
      <c r="G141" s="166"/>
      <c r="H141" s="166"/>
      <c r="I141" s="166"/>
      <c r="J141" s="166"/>
      <c r="K141" s="166"/>
      <c r="L141" s="166"/>
      <c r="M141" s="166"/>
      <c r="N141" s="166"/>
      <c r="O141" s="166"/>
      <c r="P141" s="166">
        <f>O132*'ABP Future Assumptions'!$B$93</f>
        <v>0</v>
      </c>
      <c r="Q141" s="166">
        <f>P132*'ABP Future Assumptions'!$B$93</f>
        <v>0</v>
      </c>
      <c r="R141" s="166">
        <f>Q132*'ABP Future Assumptions'!$B$93</f>
        <v>1591346.3438621915</v>
      </c>
      <c r="S141" s="166">
        <f>R132*'ABP Future Assumptions'!$B$93</f>
        <v>1502938.2136476249</v>
      </c>
      <c r="T141" s="166">
        <f>S132*'ABP Future Assumptions'!$B$93</f>
        <v>1502938.2136476249</v>
      </c>
      <c r="U141" s="166">
        <f>T132*'ABP Future Assumptions'!$B$93</f>
        <v>1502938.2136476249</v>
      </c>
    </row>
    <row r="142" spans="1:21" x14ac:dyDescent="0.25">
      <c r="A142" s="164" t="s">
        <v>165</v>
      </c>
      <c r="B142" s="164"/>
      <c r="C142" s="166"/>
      <c r="D142" s="166"/>
      <c r="E142" s="166"/>
      <c r="F142" s="166"/>
      <c r="G142" s="166"/>
      <c r="H142" s="166"/>
      <c r="I142" s="166"/>
      <c r="J142" s="166"/>
      <c r="K142" s="166"/>
      <c r="L142" s="166"/>
      <c r="M142" s="166"/>
      <c r="N142" s="166"/>
      <c r="O142" s="166"/>
      <c r="P142" s="166">
        <f>O133*'ABP Future Assumptions'!$B$93</f>
        <v>0</v>
      </c>
      <c r="Q142" s="166">
        <f>P133*'ABP Future Assumptions'!$B$93</f>
        <v>5251840.6174912816</v>
      </c>
      <c r="R142" s="166">
        <f>Q133*'ABP Future Assumptions'!$B$93</f>
        <v>4960071.6942973221</v>
      </c>
      <c r="S142" s="166">
        <f>R133*'ABP Future Assumptions'!$B$93</f>
        <v>4960071.6942973221</v>
      </c>
      <c r="T142" s="166">
        <f>S133*'ABP Future Assumptions'!$B$93</f>
        <v>4960071.6942973221</v>
      </c>
      <c r="U142" s="166">
        <f>T133*'ABP Future Assumptions'!$B$93</f>
        <v>4960071.6942973221</v>
      </c>
    </row>
    <row r="143" spans="1:21" x14ac:dyDescent="0.25">
      <c r="A143" s="163" t="s">
        <v>109</v>
      </c>
      <c r="B143" s="163"/>
      <c r="C143" s="18">
        <f t="shared" ref="C143:T143" si="33">SUM(C137:C142)</f>
        <v>0</v>
      </c>
      <c r="D143" s="18">
        <f t="shared" si="33"/>
        <v>0</v>
      </c>
      <c r="E143" s="18">
        <f t="shared" si="33"/>
        <v>0</v>
      </c>
      <c r="F143" s="18">
        <f t="shared" si="33"/>
        <v>0</v>
      </c>
      <c r="G143" s="18">
        <f t="shared" si="33"/>
        <v>0</v>
      </c>
      <c r="H143" s="18">
        <f t="shared" si="33"/>
        <v>0</v>
      </c>
      <c r="I143" s="18">
        <f t="shared" si="33"/>
        <v>0</v>
      </c>
      <c r="J143" s="18">
        <f t="shared" si="33"/>
        <v>0</v>
      </c>
      <c r="K143" s="18">
        <f t="shared" si="33"/>
        <v>0</v>
      </c>
      <c r="L143" s="18">
        <f t="shared" si="33"/>
        <v>0</v>
      </c>
      <c r="M143" s="18">
        <f t="shared" si="33"/>
        <v>0</v>
      </c>
      <c r="N143" s="18">
        <f t="shared" si="33"/>
        <v>0</v>
      </c>
      <c r="O143" s="18">
        <f t="shared" si="33"/>
        <v>0</v>
      </c>
      <c r="P143" s="18">
        <f t="shared" si="33"/>
        <v>0</v>
      </c>
      <c r="Q143" s="18">
        <f t="shared" si="33"/>
        <v>57676926.958998948</v>
      </c>
      <c r="R143" s="18">
        <f t="shared" si="33"/>
        <v>17330826.901602443</v>
      </c>
      <c r="S143" s="18">
        <f t="shared" si="33"/>
        <v>17210842.049695</v>
      </c>
      <c r="T143" s="18">
        <f t="shared" si="33"/>
        <v>17179423.211610589</v>
      </c>
      <c r="U143" s="18">
        <f t="shared" ref="U143" si="34">SUM(U137:U142)</f>
        <v>17148161.467716601</v>
      </c>
    </row>
    <row r="145" spans="1:21" ht="15.75" x14ac:dyDescent="0.25">
      <c r="A145" s="77">
        <v>2039</v>
      </c>
      <c r="B145" s="218">
        <v>2024</v>
      </c>
      <c r="C145" s="218">
        <v>2025</v>
      </c>
      <c r="D145" s="218">
        <v>2026</v>
      </c>
      <c r="E145" s="218">
        <v>2027</v>
      </c>
      <c r="F145" s="218">
        <v>2028</v>
      </c>
      <c r="G145" s="218">
        <v>2029</v>
      </c>
      <c r="H145" s="218">
        <v>2030</v>
      </c>
      <c r="I145" s="218">
        <v>2031</v>
      </c>
      <c r="J145" s="218">
        <v>2032</v>
      </c>
      <c r="K145" s="218">
        <v>2033</v>
      </c>
      <c r="L145" s="218">
        <v>2034</v>
      </c>
      <c r="M145" s="218">
        <v>2035</v>
      </c>
      <c r="N145" s="218">
        <v>2036</v>
      </c>
      <c r="O145" s="218">
        <v>2037</v>
      </c>
      <c r="P145" s="218">
        <v>2038</v>
      </c>
      <c r="Q145" s="218">
        <v>2039</v>
      </c>
      <c r="R145" s="218">
        <v>2040</v>
      </c>
      <c r="S145" s="218">
        <v>2041</v>
      </c>
      <c r="T145" s="218">
        <v>2042</v>
      </c>
      <c r="U145" s="218">
        <v>2043</v>
      </c>
    </row>
    <row r="146" spans="1:21" x14ac:dyDescent="0.25">
      <c r="A146" s="164" t="s">
        <v>138</v>
      </c>
      <c r="B146" s="164"/>
      <c r="C146" s="166"/>
      <c r="D146" s="166"/>
      <c r="E146" s="166"/>
      <c r="F146" s="166"/>
      <c r="G146" s="166"/>
      <c r="H146" s="166"/>
      <c r="I146" s="166"/>
      <c r="J146" s="166"/>
      <c r="K146" s="166"/>
      <c r="L146" s="166"/>
      <c r="M146" s="166"/>
      <c r="N146" s="166"/>
      <c r="O146" s="166"/>
      <c r="P146" s="166"/>
      <c r="Q146" s="166">
        <f>P137*'ABP Future Assumptions'!$B$93</f>
        <v>0</v>
      </c>
      <c r="R146" s="166">
        <f>Q137*'ABP Future Assumptions'!$B$93</f>
        <v>43459024.096146561</v>
      </c>
      <c r="S146" s="166">
        <f>R137*'ABP Future Assumptions'!$B$93</f>
        <v>0</v>
      </c>
      <c r="T146" s="166">
        <f>S137*'ABP Future Assumptions'!$B$93</f>
        <v>0</v>
      </c>
      <c r="U146" s="166">
        <f>T137*'ABP Future Assumptions'!$B$93</f>
        <v>0</v>
      </c>
    </row>
    <row r="147" spans="1:21" x14ac:dyDescent="0.25">
      <c r="A147" s="164" t="s">
        <v>144</v>
      </c>
      <c r="B147" s="164"/>
      <c r="C147" s="166"/>
      <c r="D147" s="166"/>
      <c r="E147" s="166"/>
      <c r="F147" s="166"/>
      <c r="G147" s="166"/>
      <c r="H147" s="166"/>
      <c r="I147" s="166"/>
      <c r="J147" s="166"/>
      <c r="K147" s="166"/>
      <c r="L147" s="166"/>
      <c r="M147" s="166"/>
      <c r="N147" s="166"/>
      <c r="O147" s="166"/>
      <c r="P147" s="166"/>
      <c r="Q147" s="166">
        <f>P138*'ABP Future Assumptions'!$B$93</f>
        <v>0</v>
      </c>
      <c r="R147" s="166">
        <f>Q138*'ABP Future Assumptions'!$B$93</f>
        <v>4537590.2935124701</v>
      </c>
      <c r="S147" s="166">
        <f>R138*'ABP Future Assumptions'!$B$93</f>
        <v>4285501.9438728886</v>
      </c>
      <c r="T147" s="166">
        <f>S138*'ABP Future Assumptions'!$B$93</f>
        <v>4285501.9438728886</v>
      </c>
      <c r="U147" s="166">
        <f>T138*'ABP Future Assumptions'!$B$93</f>
        <v>4285501.9438728886</v>
      </c>
    </row>
    <row r="148" spans="1:21" x14ac:dyDescent="0.25">
      <c r="A148" s="164" t="s">
        <v>153</v>
      </c>
      <c r="B148" s="164"/>
      <c r="C148" s="166"/>
      <c r="D148" s="166"/>
      <c r="E148" s="166"/>
      <c r="F148" s="166"/>
      <c r="G148" s="166"/>
      <c r="H148" s="166"/>
      <c r="I148" s="166"/>
      <c r="J148" s="166"/>
      <c r="K148" s="166"/>
      <c r="L148" s="166"/>
      <c r="M148" s="166"/>
      <c r="N148" s="166"/>
      <c r="O148" s="166"/>
      <c r="P148" s="166"/>
      <c r="Q148" s="166">
        <f>P139*'ABP Future Assumptions'!$B$93</f>
        <v>0</v>
      </c>
      <c r="R148" s="166">
        <f>Q139*'ABP Future Assumptions'!$B$93</f>
        <v>0</v>
      </c>
      <c r="S148" s="166">
        <f>R139*'ABP Future Assumptions'!$B$93</f>
        <v>3742919.4093349441</v>
      </c>
      <c r="T148" s="166">
        <f>S139*'ABP Future Assumptions'!$B$93</f>
        <v>3724204.8122882689</v>
      </c>
      <c r="U148" s="166">
        <f>T139*'ABP Future Assumptions'!$B$93</f>
        <v>3705583.788226828</v>
      </c>
    </row>
    <row r="149" spans="1:21" x14ac:dyDescent="0.25">
      <c r="A149" s="164" t="s">
        <v>158</v>
      </c>
      <c r="B149" s="164"/>
      <c r="C149" s="166"/>
      <c r="D149" s="166"/>
      <c r="E149" s="166"/>
      <c r="F149" s="166"/>
      <c r="G149" s="166"/>
      <c r="H149" s="166"/>
      <c r="I149" s="166"/>
      <c r="J149" s="166"/>
      <c r="K149" s="166"/>
      <c r="L149" s="166"/>
      <c r="M149" s="166"/>
      <c r="N149" s="166"/>
      <c r="O149" s="166"/>
      <c r="P149" s="166"/>
      <c r="Q149" s="166">
        <f>P140*'ABP Future Assumptions'!$B$93</f>
        <v>0</v>
      </c>
      <c r="R149" s="166">
        <f>Q140*'ABP Future Assumptions'!$B$93</f>
        <v>2331468.4981883238</v>
      </c>
      <c r="S149" s="166">
        <f>R140*'ABP Future Assumptions'!$B$93</f>
        <v>2319811.1556973816</v>
      </c>
      <c r="T149" s="166">
        <f>S140*'ABP Future Assumptions'!$B$93</f>
        <v>2308212.0999188945</v>
      </c>
      <c r="U149" s="166">
        <f>T140*'ABP Future Assumptions'!$B$93</f>
        <v>2296671.0394193004</v>
      </c>
    </row>
    <row r="150" spans="1:21" x14ac:dyDescent="0.25">
      <c r="A150" s="164" t="s">
        <v>162</v>
      </c>
      <c r="B150" s="164"/>
      <c r="C150" s="166"/>
      <c r="D150" s="166"/>
      <c r="E150" s="166"/>
      <c r="F150" s="166"/>
      <c r="G150" s="166"/>
      <c r="H150" s="166"/>
      <c r="I150" s="166"/>
      <c r="J150" s="166"/>
      <c r="K150" s="166"/>
      <c r="L150" s="166"/>
      <c r="M150" s="166"/>
      <c r="N150" s="166"/>
      <c r="O150" s="166"/>
      <c r="P150" s="166"/>
      <c r="Q150" s="166">
        <f>P141*'ABP Future Assumptions'!$B$93</f>
        <v>0</v>
      </c>
      <c r="R150" s="166">
        <f>Q141*'ABP Future Assumptions'!$B$93</f>
        <v>0</v>
      </c>
      <c r="S150" s="166">
        <f>R141*'ABP Future Assumptions'!$B$93</f>
        <v>1527692.4901077037</v>
      </c>
      <c r="T150" s="166">
        <f>S141*'ABP Future Assumptions'!$B$93</f>
        <v>1442820.6851017198</v>
      </c>
      <c r="U150" s="166">
        <f>T141*'ABP Future Assumptions'!$B$93</f>
        <v>1442820.6851017198</v>
      </c>
    </row>
    <row r="151" spans="1:21" x14ac:dyDescent="0.25">
      <c r="A151" s="164" t="s">
        <v>165</v>
      </c>
      <c r="B151" s="164"/>
      <c r="C151" s="166"/>
      <c r="D151" s="166"/>
      <c r="E151" s="166"/>
      <c r="F151" s="166"/>
      <c r="G151" s="166"/>
      <c r="H151" s="166"/>
      <c r="I151" s="166"/>
      <c r="J151" s="166"/>
      <c r="K151" s="166"/>
      <c r="L151" s="166"/>
      <c r="M151" s="166"/>
      <c r="N151" s="166"/>
      <c r="O151" s="166"/>
      <c r="P151" s="166"/>
      <c r="Q151" s="166">
        <f>P142*'ABP Future Assumptions'!$B$93</f>
        <v>0</v>
      </c>
      <c r="R151" s="166">
        <f>Q142*'ABP Future Assumptions'!$B$93</f>
        <v>5041766.9927916303</v>
      </c>
      <c r="S151" s="166">
        <f>R142*'ABP Future Assumptions'!$B$93</f>
        <v>4761668.8265254293</v>
      </c>
      <c r="T151" s="166">
        <f>S142*'ABP Future Assumptions'!$B$93</f>
        <v>4761668.8265254293</v>
      </c>
      <c r="U151" s="166">
        <f>T142*'ABP Future Assumptions'!$B$93</f>
        <v>4761668.8265254293</v>
      </c>
    </row>
    <row r="152" spans="1:21" x14ac:dyDescent="0.25">
      <c r="A152" s="163" t="s">
        <v>109</v>
      </c>
      <c r="B152" s="163"/>
      <c r="C152" s="18">
        <f t="shared" ref="C152:T152" si="35">SUM(C146:C151)</f>
        <v>0</v>
      </c>
      <c r="D152" s="18">
        <f t="shared" si="35"/>
        <v>0</v>
      </c>
      <c r="E152" s="18">
        <f t="shared" si="35"/>
        <v>0</v>
      </c>
      <c r="F152" s="18">
        <f t="shared" si="35"/>
        <v>0</v>
      </c>
      <c r="G152" s="18">
        <f t="shared" si="35"/>
        <v>0</v>
      </c>
      <c r="H152" s="18">
        <f t="shared" si="35"/>
        <v>0</v>
      </c>
      <c r="I152" s="18">
        <f t="shared" si="35"/>
        <v>0</v>
      </c>
      <c r="J152" s="18">
        <f t="shared" si="35"/>
        <v>0</v>
      </c>
      <c r="K152" s="18">
        <f t="shared" si="35"/>
        <v>0</v>
      </c>
      <c r="L152" s="18">
        <f t="shared" si="35"/>
        <v>0</v>
      </c>
      <c r="M152" s="18">
        <f t="shared" si="35"/>
        <v>0</v>
      </c>
      <c r="N152" s="18">
        <f t="shared" si="35"/>
        <v>0</v>
      </c>
      <c r="O152" s="18">
        <f t="shared" si="35"/>
        <v>0</v>
      </c>
      <c r="P152" s="18">
        <f t="shared" si="35"/>
        <v>0</v>
      </c>
      <c r="Q152" s="18">
        <f t="shared" si="35"/>
        <v>0</v>
      </c>
      <c r="R152" s="18">
        <f t="shared" si="35"/>
        <v>55369849.880638987</v>
      </c>
      <c r="S152" s="18">
        <f t="shared" si="35"/>
        <v>16637593.825538347</v>
      </c>
      <c r="T152" s="18">
        <f t="shared" si="35"/>
        <v>16522408.3677072</v>
      </c>
      <c r="U152" s="18">
        <f t="shared" ref="U152" si="36">SUM(U146:U151)</f>
        <v>16492246.283146165</v>
      </c>
    </row>
    <row r="154" spans="1:21" ht="15.75" x14ac:dyDescent="0.25">
      <c r="A154" s="77">
        <v>2040</v>
      </c>
      <c r="B154" s="218">
        <v>2024</v>
      </c>
      <c r="C154" s="218">
        <v>2025</v>
      </c>
      <c r="D154" s="218">
        <v>2026</v>
      </c>
      <c r="E154" s="218">
        <v>2027</v>
      </c>
      <c r="F154" s="218">
        <v>2028</v>
      </c>
      <c r="G154" s="218">
        <v>2029</v>
      </c>
      <c r="H154" s="218">
        <v>2030</v>
      </c>
      <c r="I154" s="218">
        <v>2031</v>
      </c>
      <c r="J154" s="218">
        <v>2032</v>
      </c>
      <c r="K154" s="218">
        <v>2033</v>
      </c>
      <c r="L154" s="218">
        <v>2034</v>
      </c>
      <c r="M154" s="218">
        <v>2035</v>
      </c>
      <c r="N154" s="218">
        <v>2036</v>
      </c>
      <c r="O154" s="218">
        <v>2037</v>
      </c>
      <c r="P154" s="218">
        <v>2038</v>
      </c>
      <c r="Q154" s="218">
        <v>2039</v>
      </c>
      <c r="R154" s="218">
        <v>2040</v>
      </c>
      <c r="S154" s="218">
        <v>2041</v>
      </c>
      <c r="T154" s="218">
        <v>2042</v>
      </c>
      <c r="U154" s="218">
        <v>2043</v>
      </c>
    </row>
    <row r="155" spans="1:21" x14ac:dyDescent="0.25">
      <c r="A155" s="164" t="s">
        <v>138</v>
      </c>
      <c r="B155" s="164"/>
      <c r="C155" s="166"/>
      <c r="D155" s="166"/>
      <c r="E155" s="166"/>
      <c r="F155" s="166"/>
      <c r="G155" s="166"/>
      <c r="H155" s="166"/>
      <c r="I155" s="166"/>
      <c r="J155" s="166"/>
      <c r="K155" s="166"/>
      <c r="L155" s="166"/>
      <c r="M155" s="166"/>
      <c r="N155" s="166"/>
      <c r="O155" s="166"/>
      <c r="P155" s="166"/>
      <c r="Q155" s="166"/>
      <c r="R155" s="166">
        <f>Q146*'ABP Future Assumptions'!$B$93</f>
        <v>0</v>
      </c>
      <c r="S155" s="166">
        <f>R146*'ABP Future Assumptions'!$B$93</f>
        <v>41720663.132300697</v>
      </c>
      <c r="T155" s="166">
        <f>S146*'ABP Future Assumptions'!$B$93</f>
        <v>0</v>
      </c>
      <c r="U155" s="166">
        <f>T146*'ABP Future Assumptions'!$B$93</f>
        <v>0</v>
      </c>
    </row>
    <row r="156" spans="1:21" x14ac:dyDescent="0.25">
      <c r="A156" s="164" t="s">
        <v>144</v>
      </c>
      <c r="B156" s="164"/>
      <c r="C156" s="166"/>
      <c r="D156" s="166"/>
      <c r="E156" s="166"/>
      <c r="F156" s="166"/>
      <c r="G156" s="166"/>
      <c r="H156" s="166"/>
      <c r="I156" s="166"/>
      <c r="J156" s="166"/>
      <c r="K156" s="166"/>
      <c r="L156" s="166"/>
      <c r="M156" s="166"/>
      <c r="N156" s="166"/>
      <c r="O156" s="166"/>
      <c r="P156" s="166"/>
      <c r="Q156" s="166"/>
      <c r="R156" s="166">
        <f>Q147*'ABP Future Assumptions'!$B$93</f>
        <v>0</v>
      </c>
      <c r="S156" s="166">
        <f>R147*'ABP Future Assumptions'!$B$93</f>
        <v>4356086.6817719713</v>
      </c>
      <c r="T156" s="166">
        <f>S147*'ABP Future Assumptions'!$B$93</f>
        <v>4114081.8661179729</v>
      </c>
      <c r="U156" s="166">
        <f>T147*'ABP Future Assumptions'!$B$93</f>
        <v>4114081.8661179729</v>
      </c>
    </row>
    <row r="157" spans="1:21" x14ac:dyDescent="0.25">
      <c r="A157" s="164" t="s">
        <v>153</v>
      </c>
      <c r="B157" s="164"/>
      <c r="C157" s="166"/>
      <c r="D157" s="166"/>
      <c r="E157" s="166"/>
      <c r="F157" s="166"/>
      <c r="G157" s="166"/>
      <c r="H157" s="166"/>
      <c r="I157" s="166"/>
      <c r="J157" s="166"/>
      <c r="K157" s="166"/>
      <c r="L157" s="166"/>
      <c r="M157" s="166"/>
      <c r="N157" s="166"/>
      <c r="O157" s="166"/>
      <c r="P157" s="166"/>
      <c r="Q157" s="166"/>
      <c r="R157" s="166">
        <f>Q148*'ABP Future Assumptions'!$B$93</f>
        <v>0</v>
      </c>
      <c r="S157" s="166">
        <f>R148*'ABP Future Assumptions'!$B$93</f>
        <v>0</v>
      </c>
      <c r="T157" s="166">
        <f>S148*'ABP Future Assumptions'!$B$93</f>
        <v>3593202.6329615461</v>
      </c>
      <c r="U157" s="166">
        <f>T148*'ABP Future Assumptions'!$B$93</f>
        <v>3575236.619796738</v>
      </c>
    </row>
    <row r="158" spans="1:21" x14ac:dyDescent="0.25">
      <c r="A158" s="164" t="s">
        <v>158</v>
      </c>
      <c r="B158" s="164"/>
      <c r="C158" s="166"/>
      <c r="D158" s="166"/>
      <c r="E158" s="166"/>
      <c r="F158" s="166"/>
      <c r="G158" s="166"/>
      <c r="H158" s="166"/>
      <c r="I158" s="166"/>
      <c r="J158" s="166"/>
      <c r="K158" s="166"/>
      <c r="L158" s="166"/>
      <c r="M158" s="166"/>
      <c r="N158" s="166"/>
      <c r="O158" s="166"/>
      <c r="P158" s="166"/>
      <c r="Q158" s="166"/>
      <c r="R158" s="166">
        <f>Q149*'ABP Future Assumptions'!$B$93</f>
        <v>0</v>
      </c>
      <c r="S158" s="166">
        <f>R149*'ABP Future Assumptions'!$B$93</f>
        <v>2238209.7582607907</v>
      </c>
      <c r="T158" s="166">
        <f>S149*'ABP Future Assumptions'!$B$93</f>
        <v>2227018.709469486</v>
      </c>
      <c r="U158" s="166">
        <f>T149*'ABP Future Assumptions'!$B$93</f>
        <v>2215883.6159221386</v>
      </c>
    </row>
    <row r="159" spans="1:21" x14ac:dyDescent="0.25">
      <c r="A159" s="164" t="s">
        <v>162</v>
      </c>
      <c r="B159" s="164"/>
      <c r="C159" s="166"/>
      <c r="D159" s="166"/>
      <c r="E159" s="166"/>
      <c r="F159" s="166"/>
      <c r="G159" s="166"/>
      <c r="H159" s="166"/>
      <c r="I159" s="166"/>
      <c r="J159" s="166"/>
      <c r="K159" s="166"/>
      <c r="L159" s="166"/>
      <c r="M159" s="166"/>
      <c r="N159" s="166"/>
      <c r="O159" s="166"/>
      <c r="P159" s="166"/>
      <c r="Q159" s="166"/>
      <c r="R159" s="166">
        <f>Q150*'ABP Future Assumptions'!$B$93</f>
        <v>0</v>
      </c>
      <c r="S159" s="166">
        <f>R150*'ABP Future Assumptions'!$B$93</f>
        <v>0</v>
      </c>
      <c r="T159" s="166">
        <f>S150*'ABP Future Assumptions'!$B$93</f>
        <v>1466584.7905033955</v>
      </c>
      <c r="U159" s="166">
        <f>T150*'ABP Future Assumptions'!$B$93</f>
        <v>1385107.857697651</v>
      </c>
    </row>
    <row r="160" spans="1:21" x14ac:dyDescent="0.25">
      <c r="A160" s="164" t="s">
        <v>165</v>
      </c>
      <c r="B160" s="164"/>
      <c r="C160" s="166"/>
      <c r="D160" s="166"/>
      <c r="E160" s="166"/>
      <c r="F160" s="166"/>
      <c r="G160" s="166"/>
      <c r="H160" s="166"/>
      <c r="I160" s="166"/>
      <c r="J160" s="166"/>
      <c r="K160" s="166"/>
      <c r="L160" s="166"/>
      <c r="M160" s="166"/>
      <c r="N160" s="166"/>
      <c r="O160" s="166"/>
      <c r="P160" s="166"/>
      <c r="Q160" s="166"/>
      <c r="R160" s="166">
        <f>Q151*'ABP Future Assumptions'!$B$93</f>
        <v>0</v>
      </c>
      <c r="S160" s="166">
        <f>R151*'ABP Future Assumptions'!$B$93</f>
        <v>4840096.3130799653</v>
      </c>
      <c r="T160" s="166">
        <f>S151*'ABP Future Assumptions'!$B$93</f>
        <v>4571202.0734644122</v>
      </c>
      <c r="U160" s="166">
        <f>T151*'ABP Future Assumptions'!$B$93</f>
        <v>4571202.0734644122</v>
      </c>
    </row>
    <row r="161" spans="1:21" x14ac:dyDescent="0.25">
      <c r="A161" s="163" t="s">
        <v>109</v>
      </c>
      <c r="B161" s="163"/>
      <c r="C161" s="18">
        <f t="shared" ref="C161:T161" si="37">SUM(C155:C160)</f>
        <v>0</v>
      </c>
      <c r="D161" s="18">
        <f t="shared" si="37"/>
        <v>0</v>
      </c>
      <c r="E161" s="18">
        <f t="shared" si="37"/>
        <v>0</v>
      </c>
      <c r="F161" s="18">
        <f t="shared" si="37"/>
        <v>0</v>
      </c>
      <c r="G161" s="18">
        <f t="shared" si="37"/>
        <v>0</v>
      </c>
      <c r="H161" s="18">
        <f t="shared" si="37"/>
        <v>0</v>
      </c>
      <c r="I161" s="18">
        <f t="shared" si="37"/>
        <v>0</v>
      </c>
      <c r="J161" s="18">
        <f t="shared" si="37"/>
        <v>0</v>
      </c>
      <c r="K161" s="18">
        <f t="shared" si="37"/>
        <v>0</v>
      </c>
      <c r="L161" s="18">
        <f t="shared" si="37"/>
        <v>0</v>
      </c>
      <c r="M161" s="18">
        <f t="shared" si="37"/>
        <v>0</v>
      </c>
      <c r="N161" s="18">
        <f t="shared" si="37"/>
        <v>0</v>
      </c>
      <c r="O161" s="18">
        <f t="shared" si="37"/>
        <v>0</v>
      </c>
      <c r="P161" s="18">
        <f t="shared" si="37"/>
        <v>0</v>
      </c>
      <c r="Q161" s="18">
        <f t="shared" si="37"/>
        <v>0</v>
      </c>
      <c r="R161" s="18">
        <f t="shared" si="37"/>
        <v>0</v>
      </c>
      <c r="S161" s="18">
        <f t="shared" si="37"/>
        <v>53155055.885413431</v>
      </c>
      <c r="T161" s="18">
        <f t="shared" si="37"/>
        <v>15972090.072516812</v>
      </c>
      <c r="U161" s="18">
        <f t="shared" ref="U161" si="38">SUM(U155:U160)</f>
        <v>15861512.032998912</v>
      </c>
    </row>
    <row r="164" spans="1:21" ht="15.75" x14ac:dyDescent="0.25">
      <c r="A164" s="165" t="s">
        <v>108</v>
      </c>
      <c r="B164" s="218">
        <v>2024</v>
      </c>
      <c r="C164" s="218">
        <v>2025</v>
      </c>
      <c r="D164" s="218">
        <v>2026</v>
      </c>
      <c r="E164" s="218">
        <v>2027</v>
      </c>
      <c r="F164" s="218">
        <v>2028</v>
      </c>
      <c r="G164" s="218">
        <v>2029</v>
      </c>
      <c r="H164" s="218">
        <v>2030</v>
      </c>
      <c r="I164" s="218">
        <v>2031</v>
      </c>
      <c r="J164" s="218">
        <v>2032</v>
      </c>
      <c r="K164" s="218">
        <v>2033</v>
      </c>
      <c r="L164" s="218">
        <v>2034</v>
      </c>
      <c r="M164" s="218">
        <v>2035</v>
      </c>
      <c r="N164" s="218">
        <v>2036</v>
      </c>
      <c r="O164" s="218">
        <v>2037</v>
      </c>
      <c r="P164" s="218">
        <v>2038</v>
      </c>
      <c r="Q164" s="218">
        <v>2039</v>
      </c>
      <c r="R164" s="218">
        <v>2040</v>
      </c>
      <c r="S164" s="218">
        <v>2041</v>
      </c>
      <c r="T164" s="218">
        <v>2042</v>
      </c>
      <c r="U164" s="218">
        <v>2043</v>
      </c>
    </row>
    <row r="165" spans="1:21" x14ac:dyDescent="0.25">
      <c r="A165" s="164" t="s">
        <v>138</v>
      </c>
      <c r="B165" s="181">
        <f>SUMIFS(B2:B161, $A$2:$A$161, $A$165)</f>
        <v>0</v>
      </c>
      <c r="C165" s="181">
        <f t="shared" ref="C165:D165" si="39">SUMIFS(C2:C161, $A$2:$A$161, $A$165)</f>
        <v>160339848.81633624</v>
      </c>
      <c r="D165" s="181">
        <f t="shared" si="39"/>
        <v>153926254.86368278</v>
      </c>
      <c r="E165" s="181">
        <f>SUMIFS(E2:E161, $A$2:$A$161, $A$165)</f>
        <v>147769204.66913545</v>
      </c>
      <c r="F165" s="181">
        <f t="shared" ref="F165:U165" si="40">SUMIFS(F2:F161, $A$2:$A$161, $A$165)</f>
        <v>141858436.48237002</v>
      </c>
      <c r="G165" s="181">
        <f t="shared" si="40"/>
        <v>136184099.02307522</v>
      </c>
      <c r="H165" s="181">
        <f t="shared" si="40"/>
        <v>130736735.06215221</v>
      </c>
      <c r="I165" s="181">
        <f t="shared" si="40"/>
        <v>125507265.65966612</v>
      </c>
      <c r="J165" s="181">
        <f t="shared" si="40"/>
        <v>120486975.03327948</v>
      </c>
      <c r="K165" s="181">
        <f t="shared" si="40"/>
        <v>115667496.0319483</v>
      </c>
      <c r="L165" s="181">
        <f t="shared" si="40"/>
        <v>55520398.095335178</v>
      </c>
      <c r="M165" s="181">
        <f t="shared" si="40"/>
        <v>53299582.171521768</v>
      </c>
      <c r="N165" s="181">
        <f t="shared" si="40"/>
        <v>51167598.884660892</v>
      </c>
      <c r="O165" s="181">
        <f t="shared" si="40"/>
        <v>49120894.929274455</v>
      </c>
      <c r="P165" s="181">
        <f t="shared" si="40"/>
        <v>47156059.132103473</v>
      </c>
      <c r="Q165" s="181">
        <f t="shared" si="40"/>
        <v>45269816.766819336</v>
      </c>
      <c r="R165" s="181">
        <f t="shared" si="40"/>
        <v>43459024.096146561</v>
      </c>
      <c r="S165" s="181">
        <f t="shared" si="40"/>
        <v>41720663.132300697</v>
      </c>
      <c r="T165" s="181">
        <f t="shared" si="40"/>
        <v>0</v>
      </c>
      <c r="U165" s="181">
        <f t="shared" si="40"/>
        <v>0</v>
      </c>
    </row>
    <row r="166" spans="1:21" x14ac:dyDescent="0.25">
      <c r="A166" s="164" t="s">
        <v>144</v>
      </c>
      <c r="B166" s="181">
        <f>SUMIFS(B2:B161, $A$2:$A$161, $A$166)</f>
        <v>0</v>
      </c>
      <c r="C166" s="181">
        <f t="shared" ref="C166:D166" si="41">SUMIFS(C2:C161, $A$2:$A$161, $A$166)</f>
        <v>16741207.534772398</v>
      </c>
      <c r="D166" s="181">
        <f t="shared" si="41"/>
        <v>31882699.682888769</v>
      </c>
      <c r="E166" s="181">
        <f>SUMIFS(E2:E161, $A$2:$A$161, $A$166)</f>
        <v>46418532.145080477</v>
      </c>
      <c r="F166" s="181">
        <f t="shared" ref="F166:U166" si="42">SUMIFS(F2:F161, $A$2:$A$161, $A$166)</f>
        <v>60372931.308784522</v>
      </c>
      <c r="G166" s="181">
        <f t="shared" si="42"/>
        <v>73769154.505940408</v>
      </c>
      <c r="H166" s="181">
        <f t="shared" si="42"/>
        <v>86629528.775210038</v>
      </c>
      <c r="I166" s="181">
        <f t="shared" si="42"/>
        <v>98975488.073708892</v>
      </c>
      <c r="J166" s="181">
        <f t="shared" si="42"/>
        <v>95016468.550760567</v>
      </c>
      <c r="K166" s="181">
        <f t="shared" si="42"/>
        <v>91215809.80873014</v>
      </c>
      <c r="L166" s="181">
        <f t="shared" si="42"/>
        <v>81770249.741889507</v>
      </c>
      <c r="M166" s="181">
        <f t="shared" si="42"/>
        <v>73024563.615194261</v>
      </c>
      <c r="N166" s="181">
        <f t="shared" si="42"/>
        <v>64628704.933566831</v>
      </c>
      <c r="O166" s="181">
        <f t="shared" si="42"/>
        <v>56568680.599204481</v>
      </c>
      <c r="P166" s="181">
        <f t="shared" si="42"/>
        <v>48831057.238216639</v>
      </c>
      <c r="Q166" s="181">
        <f t="shared" si="42"/>
        <v>41402938.811668307</v>
      </c>
      <c r="R166" s="181">
        <f t="shared" si="42"/>
        <v>34271945.122181907</v>
      </c>
      <c r="S166" s="181">
        <f t="shared" si="42"/>
        <v>32901067.317294631</v>
      </c>
      <c r="T166" s="181">
        <f t="shared" si="42"/>
        <v>27403181.410101749</v>
      </c>
      <c r="U166" s="181">
        <f t="shared" si="42"/>
        <v>22357535.562224429</v>
      </c>
    </row>
    <row r="167" spans="1:21" x14ac:dyDescent="0.25">
      <c r="A167" s="164" t="s">
        <v>153</v>
      </c>
      <c r="B167" s="181">
        <f>SUMIFS(B2:B161, $A$2:$A$161, $A$167)</f>
        <v>0</v>
      </c>
      <c r="C167" s="181">
        <f t="shared" ref="C167:D167" si="43">SUMIFS(C2:C161, $A$2:$A$161, $A$167)</f>
        <v>0</v>
      </c>
      <c r="D167" s="181">
        <f t="shared" si="43"/>
        <v>13809309.912177913</v>
      </c>
      <c r="E167" s="181">
        <f>SUMIFS(E2:E161, $A$2:$A$161, $A$167)</f>
        <v>26997200.878307819</v>
      </c>
      <c r="F167" s="181">
        <f t="shared" ref="F167:U167" si="44">SUMIFS(F2:F161, $A$2:$A$161, $A$167)</f>
        <v>39588874.888979442</v>
      </c>
      <c r="G167" s="181">
        <f t="shared" si="44"/>
        <v>51608524.12899518</v>
      </c>
      <c r="H167" s="181">
        <f t="shared" si="44"/>
        <v>63079371.378232419</v>
      </c>
      <c r="I167" s="181">
        <f t="shared" si="44"/>
        <v>74023708.796428174</v>
      </c>
      <c r="J167" s="181">
        <f t="shared" si="44"/>
        <v>84462935.156529486</v>
      </c>
      <c r="K167" s="181">
        <f t="shared" si="44"/>
        <v>94417591.588666946</v>
      </c>
      <c r="L167" s="181">
        <f t="shared" si="44"/>
        <v>103907395.8943269</v>
      </c>
      <c r="M167" s="181">
        <f t="shared" si="44"/>
        <v>108169567.20138487</v>
      </c>
      <c r="N167" s="181">
        <f t="shared" si="44"/>
        <v>112219159.32044634</v>
      </c>
      <c r="O167" s="181">
        <f t="shared" si="44"/>
        <v>116064885.88070974</v>
      </c>
      <c r="P167" s="181">
        <f t="shared" si="44"/>
        <v>119715110.91389725</v>
      </c>
      <c r="Q167" s="181">
        <f t="shared" si="44"/>
        <v>123177862.84341516</v>
      </c>
      <c r="R167" s="181">
        <f t="shared" si="44"/>
        <v>126460847.913922</v>
      </c>
      <c r="S167" s="181">
        <f t="shared" si="44"/>
        <v>129571463.08368729</v>
      </c>
      <c r="T167" s="181">
        <f t="shared" si="44"/>
        <v>132516808.40123044</v>
      </c>
      <c r="U167" s="181">
        <f t="shared" si="44"/>
        <v>131854224.35922427</v>
      </c>
    </row>
    <row r="168" spans="1:21" x14ac:dyDescent="0.25">
      <c r="A168" s="164" t="s">
        <v>158</v>
      </c>
      <c r="B168" s="181">
        <f>SUMIFS(B2:B161, $A$2:$A$161, $A$168)</f>
        <v>0</v>
      </c>
      <c r="C168" s="181">
        <f t="shared" ref="C168:D168" si="45">SUMIFS(C2:C161, $A$2:$A$161, $A$168)</f>
        <v>8601833.8951314129</v>
      </c>
      <c r="D168" s="181">
        <f t="shared" si="45"/>
        <v>16816585.264981911</v>
      </c>
      <c r="E168" s="181">
        <f>SUMIFS(E2:E161, $A$2:$A$161, $A$168)</f>
        <v>24659952.45641011</v>
      </c>
      <c r="F168" s="181">
        <f t="shared" ref="F168:U168" si="46">SUMIFS(F2:F161, $A$2:$A$161, $A$168)</f>
        <v>32147004.807171043</v>
      </c>
      <c r="G168" s="181">
        <f t="shared" si="46"/>
        <v>39292207.811656445</v>
      </c>
      <c r="H168" s="181">
        <f t="shared" si="46"/>
        <v>46109447.279978588</v>
      </c>
      <c r="I168" s="181">
        <f t="shared" si="46"/>
        <v>52612052.530663893</v>
      </c>
      <c r="J168" s="181">
        <f t="shared" si="46"/>
        <v>58812818.655612357</v>
      </c>
      <c r="K168" s="181">
        <f t="shared" si="46"/>
        <v>64724027.894432008</v>
      </c>
      <c r="L168" s="181">
        <f t="shared" si="46"/>
        <v>67378938.954366744</v>
      </c>
      <c r="M168" s="181">
        <f t="shared" si="46"/>
        <v>69901434.211025536</v>
      </c>
      <c r="N168" s="181">
        <f t="shared" si="46"/>
        <v>72296941.393343821</v>
      </c>
      <c r="O168" s="181">
        <f t="shared" si="46"/>
        <v>74570670.465615571</v>
      </c>
      <c r="P168" s="181">
        <f t="shared" si="46"/>
        <v>76727622.341356426</v>
      </c>
      <c r="Q168" s="181">
        <f t="shared" si="46"/>
        <v>78772597.248595804</v>
      </c>
      <c r="R168" s="181">
        <f t="shared" si="46"/>
        <v>80710202.760541141</v>
      </c>
      <c r="S168" s="181">
        <f t="shared" si="46"/>
        <v>82544861.504999235</v>
      </c>
      <c r="T168" s="181">
        <f t="shared" si="46"/>
        <v>82132137.197474256</v>
      </c>
      <c r="U168" s="181">
        <f t="shared" si="46"/>
        <v>81721476.511486858</v>
      </c>
    </row>
    <row r="169" spans="1:21" x14ac:dyDescent="0.25">
      <c r="A169" s="164" t="s">
        <v>162</v>
      </c>
      <c r="B169" s="181">
        <f>SUMIFS(B2:B161, $A$2:$A$161, $A$169)</f>
        <v>0</v>
      </c>
      <c r="C169" s="181">
        <f t="shared" ref="C169:D169" si="47">SUMIFS(C2:C161, $A$2:$A$161, $A$169)</f>
        <v>0</v>
      </c>
      <c r="D169" s="181">
        <f t="shared" si="47"/>
        <v>5636343.3831327278</v>
      </c>
      <c r="E169" s="181">
        <f>SUMIFS(E2:E161, $A$2:$A$161, $A$169)</f>
        <v>10734102.842988327</v>
      </c>
      <c r="F169" s="181">
        <f t="shared" ref="F169:U169" si="48">SUMIFS(F2:F161, $A$2:$A$161, $A$169)</f>
        <v>15627951.924449705</v>
      </c>
      <c r="G169" s="181">
        <f t="shared" si="48"/>
        <v>20326047.042652629</v>
      </c>
      <c r="H169" s="181">
        <f t="shared" si="48"/>
        <v>24836218.35612743</v>
      </c>
      <c r="I169" s="181">
        <f t="shared" si="48"/>
        <v>29165982.817063238</v>
      </c>
      <c r="J169" s="181">
        <f t="shared" si="48"/>
        <v>33322556.699561618</v>
      </c>
      <c r="K169" s="181">
        <f t="shared" si="48"/>
        <v>31989654.43157915</v>
      </c>
      <c r="L169" s="181">
        <f t="shared" si="48"/>
        <v>30710068.25431598</v>
      </c>
      <c r="M169" s="181">
        <f t="shared" si="48"/>
        <v>27529985.82166345</v>
      </c>
      <c r="N169" s="181">
        <f t="shared" si="48"/>
        <v>24585533.336454801</v>
      </c>
      <c r="O169" s="181">
        <f t="shared" si="48"/>
        <v>21758858.950654488</v>
      </c>
      <c r="P169" s="181">
        <f t="shared" si="48"/>
        <v>19045251.540286195</v>
      </c>
      <c r="Q169" s="181">
        <f t="shared" si="48"/>
        <v>16440188.426332626</v>
      </c>
      <c r="R169" s="181">
        <f t="shared" si="48"/>
        <v>13939327.836937206</v>
      </c>
      <c r="S169" s="181">
        <f t="shared" si="48"/>
        <v>11538501.671117602</v>
      </c>
      <c r="T169" s="181">
        <f t="shared" si="48"/>
        <v>11076961.604272896</v>
      </c>
      <c r="U169" s="181">
        <f t="shared" si="48"/>
        <v>9225961.7412187196</v>
      </c>
    </row>
    <row r="170" spans="1:21" x14ac:dyDescent="0.25">
      <c r="A170" s="164" t="s">
        <v>165</v>
      </c>
      <c r="B170" s="181">
        <f>SUMIFS(B2:B161, $A$2:$A$161, $A$170)</f>
        <v>0</v>
      </c>
      <c r="C170" s="181">
        <f t="shared" ref="C170:D170" si="49">SUMIFS(C2:C161, $A$2:$A$161, $A$170)</f>
        <v>18601341.705302659</v>
      </c>
      <c r="D170" s="181">
        <f t="shared" si="49"/>
        <v>35425221.8698764</v>
      </c>
      <c r="E170" s="181">
        <f>SUMIFS(E2:E161, $A$2:$A$161, $A$170)</f>
        <v>51576146.827867195</v>
      </c>
      <c r="F170" s="181">
        <f t="shared" ref="F170:U170" si="50">SUMIFS(F2:F161, $A$2:$A$161, $A$170)</f>
        <v>67081034.78753835</v>
      </c>
      <c r="G170" s="181">
        <f t="shared" si="50"/>
        <v>81965727.228822663</v>
      </c>
      <c r="H170" s="181">
        <f t="shared" si="50"/>
        <v>96255031.972455591</v>
      </c>
      <c r="I170" s="181">
        <f t="shared" si="50"/>
        <v>109972764.52634323</v>
      </c>
      <c r="J170" s="181">
        <f t="shared" si="50"/>
        <v>105573853.94528948</v>
      </c>
      <c r="K170" s="181">
        <f t="shared" si="50"/>
        <v>101350899.7874779</v>
      </c>
      <c r="L170" s="181">
        <f t="shared" si="50"/>
        <v>90855833.046543881</v>
      </c>
      <c r="M170" s="181">
        <f t="shared" si="50"/>
        <v>81138404.016882509</v>
      </c>
      <c r="N170" s="181">
        <f t="shared" si="50"/>
        <v>71809672.148407564</v>
      </c>
      <c r="O170" s="181">
        <f t="shared" si="50"/>
        <v>62854089.554671638</v>
      </c>
      <c r="P170" s="181">
        <f t="shared" si="50"/>
        <v>54256730.264685139</v>
      </c>
      <c r="Q170" s="181">
        <f t="shared" si="50"/>
        <v>46003265.346298099</v>
      </c>
      <c r="R170" s="181">
        <f t="shared" si="50"/>
        <v>38079939.02464655</v>
      </c>
      <c r="S170" s="181">
        <f t="shared" si="50"/>
        <v>36556741.463660687</v>
      </c>
      <c r="T170" s="181">
        <f t="shared" si="50"/>
        <v>30447979.34455749</v>
      </c>
      <c r="U170" s="181">
        <f t="shared" si="50"/>
        <v>24841706.180249352</v>
      </c>
    </row>
    <row r="171" spans="1:21" x14ac:dyDescent="0.25">
      <c r="A171" s="163" t="s">
        <v>109</v>
      </c>
      <c r="B171" s="181">
        <f>SUMIFS(B2:B161, $A$2:$A$161, $A$171)</f>
        <v>0</v>
      </c>
      <c r="C171" s="181">
        <f t="shared" ref="C171:U171" si="51">SUMIFS(C2:C161, $A$2:$A$161, $A$171)</f>
        <v>204284231.95154271</v>
      </c>
      <c r="D171" s="181">
        <f t="shared" si="51"/>
        <v>257496414.97674048</v>
      </c>
      <c r="E171" s="181">
        <f t="shared" si="51"/>
        <v>308155139.81978941</v>
      </c>
      <c r="F171" s="181">
        <f t="shared" si="51"/>
        <v>356676234.19929314</v>
      </c>
      <c r="G171" s="181">
        <f t="shared" si="51"/>
        <v>403145759.74114257</v>
      </c>
      <c r="H171" s="181">
        <f t="shared" si="51"/>
        <v>447646332.82415628</v>
      </c>
      <c r="I171" s="181">
        <f t="shared" si="51"/>
        <v>490257262.40387356</v>
      </c>
      <c r="J171" s="181">
        <f t="shared" si="51"/>
        <v>497675608.04103297</v>
      </c>
      <c r="K171" s="181">
        <f t="shared" si="51"/>
        <v>499365479.5428344</v>
      </c>
      <c r="L171" s="181">
        <f t="shared" si="51"/>
        <v>430142883.98677826</v>
      </c>
      <c r="M171" s="181">
        <f t="shared" si="51"/>
        <v>413063537.0376724</v>
      </c>
      <c r="N171" s="181">
        <f t="shared" si="51"/>
        <v>396707610.01688021</v>
      </c>
      <c r="O171" s="181">
        <f t="shared" si="51"/>
        <v>380938080.38013041</v>
      </c>
      <c r="P171" s="181">
        <f t="shared" si="51"/>
        <v>365731831.43054503</v>
      </c>
      <c r="Q171" s="181">
        <f t="shared" si="51"/>
        <v>351066669.44312942</v>
      </c>
      <c r="R171" s="181">
        <f t="shared" si="51"/>
        <v>336921286.75437534</v>
      </c>
      <c r="S171" s="181">
        <f t="shared" si="51"/>
        <v>334833298.17306018</v>
      </c>
      <c r="T171" s="181">
        <f t="shared" si="51"/>
        <v>283577067.95763677</v>
      </c>
      <c r="U171" s="181">
        <f t="shared" si="51"/>
        <v>270000904.35440367</v>
      </c>
    </row>
    <row r="173" spans="1:21" x14ac:dyDescent="0.25">
      <c r="A173" s="177"/>
      <c r="B173" s="177">
        <v>2024</v>
      </c>
      <c r="C173" s="177">
        <f>C164</f>
        <v>2025</v>
      </c>
      <c r="D173" s="177">
        <f t="shared" ref="D173:U173" si="52">D164</f>
        <v>2026</v>
      </c>
      <c r="E173" s="177">
        <f t="shared" si="52"/>
        <v>2027</v>
      </c>
      <c r="F173" s="177">
        <f t="shared" si="52"/>
        <v>2028</v>
      </c>
      <c r="G173" s="177">
        <f t="shared" si="52"/>
        <v>2029</v>
      </c>
      <c r="H173" s="177">
        <f t="shared" si="52"/>
        <v>2030</v>
      </c>
      <c r="I173" s="177">
        <f t="shared" si="52"/>
        <v>2031</v>
      </c>
      <c r="J173" s="177">
        <f t="shared" si="52"/>
        <v>2032</v>
      </c>
      <c r="K173" s="177">
        <f t="shared" si="52"/>
        <v>2033</v>
      </c>
      <c r="L173" s="177">
        <f t="shared" si="52"/>
        <v>2034</v>
      </c>
      <c r="M173" s="177">
        <f t="shared" si="52"/>
        <v>2035</v>
      </c>
      <c r="N173" s="177">
        <f t="shared" si="52"/>
        <v>2036</v>
      </c>
      <c r="O173" s="177">
        <f t="shared" si="52"/>
        <v>2037</v>
      </c>
      <c r="P173" s="177">
        <f t="shared" si="52"/>
        <v>2038</v>
      </c>
      <c r="Q173" s="177">
        <f t="shared" si="52"/>
        <v>2039</v>
      </c>
      <c r="R173" s="177">
        <f t="shared" si="52"/>
        <v>2040</v>
      </c>
      <c r="S173" s="177">
        <f t="shared" si="52"/>
        <v>2041</v>
      </c>
      <c r="T173" s="177">
        <f t="shared" si="52"/>
        <v>2042</v>
      </c>
      <c r="U173" s="177">
        <f t="shared" si="52"/>
        <v>2043</v>
      </c>
    </row>
    <row r="174" spans="1:21" x14ac:dyDescent="0.25">
      <c r="A174" s="177" t="s">
        <v>181</v>
      </c>
      <c r="B174" s="249">
        <f>B8</f>
        <v>0</v>
      </c>
      <c r="C174" s="249">
        <f>C8</f>
        <v>0</v>
      </c>
      <c r="D174" s="249">
        <f t="shared" ref="D174:U174" si="53">D8</f>
        <v>0</v>
      </c>
      <c r="E174" s="249">
        <f t="shared" si="53"/>
        <v>0</v>
      </c>
      <c r="F174" s="249">
        <f t="shared" si="53"/>
        <v>0</v>
      </c>
      <c r="G174" s="249">
        <f t="shared" si="53"/>
        <v>0</v>
      </c>
      <c r="H174" s="249">
        <f t="shared" si="53"/>
        <v>0</v>
      </c>
      <c r="I174" s="249">
        <f t="shared" si="53"/>
        <v>0</v>
      </c>
      <c r="J174" s="249">
        <f t="shared" si="53"/>
        <v>0</v>
      </c>
      <c r="K174" s="249">
        <f t="shared" si="53"/>
        <v>0</v>
      </c>
      <c r="L174" s="249">
        <f t="shared" si="53"/>
        <v>0</v>
      </c>
      <c r="M174" s="249">
        <f t="shared" si="53"/>
        <v>0</v>
      </c>
      <c r="N174" s="249">
        <f t="shared" si="53"/>
        <v>0</v>
      </c>
      <c r="O174" s="249">
        <f t="shared" si="53"/>
        <v>0</v>
      </c>
      <c r="P174" s="249">
        <f t="shared" si="53"/>
        <v>0</v>
      </c>
      <c r="Q174" s="249">
        <f t="shared" si="53"/>
        <v>0</v>
      </c>
      <c r="R174" s="249">
        <f t="shared" si="53"/>
        <v>0</v>
      </c>
      <c r="S174" s="249">
        <f t="shared" si="53"/>
        <v>0</v>
      </c>
      <c r="T174" s="249">
        <f t="shared" si="53"/>
        <v>0</v>
      </c>
      <c r="U174" s="249">
        <f t="shared" si="53"/>
        <v>0</v>
      </c>
    </row>
    <row r="175" spans="1:21" x14ac:dyDescent="0.25">
      <c r="A175" s="177" t="s">
        <v>99</v>
      </c>
      <c r="B175" s="249"/>
      <c r="C175" s="182">
        <f>C17+C26</f>
        <v>204284231.95154271</v>
      </c>
      <c r="D175" s="182">
        <f t="shared" ref="D175:U175" si="54">D17+D26</f>
        <v>257496414.97674048</v>
      </c>
      <c r="E175" s="182">
        <f t="shared" si="54"/>
        <v>119886791.65324765</v>
      </c>
      <c r="F175" s="182">
        <f t="shared" si="54"/>
        <v>119367538.15672907</v>
      </c>
      <c r="G175" s="182">
        <f t="shared" si="54"/>
        <v>119149982.88322468</v>
      </c>
      <c r="H175" s="182">
        <f t="shared" si="54"/>
        <v>118933515.38608779</v>
      </c>
      <c r="I175" s="182">
        <f t="shared" si="54"/>
        <v>118718130.2264366</v>
      </c>
      <c r="J175" s="182">
        <f t="shared" si="54"/>
        <v>85124747.710290551</v>
      </c>
      <c r="K175" s="182">
        <f t="shared" si="54"/>
        <v>47544386.511424586</v>
      </c>
      <c r="L175" s="182">
        <f t="shared" si="54"/>
        <v>42221931.334830657</v>
      </c>
      <c r="M175" s="182">
        <f t="shared" si="54"/>
        <v>42010821.678156503</v>
      </c>
      <c r="N175" s="182">
        <f t="shared" si="54"/>
        <v>41800767.569765717</v>
      </c>
      <c r="O175" s="182">
        <f t="shared" si="54"/>
        <v>41591763.73191689</v>
      </c>
      <c r="P175" s="182">
        <f t="shared" si="54"/>
        <v>41383804.913257301</v>
      </c>
      <c r="Q175" s="182">
        <f t="shared" si="54"/>
        <v>41176885.888691016</v>
      </c>
      <c r="R175" s="182">
        <f t="shared" si="54"/>
        <v>40971001.459247559</v>
      </c>
      <c r="S175" s="182">
        <f t="shared" si="54"/>
        <v>40766146.451951325</v>
      </c>
      <c r="T175" s="182">
        <f t="shared" si="54"/>
        <v>40562315.719691567</v>
      </c>
      <c r="U175" s="182">
        <f t="shared" si="54"/>
        <v>40359504.141093105</v>
      </c>
    </row>
    <row r="176" spans="1:21" x14ac:dyDescent="0.25">
      <c r="A176" s="177" t="s">
        <v>100</v>
      </c>
      <c r="B176" s="249"/>
      <c r="C176" s="250">
        <f>C35+C44</f>
        <v>0</v>
      </c>
      <c r="D176" s="250">
        <f t="shared" ref="D176:U176" si="55">D35+D44</f>
        <v>0</v>
      </c>
      <c r="E176" s="250">
        <f t="shared" si="55"/>
        <v>188268348.16654176</v>
      </c>
      <c r="F176" s="250">
        <f t="shared" si="55"/>
        <v>237308696.04256403</v>
      </c>
      <c r="G176" s="250">
        <f t="shared" si="55"/>
        <v>110487667.18763302</v>
      </c>
      <c r="H176" s="250">
        <f t="shared" si="55"/>
        <v>110009123.16524151</v>
      </c>
      <c r="I176" s="250">
        <f t="shared" si="55"/>
        <v>109808624.22517985</v>
      </c>
      <c r="J176" s="250">
        <f t="shared" si="55"/>
        <v>109609127.77981851</v>
      </c>
      <c r="K176" s="250">
        <f t="shared" si="55"/>
        <v>109410628.81668396</v>
      </c>
      <c r="L176" s="250">
        <f t="shared" si="55"/>
        <v>78450967.489803761</v>
      </c>
      <c r="M176" s="250">
        <f t="shared" si="55"/>
        <v>43816906.608928896</v>
      </c>
      <c r="N176" s="250">
        <f t="shared" si="55"/>
        <v>38911731.918179929</v>
      </c>
      <c r="O176" s="250">
        <f t="shared" si="55"/>
        <v>38717173.258589029</v>
      </c>
      <c r="P176" s="250">
        <f t="shared" si="55"/>
        <v>38523587.392296091</v>
      </c>
      <c r="Q176" s="250">
        <f t="shared" si="55"/>
        <v>38330969.455334604</v>
      </c>
      <c r="R176" s="250">
        <f t="shared" si="55"/>
        <v>38139314.608057931</v>
      </c>
      <c r="S176" s="250">
        <f t="shared" si="55"/>
        <v>37948618.035017639</v>
      </c>
      <c r="T176" s="250">
        <f t="shared" si="55"/>
        <v>37758874.944842547</v>
      </c>
      <c r="U176" s="250">
        <f t="shared" si="55"/>
        <v>37570080.570118338</v>
      </c>
    </row>
    <row r="177" spans="1:21" x14ac:dyDescent="0.25">
      <c r="A177" s="177" t="s">
        <v>101</v>
      </c>
      <c r="B177" s="177"/>
      <c r="C177" s="250">
        <f>C53+C62</f>
        <v>0</v>
      </c>
      <c r="D177" s="250">
        <f t="shared" ref="D177:U177" si="56">D53+D62</f>
        <v>0</v>
      </c>
      <c r="E177" s="250">
        <f t="shared" si="56"/>
        <v>0</v>
      </c>
      <c r="F177" s="250">
        <f t="shared" si="56"/>
        <v>0</v>
      </c>
      <c r="G177" s="250">
        <f t="shared" si="56"/>
        <v>173508109.67028487</v>
      </c>
      <c r="H177" s="250">
        <f t="shared" si="56"/>
        <v>218703694.272827</v>
      </c>
      <c r="I177" s="250">
        <f t="shared" si="56"/>
        <v>101825434.08012259</v>
      </c>
      <c r="J177" s="250">
        <f t="shared" si="56"/>
        <v>101384407.90908657</v>
      </c>
      <c r="K177" s="250">
        <f t="shared" si="56"/>
        <v>101199628.08592576</v>
      </c>
      <c r="L177" s="250">
        <f t="shared" si="56"/>
        <v>101015772.16188073</v>
      </c>
      <c r="M177" s="250">
        <f t="shared" si="56"/>
        <v>100832835.51745594</v>
      </c>
      <c r="N177" s="250">
        <f t="shared" si="56"/>
        <v>72300411.638603151</v>
      </c>
      <c r="O177" s="250">
        <f t="shared" si="56"/>
        <v>40381661.13078887</v>
      </c>
      <c r="P177" s="250">
        <f t="shared" si="56"/>
        <v>35861052.135794625</v>
      </c>
      <c r="Q177" s="250">
        <f t="shared" si="56"/>
        <v>35681746.875115648</v>
      </c>
      <c r="R177" s="250">
        <f t="shared" si="56"/>
        <v>35503338.140740074</v>
      </c>
      <c r="S177" s="250">
        <f t="shared" si="56"/>
        <v>35325821.450036377</v>
      </c>
      <c r="T177" s="250">
        <f t="shared" si="56"/>
        <v>35149192.342786185</v>
      </c>
      <c r="U177" s="250">
        <f t="shared" si="56"/>
        <v>34973446.381072253</v>
      </c>
    </row>
    <row r="178" spans="1:21" x14ac:dyDescent="0.25">
      <c r="A178" s="177" t="s">
        <v>102</v>
      </c>
      <c r="B178" s="177"/>
      <c r="C178" s="250">
        <f>C71+C80</f>
        <v>0</v>
      </c>
      <c r="D178" s="250">
        <f t="shared" ref="D178:U178" si="57">D71+D80</f>
        <v>0</v>
      </c>
      <c r="E178" s="250">
        <f t="shared" si="57"/>
        <v>0</v>
      </c>
      <c r="F178" s="250">
        <f t="shared" si="57"/>
        <v>0</v>
      </c>
      <c r="G178" s="250">
        <f t="shared" si="57"/>
        <v>0</v>
      </c>
      <c r="H178" s="250">
        <f t="shared" si="57"/>
        <v>0</v>
      </c>
      <c r="I178" s="250">
        <f t="shared" si="57"/>
        <v>159905073.87213451</v>
      </c>
      <c r="J178" s="250">
        <f t="shared" si="57"/>
        <v>201557324.64183736</v>
      </c>
      <c r="K178" s="250">
        <f t="shared" si="57"/>
        <v>93842320.048240975</v>
      </c>
      <c r="L178" s="250">
        <f t="shared" si="57"/>
        <v>93435870.329014182</v>
      </c>
      <c r="M178" s="250">
        <f t="shared" si="57"/>
        <v>93265577.24398917</v>
      </c>
      <c r="N178" s="250">
        <f t="shared" si="57"/>
        <v>93096135.624389276</v>
      </c>
      <c r="O178" s="250">
        <f t="shared" si="57"/>
        <v>92927541.212887377</v>
      </c>
      <c r="P178" s="250">
        <f t="shared" si="57"/>
        <v>66632059.366136663</v>
      </c>
      <c r="Q178" s="250">
        <f t="shared" si="57"/>
        <v>37215738.898135021</v>
      </c>
      <c r="R178" s="250">
        <f t="shared" si="57"/>
        <v>33049545.64834832</v>
      </c>
      <c r="S178" s="250">
        <f t="shared" si="57"/>
        <v>32884297.920106575</v>
      </c>
      <c r="T178" s="250">
        <f t="shared" si="57"/>
        <v>32719876.430506047</v>
      </c>
      <c r="U178" s="250">
        <f t="shared" si="57"/>
        <v>32556277.048353516</v>
      </c>
    </row>
    <row r="179" spans="1:21" x14ac:dyDescent="0.25">
      <c r="A179" s="177" t="s">
        <v>103</v>
      </c>
      <c r="B179" s="177"/>
      <c r="C179" s="250">
        <f>C89+C98</f>
        <v>0</v>
      </c>
      <c r="D179" s="250">
        <f t="shared" ref="D179:U179" si="58">D89+D98</f>
        <v>0</v>
      </c>
      <c r="E179" s="250">
        <f t="shared" si="58"/>
        <v>0</v>
      </c>
      <c r="F179" s="250">
        <f t="shared" si="58"/>
        <v>0</v>
      </c>
      <c r="G179" s="250">
        <f t="shared" si="58"/>
        <v>0</v>
      </c>
      <c r="H179" s="250">
        <f t="shared" si="58"/>
        <v>0</v>
      </c>
      <c r="I179" s="250">
        <f t="shared" si="58"/>
        <v>0</v>
      </c>
      <c r="J179" s="250">
        <f t="shared" si="58"/>
        <v>0</v>
      </c>
      <c r="K179" s="250">
        <f t="shared" si="58"/>
        <v>147368516.08055916</v>
      </c>
      <c r="L179" s="250">
        <f t="shared" si="58"/>
        <v>115018342.6712489</v>
      </c>
      <c r="M179" s="250">
        <f t="shared" si="58"/>
        <v>65229983.779220238</v>
      </c>
      <c r="N179" s="250">
        <f t="shared" si="58"/>
        <v>65002553.102268293</v>
      </c>
      <c r="O179" s="250">
        <f t="shared" si="58"/>
        <v>64884144.095588192</v>
      </c>
      <c r="P179" s="250">
        <f t="shared" si="58"/>
        <v>64766327.133941486</v>
      </c>
      <c r="Q179" s="250">
        <f t="shared" si="58"/>
        <v>64649099.257103026</v>
      </c>
      <c r="R179" s="250">
        <f t="shared" si="58"/>
        <v>40453141.176275209</v>
      </c>
      <c r="S179" s="250">
        <f t="shared" si="58"/>
        <v>24938900.276976168</v>
      </c>
      <c r="T179" s="250">
        <f t="shared" si="58"/>
        <v>22980168.988510877</v>
      </c>
      <c r="U179" s="250">
        <f t="shared" si="58"/>
        <v>22865268.143568326</v>
      </c>
    </row>
    <row r="180" spans="1:21" x14ac:dyDescent="0.25">
      <c r="A180" s="177" t="s">
        <v>104</v>
      </c>
      <c r="B180" s="177"/>
      <c r="C180" s="250">
        <f>C107+C116</f>
        <v>0</v>
      </c>
      <c r="D180" s="250">
        <f t="shared" ref="D180:U180" si="59">D107+D116</f>
        <v>0</v>
      </c>
      <c r="E180" s="250">
        <f t="shared" si="59"/>
        <v>0</v>
      </c>
      <c r="F180" s="250">
        <f t="shared" si="59"/>
        <v>0</v>
      </c>
      <c r="G180" s="250">
        <f t="shared" si="59"/>
        <v>0</v>
      </c>
      <c r="H180" s="250">
        <f t="shared" si="59"/>
        <v>0</v>
      </c>
      <c r="I180" s="250">
        <f t="shared" si="59"/>
        <v>0</v>
      </c>
      <c r="J180" s="250">
        <f t="shared" si="59"/>
        <v>0</v>
      </c>
      <c r="K180" s="250">
        <f t="shared" si="59"/>
        <v>0</v>
      </c>
      <c r="L180" s="250">
        <f t="shared" si="59"/>
        <v>0</v>
      </c>
      <c r="M180" s="250">
        <f>M107+M116</f>
        <v>67907412.209921643</v>
      </c>
      <c r="N180" s="250">
        <f t="shared" si="59"/>
        <v>85596010.163673878</v>
      </c>
      <c r="O180" s="250">
        <f t="shared" si="59"/>
        <v>39852325.85769625</v>
      </c>
      <c r="P180" s="250">
        <f t="shared" si="59"/>
        <v>39679717.522277124</v>
      </c>
      <c r="Q180" s="250">
        <f t="shared" si="59"/>
        <v>39607398.599298231</v>
      </c>
      <c r="R180" s="250">
        <f t="shared" si="59"/>
        <v>39535441.270934232</v>
      </c>
      <c r="S180" s="250">
        <f t="shared" si="59"/>
        <v>39463843.729212061</v>
      </c>
      <c r="T180" s="250">
        <f t="shared" si="59"/>
        <v>28296855.20417197</v>
      </c>
      <c r="U180" s="250">
        <f t="shared" si="59"/>
        <v>15804529.90549458</v>
      </c>
    </row>
    <row r="181" spans="1:21" x14ac:dyDescent="0.25">
      <c r="A181" s="177" t="s">
        <v>105</v>
      </c>
      <c r="B181" s="177"/>
      <c r="C181" s="250">
        <f>C125+C134</f>
        <v>0</v>
      </c>
      <c r="D181" s="250">
        <f t="shared" ref="D181:U181" si="60">D125+D134</f>
        <v>0</v>
      </c>
      <c r="E181" s="250">
        <f t="shared" si="60"/>
        <v>0</v>
      </c>
      <c r="F181" s="250">
        <f t="shared" si="60"/>
        <v>0</v>
      </c>
      <c r="G181" s="250">
        <f t="shared" si="60"/>
        <v>0</v>
      </c>
      <c r="H181" s="250">
        <f t="shared" si="60"/>
        <v>0</v>
      </c>
      <c r="I181" s="250">
        <f t="shared" si="60"/>
        <v>0</v>
      </c>
      <c r="J181" s="250">
        <f t="shared" si="60"/>
        <v>0</v>
      </c>
      <c r="K181" s="250">
        <f t="shared" si="60"/>
        <v>0</v>
      </c>
      <c r="L181" s="250">
        <f t="shared" si="60"/>
        <v>0</v>
      </c>
      <c r="M181" s="250">
        <f t="shared" si="60"/>
        <v>0</v>
      </c>
      <c r="N181" s="250">
        <f t="shared" si="60"/>
        <v>0</v>
      </c>
      <c r="O181" s="250">
        <f t="shared" si="60"/>
        <v>62583471.092663795</v>
      </c>
      <c r="P181" s="250">
        <f t="shared" si="60"/>
        <v>78885282.966841832</v>
      </c>
      <c r="Q181" s="250">
        <f t="shared" si="60"/>
        <v>36727903.510452852</v>
      </c>
      <c r="R181" s="250">
        <f t="shared" si="60"/>
        <v>36568827.668530591</v>
      </c>
      <c r="S181" s="250">
        <f t="shared" si="60"/>
        <v>36502178.549113244</v>
      </c>
      <c r="T181" s="250">
        <f t="shared" si="60"/>
        <v>36435862.675292984</v>
      </c>
      <c r="U181" s="250">
        <f t="shared" si="60"/>
        <v>36369878.380841836</v>
      </c>
    </row>
    <row r="182" spans="1:21" x14ac:dyDescent="0.25">
      <c r="A182" s="177" t="s">
        <v>106</v>
      </c>
      <c r="B182" s="177"/>
      <c r="C182" s="250">
        <f>C143+C152</f>
        <v>0</v>
      </c>
      <c r="D182" s="250">
        <f t="shared" ref="D182:U182" si="61">D143+D152</f>
        <v>0</v>
      </c>
      <c r="E182" s="250">
        <f t="shared" si="61"/>
        <v>0</v>
      </c>
      <c r="F182" s="250">
        <f t="shared" si="61"/>
        <v>0</v>
      </c>
      <c r="G182" s="250">
        <f t="shared" si="61"/>
        <v>0</v>
      </c>
      <c r="H182" s="250">
        <f t="shared" si="61"/>
        <v>0</v>
      </c>
      <c r="I182" s="250">
        <f t="shared" si="61"/>
        <v>0</v>
      </c>
      <c r="J182" s="250">
        <f t="shared" si="61"/>
        <v>0</v>
      </c>
      <c r="K182" s="250">
        <f t="shared" si="61"/>
        <v>0</v>
      </c>
      <c r="L182" s="250">
        <f t="shared" si="61"/>
        <v>0</v>
      </c>
      <c r="M182" s="250">
        <f t="shared" si="61"/>
        <v>0</v>
      </c>
      <c r="N182" s="250">
        <f t="shared" si="61"/>
        <v>0</v>
      </c>
      <c r="O182" s="250">
        <f t="shared" si="61"/>
        <v>0</v>
      </c>
      <c r="P182" s="250">
        <f t="shared" si="61"/>
        <v>0</v>
      </c>
      <c r="Q182" s="250">
        <f t="shared" si="61"/>
        <v>57676926.958998948</v>
      </c>
      <c r="R182" s="250">
        <f t="shared" si="61"/>
        <v>72700676.782241434</v>
      </c>
      <c r="S182" s="250">
        <f t="shared" si="61"/>
        <v>33848435.875233345</v>
      </c>
      <c r="T182" s="250">
        <f t="shared" si="61"/>
        <v>33701831.579317793</v>
      </c>
      <c r="U182" s="250">
        <f t="shared" si="61"/>
        <v>33640407.750862762</v>
      </c>
    </row>
    <row r="183" spans="1:21" x14ac:dyDescent="0.25">
      <c r="A183" s="177" t="s">
        <v>107</v>
      </c>
      <c r="B183" s="177"/>
      <c r="C183" s="250">
        <f>C161*2</f>
        <v>0</v>
      </c>
      <c r="D183" s="250">
        <f t="shared" ref="D183:U183" si="62">D161*2</f>
        <v>0</v>
      </c>
      <c r="E183" s="250">
        <f t="shared" si="62"/>
        <v>0</v>
      </c>
      <c r="F183" s="250">
        <f t="shared" si="62"/>
        <v>0</v>
      </c>
      <c r="G183" s="250">
        <f t="shared" si="62"/>
        <v>0</v>
      </c>
      <c r="H183" s="250">
        <f t="shared" si="62"/>
        <v>0</v>
      </c>
      <c r="I183" s="250">
        <f t="shared" si="62"/>
        <v>0</v>
      </c>
      <c r="J183" s="250">
        <f t="shared" si="62"/>
        <v>0</v>
      </c>
      <c r="K183" s="250">
        <f t="shared" si="62"/>
        <v>0</v>
      </c>
      <c r="L183" s="250">
        <f t="shared" si="62"/>
        <v>0</v>
      </c>
      <c r="M183" s="250">
        <f t="shared" si="62"/>
        <v>0</v>
      </c>
      <c r="N183" s="250">
        <f t="shared" si="62"/>
        <v>0</v>
      </c>
      <c r="O183" s="250">
        <f t="shared" si="62"/>
        <v>0</v>
      </c>
      <c r="P183" s="250">
        <f t="shared" si="62"/>
        <v>0</v>
      </c>
      <c r="Q183" s="250">
        <f t="shared" si="62"/>
        <v>0</v>
      </c>
      <c r="R183" s="250">
        <f t="shared" si="62"/>
        <v>0</v>
      </c>
      <c r="S183" s="250">
        <f t="shared" si="62"/>
        <v>106310111.77082686</v>
      </c>
      <c r="T183" s="250">
        <f t="shared" si="62"/>
        <v>31944180.145033624</v>
      </c>
      <c r="U183" s="250">
        <f t="shared" si="62"/>
        <v>31723024.065997824</v>
      </c>
    </row>
    <row r="185" spans="1:21" x14ac:dyDescent="0.25">
      <c r="A185" s="181" cm="1">
        <f t="array" ref="A185:K205">TRANSPOSE(A173:U183)</f>
        <v>0</v>
      </c>
      <c r="B185" s="181" t="str">
        <v>2023 TBD</v>
      </c>
      <c r="C185" s="181" t="str">
        <v>24-25 Plan</v>
      </c>
      <c r="D185" s="181" t="str">
        <v>26-27 Plan</v>
      </c>
      <c r="E185" s="181" t="str">
        <v>28-29 Plan</v>
      </c>
      <c r="F185" s="181" t="str">
        <v>30-31 Plan</v>
      </c>
      <c r="G185" s="181" t="str">
        <v>32-33 Plan</v>
      </c>
      <c r="H185" s="181" t="str">
        <v>34-35 Plan</v>
      </c>
      <c r="I185" s="181" t="str">
        <v>36-37 Plan</v>
      </c>
      <c r="J185" s="181" t="str">
        <v>38-39 Plan</v>
      </c>
      <c r="K185" s="181" t="str">
        <v>40-41 Plan</v>
      </c>
    </row>
    <row r="186" spans="1:21" x14ac:dyDescent="0.25">
      <c r="A186" s="177">
        <v>2024</v>
      </c>
      <c r="B186" s="181">
        <v>0</v>
      </c>
      <c r="C186" s="181">
        <v>0</v>
      </c>
      <c r="D186" s="181">
        <v>0</v>
      </c>
      <c r="E186" s="181">
        <v>0</v>
      </c>
      <c r="F186" s="181">
        <v>0</v>
      </c>
      <c r="G186" s="181">
        <v>0</v>
      </c>
      <c r="H186" s="181">
        <v>0</v>
      </c>
      <c r="I186" s="181">
        <v>0</v>
      </c>
      <c r="J186" s="181">
        <v>0</v>
      </c>
      <c r="K186" s="181">
        <v>0</v>
      </c>
    </row>
    <row r="187" spans="1:21" x14ac:dyDescent="0.25">
      <c r="A187" s="177">
        <v>2025</v>
      </c>
      <c r="B187" s="181">
        <v>0</v>
      </c>
      <c r="C187" s="181">
        <v>204284231.95154271</v>
      </c>
      <c r="D187" s="181">
        <v>0</v>
      </c>
      <c r="E187" s="181">
        <v>0</v>
      </c>
      <c r="F187" s="181">
        <v>0</v>
      </c>
      <c r="G187" s="181">
        <v>0</v>
      </c>
      <c r="H187" s="181">
        <v>0</v>
      </c>
      <c r="I187" s="181">
        <v>0</v>
      </c>
      <c r="J187" s="181">
        <v>0</v>
      </c>
      <c r="K187" s="181">
        <v>0</v>
      </c>
    </row>
    <row r="188" spans="1:21" x14ac:dyDescent="0.25">
      <c r="A188" s="177">
        <v>2026</v>
      </c>
      <c r="B188" s="181">
        <v>0</v>
      </c>
      <c r="C188" s="181">
        <v>257496414.97674048</v>
      </c>
      <c r="D188" s="181">
        <v>0</v>
      </c>
      <c r="E188" s="181">
        <v>0</v>
      </c>
      <c r="F188" s="181">
        <v>0</v>
      </c>
      <c r="G188" s="181">
        <v>0</v>
      </c>
      <c r="H188" s="181">
        <v>0</v>
      </c>
      <c r="I188" s="181">
        <v>0</v>
      </c>
      <c r="J188" s="181">
        <v>0</v>
      </c>
      <c r="K188" s="181">
        <v>0</v>
      </c>
    </row>
    <row r="189" spans="1:21" x14ac:dyDescent="0.25">
      <c r="A189" s="177">
        <v>2027</v>
      </c>
      <c r="B189" s="181">
        <v>0</v>
      </c>
      <c r="C189" s="181">
        <v>119886791.65324765</v>
      </c>
      <c r="D189" s="181">
        <v>188268348.16654176</v>
      </c>
      <c r="E189" s="181">
        <v>0</v>
      </c>
      <c r="F189" s="181">
        <v>0</v>
      </c>
      <c r="G189" s="181">
        <v>0</v>
      </c>
      <c r="H189" s="181">
        <v>0</v>
      </c>
      <c r="I189" s="181">
        <v>0</v>
      </c>
      <c r="J189" s="181">
        <v>0</v>
      </c>
      <c r="K189" s="181">
        <v>0</v>
      </c>
    </row>
    <row r="190" spans="1:21" x14ac:dyDescent="0.25">
      <c r="A190" s="177">
        <v>2028</v>
      </c>
      <c r="B190" s="181">
        <v>0</v>
      </c>
      <c r="C190" s="181">
        <v>119367538.15672907</v>
      </c>
      <c r="D190" s="181">
        <v>237308696.04256403</v>
      </c>
      <c r="E190" s="181">
        <v>0</v>
      </c>
      <c r="F190" s="181">
        <v>0</v>
      </c>
      <c r="G190" s="181">
        <v>0</v>
      </c>
      <c r="H190" s="181">
        <v>0</v>
      </c>
      <c r="I190" s="181">
        <v>0</v>
      </c>
      <c r="J190" s="181">
        <v>0</v>
      </c>
      <c r="K190" s="181">
        <v>0</v>
      </c>
    </row>
    <row r="191" spans="1:21" x14ac:dyDescent="0.25">
      <c r="A191" s="177">
        <v>2029</v>
      </c>
      <c r="B191" s="181">
        <v>0</v>
      </c>
      <c r="C191" s="181">
        <v>119149982.88322468</v>
      </c>
      <c r="D191" s="181">
        <v>110487667.18763302</v>
      </c>
      <c r="E191" s="181">
        <v>173508109.67028487</v>
      </c>
      <c r="F191" s="181">
        <v>0</v>
      </c>
      <c r="G191" s="181">
        <v>0</v>
      </c>
      <c r="H191" s="181">
        <v>0</v>
      </c>
      <c r="I191" s="181">
        <v>0</v>
      </c>
      <c r="J191" s="181">
        <v>0</v>
      </c>
      <c r="K191" s="181">
        <v>0</v>
      </c>
    </row>
    <row r="192" spans="1:21" x14ac:dyDescent="0.25">
      <c r="A192" s="177">
        <v>2030</v>
      </c>
      <c r="B192" s="181">
        <v>0</v>
      </c>
      <c r="C192" s="181">
        <v>118933515.38608779</v>
      </c>
      <c r="D192" s="181">
        <v>110009123.16524151</v>
      </c>
      <c r="E192" s="181">
        <v>218703694.272827</v>
      </c>
      <c r="F192" s="181">
        <v>0</v>
      </c>
      <c r="G192" s="181">
        <v>0</v>
      </c>
      <c r="H192" s="181">
        <v>0</v>
      </c>
      <c r="I192" s="181">
        <v>0</v>
      </c>
      <c r="J192" s="181">
        <v>0</v>
      </c>
      <c r="K192" s="181">
        <v>0</v>
      </c>
    </row>
    <row r="193" spans="1:11" x14ac:dyDescent="0.25">
      <c r="A193" s="177">
        <v>2031</v>
      </c>
      <c r="B193" s="181">
        <v>0</v>
      </c>
      <c r="C193" s="181">
        <v>118718130.2264366</v>
      </c>
      <c r="D193" s="181">
        <v>109808624.22517985</v>
      </c>
      <c r="E193" s="181">
        <v>101825434.08012259</v>
      </c>
      <c r="F193" s="181">
        <v>159905073.87213451</v>
      </c>
      <c r="G193" s="181">
        <v>0</v>
      </c>
      <c r="H193" s="181">
        <v>0</v>
      </c>
      <c r="I193" s="181">
        <v>0</v>
      </c>
      <c r="J193" s="181">
        <v>0</v>
      </c>
      <c r="K193" s="181">
        <v>0</v>
      </c>
    </row>
    <row r="194" spans="1:11" x14ac:dyDescent="0.25">
      <c r="A194" s="177">
        <v>2032</v>
      </c>
      <c r="B194" s="181">
        <v>0</v>
      </c>
      <c r="C194" s="181">
        <v>85124747.710290551</v>
      </c>
      <c r="D194" s="181">
        <v>109609127.77981851</v>
      </c>
      <c r="E194" s="181">
        <v>101384407.90908657</v>
      </c>
      <c r="F194" s="181">
        <v>201557324.64183736</v>
      </c>
      <c r="G194" s="181">
        <v>0</v>
      </c>
      <c r="H194" s="181">
        <v>0</v>
      </c>
      <c r="I194" s="181">
        <v>0</v>
      </c>
      <c r="J194" s="181">
        <v>0</v>
      </c>
      <c r="K194" s="181">
        <v>0</v>
      </c>
    </row>
    <row r="195" spans="1:11" x14ac:dyDescent="0.25">
      <c r="A195" s="177">
        <v>2033</v>
      </c>
      <c r="B195" s="181">
        <v>0</v>
      </c>
      <c r="C195" s="181">
        <v>47544386.511424586</v>
      </c>
      <c r="D195" s="181">
        <v>109410628.81668396</v>
      </c>
      <c r="E195" s="181">
        <v>101199628.08592576</v>
      </c>
      <c r="F195" s="181">
        <v>93842320.048240975</v>
      </c>
      <c r="G195" s="181">
        <v>147368516.08055916</v>
      </c>
      <c r="H195" s="181">
        <v>0</v>
      </c>
      <c r="I195" s="181">
        <v>0</v>
      </c>
      <c r="J195" s="181">
        <v>0</v>
      </c>
      <c r="K195" s="181">
        <v>0</v>
      </c>
    </row>
    <row r="196" spans="1:11" x14ac:dyDescent="0.25">
      <c r="A196" s="177">
        <v>2034</v>
      </c>
      <c r="B196" s="181">
        <v>0</v>
      </c>
      <c r="C196" s="181">
        <v>42221931.334830657</v>
      </c>
      <c r="D196" s="181">
        <v>78450967.489803761</v>
      </c>
      <c r="E196" s="181">
        <v>101015772.16188073</v>
      </c>
      <c r="F196" s="181">
        <v>93435870.329014182</v>
      </c>
      <c r="G196" s="181">
        <v>115018342.6712489</v>
      </c>
      <c r="H196" s="181">
        <v>0</v>
      </c>
      <c r="I196" s="181">
        <v>0</v>
      </c>
      <c r="J196" s="181">
        <v>0</v>
      </c>
      <c r="K196" s="181">
        <v>0</v>
      </c>
    </row>
    <row r="197" spans="1:11" x14ac:dyDescent="0.25">
      <c r="A197" s="177">
        <v>2035</v>
      </c>
      <c r="B197" s="181">
        <v>0</v>
      </c>
      <c r="C197" s="181">
        <v>42010821.678156503</v>
      </c>
      <c r="D197" s="181">
        <v>43816906.608928896</v>
      </c>
      <c r="E197" s="181">
        <v>100832835.51745594</v>
      </c>
      <c r="F197" s="181">
        <v>93265577.24398917</v>
      </c>
      <c r="G197" s="181">
        <v>65229983.779220238</v>
      </c>
      <c r="H197" s="181">
        <v>67907412.209921643</v>
      </c>
      <c r="I197" s="181">
        <v>0</v>
      </c>
      <c r="J197" s="181">
        <v>0</v>
      </c>
      <c r="K197" s="181">
        <v>0</v>
      </c>
    </row>
    <row r="198" spans="1:11" x14ac:dyDescent="0.25">
      <c r="A198" s="177">
        <v>2036</v>
      </c>
      <c r="B198" s="181">
        <v>0</v>
      </c>
      <c r="C198" s="181">
        <v>41800767.569765717</v>
      </c>
      <c r="D198" s="181">
        <v>38911731.918179929</v>
      </c>
      <c r="E198" s="181">
        <v>72300411.638603151</v>
      </c>
      <c r="F198" s="181">
        <v>93096135.624389276</v>
      </c>
      <c r="G198" s="181">
        <v>65002553.102268293</v>
      </c>
      <c r="H198" s="181">
        <v>85596010.163673878</v>
      </c>
      <c r="I198" s="181">
        <v>0</v>
      </c>
      <c r="J198" s="181">
        <v>0</v>
      </c>
      <c r="K198" s="181">
        <v>0</v>
      </c>
    </row>
    <row r="199" spans="1:11" x14ac:dyDescent="0.25">
      <c r="A199" s="177">
        <v>2037</v>
      </c>
      <c r="B199" s="181">
        <v>0</v>
      </c>
      <c r="C199" s="181">
        <v>41591763.73191689</v>
      </c>
      <c r="D199" s="181">
        <v>38717173.258589029</v>
      </c>
      <c r="E199" s="181">
        <v>40381661.13078887</v>
      </c>
      <c r="F199" s="181">
        <v>92927541.212887377</v>
      </c>
      <c r="G199" s="181">
        <v>64884144.095588192</v>
      </c>
      <c r="H199" s="181">
        <v>39852325.85769625</v>
      </c>
      <c r="I199" s="181">
        <v>62583471.092663795</v>
      </c>
      <c r="J199" s="181">
        <v>0</v>
      </c>
      <c r="K199" s="181">
        <v>0</v>
      </c>
    </row>
    <row r="200" spans="1:11" x14ac:dyDescent="0.25">
      <c r="A200" s="177">
        <v>2038</v>
      </c>
      <c r="B200" s="181">
        <v>0</v>
      </c>
      <c r="C200" s="181">
        <v>41383804.913257301</v>
      </c>
      <c r="D200" s="181">
        <v>38523587.392296091</v>
      </c>
      <c r="E200" s="181">
        <v>35861052.135794625</v>
      </c>
      <c r="F200" s="181">
        <v>66632059.366136663</v>
      </c>
      <c r="G200" s="181">
        <v>64766327.133941486</v>
      </c>
      <c r="H200" s="181">
        <v>39679717.522277124</v>
      </c>
      <c r="I200" s="181">
        <v>78885282.966841832</v>
      </c>
      <c r="J200" s="181">
        <v>0</v>
      </c>
      <c r="K200" s="181">
        <v>0</v>
      </c>
    </row>
    <row r="201" spans="1:11" x14ac:dyDescent="0.25">
      <c r="A201" s="177">
        <v>2039</v>
      </c>
      <c r="B201" s="181">
        <v>0</v>
      </c>
      <c r="C201" s="181">
        <v>41176885.888691016</v>
      </c>
      <c r="D201" s="181">
        <v>38330969.455334604</v>
      </c>
      <c r="E201" s="181">
        <v>35681746.875115648</v>
      </c>
      <c r="F201" s="181">
        <v>37215738.898135021</v>
      </c>
      <c r="G201" s="181">
        <v>64649099.257103026</v>
      </c>
      <c r="H201" s="181">
        <v>39607398.599298231</v>
      </c>
      <c r="I201" s="181">
        <v>36727903.510452852</v>
      </c>
      <c r="J201" s="181">
        <v>57676926.958998948</v>
      </c>
      <c r="K201" s="181">
        <v>0</v>
      </c>
    </row>
    <row r="202" spans="1:11" x14ac:dyDescent="0.25">
      <c r="A202" s="177">
        <v>2040</v>
      </c>
      <c r="B202" s="181">
        <v>0</v>
      </c>
      <c r="C202" s="181">
        <v>40971001.459247559</v>
      </c>
      <c r="D202" s="181">
        <v>38139314.608057931</v>
      </c>
      <c r="E202" s="181">
        <v>35503338.140740074</v>
      </c>
      <c r="F202" s="181">
        <v>33049545.64834832</v>
      </c>
      <c r="G202" s="181">
        <v>40453141.176275209</v>
      </c>
      <c r="H202" s="181">
        <v>39535441.270934232</v>
      </c>
      <c r="I202" s="181">
        <v>36568827.668530591</v>
      </c>
      <c r="J202" s="181">
        <v>72700676.782241434</v>
      </c>
      <c r="K202" s="181">
        <v>0</v>
      </c>
    </row>
    <row r="203" spans="1:11" x14ac:dyDescent="0.25">
      <c r="A203" s="177">
        <v>2041</v>
      </c>
      <c r="B203" s="181">
        <v>0</v>
      </c>
      <c r="C203" s="181">
        <v>40766146.451951325</v>
      </c>
      <c r="D203" s="181">
        <v>37948618.035017639</v>
      </c>
      <c r="E203" s="181">
        <v>35325821.450036377</v>
      </c>
      <c r="F203" s="181">
        <v>32884297.920106575</v>
      </c>
      <c r="G203" s="181">
        <v>24938900.276976168</v>
      </c>
      <c r="H203" s="181">
        <v>39463843.729212061</v>
      </c>
      <c r="I203" s="181">
        <v>36502178.549113244</v>
      </c>
      <c r="J203" s="181">
        <v>33848435.875233345</v>
      </c>
      <c r="K203" s="181">
        <v>106310111.77082686</v>
      </c>
    </row>
    <row r="204" spans="1:11" x14ac:dyDescent="0.25">
      <c r="A204" s="177">
        <v>2042</v>
      </c>
      <c r="B204" s="181">
        <v>0</v>
      </c>
      <c r="C204" s="181">
        <v>40562315.719691567</v>
      </c>
      <c r="D204" s="181">
        <v>37758874.944842547</v>
      </c>
      <c r="E204" s="181">
        <v>35149192.342786185</v>
      </c>
      <c r="F204" s="181">
        <v>32719876.430506047</v>
      </c>
      <c r="G204" s="181">
        <v>22980168.988510877</v>
      </c>
      <c r="H204" s="181">
        <v>28296855.20417197</v>
      </c>
      <c r="I204" s="181">
        <v>36435862.675292984</v>
      </c>
      <c r="J204" s="181">
        <v>33701831.579317793</v>
      </c>
      <c r="K204" s="181">
        <v>31944180.145033624</v>
      </c>
    </row>
    <row r="205" spans="1:11" x14ac:dyDescent="0.25">
      <c r="A205" s="177">
        <v>2043</v>
      </c>
      <c r="B205" s="181">
        <v>0</v>
      </c>
      <c r="C205" s="181">
        <v>40359504.141093105</v>
      </c>
      <c r="D205" s="181">
        <v>37570080.570118338</v>
      </c>
      <c r="E205" s="181">
        <v>34973446.381072253</v>
      </c>
      <c r="F205" s="181">
        <v>32556277.048353516</v>
      </c>
      <c r="G205" s="181">
        <v>22865268.143568326</v>
      </c>
      <c r="H205" s="181">
        <v>15804529.90549458</v>
      </c>
      <c r="I205" s="181">
        <v>36369878.380841836</v>
      </c>
      <c r="J205" s="181">
        <v>33640407.750862762</v>
      </c>
      <c r="K205" s="181">
        <v>31723024.065997824</v>
      </c>
    </row>
  </sheetData>
  <printOptions horizontalCentered="1" verticalCentered="1"/>
  <pageMargins left="0.7" right="0.7" top="0.75" bottom="0.75" header="0.3" footer="0.3"/>
  <pageSetup scale="33" fitToHeight="4" orientation="landscape" r:id="rId1"/>
  <headerFooter>
    <oddHeader>&amp;A</oddHeader>
  </headerFooter>
  <rowBreaks count="2" manualBreakCount="2">
    <brk id="17" max="16383" man="1"/>
    <brk id="44" max="16383" man="1"/>
  </rowBreaks>
  <customProperties>
    <customPr name="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9F846-B6DB-4A78-A0BE-EABEF70D73BB}">
  <sheetPr>
    <tabColor theme="7" tint="0.59999389629810485"/>
    <pageSetUpPr fitToPage="1"/>
  </sheetPr>
  <dimension ref="A1:R116"/>
  <sheetViews>
    <sheetView zoomScaleNormal="100" workbookViewId="0">
      <selection activeCell="K7" sqref="K7:M7"/>
    </sheetView>
  </sheetViews>
  <sheetFormatPr defaultRowHeight="15" x14ac:dyDescent="0.25"/>
  <cols>
    <col min="1" max="1" width="12.5703125" bestFit="1" customWidth="1"/>
    <col min="4" max="4" width="14.7109375" customWidth="1"/>
    <col min="5" max="5" width="14.5703125" bestFit="1" customWidth="1"/>
    <col min="8" max="8" width="14.5703125" bestFit="1" customWidth="1"/>
    <col min="10" max="10" width="12.5703125" bestFit="1" customWidth="1"/>
    <col min="11" max="11" width="16.85546875" bestFit="1" customWidth="1"/>
    <col min="12" max="12" width="15.42578125" bestFit="1" customWidth="1"/>
    <col min="13" max="13" width="19.85546875" customWidth="1"/>
    <col min="14" max="14" width="14.5703125" bestFit="1" customWidth="1"/>
    <col min="15" max="16" width="15.7109375" bestFit="1" customWidth="1"/>
    <col min="17" max="17" width="14.42578125" customWidth="1"/>
  </cols>
  <sheetData>
    <row r="1" spans="1:18" x14ac:dyDescent="0.25">
      <c r="A1" s="252" t="s">
        <v>183</v>
      </c>
      <c r="B1" s="253" t="s">
        <v>184</v>
      </c>
      <c r="C1" s="253" t="s">
        <v>184</v>
      </c>
      <c r="D1" s="253" t="s">
        <v>184</v>
      </c>
      <c r="E1" s="253" t="s">
        <v>184</v>
      </c>
      <c r="F1" s="253" t="s">
        <v>184</v>
      </c>
      <c r="G1" s="253" t="s">
        <v>184</v>
      </c>
      <c r="H1" s="254"/>
      <c r="I1" s="254"/>
      <c r="J1" s="252" t="s">
        <v>183</v>
      </c>
      <c r="K1" s="253" t="s">
        <v>184</v>
      </c>
      <c r="L1" s="253" t="s">
        <v>184</v>
      </c>
      <c r="M1" s="253" t="s">
        <v>184</v>
      </c>
      <c r="N1" s="253" t="s">
        <v>184</v>
      </c>
      <c r="O1" s="253" t="s">
        <v>184</v>
      </c>
      <c r="P1" s="255" t="s">
        <v>184</v>
      </c>
      <c r="Q1" s="254"/>
      <c r="R1" s="254" t="s">
        <v>185</v>
      </c>
    </row>
    <row r="2" spans="1:18" x14ac:dyDescent="0.25">
      <c r="A2" s="256" t="s">
        <v>1</v>
      </c>
      <c r="B2" s="257" t="s">
        <v>186</v>
      </c>
      <c r="C2" s="257" t="s">
        <v>187</v>
      </c>
      <c r="D2" s="257" t="s">
        <v>188</v>
      </c>
      <c r="E2" s="257" t="s">
        <v>189</v>
      </c>
      <c r="F2" s="257" t="s">
        <v>190</v>
      </c>
      <c r="G2" s="257" t="s">
        <v>191</v>
      </c>
      <c r="H2" s="254"/>
      <c r="I2" s="254"/>
      <c r="J2" s="256" t="s">
        <v>1</v>
      </c>
      <c r="K2" s="257" t="s">
        <v>186</v>
      </c>
      <c r="L2" s="257" t="s">
        <v>187</v>
      </c>
      <c r="M2" s="257" t="s">
        <v>188</v>
      </c>
      <c r="N2" s="257" t="s">
        <v>189</v>
      </c>
      <c r="O2" s="257" t="s">
        <v>190</v>
      </c>
      <c r="P2" s="255" t="s">
        <v>191</v>
      </c>
      <c r="Q2" s="254"/>
      <c r="R2" s="254"/>
    </row>
    <row r="3" spans="1:18" x14ac:dyDescent="0.25">
      <c r="A3" s="258" t="s">
        <v>184</v>
      </c>
      <c r="B3" s="259" t="s">
        <v>184</v>
      </c>
      <c r="C3" s="259" t="s">
        <v>184</v>
      </c>
      <c r="D3" s="259" t="s">
        <v>184</v>
      </c>
      <c r="E3" s="259" t="s">
        <v>184</v>
      </c>
      <c r="F3" s="259" t="s">
        <v>184</v>
      </c>
      <c r="G3" s="267" t="s">
        <v>184</v>
      </c>
      <c r="H3" s="254"/>
      <c r="I3" s="254"/>
      <c r="J3" s="258" t="s">
        <v>184</v>
      </c>
      <c r="K3" s="259" t="s">
        <v>184</v>
      </c>
      <c r="L3" s="259" t="s">
        <v>184</v>
      </c>
      <c r="M3" s="259" t="s">
        <v>184</v>
      </c>
      <c r="N3" s="259" t="s">
        <v>184</v>
      </c>
      <c r="O3" s="259" t="s">
        <v>184</v>
      </c>
      <c r="P3" s="260" t="s">
        <v>184</v>
      </c>
      <c r="Q3" s="254"/>
      <c r="R3" s="254"/>
    </row>
    <row r="4" spans="1:18" x14ac:dyDescent="0.25">
      <c r="A4" s="258" t="s">
        <v>17</v>
      </c>
      <c r="B4" s="297">
        <v>177233</v>
      </c>
      <c r="C4" s="297">
        <v>355988</v>
      </c>
      <c r="D4" s="297">
        <v>127823</v>
      </c>
      <c r="E4" s="298" t="s">
        <v>192</v>
      </c>
      <c r="F4" s="298" t="s">
        <v>192</v>
      </c>
      <c r="G4" s="298" t="s">
        <v>192</v>
      </c>
      <c r="H4" s="254"/>
      <c r="I4" s="254"/>
      <c r="J4" s="258" t="s">
        <v>17</v>
      </c>
      <c r="K4" s="299">
        <v>137956495.56</v>
      </c>
      <c r="L4" s="299">
        <v>48621594.350000001</v>
      </c>
      <c r="M4" s="299">
        <v>29989057.579999998</v>
      </c>
      <c r="N4" s="298" t="s">
        <v>193</v>
      </c>
      <c r="O4" s="298" t="s">
        <v>193</v>
      </c>
      <c r="P4" s="298" t="s">
        <v>193</v>
      </c>
      <c r="Q4" s="254"/>
      <c r="R4" s="254"/>
    </row>
    <row r="5" spans="1:18" x14ac:dyDescent="0.25">
      <c r="A5" s="258" t="s">
        <v>18</v>
      </c>
      <c r="B5" s="297">
        <v>234135</v>
      </c>
      <c r="C5" s="297">
        <v>448093</v>
      </c>
      <c r="D5" s="297">
        <v>362353</v>
      </c>
      <c r="E5" s="298" t="s">
        <v>192</v>
      </c>
      <c r="F5" s="298" t="s">
        <v>192</v>
      </c>
      <c r="G5" s="298" t="s">
        <v>192</v>
      </c>
      <c r="H5" s="254"/>
      <c r="I5" s="254"/>
      <c r="J5" s="258" t="s">
        <v>18</v>
      </c>
      <c r="K5" s="299">
        <v>61976246.75</v>
      </c>
      <c r="L5" s="299">
        <v>60698120.020000003</v>
      </c>
      <c r="M5" s="299">
        <v>84192311.930000007</v>
      </c>
      <c r="N5" s="298" t="s">
        <v>193</v>
      </c>
      <c r="O5" s="298" t="s">
        <v>193</v>
      </c>
      <c r="P5" s="298" t="s">
        <v>193</v>
      </c>
      <c r="Q5" s="254"/>
      <c r="R5" s="254"/>
    </row>
    <row r="6" spans="1:18" x14ac:dyDescent="0.25">
      <c r="A6" s="258" t="s">
        <v>19</v>
      </c>
      <c r="B6" s="297">
        <v>319104</v>
      </c>
      <c r="C6" s="297">
        <v>484680</v>
      </c>
      <c r="D6" s="297">
        <v>439942</v>
      </c>
      <c r="E6" s="298" t="s">
        <v>192</v>
      </c>
      <c r="F6" s="298" t="s">
        <v>192</v>
      </c>
      <c r="G6" s="298" t="s">
        <v>192</v>
      </c>
      <c r="H6" s="254"/>
      <c r="I6" s="254"/>
      <c r="J6" s="258" t="s">
        <v>19</v>
      </c>
      <c r="K6" s="299">
        <v>88771585.709999993</v>
      </c>
      <c r="L6" s="299">
        <v>65368120.829999998</v>
      </c>
      <c r="M6" s="299">
        <v>102137171.87</v>
      </c>
      <c r="N6" s="298" t="s">
        <v>193</v>
      </c>
      <c r="O6" s="298" t="s">
        <v>193</v>
      </c>
      <c r="P6" s="298" t="s">
        <v>193</v>
      </c>
      <c r="Q6" s="254"/>
      <c r="R6" s="254"/>
    </row>
    <row r="7" spans="1:18" x14ac:dyDescent="0.25">
      <c r="A7" s="258" t="s">
        <v>20</v>
      </c>
      <c r="B7" s="297">
        <v>556621</v>
      </c>
      <c r="C7" s="297">
        <v>646085</v>
      </c>
      <c r="D7" s="297">
        <v>662729</v>
      </c>
      <c r="E7" s="298" t="s">
        <v>192</v>
      </c>
      <c r="F7" s="298" t="s">
        <v>192</v>
      </c>
      <c r="G7" s="298" t="s">
        <v>192</v>
      </c>
      <c r="H7" s="254"/>
      <c r="I7" s="254"/>
      <c r="J7" s="258" t="s">
        <v>20</v>
      </c>
      <c r="K7" s="299">
        <v>272359734.05000001</v>
      </c>
      <c r="L7" s="299">
        <v>84007146.200000003</v>
      </c>
      <c r="M7" s="299">
        <v>118165987.31999999</v>
      </c>
      <c r="N7" s="298" t="s">
        <v>193</v>
      </c>
      <c r="O7" s="298" t="s">
        <v>193</v>
      </c>
      <c r="P7" s="298" t="s">
        <v>193</v>
      </c>
      <c r="Q7" s="254"/>
      <c r="R7" s="254"/>
    </row>
    <row r="8" spans="1:18" x14ac:dyDescent="0.25">
      <c r="A8" s="258" t="s">
        <v>22</v>
      </c>
      <c r="B8" s="297">
        <v>638832</v>
      </c>
      <c r="C8" s="297">
        <v>885020</v>
      </c>
      <c r="D8" s="297">
        <v>1015074</v>
      </c>
      <c r="E8" s="297">
        <v>1657</v>
      </c>
      <c r="F8" s="297">
        <v>6313</v>
      </c>
      <c r="G8" s="298" t="s">
        <v>192</v>
      </c>
      <c r="H8" s="254"/>
      <c r="I8" s="254"/>
      <c r="J8" s="258" t="s">
        <v>22</v>
      </c>
      <c r="K8" s="299">
        <v>94455148.140000001</v>
      </c>
      <c r="L8" s="299">
        <v>94418603.790000007</v>
      </c>
      <c r="M8" s="299">
        <v>138850842.08000001</v>
      </c>
      <c r="N8" s="299">
        <v>109935.3</v>
      </c>
      <c r="O8" s="299">
        <v>877546.86</v>
      </c>
      <c r="P8" s="298" t="s">
        <v>193</v>
      </c>
      <c r="Q8" s="254"/>
      <c r="R8" s="254"/>
    </row>
    <row r="9" spans="1:18" x14ac:dyDescent="0.25">
      <c r="A9" s="258" t="s">
        <v>23</v>
      </c>
      <c r="B9" s="297">
        <v>736409</v>
      </c>
      <c r="C9" s="297">
        <v>1003095</v>
      </c>
      <c r="D9" s="297">
        <v>1775912</v>
      </c>
      <c r="E9" s="297">
        <v>30470</v>
      </c>
      <c r="F9" s="297">
        <v>158554</v>
      </c>
      <c r="G9" s="297">
        <v>815558</v>
      </c>
      <c r="H9" s="254"/>
      <c r="I9" s="254"/>
      <c r="J9" s="258" t="s">
        <v>23</v>
      </c>
      <c r="K9" s="299">
        <v>116069491.61</v>
      </c>
      <c r="L9" s="299">
        <v>71133462.239999995</v>
      </c>
      <c r="M9" s="299">
        <v>144127725.02000001</v>
      </c>
      <c r="N9" s="299">
        <v>1469487.37</v>
      </c>
      <c r="O9" s="299">
        <v>22448498.620000001</v>
      </c>
      <c r="P9" s="299">
        <v>37056874.140000001</v>
      </c>
      <c r="Q9" s="254"/>
      <c r="R9" s="254"/>
    </row>
    <row r="10" spans="1:18" x14ac:dyDescent="0.25">
      <c r="A10" s="258" t="s">
        <v>24</v>
      </c>
      <c r="B10" s="297">
        <v>732474</v>
      </c>
      <c r="C10" s="297">
        <v>998039</v>
      </c>
      <c r="D10" s="297">
        <v>2055421</v>
      </c>
      <c r="E10" s="297">
        <v>39320</v>
      </c>
      <c r="F10" s="297">
        <v>188553</v>
      </c>
      <c r="G10" s="297">
        <v>829965</v>
      </c>
      <c r="H10" s="254"/>
      <c r="I10" s="254"/>
      <c r="J10" s="258" t="s">
        <v>24</v>
      </c>
      <c r="K10" s="298" t="s">
        <v>193</v>
      </c>
      <c r="L10" s="299">
        <v>58365036.969999999</v>
      </c>
      <c r="M10" s="299">
        <v>122862732.7</v>
      </c>
      <c r="N10" s="299">
        <v>2428386.7400000002</v>
      </c>
      <c r="O10" s="299">
        <v>25886449.5</v>
      </c>
      <c r="P10" s="299">
        <v>37639493.399999999</v>
      </c>
      <c r="Q10" s="254"/>
      <c r="R10" s="254"/>
    </row>
    <row r="11" spans="1:18" x14ac:dyDescent="0.25">
      <c r="A11" s="258" t="s">
        <v>25</v>
      </c>
      <c r="B11" s="297">
        <v>728629</v>
      </c>
      <c r="C11" s="297">
        <v>993035</v>
      </c>
      <c r="D11" s="297">
        <v>2045145</v>
      </c>
      <c r="E11" s="297">
        <v>39124</v>
      </c>
      <c r="F11" s="297">
        <v>187604</v>
      </c>
      <c r="G11" s="297">
        <v>825813</v>
      </c>
      <c r="H11" s="254"/>
      <c r="I11" s="254"/>
      <c r="J11" s="258" t="s">
        <v>25</v>
      </c>
      <c r="K11" s="298" t="s">
        <v>193</v>
      </c>
      <c r="L11" s="299">
        <v>53766377.479999997</v>
      </c>
      <c r="M11" s="299">
        <v>102724305.86</v>
      </c>
      <c r="N11" s="299">
        <v>2367645.9</v>
      </c>
      <c r="O11" s="299">
        <v>25628724.75</v>
      </c>
      <c r="P11" s="299">
        <v>37454032.210000001</v>
      </c>
      <c r="Q11" s="254"/>
      <c r="R11" s="254"/>
    </row>
    <row r="12" spans="1:18" x14ac:dyDescent="0.25">
      <c r="A12" s="258" t="s">
        <v>26</v>
      </c>
      <c r="B12" s="297">
        <v>724871</v>
      </c>
      <c r="C12" s="297">
        <v>988101</v>
      </c>
      <c r="D12" s="297">
        <v>2034917</v>
      </c>
      <c r="E12" s="297">
        <v>38930</v>
      </c>
      <c r="F12" s="297">
        <v>186669</v>
      </c>
      <c r="G12" s="297">
        <v>821688</v>
      </c>
      <c r="H12" s="254"/>
      <c r="I12" s="254"/>
      <c r="J12" s="258" t="s">
        <v>26</v>
      </c>
      <c r="K12" s="298" t="s">
        <v>193</v>
      </c>
      <c r="L12" s="299">
        <v>38822174.630000003</v>
      </c>
      <c r="M12" s="299">
        <v>99624416.040000007</v>
      </c>
      <c r="N12" s="299">
        <v>2360924.67</v>
      </c>
      <c r="O12" s="299">
        <v>25628724.75</v>
      </c>
      <c r="P12" s="299">
        <v>37269826.020000003</v>
      </c>
      <c r="Q12" s="254"/>
      <c r="R12" s="254"/>
    </row>
    <row r="13" spans="1:18" x14ac:dyDescent="0.25">
      <c r="A13" s="258" t="s">
        <v>27</v>
      </c>
      <c r="B13" s="297">
        <v>721196</v>
      </c>
      <c r="C13" s="297">
        <v>983180</v>
      </c>
      <c r="D13" s="297">
        <v>2024734</v>
      </c>
      <c r="E13" s="297">
        <v>38735</v>
      </c>
      <c r="F13" s="297">
        <v>185733</v>
      </c>
      <c r="G13" s="297">
        <v>817571</v>
      </c>
      <c r="H13" s="254"/>
      <c r="I13" s="254"/>
      <c r="J13" s="258" t="s">
        <v>27</v>
      </c>
      <c r="K13" s="298" t="s">
        <v>193</v>
      </c>
      <c r="L13" s="299">
        <v>37628009.890000001</v>
      </c>
      <c r="M13" s="299">
        <v>99283143.329999998</v>
      </c>
      <c r="N13" s="299">
        <v>2354153.4300000002</v>
      </c>
      <c r="O13" s="299">
        <v>25628724.75</v>
      </c>
      <c r="P13" s="299">
        <v>37085958.380000003</v>
      </c>
      <c r="Q13" s="254"/>
      <c r="R13" s="254"/>
    </row>
    <row r="14" spans="1:18" x14ac:dyDescent="0.25">
      <c r="A14" s="258" t="s">
        <v>28</v>
      </c>
      <c r="B14" s="297">
        <v>717531</v>
      </c>
      <c r="C14" s="297">
        <v>978226</v>
      </c>
      <c r="D14" s="297">
        <v>2014619</v>
      </c>
      <c r="E14" s="297">
        <v>38541</v>
      </c>
      <c r="F14" s="297">
        <v>184807</v>
      </c>
      <c r="G14" s="297">
        <v>813486</v>
      </c>
      <c r="H14" s="254"/>
      <c r="I14" s="254"/>
      <c r="J14" s="258" t="s">
        <v>28</v>
      </c>
      <c r="K14" s="298" t="s">
        <v>193</v>
      </c>
      <c r="L14" s="299">
        <v>34715022.119999997</v>
      </c>
      <c r="M14" s="299">
        <v>98944208.420000002</v>
      </c>
      <c r="N14" s="299">
        <v>2347393.2000000002</v>
      </c>
      <c r="O14" s="299">
        <v>25628724.75</v>
      </c>
      <c r="P14" s="299">
        <v>36903586.799999997</v>
      </c>
      <c r="Q14" s="254"/>
      <c r="R14" s="254"/>
    </row>
    <row r="15" spans="1:18" x14ac:dyDescent="0.25">
      <c r="A15" s="258" t="s">
        <v>29</v>
      </c>
      <c r="B15" s="297">
        <v>713936</v>
      </c>
      <c r="C15" s="297">
        <v>973355</v>
      </c>
      <c r="D15" s="297">
        <v>2004542</v>
      </c>
      <c r="E15" s="297">
        <v>38348</v>
      </c>
      <c r="F15" s="297">
        <v>183883</v>
      </c>
      <c r="G15" s="297">
        <v>809419</v>
      </c>
      <c r="H15" s="254"/>
      <c r="I15" s="254"/>
      <c r="J15" s="258" t="s">
        <v>29</v>
      </c>
      <c r="K15" s="298" t="s">
        <v>193</v>
      </c>
      <c r="L15" s="299">
        <v>11762293.24</v>
      </c>
      <c r="M15" s="299">
        <v>98606583.030000001</v>
      </c>
      <c r="N15" s="299">
        <v>2340702.5099999998</v>
      </c>
      <c r="O15" s="299">
        <v>24799930.489999998</v>
      </c>
      <c r="P15" s="299">
        <v>36721971.079999998</v>
      </c>
      <c r="Q15" s="254"/>
      <c r="R15" s="254"/>
    </row>
    <row r="16" spans="1:18" x14ac:dyDescent="0.25">
      <c r="A16" s="258" t="s">
        <v>30</v>
      </c>
      <c r="B16" s="297">
        <v>710059</v>
      </c>
      <c r="C16" s="297">
        <v>968420</v>
      </c>
      <c r="D16" s="297">
        <v>1994514</v>
      </c>
      <c r="E16" s="297">
        <v>38155</v>
      </c>
      <c r="F16" s="297">
        <v>182965</v>
      </c>
      <c r="G16" s="297">
        <v>805367</v>
      </c>
      <c r="H16" s="254"/>
      <c r="I16" s="254"/>
      <c r="J16" s="258" t="s">
        <v>30</v>
      </c>
      <c r="K16" s="298" t="s">
        <v>193</v>
      </c>
      <c r="L16" s="298" t="s">
        <v>193</v>
      </c>
      <c r="M16" s="299">
        <v>98270482.810000002</v>
      </c>
      <c r="N16" s="299">
        <v>2243609</v>
      </c>
      <c r="O16" s="299">
        <v>4381320.8099999996</v>
      </c>
      <c r="P16" s="299">
        <v>35965432.969999999</v>
      </c>
      <c r="Q16" s="254"/>
      <c r="R16" s="254"/>
    </row>
    <row r="17" spans="1:18" x14ac:dyDescent="0.25">
      <c r="A17" s="258" t="s">
        <v>31</v>
      </c>
      <c r="B17" s="297">
        <v>706207</v>
      </c>
      <c r="C17" s="297">
        <v>963569</v>
      </c>
      <c r="D17" s="297">
        <v>1984542</v>
      </c>
      <c r="E17" s="297">
        <v>37968</v>
      </c>
      <c r="F17" s="297">
        <v>182050</v>
      </c>
      <c r="G17" s="297">
        <v>801345</v>
      </c>
      <c r="H17" s="254"/>
      <c r="I17" s="254"/>
      <c r="J17" s="258" t="s">
        <v>31</v>
      </c>
      <c r="K17" s="298" t="s">
        <v>193</v>
      </c>
      <c r="L17" s="298" t="s">
        <v>193</v>
      </c>
      <c r="M17" s="299">
        <v>66500890.43</v>
      </c>
      <c r="N17" s="299">
        <v>1319877.08</v>
      </c>
      <c r="O17" s="298" t="s">
        <v>193</v>
      </c>
      <c r="P17" s="299">
        <v>35785815.219999999</v>
      </c>
      <c r="Q17" s="254"/>
      <c r="R17" s="254"/>
    </row>
    <row r="18" spans="1:18" x14ac:dyDescent="0.25">
      <c r="A18" s="258" t="s">
        <v>32</v>
      </c>
      <c r="B18" s="297">
        <v>600036</v>
      </c>
      <c r="C18" s="297">
        <v>636702</v>
      </c>
      <c r="D18" s="297">
        <v>1855455</v>
      </c>
      <c r="E18" s="297">
        <v>37775</v>
      </c>
      <c r="F18" s="297">
        <v>181140</v>
      </c>
      <c r="G18" s="297">
        <v>797338</v>
      </c>
      <c r="H18" s="254"/>
      <c r="I18" s="254"/>
      <c r="J18" s="258" t="s">
        <v>32</v>
      </c>
      <c r="K18" s="298" t="s">
        <v>193</v>
      </c>
      <c r="L18" s="298" t="s">
        <v>193</v>
      </c>
      <c r="M18" s="299">
        <v>66168272.43</v>
      </c>
      <c r="N18" s="299">
        <v>1313186.3899999999</v>
      </c>
      <c r="O18" s="298" t="s">
        <v>193</v>
      </c>
      <c r="P18" s="299">
        <v>35606885.799999997</v>
      </c>
      <c r="Q18" s="254"/>
      <c r="R18" s="254"/>
    </row>
    <row r="19" spans="1:18" x14ac:dyDescent="0.25">
      <c r="A19" s="258" t="s">
        <v>33</v>
      </c>
      <c r="B19" s="297">
        <v>534713</v>
      </c>
      <c r="C19" s="297">
        <v>623823</v>
      </c>
      <c r="D19" s="297">
        <v>1846183</v>
      </c>
      <c r="E19" s="297">
        <v>37587</v>
      </c>
      <c r="F19" s="297">
        <v>180232</v>
      </c>
      <c r="G19" s="297">
        <v>793346</v>
      </c>
      <c r="H19" s="254"/>
      <c r="I19" s="254"/>
      <c r="J19" s="258" t="s">
        <v>33</v>
      </c>
      <c r="K19" s="298" t="s">
        <v>193</v>
      </c>
      <c r="L19" s="298" t="s">
        <v>193</v>
      </c>
      <c r="M19" s="299">
        <v>65837667.57</v>
      </c>
      <c r="N19" s="299">
        <v>1306613.25</v>
      </c>
      <c r="O19" s="298" t="s">
        <v>193</v>
      </c>
      <c r="P19" s="299">
        <v>35428589.909999996</v>
      </c>
      <c r="Q19" s="254"/>
      <c r="R19" s="254"/>
    </row>
    <row r="20" spans="1:18" x14ac:dyDescent="0.25">
      <c r="A20" s="258" t="s">
        <v>34</v>
      </c>
      <c r="B20" s="297">
        <v>478539</v>
      </c>
      <c r="C20" s="297">
        <v>533651</v>
      </c>
      <c r="D20" s="297">
        <v>1618817</v>
      </c>
      <c r="E20" s="297">
        <v>37399</v>
      </c>
      <c r="F20" s="297">
        <v>179329</v>
      </c>
      <c r="G20" s="297">
        <v>789381</v>
      </c>
      <c r="H20" s="254"/>
      <c r="I20" s="254"/>
      <c r="J20" s="258" t="s">
        <v>34</v>
      </c>
      <c r="K20" s="298" t="s">
        <v>193</v>
      </c>
      <c r="L20" s="298" t="s">
        <v>193</v>
      </c>
      <c r="M20" s="299">
        <v>65508554.25</v>
      </c>
      <c r="N20" s="299">
        <v>1300107.3400000001</v>
      </c>
      <c r="O20" s="298" t="s">
        <v>193</v>
      </c>
      <c r="P20" s="299">
        <v>35251538.030000001</v>
      </c>
      <c r="Q20" s="254"/>
      <c r="R20" s="254"/>
    </row>
    <row r="21" spans="1:18" x14ac:dyDescent="0.25">
      <c r="A21" s="258" t="s">
        <v>35</v>
      </c>
      <c r="B21" s="297">
        <v>396562</v>
      </c>
      <c r="C21" s="297">
        <v>494974</v>
      </c>
      <c r="D21" s="297">
        <v>1537072</v>
      </c>
      <c r="E21" s="297">
        <v>37209</v>
      </c>
      <c r="F21" s="297">
        <v>178438</v>
      </c>
      <c r="G21" s="297">
        <v>785439</v>
      </c>
      <c r="H21" s="254"/>
      <c r="I21" s="254"/>
      <c r="J21" s="258" t="s">
        <v>35</v>
      </c>
      <c r="K21" s="298" t="s">
        <v>193</v>
      </c>
      <c r="L21" s="298" t="s">
        <v>193</v>
      </c>
      <c r="M21" s="299">
        <v>65180948.289999999</v>
      </c>
      <c r="N21" s="299">
        <v>1293418.68</v>
      </c>
      <c r="O21" s="298" t="s">
        <v>193</v>
      </c>
      <c r="P21" s="299">
        <v>35075498.57</v>
      </c>
      <c r="Q21" s="254"/>
      <c r="R21" s="254"/>
    </row>
    <row r="22" spans="1:18" x14ac:dyDescent="0.25">
      <c r="A22" s="258" t="s">
        <v>36</v>
      </c>
      <c r="B22" s="297">
        <v>174144</v>
      </c>
      <c r="C22" s="297">
        <v>345681</v>
      </c>
      <c r="D22" s="297">
        <v>1518169</v>
      </c>
      <c r="E22" s="297">
        <v>37025</v>
      </c>
      <c r="F22" s="297">
        <v>177540</v>
      </c>
      <c r="G22" s="297">
        <v>781502</v>
      </c>
      <c r="H22" s="254"/>
      <c r="I22" s="254"/>
      <c r="J22" s="258" t="s">
        <v>36</v>
      </c>
      <c r="K22" s="298" t="s">
        <v>193</v>
      </c>
      <c r="L22" s="298" t="s">
        <v>193</v>
      </c>
      <c r="M22" s="299">
        <v>64854829.009999998</v>
      </c>
      <c r="N22" s="299">
        <v>1287073.1299999999</v>
      </c>
      <c r="O22" s="298" t="s">
        <v>193</v>
      </c>
      <c r="P22" s="299">
        <v>34899670.350000001</v>
      </c>
      <c r="Q22" s="254"/>
      <c r="R22" s="254"/>
    </row>
    <row r="23" spans="1:18" x14ac:dyDescent="0.25">
      <c r="A23" s="258" t="s">
        <v>37</v>
      </c>
      <c r="B23" s="297">
        <v>93812</v>
      </c>
      <c r="C23" s="297">
        <v>114214</v>
      </c>
      <c r="D23" s="297">
        <v>1510578</v>
      </c>
      <c r="E23" s="297">
        <v>36839</v>
      </c>
      <c r="F23" s="297">
        <v>170796</v>
      </c>
      <c r="G23" s="297">
        <v>777602</v>
      </c>
      <c r="H23" s="254"/>
      <c r="I23" s="254"/>
      <c r="J23" s="258" t="s">
        <v>37</v>
      </c>
      <c r="K23" s="298" t="s">
        <v>193</v>
      </c>
      <c r="L23" s="298" t="s">
        <v>193</v>
      </c>
      <c r="M23" s="299">
        <v>64530736.049999997</v>
      </c>
      <c r="N23" s="299">
        <v>1280613.29</v>
      </c>
      <c r="O23" s="298" t="s">
        <v>193</v>
      </c>
      <c r="P23" s="299">
        <v>34725511.93</v>
      </c>
      <c r="Q23" s="254"/>
      <c r="R23" s="254"/>
    </row>
    <row r="24" spans="1:18" x14ac:dyDescent="0.25">
      <c r="A24" s="258" t="s">
        <v>38</v>
      </c>
      <c r="B24" s="298">
        <v>80</v>
      </c>
      <c r="C24" s="298" t="s">
        <v>192</v>
      </c>
      <c r="D24" s="297">
        <v>1503020</v>
      </c>
      <c r="E24" s="297">
        <v>36656</v>
      </c>
      <c r="F24" s="297">
        <v>28702</v>
      </c>
      <c r="G24" s="297">
        <v>767239</v>
      </c>
      <c r="H24" s="254"/>
      <c r="I24" s="254"/>
      <c r="J24" s="258" t="s">
        <v>38</v>
      </c>
      <c r="K24" s="298" t="s">
        <v>193</v>
      </c>
      <c r="L24" s="298" t="s">
        <v>193</v>
      </c>
      <c r="M24" s="299">
        <v>64207754.969999999</v>
      </c>
      <c r="N24" s="299">
        <v>1274238.57</v>
      </c>
      <c r="O24" s="298" t="s">
        <v>193</v>
      </c>
      <c r="P24" s="299">
        <v>34552005.060000002</v>
      </c>
      <c r="Q24" s="254"/>
      <c r="R24" s="254"/>
    </row>
    <row r="25" spans="1:18" x14ac:dyDescent="0.25">
      <c r="A25" s="258" t="s">
        <v>39</v>
      </c>
      <c r="B25" s="298">
        <v>60</v>
      </c>
      <c r="C25" s="298" t="s">
        <v>192</v>
      </c>
      <c r="D25" s="297">
        <v>1495515</v>
      </c>
      <c r="E25" s="297">
        <v>36473</v>
      </c>
      <c r="F25" s="298" t="s">
        <v>192</v>
      </c>
      <c r="G25" s="297">
        <v>763403</v>
      </c>
      <c r="H25" s="254"/>
      <c r="I25" s="254"/>
      <c r="J25" s="258" t="s">
        <v>39</v>
      </c>
      <c r="K25" s="298" t="s">
        <v>193</v>
      </c>
      <c r="L25" s="298" t="s">
        <v>193</v>
      </c>
      <c r="M25" s="299">
        <v>63887135.460000001</v>
      </c>
      <c r="N25" s="299">
        <v>1267959.6100000001</v>
      </c>
      <c r="O25" s="298" t="s">
        <v>193</v>
      </c>
      <c r="P25" s="299">
        <v>34379269.43</v>
      </c>
      <c r="Q25" s="254"/>
      <c r="R25" s="254"/>
    </row>
    <row r="26" spans="1:18" x14ac:dyDescent="0.25">
      <c r="A26" s="258" t="s">
        <v>40</v>
      </c>
      <c r="B26" s="298">
        <v>8</v>
      </c>
      <c r="C26" s="298" t="s">
        <v>192</v>
      </c>
      <c r="D26" s="297">
        <v>1488036</v>
      </c>
      <c r="E26" s="297">
        <v>36291</v>
      </c>
      <c r="F26" s="298" t="s">
        <v>192</v>
      </c>
      <c r="G26" s="297">
        <v>759583</v>
      </c>
      <c r="H26" s="254"/>
      <c r="I26" s="254"/>
      <c r="J26" s="258" t="s">
        <v>40</v>
      </c>
      <c r="K26" s="298" t="s">
        <v>193</v>
      </c>
      <c r="L26" s="298" t="s">
        <v>193</v>
      </c>
      <c r="M26" s="299">
        <v>63567685.530000001</v>
      </c>
      <c r="N26" s="299">
        <v>1261623.5</v>
      </c>
      <c r="O26" s="298" t="s">
        <v>193</v>
      </c>
      <c r="P26" s="299">
        <v>34207230.439999998</v>
      </c>
      <c r="Q26" s="254"/>
      <c r="R26" s="254"/>
    </row>
    <row r="27" spans="1:18" x14ac:dyDescent="0.25">
      <c r="A27" s="258" t="s">
        <v>172</v>
      </c>
      <c r="B27" s="298" t="s">
        <v>192</v>
      </c>
      <c r="C27" s="298" t="s">
        <v>192</v>
      </c>
      <c r="D27" s="297">
        <v>1288007</v>
      </c>
      <c r="E27" s="297">
        <v>36108</v>
      </c>
      <c r="F27" s="298" t="s">
        <v>192</v>
      </c>
      <c r="G27" s="297">
        <v>755784</v>
      </c>
      <c r="H27" s="254"/>
      <c r="I27" s="254"/>
      <c r="J27" s="258" t="s">
        <v>172</v>
      </c>
      <c r="K27" s="298" t="s">
        <v>193</v>
      </c>
      <c r="L27" s="298" t="s">
        <v>193</v>
      </c>
      <c r="M27" s="299">
        <v>51244334.009999998</v>
      </c>
      <c r="N27" s="299">
        <v>1255226.2</v>
      </c>
      <c r="O27" s="298" t="s">
        <v>193</v>
      </c>
      <c r="P27" s="299">
        <v>34036152.079999998</v>
      </c>
      <c r="Q27" s="254"/>
      <c r="R27" s="254"/>
    </row>
    <row r="28" spans="1:18" x14ac:dyDescent="0.25">
      <c r="A28" s="289" t="s">
        <v>194</v>
      </c>
      <c r="B28" s="298" t="s">
        <v>192</v>
      </c>
      <c r="C28" s="298" t="s">
        <v>192</v>
      </c>
      <c r="D28" s="297">
        <v>959836</v>
      </c>
      <c r="E28" s="297">
        <v>34428</v>
      </c>
      <c r="F28" s="298" t="s">
        <v>192</v>
      </c>
      <c r="G28" s="297">
        <v>752005</v>
      </c>
      <c r="H28" s="254"/>
      <c r="I28" s="254"/>
      <c r="J28" s="289" t="s">
        <v>194</v>
      </c>
      <c r="K28" s="298" t="s">
        <v>193</v>
      </c>
      <c r="L28" s="298" t="s">
        <v>193</v>
      </c>
      <c r="M28" s="299">
        <v>31946272.190000001</v>
      </c>
      <c r="N28" s="299">
        <v>1149502.43</v>
      </c>
      <c r="O28" s="298" t="s">
        <v>193</v>
      </c>
      <c r="P28" s="299">
        <v>33865938.170000002</v>
      </c>
      <c r="Q28" s="254"/>
      <c r="R28" s="254"/>
    </row>
    <row r="29" spans="1:18" x14ac:dyDescent="0.25">
      <c r="A29" s="254"/>
      <c r="B29" s="288"/>
      <c r="C29" s="288"/>
      <c r="D29" s="288"/>
      <c r="E29" s="288"/>
      <c r="F29" s="288"/>
      <c r="G29" s="288"/>
      <c r="H29" s="254"/>
      <c r="I29" s="254"/>
      <c r="J29" s="254"/>
      <c r="K29" s="254"/>
      <c r="L29" s="254"/>
      <c r="M29" s="254"/>
      <c r="N29" s="254"/>
      <c r="O29" s="254"/>
      <c r="P29" s="254"/>
      <c r="Q29" s="254"/>
      <c r="R29" s="254"/>
    </row>
    <row r="30" spans="1:18" x14ac:dyDescent="0.25">
      <c r="A30" s="252" t="s">
        <v>41</v>
      </c>
      <c r="B30" s="253" t="s">
        <v>184</v>
      </c>
      <c r="C30" s="253" t="s">
        <v>184</v>
      </c>
      <c r="D30" s="253" t="s">
        <v>184</v>
      </c>
      <c r="E30" s="253" t="s">
        <v>184</v>
      </c>
      <c r="F30" s="253" t="s">
        <v>184</v>
      </c>
      <c r="G30" s="253" t="s">
        <v>184</v>
      </c>
      <c r="H30" s="254"/>
      <c r="I30" s="254"/>
      <c r="J30" s="252" t="s">
        <v>41</v>
      </c>
      <c r="K30" s="253" t="s">
        <v>184</v>
      </c>
      <c r="L30" s="253" t="s">
        <v>184</v>
      </c>
      <c r="M30" s="253" t="s">
        <v>184</v>
      </c>
      <c r="N30" s="253" t="s">
        <v>184</v>
      </c>
      <c r="O30" s="253" t="s">
        <v>184</v>
      </c>
      <c r="P30" s="255" t="s">
        <v>184</v>
      </c>
      <c r="Q30" s="254"/>
      <c r="R30" s="254"/>
    </row>
    <row r="31" spans="1:18" x14ac:dyDescent="0.25">
      <c r="A31" s="256" t="s">
        <v>1</v>
      </c>
      <c r="B31" s="257" t="s">
        <v>186</v>
      </c>
      <c r="C31" s="257" t="s">
        <v>187</v>
      </c>
      <c r="D31" s="257" t="s">
        <v>188</v>
      </c>
      <c r="E31" s="257" t="s">
        <v>189</v>
      </c>
      <c r="F31" s="257" t="s">
        <v>190</v>
      </c>
      <c r="G31" s="255" t="s">
        <v>191</v>
      </c>
      <c r="H31" s="254"/>
      <c r="I31" s="254"/>
      <c r="J31" s="256" t="s">
        <v>1</v>
      </c>
      <c r="K31" s="257" t="s">
        <v>186</v>
      </c>
      <c r="L31" s="257" t="s">
        <v>187</v>
      </c>
      <c r="M31" s="257" t="s">
        <v>188</v>
      </c>
      <c r="N31" s="257" t="s">
        <v>189</v>
      </c>
      <c r="O31" s="257" t="s">
        <v>190</v>
      </c>
      <c r="P31" s="255" t="s">
        <v>191</v>
      </c>
      <c r="Q31" s="254"/>
      <c r="R31" s="254"/>
    </row>
    <row r="32" spans="1:18" x14ac:dyDescent="0.25">
      <c r="A32" s="258" t="s">
        <v>17</v>
      </c>
      <c r="B32" s="297">
        <v>35659</v>
      </c>
      <c r="C32" s="297">
        <v>126418</v>
      </c>
      <c r="D32" s="297">
        <v>46468</v>
      </c>
      <c r="E32" s="298" t="s">
        <v>192</v>
      </c>
      <c r="F32" s="298" t="s">
        <v>192</v>
      </c>
      <c r="G32" s="298" t="s">
        <v>192</v>
      </c>
      <c r="H32" s="254"/>
      <c r="I32" s="254"/>
      <c r="J32" s="258" t="s">
        <v>17</v>
      </c>
      <c r="K32" s="299">
        <v>27101690.870000001</v>
      </c>
      <c r="L32" s="299">
        <v>17717507.829999998</v>
      </c>
      <c r="M32" s="299">
        <v>11306363.279999999</v>
      </c>
      <c r="N32" s="298" t="s">
        <v>193</v>
      </c>
      <c r="O32" s="298" t="s">
        <v>193</v>
      </c>
      <c r="P32" s="298" t="s">
        <v>193</v>
      </c>
      <c r="Q32" s="254"/>
      <c r="R32" s="254"/>
    </row>
    <row r="33" spans="1:18" x14ac:dyDescent="0.25">
      <c r="A33" s="258" t="s">
        <v>18</v>
      </c>
      <c r="B33" s="297">
        <v>49951</v>
      </c>
      <c r="C33" s="297">
        <v>164267</v>
      </c>
      <c r="D33" s="297">
        <v>99556</v>
      </c>
      <c r="E33" s="298" t="s">
        <v>192</v>
      </c>
      <c r="F33" s="298" t="s">
        <v>192</v>
      </c>
      <c r="G33" s="298" t="s">
        <v>192</v>
      </c>
      <c r="H33" s="254"/>
      <c r="I33" s="254"/>
      <c r="J33" s="258" t="s">
        <v>18</v>
      </c>
      <c r="K33" s="299">
        <v>16353548.49</v>
      </c>
      <c r="L33" s="299">
        <v>22818380.059999999</v>
      </c>
      <c r="M33" s="299">
        <v>24302183.699999999</v>
      </c>
      <c r="N33" s="298" t="s">
        <v>193</v>
      </c>
      <c r="O33" s="298" t="s">
        <v>193</v>
      </c>
      <c r="P33" s="298" t="s">
        <v>193</v>
      </c>
      <c r="Q33" s="254"/>
      <c r="R33" s="254"/>
    </row>
    <row r="34" spans="1:18" x14ac:dyDescent="0.25">
      <c r="A34" s="258" t="s">
        <v>19</v>
      </c>
      <c r="B34" s="297">
        <v>67231</v>
      </c>
      <c r="C34" s="297">
        <v>181303</v>
      </c>
      <c r="D34" s="297">
        <v>111722</v>
      </c>
      <c r="E34" s="298" t="s">
        <v>192</v>
      </c>
      <c r="F34" s="298" t="s">
        <v>192</v>
      </c>
      <c r="G34" s="298" t="s">
        <v>192</v>
      </c>
      <c r="H34" s="254"/>
      <c r="I34" s="254"/>
      <c r="J34" s="258" t="s">
        <v>19</v>
      </c>
      <c r="K34" s="299">
        <v>19157714.23</v>
      </c>
      <c r="L34" s="299">
        <v>24918435.829999998</v>
      </c>
      <c r="M34" s="299">
        <v>27136924.940000001</v>
      </c>
      <c r="N34" s="298" t="s">
        <v>193</v>
      </c>
      <c r="O34" s="298" t="s">
        <v>193</v>
      </c>
      <c r="P34" s="298" t="s">
        <v>193</v>
      </c>
      <c r="Q34" s="254"/>
      <c r="R34" s="254"/>
    </row>
    <row r="35" spans="1:18" x14ac:dyDescent="0.25">
      <c r="A35" s="258" t="s">
        <v>20</v>
      </c>
      <c r="B35" s="297">
        <v>99315</v>
      </c>
      <c r="C35" s="297">
        <v>233600</v>
      </c>
      <c r="D35" s="297">
        <v>169313</v>
      </c>
      <c r="E35" s="298" t="s">
        <v>192</v>
      </c>
      <c r="F35" s="298" t="s">
        <v>192</v>
      </c>
      <c r="G35" s="298" t="s">
        <v>192</v>
      </c>
      <c r="H35" s="254"/>
      <c r="I35" s="254"/>
      <c r="J35" s="258" t="s">
        <v>20</v>
      </c>
      <c r="K35" s="299">
        <v>35485379.310000002</v>
      </c>
      <c r="L35" s="299">
        <v>30943275.440000001</v>
      </c>
      <c r="M35" s="299">
        <v>30856780.440000001</v>
      </c>
      <c r="N35" s="298" t="s">
        <v>193</v>
      </c>
      <c r="O35" s="298" t="s">
        <v>193</v>
      </c>
      <c r="P35" s="298" t="s">
        <v>193</v>
      </c>
      <c r="Q35" s="254"/>
      <c r="R35" s="254"/>
    </row>
    <row r="36" spans="1:18" x14ac:dyDescent="0.25">
      <c r="A36" s="258" t="s">
        <v>22</v>
      </c>
      <c r="B36" s="297">
        <v>102981</v>
      </c>
      <c r="C36" s="297">
        <v>253681</v>
      </c>
      <c r="D36" s="297">
        <v>271269</v>
      </c>
      <c r="E36" s="298">
        <v>715</v>
      </c>
      <c r="F36" s="298" t="s">
        <v>192</v>
      </c>
      <c r="G36" s="298" t="s">
        <v>192</v>
      </c>
      <c r="H36" s="254"/>
      <c r="I36" s="254"/>
      <c r="J36" s="258" t="s">
        <v>22</v>
      </c>
      <c r="K36" s="299">
        <v>4853246.18</v>
      </c>
      <c r="L36" s="299">
        <v>27100498.280000001</v>
      </c>
      <c r="M36" s="299">
        <v>37149481.979999997</v>
      </c>
      <c r="N36" s="299">
        <v>47476</v>
      </c>
      <c r="O36" s="298" t="s">
        <v>193</v>
      </c>
      <c r="P36" s="298" t="s">
        <v>193</v>
      </c>
      <c r="Q36" s="254"/>
      <c r="R36" s="254"/>
    </row>
    <row r="37" spans="1:18" x14ac:dyDescent="0.25">
      <c r="A37" s="258" t="s">
        <v>23</v>
      </c>
      <c r="B37" s="297">
        <v>104076</v>
      </c>
      <c r="C37" s="297">
        <v>267055</v>
      </c>
      <c r="D37" s="297">
        <v>535277</v>
      </c>
      <c r="E37" s="297">
        <v>6019</v>
      </c>
      <c r="F37" s="297">
        <v>36435</v>
      </c>
      <c r="G37" s="297">
        <v>269651</v>
      </c>
      <c r="H37" s="254"/>
      <c r="I37" s="254"/>
      <c r="J37" s="258" t="s">
        <v>23</v>
      </c>
      <c r="K37" s="299">
        <v>1798953.38</v>
      </c>
      <c r="L37" s="299">
        <v>16673576.35</v>
      </c>
      <c r="M37" s="299">
        <v>37248609.759999998</v>
      </c>
      <c r="N37" s="299">
        <v>350654.57</v>
      </c>
      <c r="O37" s="299">
        <v>4446002.22</v>
      </c>
      <c r="P37" s="299">
        <v>12026119.460000001</v>
      </c>
      <c r="Q37" s="254"/>
      <c r="R37" s="254"/>
    </row>
    <row r="38" spans="1:18" x14ac:dyDescent="0.25">
      <c r="A38" s="258" t="s">
        <v>24</v>
      </c>
      <c r="B38" s="297">
        <v>103553</v>
      </c>
      <c r="C38" s="297">
        <v>265692</v>
      </c>
      <c r="D38" s="297">
        <v>602460</v>
      </c>
      <c r="E38" s="297">
        <v>5989</v>
      </c>
      <c r="F38" s="297">
        <v>43378</v>
      </c>
      <c r="G38" s="297">
        <v>268308</v>
      </c>
      <c r="H38" s="254"/>
      <c r="I38" s="254"/>
      <c r="J38" s="258" t="s">
        <v>24</v>
      </c>
      <c r="K38" s="298" t="s">
        <v>193</v>
      </c>
      <c r="L38" s="299">
        <v>11507658.65</v>
      </c>
      <c r="M38" s="299">
        <v>32328652.620000001</v>
      </c>
      <c r="N38" s="299">
        <v>348902.94</v>
      </c>
      <c r="O38" s="299">
        <v>5223175.5</v>
      </c>
      <c r="P38" s="299">
        <v>11966240.35</v>
      </c>
      <c r="Q38" s="254"/>
      <c r="R38" s="254"/>
    </row>
    <row r="39" spans="1:18" x14ac:dyDescent="0.25">
      <c r="A39" s="258" t="s">
        <v>25</v>
      </c>
      <c r="B39" s="297">
        <v>103053</v>
      </c>
      <c r="C39" s="297">
        <v>264346</v>
      </c>
      <c r="D39" s="297">
        <v>599442</v>
      </c>
      <c r="E39" s="297">
        <v>5960</v>
      </c>
      <c r="F39" s="297">
        <v>43159</v>
      </c>
      <c r="G39" s="297">
        <v>266964</v>
      </c>
      <c r="H39" s="254"/>
      <c r="I39" s="254"/>
      <c r="J39" s="258" t="s">
        <v>25</v>
      </c>
      <c r="K39" s="298" t="s">
        <v>193</v>
      </c>
      <c r="L39" s="299">
        <v>9470097.7400000002</v>
      </c>
      <c r="M39" s="299">
        <v>28932519.260000002</v>
      </c>
      <c r="N39" s="299">
        <v>347217.71</v>
      </c>
      <c r="O39" s="299">
        <v>5166276.97</v>
      </c>
      <c r="P39" s="299">
        <v>11906280</v>
      </c>
      <c r="Q39" s="254"/>
      <c r="R39" s="254"/>
    </row>
    <row r="40" spans="1:18" x14ac:dyDescent="0.25">
      <c r="A40" s="258" t="s">
        <v>26</v>
      </c>
      <c r="B40" s="297">
        <v>102511</v>
      </c>
      <c r="C40" s="297">
        <v>263057</v>
      </c>
      <c r="D40" s="297">
        <v>596448</v>
      </c>
      <c r="E40" s="297">
        <v>5930</v>
      </c>
      <c r="F40" s="297">
        <v>42945</v>
      </c>
      <c r="G40" s="297">
        <v>265631</v>
      </c>
      <c r="H40" s="254"/>
      <c r="I40" s="254"/>
      <c r="J40" s="258" t="s">
        <v>26</v>
      </c>
      <c r="K40" s="298" t="s">
        <v>193</v>
      </c>
      <c r="L40" s="299">
        <v>4290286.87</v>
      </c>
      <c r="M40" s="299">
        <v>28826540.09</v>
      </c>
      <c r="N40" s="299">
        <v>345466.08</v>
      </c>
      <c r="O40" s="299">
        <v>5166276.97</v>
      </c>
      <c r="P40" s="299">
        <v>11846839.439999999</v>
      </c>
      <c r="Q40" s="254"/>
      <c r="R40" s="254"/>
    </row>
    <row r="41" spans="1:18" x14ac:dyDescent="0.25">
      <c r="A41" s="258" t="s">
        <v>27</v>
      </c>
      <c r="B41" s="297">
        <v>102005</v>
      </c>
      <c r="C41" s="297">
        <v>261746</v>
      </c>
      <c r="D41" s="297">
        <v>593458</v>
      </c>
      <c r="E41" s="297">
        <v>5900</v>
      </c>
      <c r="F41" s="297">
        <v>42730</v>
      </c>
      <c r="G41" s="297">
        <v>264298</v>
      </c>
      <c r="H41" s="254"/>
      <c r="I41" s="254"/>
      <c r="J41" s="258" t="s">
        <v>27</v>
      </c>
      <c r="K41" s="298" t="s">
        <v>193</v>
      </c>
      <c r="L41" s="299">
        <v>3104477.13</v>
      </c>
      <c r="M41" s="299">
        <v>28720871.629999999</v>
      </c>
      <c r="N41" s="299">
        <v>343721.91</v>
      </c>
      <c r="O41" s="299">
        <v>5166276.97</v>
      </c>
      <c r="P41" s="299">
        <v>11787390</v>
      </c>
      <c r="Q41" s="254"/>
      <c r="R41" s="254"/>
    </row>
    <row r="42" spans="1:18" x14ac:dyDescent="0.25">
      <c r="A42" s="258" t="s">
        <v>28</v>
      </c>
      <c r="B42" s="297">
        <v>101511</v>
      </c>
      <c r="C42" s="297">
        <v>260420</v>
      </c>
      <c r="D42" s="297">
        <v>590501</v>
      </c>
      <c r="E42" s="297">
        <v>5870</v>
      </c>
      <c r="F42" s="297">
        <v>42515</v>
      </c>
      <c r="G42" s="297">
        <v>262978</v>
      </c>
      <c r="H42" s="254"/>
      <c r="I42" s="254"/>
      <c r="J42" s="258" t="s">
        <v>28</v>
      </c>
      <c r="K42" s="298" t="s">
        <v>193</v>
      </c>
      <c r="L42" s="299">
        <v>2321368.81</v>
      </c>
      <c r="M42" s="299">
        <v>28616298.460000001</v>
      </c>
      <c r="N42" s="299">
        <v>341970.28</v>
      </c>
      <c r="O42" s="299">
        <v>5166276.97</v>
      </c>
      <c r="P42" s="299">
        <v>11728527.66</v>
      </c>
      <c r="Q42" s="254"/>
      <c r="R42" s="254"/>
    </row>
    <row r="43" spans="1:18" x14ac:dyDescent="0.25">
      <c r="A43" s="258" t="s">
        <v>29</v>
      </c>
      <c r="B43" s="297">
        <v>101046</v>
      </c>
      <c r="C43" s="297">
        <v>259136</v>
      </c>
      <c r="D43" s="297">
        <v>587546</v>
      </c>
      <c r="E43" s="297">
        <v>5841</v>
      </c>
      <c r="F43" s="297">
        <v>42303</v>
      </c>
      <c r="G43" s="297">
        <v>261661</v>
      </c>
      <c r="H43" s="254"/>
      <c r="I43" s="254"/>
      <c r="J43" s="258" t="s">
        <v>29</v>
      </c>
      <c r="K43" s="298" t="s">
        <v>193</v>
      </c>
      <c r="L43" s="299">
        <v>1105773.03</v>
      </c>
      <c r="M43" s="299">
        <v>28511778.370000001</v>
      </c>
      <c r="N43" s="299">
        <v>340285.05</v>
      </c>
      <c r="O43" s="299">
        <v>5166276.97</v>
      </c>
      <c r="P43" s="299">
        <v>11669795.18</v>
      </c>
      <c r="Q43" s="254"/>
      <c r="R43" s="254"/>
    </row>
    <row r="44" spans="1:18" x14ac:dyDescent="0.25">
      <c r="A44" s="258" t="s">
        <v>30</v>
      </c>
      <c r="B44" s="297">
        <v>100410</v>
      </c>
      <c r="C44" s="297">
        <v>257800</v>
      </c>
      <c r="D44" s="297">
        <v>584606</v>
      </c>
      <c r="E44" s="297">
        <v>5811</v>
      </c>
      <c r="F44" s="297">
        <v>42092</v>
      </c>
      <c r="G44" s="297">
        <v>260354</v>
      </c>
      <c r="H44" s="254"/>
      <c r="I44" s="254"/>
      <c r="J44" s="258" t="s">
        <v>30</v>
      </c>
      <c r="K44" s="298" t="s">
        <v>193</v>
      </c>
      <c r="L44" s="298" t="s">
        <v>193</v>
      </c>
      <c r="M44" s="299">
        <v>28407796.829999998</v>
      </c>
      <c r="N44" s="299">
        <v>338533.42</v>
      </c>
      <c r="O44" s="299">
        <v>967274.87</v>
      </c>
      <c r="P44" s="299">
        <v>11611498.189999999</v>
      </c>
      <c r="Q44" s="254"/>
      <c r="R44" s="254"/>
    </row>
    <row r="45" spans="1:18" x14ac:dyDescent="0.25">
      <c r="A45" s="258" t="s">
        <v>31</v>
      </c>
      <c r="B45" s="297">
        <v>99873</v>
      </c>
      <c r="C45" s="297">
        <v>256503</v>
      </c>
      <c r="D45" s="297">
        <v>581681</v>
      </c>
      <c r="E45" s="297">
        <v>5783</v>
      </c>
      <c r="F45" s="297">
        <v>41882</v>
      </c>
      <c r="G45" s="297">
        <v>259053</v>
      </c>
      <c r="H45" s="254"/>
      <c r="I45" s="254"/>
      <c r="J45" s="258" t="s">
        <v>31</v>
      </c>
      <c r="K45" s="298" t="s">
        <v>193</v>
      </c>
      <c r="L45" s="298" t="s">
        <v>193</v>
      </c>
      <c r="M45" s="299">
        <v>20575825.199999999</v>
      </c>
      <c r="N45" s="299">
        <v>336904.92</v>
      </c>
      <c r="O45" s="298" t="s">
        <v>193</v>
      </c>
      <c r="P45" s="299">
        <v>11553467.560000001</v>
      </c>
      <c r="Q45" s="254"/>
      <c r="R45" s="254"/>
    </row>
    <row r="46" spans="1:18" x14ac:dyDescent="0.25">
      <c r="A46" s="258" t="s">
        <v>32</v>
      </c>
      <c r="B46" s="297">
        <v>72002</v>
      </c>
      <c r="C46" s="297">
        <v>143066</v>
      </c>
      <c r="D46" s="297">
        <v>535457</v>
      </c>
      <c r="E46" s="297">
        <v>5754</v>
      </c>
      <c r="F46" s="297">
        <v>41671</v>
      </c>
      <c r="G46" s="297">
        <v>257761</v>
      </c>
      <c r="H46" s="254"/>
      <c r="I46" s="254"/>
      <c r="J46" s="258" t="s">
        <v>32</v>
      </c>
      <c r="K46" s="298" t="s">
        <v>193</v>
      </c>
      <c r="L46" s="298" t="s">
        <v>193</v>
      </c>
      <c r="M46" s="299">
        <v>20473200.190000001</v>
      </c>
      <c r="N46" s="299">
        <v>335219.69</v>
      </c>
      <c r="O46" s="298" t="s">
        <v>193</v>
      </c>
      <c r="P46" s="299">
        <v>11495845.609999999</v>
      </c>
      <c r="Q46" s="254"/>
      <c r="R46" s="254"/>
    </row>
    <row r="47" spans="1:18" x14ac:dyDescent="0.25">
      <c r="A47" s="258" t="s">
        <v>33</v>
      </c>
      <c r="B47" s="297">
        <v>65752</v>
      </c>
      <c r="C47" s="297">
        <v>136717</v>
      </c>
      <c r="D47" s="297">
        <v>532776</v>
      </c>
      <c r="E47" s="297">
        <v>5725</v>
      </c>
      <c r="F47" s="297">
        <v>41463</v>
      </c>
      <c r="G47" s="297">
        <v>256467</v>
      </c>
      <c r="H47" s="254"/>
      <c r="I47" s="254"/>
      <c r="J47" s="258" t="s">
        <v>33</v>
      </c>
      <c r="K47" s="298" t="s">
        <v>193</v>
      </c>
      <c r="L47" s="298" t="s">
        <v>193</v>
      </c>
      <c r="M47" s="299">
        <v>20370641.25</v>
      </c>
      <c r="N47" s="299">
        <v>333524.78999999998</v>
      </c>
      <c r="O47" s="298" t="s">
        <v>193</v>
      </c>
      <c r="P47" s="299">
        <v>11438126.43</v>
      </c>
      <c r="Q47" s="254"/>
      <c r="R47" s="254"/>
    </row>
    <row r="48" spans="1:18" x14ac:dyDescent="0.25">
      <c r="A48" s="258" t="s">
        <v>34</v>
      </c>
      <c r="B48" s="297">
        <v>52028</v>
      </c>
      <c r="C48" s="297">
        <v>100355</v>
      </c>
      <c r="D48" s="297">
        <v>480654</v>
      </c>
      <c r="E48" s="297">
        <v>5697</v>
      </c>
      <c r="F48" s="297">
        <v>41256</v>
      </c>
      <c r="G48" s="297">
        <v>255186</v>
      </c>
      <c r="H48" s="254"/>
      <c r="I48" s="254"/>
      <c r="J48" s="258" t="s">
        <v>34</v>
      </c>
      <c r="K48" s="298" t="s">
        <v>193</v>
      </c>
      <c r="L48" s="298" t="s">
        <v>193</v>
      </c>
      <c r="M48" s="299">
        <v>20268782.239999998</v>
      </c>
      <c r="N48" s="299">
        <v>331896.28999999998</v>
      </c>
      <c r="O48" s="298" t="s">
        <v>193</v>
      </c>
      <c r="P48" s="299">
        <v>11381012.220000001</v>
      </c>
      <c r="Q48" s="254"/>
      <c r="R48" s="254"/>
    </row>
    <row r="49" spans="1:18" x14ac:dyDescent="0.25">
      <c r="A49" s="258" t="s">
        <v>35</v>
      </c>
      <c r="B49" s="297">
        <v>35613</v>
      </c>
      <c r="C49" s="297">
        <v>83299</v>
      </c>
      <c r="D49" s="297">
        <v>466504</v>
      </c>
      <c r="E49" s="297">
        <v>5666</v>
      </c>
      <c r="F49" s="297">
        <v>41051</v>
      </c>
      <c r="G49" s="297">
        <v>253913</v>
      </c>
      <c r="H49" s="254"/>
      <c r="I49" s="254"/>
      <c r="J49" s="258" t="s">
        <v>35</v>
      </c>
      <c r="K49" s="298" t="s">
        <v>193</v>
      </c>
      <c r="L49" s="298" t="s">
        <v>193</v>
      </c>
      <c r="M49" s="299">
        <v>20167481.359999999</v>
      </c>
      <c r="N49" s="299">
        <v>330078.26</v>
      </c>
      <c r="O49" s="298" t="s">
        <v>193</v>
      </c>
      <c r="P49" s="299">
        <v>11324230.859999999</v>
      </c>
      <c r="Q49" s="254"/>
      <c r="R49" s="254"/>
    </row>
    <row r="50" spans="1:18" x14ac:dyDescent="0.25">
      <c r="A50" s="258" t="s">
        <v>36</v>
      </c>
      <c r="B50" s="297">
        <v>5609</v>
      </c>
      <c r="C50" s="297">
        <v>33627</v>
      </c>
      <c r="D50" s="297">
        <v>464173</v>
      </c>
      <c r="E50" s="297">
        <v>5638</v>
      </c>
      <c r="F50" s="297">
        <v>40845</v>
      </c>
      <c r="G50" s="297">
        <v>252640</v>
      </c>
      <c r="H50" s="254"/>
      <c r="I50" s="254"/>
      <c r="J50" s="258" t="s">
        <v>36</v>
      </c>
      <c r="K50" s="298" t="s">
        <v>193</v>
      </c>
      <c r="L50" s="298" t="s">
        <v>193</v>
      </c>
      <c r="M50" s="299">
        <v>20066754</v>
      </c>
      <c r="N50" s="299">
        <v>328449.76</v>
      </c>
      <c r="O50" s="298" t="s">
        <v>193</v>
      </c>
      <c r="P50" s="299">
        <v>11267452.26</v>
      </c>
      <c r="Q50" s="254"/>
      <c r="R50" s="254"/>
    </row>
    <row r="51" spans="1:18" x14ac:dyDescent="0.25">
      <c r="A51" s="258" t="s">
        <v>37</v>
      </c>
      <c r="B51" s="297">
        <v>1537</v>
      </c>
      <c r="C51" s="297">
        <v>13656</v>
      </c>
      <c r="D51" s="297">
        <v>461850</v>
      </c>
      <c r="E51" s="297">
        <v>5610</v>
      </c>
      <c r="F51" s="297">
        <v>40641</v>
      </c>
      <c r="G51" s="297">
        <v>251376</v>
      </c>
      <c r="H51" s="254"/>
      <c r="I51" s="254"/>
      <c r="J51" s="258" t="s">
        <v>37</v>
      </c>
      <c r="K51" s="298" t="s">
        <v>193</v>
      </c>
      <c r="L51" s="298" t="s">
        <v>193</v>
      </c>
      <c r="M51" s="299">
        <v>19966254.170000002</v>
      </c>
      <c r="N51" s="299">
        <v>326821.26</v>
      </c>
      <c r="O51" s="298" t="s">
        <v>193</v>
      </c>
      <c r="P51" s="299">
        <v>11211073.76</v>
      </c>
      <c r="Q51" s="254"/>
      <c r="R51" s="254"/>
    </row>
    <row r="52" spans="1:18" x14ac:dyDescent="0.25">
      <c r="A52" s="258" t="s">
        <v>38</v>
      </c>
      <c r="B52" s="298">
        <v>10</v>
      </c>
      <c r="C52" s="298" t="s">
        <v>192</v>
      </c>
      <c r="D52" s="297">
        <v>459541</v>
      </c>
      <c r="E52" s="297">
        <v>5582</v>
      </c>
      <c r="F52" s="297">
        <v>6642</v>
      </c>
      <c r="G52" s="297">
        <v>250124</v>
      </c>
      <c r="H52" s="254"/>
      <c r="I52" s="254"/>
      <c r="J52" s="258" t="s">
        <v>38</v>
      </c>
      <c r="K52" s="298" t="s">
        <v>193</v>
      </c>
      <c r="L52" s="298" t="s">
        <v>193</v>
      </c>
      <c r="M52" s="299">
        <v>19866546.52</v>
      </c>
      <c r="N52" s="299">
        <v>325192.76</v>
      </c>
      <c r="O52" s="298" t="s">
        <v>193</v>
      </c>
      <c r="P52" s="299">
        <v>11155245.029999999</v>
      </c>
      <c r="Q52" s="254"/>
      <c r="R52" s="254"/>
    </row>
    <row r="53" spans="1:18" x14ac:dyDescent="0.25">
      <c r="A53" s="258" t="s">
        <v>39</v>
      </c>
      <c r="B53" s="298">
        <v>10</v>
      </c>
      <c r="C53" s="298" t="s">
        <v>192</v>
      </c>
      <c r="D53" s="297">
        <v>457244</v>
      </c>
      <c r="E53" s="297">
        <v>5556</v>
      </c>
      <c r="F53" s="298" t="s">
        <v>192</v>
      </c>
      <c r="G53" s="297">
        <v>248870</v>
      </c>
      <c r="H53" s="254"/>
      <c r="I53" s="254"/>
      <c r="J53" s="258" t="s">
        <v>39</v>
      </c>
      <c r="K53" s="298" t="s">
        <v>193</v>
      </c>
      <c r="L53" s="298" t="s">
        <v>193</v>
      </c>
      <c r="M53" s="299">
        <v>19767162.940000001</v>
      </c>
      <c r="N53" s="299">
        <v>323687.39</v>
      </c>
      <c r="O53" s="298" t="s">
        <v>193</v>
      </c>
      <c r="P53" s="299">
        <v>11099319.890000001</v>
      </c>
      <c r="Q53" s="254"/>
      <c r="R53" s="254"/>
    </row>
    <row r="54" spans="1:18" x14ac:dyDescent="0.25">
      <c r="A54" s="258" t="s">
        <v>40</v>
      </c>
      <c r="B54" s="298" t="s">
        <v>192</v>
      </c>
      <c r="C54" s="298" t="s">
        <v>192</v>
      </c>
      <c r="D54" s="297">
        <v>454960</v>
      </c>
      <c r="E54" s="297">
        <v>5528</v>
      </c>
      <c r="F54" s="298" t="s">
        <v>192</v>
      </c>
      <c r="G54" s="297">
        <v>247622</v>
      </c>
      <c r="H54" s="254"/>
      <c r="I54" s="254"/>
      <c r="J54" s="258" t="s">
        <v>40</v>
      </c>
      <c r="K54" s="298" t="s">
        <v>193</v>
      </c>
      <c r="L54" s="298" t="s">
        <v>193</v>
      </c>
      <c r="M54" s="299">
        <v>19668508.239999998</v>
      </c>
      <c r="N54" s="299">
        <v>322051.43</v>
      </c>
      <c r="O54" s="298" t="s">
        <v>193</v>
      </c>
      <c r="P54" s="299">
        <v>11043654.470000001</v>
      </c>
      <c r="Q54" s="254"/>
      <c r="R54" s="254"/>
    </row>
    <row r="55" spans="1:18" x14ac:dyDescent="0.25">
      <c r="A55" s="258" t="s">
        <v>172</v>
      </c>
      <c r="B55" s="298" t="s">
        <v>192</v>
      </c>
      <c r="C55" s="298" t="s">
        <v>192</v>
      </c>
      <c r="D55" s="297">
        <v>400082</v>
      </c>
      <c r="E55" s="297">
        <v>5500</v>
      </c>
      <c r="F55" s="298" t="s">
        <v>192</v>
      </c>
      <c r="G55" s="297">
        <v>246386</v>
      </c>
      <c r="H55" s="254"/>
      <c r="I55" s="254"/>
      <c r="J55" s="258" t="s">
        <v>172</v>
      </c>
      <c r="K55" s="298" t="s">
        <v>193</v>
      </c>
      <c r="L55" s="298" t="s">
        <v>193</v>
      </c>
      <c r="M55" s="299">
        <v>16205133.109999999</v>
      </c>
      <c r="N55" s="299">
        <v>320422.93</v>
      </c>
      <c r="O55" s="298" t="s">
        <v>193</v>
      </c>
      <c r="P55" s="299">
        <v>10988536.880000001</v>
      </c>
      <c r="Q55" s="254"/>
      <c r="R55" s="254"/>
    </row>
    <row r="56" spans="1:18" x14ac:dyDescent="0.25">
      <c r="A56" s="289" t="s">
        <v>194</v>
      </c>
      <c r="B56" s="298" t="s">
        <v>192</v>
      </c>
      <c r="C56" s="298" t="s">
        <v>192</v>
      </c>
      <c r="D56" s="297">
        <v>305087</v>
      </c>
      <c r="E56" s="297">
        <v>4825</v>
      </c>
      <c r="F56" s="298" t="s">
        <v>192</v>
      </c>
      <c r="G56" s="297">
        <v>245156</v>
      </c>
      <c r="H56" s="254"/>
      <c r="I56" s="254"/>
      <c r="J56" s="289" t="s">
        <v>194</v>
      </c>
      <c r="K56" s="298" t="s">
        <v>193</v>
      </c>
      <c r="L56" s="298" t="s">
        <v>193</v>
      </c>
      <c r="M56" s="299">
        <v>10414726.65</v>
      </c>
      <c r="N56" s="299">
        <v>275823.96000000002</v>
      </c>
      <c r="O56" s="298" t="s">
        <v>193</v>
      </c>
      <c r="P56" s="299">
        <v>10933682.59</v>
      </c>
      <c r="Q56" s="254"/>
      <c r="R56" s="254"/>
    </row>
    <row r="57" spans="1:18" x14ac:dyDescent="0.25">
      <c r="A57" s="261" t="s">
        <v>195</v>
      </c>
      <c r="B57" s="254"/>
      <c r="C57" s="254"/>
      <c r="D57" s="254"/>
      <c r="E57" s="254"/>
      <c r="F57" s="254"/>
      <c r="G57" s="254"/>
      <c r="H57" s="254"/>
      <c r="I57" s="254"/>
      <c r="J57" s="261" t="s">
        <v>196</v>
      </c>
      <c r="K57" s="254"/>
      <c r="L57" s="254"/>
      <c r="M57" s="254"/>
      <c r="N57" s="254"/>
      <c r="O57" s="254"/>
      <c r="P57" s="254"/>
      <c r="Q57" s="254"/>
      <c r="R57" s="254"/>
    </row>
    <row r="58" spans="1:18" x14ac:dyDescent="0.25">
      <c r="A58" s="254"/>
      <c r="B58" s="254"/>
      <c r="C58" s="254"/>
      <c r="D58" s="254"/>
      <c r="E58" s="254"/>
      <c r="F58" s="254"/>
      <c r="G58" s="254"/>
      <c r="H58" s="254"/>
      <c r="I58" s="254"/>
      <c r="J58" s="254"/>
      <c r="K58" s="254"/>
      <c r="L58" s="254"/>
      <c r="M58" s="254"/>
      <c r="N58" s="254"/>
      <c r="O58" s="254"/>
      <c r="P58" s="254"/>
      <c r="Q58" s="254"/>
      <c r="R58" s="254"/>
    </row>
    <row r="59" spans="1:18" x14ac:dyDescent="0.25">
      <c r="A59" s="252" t="s">
        <v>44</v>
      </c>
      <c r="B59" s="253" t="s">
        <v>184</v>
      </c>
      <c r="C59" s="253" t="s">
        <v>184</v>
      </c>
      <c r="D59" s="253" t="s">
        <v>184</v>
      </c>
      <c r="E59" s="253" t="s">
        <v>184</v>
      </c>
      <c r="F59" s="253" t="s">
        <v>184</v>
      </c>
      <c r="G59" s="253" t="s">
        <v>184</v>
      </c>
      <c r="H59" s="254"/>
      <c r="I59" s="254"/>
      <c r="J59" s="252" t="s">
        <v>44</v>
      </c>
      <c r="K59" s="253" t="s">
        <v>184</v>
      </c>
      <c r="L59" s="253" t="s">
        <v>184</v>
      </c>
      <c r="M59" s="253" t="s">
        <v>184</v>
      </c>
      <c r="N59" s="253" t="s">
        <v>184</v>
      </c>
      <c r="O59" s="253" t="s">
        <v>184</v>
      </c>
      <c r="P59" s="253" t="s">
        <v>184</v>
      </c>
      <c r="Q59" s="254"/>
      <c r="R59" s="254"/>
    </row>
    <row r="60" spans="1:18" x14ac:dyDescent="0.25">
      <c r="A60" s="256" t="s">
        <v>1</v>
      </c>
      <c r="B60" s="257" t="s">
        <v>186</v>
      </c>
      <c r="C60" s="257" t="s">
        <v>187</v>
      </c>
      <c r="D60" s="257" t="s">
        <v>188</v>
      </c>
      <c r="E60" s="257" t="s">
        <v>189</v>
      </c>
      <c r="F60" s="257" t="s">
        <v>190</v>
      </c>
      <c r="G60" s="255" t="s">
        <v>191</v>
      </c>
      <c r="H60" s="254"/>
      <c r="I60" s="254"/>
      <c r="J60" s="256" t="s">
        <v>1</v>
      </c>
      <c r="K60" s="257" t="s">
        <v>186</v>
      </c>
      <c r="L60" s="257" t="s">
        <v>187</v>
      </c>
      <c r="M60" s="257" t="s">
        <v>188</v>
      </c>
      <c r="N60" s="257" t="s">
        <v>189</v>
      </c>
      <c r="O60" s="257" t="s">
        <v>190</v>
      </c>
      <c r="P60" s="255" t="s">
        <v>191</v>
      </c>
      <c r="Q60" s="254"/>
      <c r="R60" s="254"/>
    </row>
    <row r="61" spans="1:18" x14ac:dyDescent="0.25">
      <c r="A61" s="258" t="s">
        <v>184</v>
      </c>
      <c r="B61" s="259" t="s">
        <v>184</v>
      </c>
      <c r="C61" s="259" t="s">
        <v>184</v>
      </c>
      <c r="D61" s="259" t="s">
        <v>184</v>
      </c>
      <c r="E61" s="259" t="s">
        <v>184</v>
      </c>
      <c r="F61" s="259" t="s">
        <v>184</v>
      </c>
      <c r="G61" s="260" t="s">
        <v>184</v>
      </c>
      <c r="H61" s="254"/>
      <c r="I61" s="254"/>
      <c r="J61" s="258" t="s">
        <v>184</v>
      </c>
      <c r="K61" s="259" t="s">
        <v>184</v>
      </c>
      <c r="L61" s="259" t="s">
        <v>184</v>
      </c>
      <c r="M61" s="259" t="s">
        <v>184</v>
      </c>
      <c r="N61" s="259" t="s">
        <v>184</v>
      </c>
      <c r="O61" s="259" t="s">
        <v>184</v>
      </c>
      <c r="P61" s="260" t="s">
        <v>184</v>
      </c>
      <c r="Q61" s="254"/>
      <c r="R61" s="254"/>
    </row>
    <row r="62" spans="1:18" x14ac:dyDescent="0.25">
      <c r="A62" s="258" t="s">
        <v>17</v>
      </c>
      <c r="B62" s="297">
        <v>141574</v>
      </c>
      <c r="C62" s="297">
        <v>229273</v>
      </c>
      <c r="D62" s="297">
        <v>81355</v>
      </c>
      <c r="E62" s="298" t="s">
        <v>192</v>
      </c>
      <c r="F62" s="298" t="s">
        <v>192</v>
      </c>
      <c r="G62" s="298" t="s">
        <v>192</v>
      </c>
      <c r="H62" s="254"/>
      <c r="I62" s="254"/>
      <c r="J62" s="258" t="s">
        <v>17</v>
      </c>
      <c r="K62" s="299">
        <v>110854804.69</v>
      </c>
      <c r="L62" s="299">
        <v>30863964.98</v>
      </c>
      <c r="M62" s="299">
        <v>18682694.300000001</v>
      </c>
      <c r="N62" s="298" t="s">
        <v>193</v>
      </c>
      <c r="O62" s="298" t="s">
        <v>193</v>
      </c>
      <c r="P62" s="298" t="s">
        <v>193</v>
      </c>
      <c r="Q62" s="254"/>
      <c r="R62" s="254"/>
    </row>
    <row r="63" spans="1:18" x14ac:dyDescent="0.25">
      <c r="A63" s="258" t="s">
        <v>18</v>
      </c>
      <c r="B63" s="297">
        <v>184184</v>
      </c>
      <c r="C63" s="297">
        <v>280699</v>
      </c>
      <c r="D63" s="297">
        <v>262797</v>
      </c>
      <c r="E63" s="298" t="s">
        <v>192</v>
      </c>
      <c r="F63" s="298" t="s">
        <v>192</v>
      </c>
      <c r="G63" s="298" t="s">
        <v>192</v>
      </c>
      <c r="H63" s="254"/>
      <c r="I63" s="254"/>
      <c r="J63" s="258" t="s">
        <v>18</v>
      </c>
      <c r="K63" s="299">
        <v>45622698.259999998</v>
      </c>
      <c r="L63" s="299">
        <v>37506981.18</v>
      </c>
      <c r="M63" s="299">
        <v>59890128.229999997</v>
      </c>
      <c r="N63" s="298" t="s">
        <v>193</v>
      </c>
      <c r="O63" s="298" t="s">
        <v>193</v>
      </c>
      <c r="P63" s="298" t="s">
        <v>193</v>
      </c>
      <c r="Q63" s="254"/>
      <c r="R63" s="254"/>
    </row>
    <row r="64" spans="1:18" x14ac:dyDescent="0.25">
      <c r="A64" s="258" t="s">
        <v>19</v>
      </c>
      <c r="B64" s="297">
        <v>251607</v>
      </c>
      <c r="C64" s="297">
        <v>299718</v>
      </c>
      <c r="D64" s="297">
        <v>328220</v>
      </c>
      <c r="E64" s="298" t="s">
        <v>192</v>
      </c>
      <c r="F64" s="298" t="s">
        <v>192</v>
      </c>
      <c r="G64" s="298" t="s">
        <v>192</v>
      </c>
      <c r="H64" s="254"/>
      <c r="I64" s="254"/>
      <c r="J64" s="258" t="s">
        <v>19</v>
      </c>
      <c r="K64" s="299">
        <v>69318612.439999998</v>
      </c>
      <c r="L64" s="299">
        <v>40011665.560000002</v>
      </c>
      <c r="M64" s="299">
        <v>75000246.920000002</v>
      </c>
      <c r="N64" s="298" t="s">
        <v>193</v>
      </c>
      <c r="O64" s="298" t="s">
        <v>193</v>
      </c>
      <c r="P64" s="298" t="s">
        <v>193</v>
      </c>
      <c r="Q64" s="254"/>
      <c r="R64" s="254"/>
    </row>
    <row r="65" spans="1:18" x14ac:dyDescent="0.25">
      <c r="A65" s="258" t="s">
        <v>20</v>
      </c>
      <c r="B65" s="297">
        <v>452978</v>
      </c>
      <c r="C65" s="297">
        <v>402196</v>
      </c>
      <c r="D65" s="297">
        <v>493416</v>
      </c>
      <c r="E65" s="298" t="s">
        <v>192</v>
      </c>
      <c r="F65" s="298" t="s">
        <v>192</v>
      </c>
      <c r="G65" s="298" t="s">
        <v>192</v>
      </c>
      <c r="H65" s="254"/>
      <c r="I65" s="254"/>
      <c r="J65" s="258" t="s">
        <v>20</v>
      </c>
      <c r="K65" s="299">
        <v>232293395.41999999</v>
      </c>
      <c r="L65" s="299">
        <v>51856039.710000001</v>
      </c>
      <c r="M65" s="299">
        <v>87309206.879999995</v>
      </c>
      <c r="N65" s="298" t="s">
        <v>193</v>
      </c>
      <c r="O65" s="298" t="s">
        <v>193</v>
      </c>
      <c r="P65" s="298" t="s">
        <v>193</v>
      </c>
      <c r="Q65" s="254"/>
      <c r="R65" s="254"/>
    </row>
    <row r="66" spans="1:18" x14ac:dyDescent="0.25">
      <c r="A66" s="258" t="s">
        <v>22</v>
      </c>
      <c r="B66" s="297">
        <v>529135</v>
      </c>
      <c r="C66" s="297">
        <v>616957</v>
      </c>
      <c r="D66" s="297">
        <v>743805</v>
      </c>
      <c r="E66" s="298">
        <v>942</v>
      </c>
      <c r="F66" s="297">
        <v>6313</v>
      </c>
      <c r="G66" s="298" t="s">
        <v>192</v>
      </c>
      <c r="H66" s="254"/>
      <c r="I66" s="254"/>
      <c r="J66" s="258" t="s">
        <v>22</v>
      </c>
      <c r="K66" s="299">
        <v>86925078.680000007</v>
      </c>
      <c r="L66" s="299">
        <v>65652282.369999997</v>
      </c>
      <c r="M66" s="299">
        <v>101701360.09999999</v>
      </c>
      <c r="N66" s="299">
        <v>62459.3</v>
      </c>
      <c r="O66" s="299">
        <v>877546.86</v>
      </c>
      <c r="P66" s="298" t="s">
        <v>193</v>
      </c>
      <c r="Q66" s="254"/>
      <c r="R66" s="254"/>
    </row>
    <row r="67" spans="1:18" x14ac:dyDescent="0.25">
      <c r="A67" s="258" t="s">
        <v>23</v>
      </c>
      <c r="B67" s="297">
        <v>624367</v>
      </c>
      <c r="C67" s="297">
        <v>719377</v>
      </c>
      <c r="D67" s="297">
        <v>1240635</v>
      </c>
      <c r="E67" s="297">
        <v>24451</v>
      </c>
      <c r="F67" s="297">
        <v>122119</v>
      </c>
      <c r="G67" s="297">
        <v>545907</v>
      </c>
      <c r="H67" s="254"/>
      <c r="I67" s="254"/>
      <c r="J67" s="258" t="s">
        <v>23</v>
      </c>
      <c r="K67" s="299">
        <v>112804031.92</v>
      </c>
      <c r="L67" s="299">
        <v>52554117.770000003</v>
      </c>
      <c r="M67" s="299">
        <v>106879115.26000001</v>
      </c>
      <c r="N67" s="299">
        <v>1118832.8</v>
      </c>
      <c r="O67" s="299">
        <v>18002496.399999999</v>
      </c>
      <c r="P67" s="299">
        <v>25030754.68</v>
      </c>
      <c r="Q67" s="254"/>
      <c r="R67" s="254"/>
    </row>
    <row r="68" spans="1:18" x14ac:dyDescent="0.25">
      <c r="A68" s="258" t="s">
        <v>24</v>
      </c>
      <c r="B68" s="297">
        <v>620996</v>
      </c>
      <c r="C68" s="297">
        <v>715768</v>
      </c>
      <c r="D68" s="297">
        <v>1452961</v>
      </c>
      <c r="E68" s="297">
        <v>33331</v>
      </c>
      <c r="F68" s="297">
        <v>145175</v>
      </c>
      <c r="G68" s="297">
        <v>561657</v>
      </c>
      <c r="H68" s="254"/>
      <c r="I68" s="254"/>
      <c r="J68" s="258" t="s">
        <v>24</v>
      </c>
      <c r="K68" s="298" t="s">
        <v>193</v>
      </c>
      <c r="L68" s="299">
        <v>45301229.759999998</v>
      </c>
      <c r="M68" s="299">
        <v>90534080.079999998</v>
      </c>
      <c r="N68" s="299">
        <v>2079483.8</v>
      </c>
      <c r="O68" s="299">
        <v>20663274</v>
      </c>
      <c r="P68" s="299">
        <v>25673253.050000001</v>
      </c>
      <c r="Q68" s="254"/>
      <c r="R68" s="254"/>
    </row>
    <row r="69" spans="1:18" x14ac:dyDescent="0.25">
      <c r="A69" s="258" t="s">
        <v>25</v>
      </c>
      <c r="B69" s="297">
        <v>617691</v>
      </c>
      <c r="C69" s="297">
        <v>712192</v>
      </c>
      <c r="D69" s="297">
        <v>1445703</v>
      </c>
      <c r="E69" s="297">
        <v>33164</v>
      </c>
      <c r="F69" s="297">
        <v>144445</v>
      </c>
      <c r="G69" s="297">
        <v>558849</v>
      </c>
      <c r="H69" s="254"/>
      <c r="I69" s="254"/>
      <c r="J69" s="258" t="s">
        <v>25</v>
      </c>
      <c r="K69" s="298" t="s">
        <v>193</v>
      </c>
      <c r="L69" s="299">
        <v>42805391.829999998</v>
      </c>
      <c r="M69" s="299">
        <v>73791786.590000004</v>
      </c>
      <c r="N69" s="299">
        <v>2020428.19</v>
      </c>
      <c r="O69" s="299">
        <v>20462447.77</v>
      </c>
      <c r="P69" s="299">
        <v>25547752.210000001</v>
      </c>
      <c r="Q69" s="254"/>
      <c r="R69" s="254"/>
    </row>
    <row r="70" spans="1:18" x14ac:dyDescent="0.25">
      <c r="A70" s="258" t="s">
        <v>26</v>
      </c>
      <c r="B70" s="297">
        <v>614511</v>
      </c>
      <c r="C70" s="297">
        <v>708627</v>
      </c>
      <c r="D70" s="297">
        <v>1438469</v>
      </c>
      <c r="E70" s="297">
        <v>33000</v>
      </c>
      <c r="F70" s="297">
        <v>143724</v>
      </c>
      <c r="G70" s="297">
        <v>556057</v>
      </c>
      <c r="H70" s="254"/>
      <c r="I70" s="254"/>
      <c r="J70" s="258" t="s">
        <v>26</v>
      </c>
      <c r="K70" s="298" t="s">
        <v>193</v>
      </c>
      <c r="L70" s="299">
        <v>33755382.210000001</v>
      </c>
      <c r="M70" s="299">
        <v>70797875.939999998</v>
      </c>
      <c r="N70" s="299">
        <v>2015458.59</v>
      </c>
      <c r="O70" s="299">
        <v>20462447.77</v>
      </c>
      <c r="P70" s="299">
        <v>25422986.579999998</v>
      </c>
      <c r="Q70" s="254"/>
      <c r="R70" s="254"/>
    </row>
    <row r="71" spans="1:18" x14ac:dyDescent="0.25">
      <c r="A71" s="258" t="s">
        <v>27</v>
      </c>
      <c r="B71" s="297">
        <v>611375</v>
      </c>
      <c r="C71" s="297">
        <v>705103</v>
      </c>
      <c r="D71" s="297">
        <v>1431276</v>
      </c>
      <c r="E71" s="297">
        <v>32835</v>
      </c>
      <c r="F71" s="297">
        <v>143003</v>
      </c>
      <c r="G71" s="297">
        <v>553273</v>
      </c>
      <c r="H71" s="254"/>
      <c r="I71" s="254"/>
      <c r="J71" s="258" t="s">
        <v>27</v>
      </c>
      <c r="K71" s="298" t="s">
        <v>193</v>
      </c>
      <c r="L71" s="299">
        <v>33747027.219999999</v>
      </c>
      <c r="M71" s="299">
        <v>70562271.689999998</v>
      </c>
      <c r="N71" s="299">
        <v>2010431.52</v>
      </c>
      <c r="O71" s="299">
        <v>20462447.77</v>
      </c>
      <c r="P71" s="299">
        <v>25298568.379999999</v>
      </c>
      <c r="Q71" s="254"/>
      <c r="R71" s="254"/>
    </row>
    <row r="72" spans="1:18" x14ac:dyDescent="0.25">
      <c r="A72" s="258" t="s">
        <v>28</v>
      </c>
      <c r="B72" s="297">
        <v>608248</v>
      </c>
      <c r="C72" s="297">
        <v>701559</v>
      </c>
      <c r="D72" s="297">
        <v>1424118</v>
      </c>
      <c r="E72" s="297">
        <v>32671</v>
      </c>
      <c r="F72" s="297">
        <v>142292</v>
      </c>
      <c r="G72" s="297">
        <v>550508</v>
      </c>
      <c r="H72" s="254"/>
      <c r="I72" s="254"/>
      <c r="J72" s="258" t="s">
        <v>28</v>
      </c>
      <c r="K72" s="298" t="s">
        <v>193</v>
      </c>
      <c r="L72" s="299">
        <v>31669497.609999999</v>
      </c>
      <c r="M72" s="299">
        <v>70327909.950000003</v>
      </c>
      <c r="N72" s="299">
        <v>2005422.92</v>
      </c>
      <c r="O72" s="299">
        <v>20462447.77</v>
      </c>
      <c r="P72" s="299">
        <v>25175059.140000001</v>
      </c>
      <c r="Q72" s="254"/>
      <c r="R72" s="254"/>
    </row>
    <row r="73" spans="1:18" x14ac:dyDescent="0.25">
      <c r="A73" s="258" t="s">
        <v>29</v>
      </c>
      <c r="B73" s="297">
        <v>605152</v>
      </c>
      <c r="C73" s="297">
        <v>698047</v>
      </c>
      <c r="D73" s="297">
        <v>1416996</v>
      </c>
      <c r="E73" s="297">
        <v>32507</v>
      </c>
      <c r="F73" s="297">
        <v>141580</v>
      </c>
      <c r="G73" s="297">
        <v>547758</v>
      </c>
      <c r="H73" s="254"/>
      <c r="I73" s="254"/>
      <c r="J73" s="258" t="s">
        <v>29</v>
      </c>
      <c r="K73" s="298" t="s">
        <v>193</v>
      </c>
      <c r="L73" s="299">
        <v>10367820.91</v>
      </c>
      <c r="M73" s="299">
        <v>70094804.650000006</v>
      </c>
      <c r="N73" s="299">
        <v>2000417.46</v>
      </c>
      <c r="O73" s="299">
        <v>19633653.52</v>
      </c>
      <c r="P73" s="299">
        <v>25052175.899999999</v>
      </c>
      <c r="Q73" s="254"/>
      <c r="R73" s="254"/>
    </row>
    <row r="74" spans="1:18" x14ac:dyDescent="0.25">
      <c r="A74" s="258" t="s">
        <v>30</v>
      </c>
      <c r="B74" s="297">
        <v>601953</v>
      </c>
      <c r="C74" s="297">
        <v>694530</v>
      </c>
      <c r="D74" s="297">
        <v>1409908</v>
      </c>
      <c r="E74" s="297">
        <v>32344</v>
      </c>
      <c r="F74" s="297">
        <v>140873</v>
      </c>
      <c r="G74" s="297">
        <v>545013</v>
      </c>
      <c r="H74" s="254"/>
      <c r="I74" s="254"/>
      <c r="J74" s="258" t="s">
        <v>30</v>
      </c>
      <c r="K74" s="298" t="s">
        <v>193</v>
      </c>
      <c r="L74" s="298" t="s">
        <v>193</v>
      </c>
      <c r="M74" s="299">
        <v>69862685.969999999</v>
      </c>
      <c r="N74" s="299">
        <v>1905075.58</v>
      </c>
      <c r="O74" s="299">
        <v>3414045.94</v>
      </c>
      <c r="P74" s="299">
        <v>24353934.780000001</v>
      </c>
      <c r="Q74" s="254"/>
      <c r="R74" s="254"/>
    </row>
    <row r="75" spans="1:18" x14ac:dyDescent="0.25">
      <c r="A75" s="258" t="s">
        <v>31</v>
      </c>
      <c r="B75" s="297">
        <v>598678</v>
      </c>
      <c r="C75" s="297">
        <v>691055</v>
      </c>
      <c r="D75" s="297">
        <v>1402861</v>
      </c>
      <c r="E75" s="297">
        <v>32185</v>
      </c>
      <c r="F75" s="297">
        <v>140168</v>
      </c>
      <c r="G75" s="297">
        <v>542292</v>
      </c>
      <c r="H75" s="254"/>
      <c r="I75" s="254"/>
      <c r="J75" s="258" t="s">
        <v>31</v>
      </c>
      <c r="K75" s="298" t="s">
        <v>193</v>
      </c>
      <c r="L75" s="298" t="s">
        <v>193</v>
      </c>
      <c r="M75" s="299">
        <v>45925065.229999997</v>
      </c>
      <c r="N75" s="299">
        <v>982972.16</v>
      </c>
      <c r="O75" s="298" t="s">
        <v>193</v>
      </c>
      <c r="P75" s="299">
        <v>24232347.66</v>
      </c>
      <c r="Q75" s="254"/>
      <c r="R75" s="254"/>
    </row>
    <row r="76" spans="1:18" x14ac:dyDescent="0.25">
      <c r="A76" s="258" t="s">
        <v>32</v>
      </c>
      <c r="B76" s="297">
        <v>520413</v>
      </c>
      <c r="C76" s="297">
        <v>477985</v>
      </c>
      <c r="D76" s="297">
        <v>1319998</v>
      </c>
      <c r="E76" s="297">
        <v>32021</v>
      </c>
      <c r="F76" s="297">
        <v>139469</v>
      </c>
      <c r="G76" s="297">
        <v>539577</v>
      </c>
      <c r="H76" s="254"/>
      <c r="I76" s="254"/>
      <c r="J76" s="258" t="s">
        <v>32</v>
      </c>
      <c r="K76" s="298" t="s">
        <v>193</v>
      </c>
      <c r="L76" s="298" t="s">
        <v>193</v>
      </c>
      <c r="M76" s="299">
        <v>45695072.240000002</v>
      </c>
      <c r="N76" s="299">
        <v>977966.7</v>
      </c>
      <c r="O76" s="298" t="s">
        <v>193</v>
      </c>
      <c r="P76" s="299">
        <v>24111040.190000001</v>
      </c>
      <c r="Q76" s="254"/>
      <c r="R76" s="254"/>
    </row>
    <row r="77" spans="1:18" x14ac:dyDescent="0.25">
      <c r="A77" s="258" t="s">
        <v>33</v>
      </c>
      <c r="B77" s="297">
        <v>461385</v>
      </c>
      <c r="C77" s="297">
        <v>471532</v>
      </c>
      <c r="D77" s="297">
        <v>1313407</v>
      </c>
      <c r="E77" s="297">
        <v>31862</v>
      </c>
      <c r="F77" s="297">
        <v>138769</v>
      </c>
      <c r="G77" s="297">
        <v>536879</v>
      </c>
      <c r="H77" s="254"/>
      <c r="I77" s="254"/>
      <c r="J77" s="258" t="s">
        <v>33</v>
      </c>
      <c r="K77" s="298" t="s">
        <v>193</v>
      </c>
      <c r="L77" s="298" t="s">
        <v>193</v>
      </c>
      <c r="M77" s="299">
        <v>45467026.32</v>
      </c>
      <c r="N77" s="299">
        <v>973088.46</v>
      </c>
      <c r="O77" s="298" t="s">
        <v>193</v>
      </c>
      <c r="P77" s="299">
        <v>23990463.48</v>
      </c>
      <c r="Q77" s="254"/>
      <c r="R77" s="254"/>
    </row>
    <row r="78" spans="1:18" x14ac:dyDescent="0.25">
      <c r="A78" s="258" t="s">
        <v>34</v>
      </c>
      <c r="B78" s="297">
        <v>418966</v>
      </c>
      <c r="C78" s="297">
        <v>420428</v>
      </c>
      <c r="D78" s="297">
        <v>1138163</v>
      </c>
      <c r="E78" s="297">
        <v>31702</v>
      </c>
      <c r="F78" s="297">
        <v>138073</v>
      </c>
      <c r="G78" s="297">
        <v>534195</v>
      </c>
      <c r="H78" s="254"/>
      <c r="I78" s="254"/>
      <c r="J78" s="258" t="s">
        <v>34</v>
      </c>
      <c r="K78" s="298" t="s">
        <v>193</v>
      </c>
      <c r="L78" s="298" t="s">
        <v>193</v>
      </c>
      <c r="M78" s="299">
        <v>45239772.009999998</v>
      </c>
      <c r="N78" s="299">
        <v>968211.05</v>
      </c>
      <c r="O78" s="298" t="s">
        <v>193</v>
      </c>
      <c r="P78" s="299">
        <v>23870525.809999999</v>
      </c>
      <c r="Q78" s="254"/>
      <c r="R78" s="254"/>
    </row>
    <row r="79" spans="1:18" x14ac:dyDescent="0.25">
      <c r="A79" s="258" t="s">
        <v>35</v>
      </c>
      <c r="B79" s="297">
        <v>353695</v>
      </c>
      <c r="C79" s="297">
        <v>399377</v>
      </c>
      <c r="D79" s="297">
        <v>1070568</v>
      </c>
      <c r="E79" s="297">
        <v>31543</v>
      </c>
      <c r="F79" s="297">
        <v>137387</v>
      </c>
      <c r="G79" s="297">
        <v>531526</v>
      </c>
      <c r="H79" s="254"/>
      <c r="I79" s="254"/>
      <c r="J79" s="258" t="s">
        <v>35</v>
      </c>
      <c r="K79" s="298" t="s">
        <v>193</v>
      </c>
      <c r="L79" s="298" t="s">
        <v>193</v>
      </c>
      <c r="M79" s="299">
        <v>45013466.93</v>
      </c>
      <c r="N79" s="299">
        <v>963340.42</v>
      </c>
      <c r="O79" s="298" t="s">
        <v>193</v>
      </c>
      <c r="P79" s="299">
        <v>23751267.710000001</v>
      </c>
      <c r="Q79" s="254"/>
      <c r="R79" s="254"/>
    </row>
    <row r="80" spans="1:18" x14ac:dyDescent="0.25">
      <c r="A80" s="258" t="s">
        <v>36</v>
      </c>
      <c r="B80" s="297">
        <v>165085</v>
      </c>
      <c r="C80" s="297">
        <v>305981</v>
      </c>
      <c r="D80" s="297">
        <v>1053996</v>
      </c>
      <c r="E80" s="297">
        <v>31387</v>
      </c>
      <c r="F80" s="297">
        <v>136695</v>
      </c>
      <c r="G80" s="297">
        <v>528862</v>
      </c>
      <c r="H80" s="254"/>
      <c r="I80" s="254"/>
      <c r="J80" s="258" t="s">
        <v>36</v>
      </c>
      <c r="K80" s="298" t="s">
        <v>193</v>
      </c>
      <c r="L80" s="298" t="s">
        <v>193</v>
      </c>
      <c r="M80" s="299">
        <v>44788075.009999998</v>
      </c>
      <c r="N80" s="299">
        <v>958623.37</v>
      </c>
      <c r="O80" s="298" t="s">
        <v>193</v>
      </c>
      <c r="P80" s="299">
        <v>23632218.09</v>
      </c>
      <c r="Q80" s="254"/>
      <c r="R80" s="254"/>
    </row>
    <row r="81" spans="1:18" x14ac:dyDescent="0.25">
      <c r="A81" s="258" t="s">
        <v>37</v>
      </c>
      <c r="B81" s="297">
        <v>91081</v>
      </c>
      <c r="C81" s="297">
        <v>98362</v>
      </c>
      <c r="D81" s="297">
        <v>1048728</v>
      </c>
      <c r="E81" s="297">
        <v>31229</v>
      </c>
      <c r="F81" s="297">
        <v>130155</v>
      </c>
      <c r="G81" s="297">
        <v>526226</v>
      </c>
      <c r="H81" s="254"/>
      <c r="I81" s="254"/>
      <c r="J81" s="258" t="s">
        <v>37</v>
      </c>
      <c r="K81" s="298" t="s">
        <v>193</v>
      </c>
      <c r="L81" s="298" t="s">
        <v>193</v>
      </c>
      <c r="M81" s="299">
        <v>44564481.880000003</v>
      </c>
      <c r="N81" s="299">
        <v>953792.03</v>
      </c>
      <c r="O81" s="298" t="s">
        <v>193</v>
      </c>
      <c r="P81" s="299">
        <v>23514438.170000002</v>
      </c>
      <c r="Q81" s="254"/>
      <c r="R81" s="254"/>
    </row>
    <row r="82" spans="1:18" x14ac:dyDescent="0.25">
      <c r="A82" s="258" t="s">
        <v>38</v>
      </c>
      <c r="B82" s="298">
        <v>70</v>
      </c>
      <c r="C82" s="298" t="s">
        <v>192</v>
      </c>
      <c r="D82" s="297">
        <v>1043479</v>
      </c>
      <c r="E82" s="297">
        <v>31074</v>
      </c>
      <c r="F82" s="297">
        <v>22060</v>
      </c>
      <c r="G82" s="297">
        <v>517115</v>
      </c>
      <c r="H82" s="254"/>
      <c r="I82" s="254"/>
      <c r="J82" s="258" t="s">
        <v>38</v>
      </c>
      <c r="K82" s="298" t="s">
        <v>193</v>
      </c>
      <c r="L82" s="298" t="s">
        <v>193</v>
      </c>
      <c r="M82" s="299">
        <v>44341208.450000003</v>
      </c>
      <c r="N82" s="299">
        <v>949045.81</v>
      </c>
      <c r="O82" s="298" t="s">
        <v>193</v>
      </c>
      <c r="P82" s="299">
        <v>23396760.030000001</v>
      </c>
      <c r="Q82" s="254"/>
      <c r="R82" s="254"/>
    </row>
    <row r="83" spans="1:18" x14ac:dyDescent="0.25">
      <c r="A83" s="258" t="s">
        <v>39</v>
      </c>
      <c r="B83" s="298">
        <v>50</v>
      </c>
      <c r="C83" s="298" t="s">
        <v>192</v>
      </c>
      <c r="D83" s="297">
        <v>1038271</v>
      </c>
      <c r="E83" s="297">
        <v>30917</v>
      </c>
      <c r="F83" s="298" t="s">
        <v>192</v>
      </c>
      <c r="G83" s="297">
        <v>514533</v>
      </c>
      <c r="H83" s="254"/>
      <c r="I83" s="254"/>
      <c r="J83" s="258" t="s">
        <v>39</v>
      </c>
      <c r="K83" s="298" t="s">
        <v>193</v>
      </c>
      <c r="L83" s="298" t="s">
        <v>193</v>
      </c>
      <c r="M83" s="299">
        <v>44119972.520000003</v>
      </c>
      <c r="N83" s="299">
        <v>944272.22</v>
      </c>
      <c r="O83" s="298" t="s">
        <v>193</v>
      </c>
      <c r="P83" s="299">
        <v>23279949.539999999</v>
      </c>
      <c r="Q83" s="254"/>
      <c r="R83" s="254"/>
    </row>
    <row r="84" spans="1:18" x14ac:dyDescent="0.25">
      <c r="A84" s="258" t="s">
        <v>40</v>
      </c>
      <c r="B84" s="298">
        <v>8</v>
      </c>
      <c r="C84" s="298" t="s">
        <v>192</v>
      </c>
      <c r="D84" s="297">
        <v>1033076</v>
      </c>
      <c r="E84" s="297">
        <v>30763</v>
      </c>
      <c r="F84" s="298" t="s">
        <v>192</v>
      </c>
      <c r="G84" s="297">
        <v>511961</v>
      </c>
      <c r="H84" s="254"/>
      <c r="I84" s="254"/>
      <c r="J84" s="258" t="s">
        <v>40</v>
      </c>
      <c r="K84" s="298" t="s">
        <v>193</v>
      </c>
      <c r="L84" s="298" t="s">
        <v>193</v>
      </c>
      <c r="M84" s="299">
        <v>43899177.289999999</v>
      </c>
      <c r="N84" s="299">
        <v>939572.07</v>
      </c>
      <c r="O84" s="298" t="s">
        <v>193</v>
      </c>
      <c r="P84" s="299">
        <v>23163575.969999999</v>
      </c>
      <c r="Q84" s="254"/>
      <c r="R84" s="254"/>
    </row>
    <row r="85" spans="1:18" x14ac:dyDescent="0.25">
      <c r="A85" s="258" t="s">
        <v>172</v>
      </c>
      <c r="B85" s="298" t="s">
        <v>192</v>
      </c>
      <c r="C85" s="298" t="s">
        <v>192</v>
      </c>
      <c r="D85" s="297">
        <v>887925</v>
      </c>
      <c r="E85" s="297">
        <v>30608</v>
      </c>
      <c r="F85" s="298" t="s">
        <v>192</v>
      </c>
      <c r="G85" s="297">
        <v>509398</v>
      </c>
      <c r="H85" s="254"/>
      <c r="I85" s="254"/>
      <c r="J85" s="258" t="s">
        <v>172</v>
      </c>
      <c r="K85" s="298" t="s">
        <v>193</v>
      </c>
      <c r="L85" s="298" t="s">
        <v>193</v>
      </c>
      <c r="M85" s="299">
        <v>35039200.899999999</v>
      </c>
      <c r="N85" s="299">
        <v>934803.27</v>
      </c>
      <c r="O85" s="298" t="s">
        <v>193</v>
      </c>
      <c r="P85" s="299">
        <v>23047615.199999999</v>
      </c>
      <c r="Q85" s="254"/>
      <c r="R85" s="254"/>
    </row>
    <row r="86" spans="1:18" x14ac:dyDescent="0.25">
      <c r="A86" s="289" t="s">
        <v>194</v>
      </c>
      <c r="B86" s="298" t="s">
        <v>192</v>
      </c>
      <c r="C86" s="298" t="s">
        <v>192</v>
      </c>
      <c r="D86" s="297">
        <v>654749</v>
      </c>
      <c r="E86" s="297">
        <v>29603</v>
      </c>
      <c r="F86" s="298" t="s">
        <v>192</v>
      </c>
      <c r="G86" s="297">
        <v>506849</v>
      </c>
      <c r="H86" s="254"/>
      <c r="I86" s="254"/>
      <c r="J86" s="289" t="s">
        <v>194</v>
      </c>
      <c r="K86" s="298" t="s">
        <v>193</v>
      </c>
      <c r="L86" s="298" t="s">
        <v>193</v>
      </c>
      <c r="M86" s="299">
        <v>21531545.539999999</v>
      </c>
      <c r="N86" s="299">
        <v>873678.47</v>
      </c>
      <c r="O86" s="298" t="s">
        <v>193</v>
      </c>
      <c r="P86" s="299">
        <v>22932255.579999998</v>
      </c>
      <c r="Q86" s="254"/>
      <c r="R86" s="254"/>
    </row>
    <row r="87" spans="1:18" x14ac:dyDescent="0.25">
      <c r="A87" s="254"/>
      <c r="B87" s="298" t="s">
        <v>192</v>
      </c>
      <c r="C87" s="298" t="s">
        <v>192</v>
      </c>
      <c r="D87" s="297">
        <v>198683</v>
      </c>
      <c r="E87" s="297">
        <v>8186</v>
      </c>
      <c r="F87" s="298" t="s">
        <v>192</v>
      </c>
      <c r="G87" s="297">
        <v>16804</v>
      </c>
      <c r="H87" s="254"/>
      <c r="I87" s="254"/>
      <c r="J87" s="254"/>
      <c r="K87" s="254"/>
      <c r="L87" s="254"/>
      <c r="M87" s="254"/>
      <c r="N87" s="254"/>
      <c r="O87" s="254"/>
      <c r="P87" s="254"/>
      <c r="Q87" s="254"/>
      <c r="R87" s="254"/>
    </row>
    <row r="88" spans="1:18" x14ac:dyDescent="0.25">
      <c r="A88" s="254"/>
      <c r="B88" s="254"/>
      <c r="C88" s="254"/>
      <c r="D88" s="254"/>
      <c r="E88" s="254"/>
      <c r="F88" s="254"/>
      <c r="G88" s="254"/>
      <c r="H88" s="254"/>
      <c r="I88" s="254"/>
      <c r="J88" s="254"/>
      <c r="K88" s="254"/>
      <c r="L88" s="254"/>
      <c r="M88" s="254"/>
      <c r="N88" s="254"/>
      <c r="O88" s="254"/>
      <c r="P88" s="254"/>
      <c r="Q88" s="254"/>
      <c r="R88" s="254"/>
    </row>
    <row r="89" spans="1:18" x14ac:dyDescent="0.25">
      <c r="A89" s="262" t="s">
        <v>45</v>
      </c>
      <c r="B89" s="262" t="s">
        <v>184</v>
      </c>
      <c r="C89" s="262" t="s">
        <v>184</v>
      </c>
      <c r="D89" s="262" t="s">
        <v>184</v>
      </c>
      <c r="E89" s="262" t="s">
        <v>184</v>
      </c>
      <c r="F89" s="262" t="s">
        <v>184</v>
      </c>
      <c r="G89" s="266" t="s">
        <v>184</v>
      </c>
      <c r="H89" s="254"/>
      <c r="I89" s="254"/>
      <c r="J89" s="252" t="s">
        <v>45</v>
      </c>
      <c r="K89" s="253" t="s">
        <v>184</v>
      </c>
      <c r="L89" s="253" t="s">
        <v>184</v>
      </c>
      <c r="M89" s="253" t="s">
        <v>184</v>
      </c>
      <c r="N89" s="253" t="s">
        <v>184</v>
      </c>
      <c r="O89" s="253" t="s">
        <v>184</v>
      </c>
      <c r="P89" s="253" t="s">
        <v>184</v>
      </c>
      <c r="Q89" s="254"/>
      <c r="R89" s="254"/>
    </row>
    <row r="90" spans="1:18" x14ac:dyDescent="0.25">
      <c r="A90" s="262" t="s">
        <v>1</v>
      </c>
      <c r="B90" s="262" t="s">
        <v>186</v>
      </c>
      <c r="C90" s="262" t="s">
        <v>187</v>
      </c>
      <c r="D90" s="262" t="s">
        <v>188</v>
      </c>
      <c r="E90" s="262" t="s">
        <v>189</v>
      </c>
      <c r="F90" s="264" t="s">
        <v>190</v>
      </c>
      <c r="G90" s="262" t="s">
        <v>191</v>
      </c>
      <c r="H90" s="254"/>
      <c r="I90" s="254"/>
      <c r="J90" s="256" t="s">
        <v>1</v>
      </c>
      <c r="K90" s="257" t="s">
        <v>186</v>
      </c>
      <c r="L90" s="257" t="s">
        <v>187</v>
      </c>
      <c r="M90" s="257" t="s">
        <v>188</v>
      </c>
      <c r="N90" s="257" t="s">
        <v>189</v>
      </c>
      <c r="O90" s="257" t="s">
        <v>190</v>
      </c>
      <c r="P90" s="255" t="s">
        <v>191</v>
      </c>
      <c r="Q90" s="254"/>
      <c r="R90" s="254"/>
    </row>
    <row r="91" spans="1:18" x14ac:dyDescent="0.25">
      <c r="A91" s="263" t="s">
        <v>184</v>
      </c>
      <c r="B91" s="263" t="s">
        <v>184</v>
      </c>
      <c r="C91" s="263" t="s">
        <v>184</v>
      </c>
      <c r="D91" s="263" t="s">
        <v>184</v>
      </c>
      <c r="E91" s="263" t="s">
        <v>184</v>
      </c>
      <c r="F91" s="265" t="s">
        <v>184</v>
      </c>
      <c r="G91" s="263" t="s">
        <v>184</v>
      </c>
      <c r="H91" s="254"/>
      <c r="I91" s="254"/>
      <c r="J91" s="258" t="s">
        <v>184</v>
      </c>
      <c r="K91" s="259" t="s">
        <v>184</v>
      </c>
      <c r="L91" s="259" t="s">
        <v>184</v>
      </c>
      <c r="M91" s="259" t="s">
        <v>184</v>
      </c>
      <c r="N91" s="259" t="s">
        <v>184</v>
      </c>
      <c r="O91" s="259" t="s">
        <v>184</v>
      </c>
      <c r="P91" s="260" t="s">
        <v>184</v>
      </c>
      <c r="Q91" s="254"/>
      <c r="R91" s="254"/>
    </row>
    <row r="92" spans="1:18" x14ac:dyDescent="0.25">
      <c r="A92" s="263" t="s">
        <v>17</v>
      </c>
      <c r="B92" s="298" t="s">
        <v>197</v>
      </c>
      <c r="C92" s="298">
        <v>297</v>
      </c>
      <c r="D92" s="290"/>
      <c r="E92" s="290"/>
      <c r="F92" s="290"/>
      <c r="G92" s="290"/>
      <c r="H92" s="254"/>
      <c r="I92" s="254"/>
      <c r="J92" s="258" t="s">
        <v>17</v>
      </c>
      <c r="K92" s="298" t="s">
        <v>198</v>
      </c>
      <c r="L92" s="299">
        <v>40121.54</v>
      </c>
      <c r="M92" s="291"/>
      <c r="N92" s="291"/>
      <c r="O92" s="291"/>
      <c r="P92" s="291"/>
      <c r="Q92" s="254"/>
      <c r="R92" s="254"/>
    </row>
    <row r="93" spans="1:18" x14ac:dyDescent="0.25">
      <c r="A93" s="263" t="s">
        <v>18</v>
      </c>
      <c r="B93" s="298" t="s">
        <v>192</v>
      </c>
      <c r="C93" s="297">
        <v>3127</v>
      </c>
      <c r="D93" s="290"/>
      <c r="E93" s="290"/>
      <c r="F93" s="290"/>
      <c r="G93" s="290"/>
      <c r="H93" s="254"/>
      <c r="I93" s="254"/>
      <c r="J93" s="258" t="s">
        <v>18</v>
      </c>
      <c r="K93" s="298" t="s">
        <v>193</v>
      </c>
      <c r="L93" s="299">
        <v>372758.78</v>
      </c>
      <c r="M93" s="291"/>
      <c r="N93" s="291"/>
      <c r="O93" s="291"/>
      <c r="P93" s="291"/>
      <c r="Q93" s="254"/>
      <c r="R93" s="254"/>
    </row>
    <row r="94" spans="1:18" x14ac:dyDescent="0.25">
      <c r="A94" s="263" t="s">
        <v>19</v>
      </c>
      <c r="B94" s="298">
        <v>266</v>
      </c>
      <c r="C94" s="297">
        <v>3659</v>
      </c>
      <c r="D94" s="290"/>
      <c r="E94" s="290"/>
      <c r="F94" s="290"/>
      <c r="G94" s="290"/>
      <c r="H94" s="254"/>
      <c r="I94" s="254"/>
      <c r="J94" s="258" t="s">
        <v>19</v>
      </c>
      <c r="K94" s="299">
        <v>295259.03999999998</v>
      </c>
      <c r="L94" s="299">
        <v>438019.44</v>
      </c>
      <c r="M94" s="291"/>
      <c r="N94" s="291"/>
      <c r="O94" s="291"/>
      <c r="P94" s="291"/>
      <c r="Q94" s="254"/>
      <c r="R94" s="254"/>
    </row>
    <row r="95" spans="1:18" x14ac:dyDescent="0.25">
      <c r="A95" s="263" t="s">
        <v>20</v>
      </c>
      <c r="B95" s="297">
        <v>4328</v>
      </c>
      <c r="C95" s="297">
        <v>10289</v>
      </c>
      <c r="D95" s="290"/>
      <c r="E95" s="290"/>
      <c r="F95" s="290"/>
      <c r="G95" s="290"/>
      <c r="H95" s="254"/>
      <c r="I95" s="254"/>
      <c r="J95" s="258" t="s">
        <v>20</v>
      </c>
      <c r="K95" s="299">
        <v>4580959.32</v>
      </c>
      <c r="L95" s="299">
        <v>1207831.05</v>
      </c>
      <c r="M95" s="291"/>
      <c r="N95" s="291"/>
      <c r="O95" s="291"/>
      <c r="P95" s="291"/>
      <c r="Q95" s="254"/>
      <c r="R95" s="254"/>
    </row>
    <row r="96" spans="1:18" x14ac:dyDescent="0.25">
      <c r="A96" s="263" t="s">
        <v>22</v>
      </c>
      <c r="B96" s="297">
        <v>6716</v>
      </c>
      <c r="C96" s="297">
        <v>14382</v>
      </c>
      <c r="D96" s="290"/>
      <c r="E96" s="290"/>
      <c r="F96" s="290"/>
      <c r="G96" s="290"/>
      <c r="H96" s="254"/>
      <c r="I96" s="254"/>
      <c r="J96" s="258" t="s">
        <v>22</v>
      </c>
      <c r="K96" s="299">
        <v>2676823.2799999998</v>
      </c>
      <c r="L96" s="299">
        <v>1665823.14</v>
      </c>
      <c r="M96" s="291"/>
      <c r="N96" s="291"/>
      <c r="O96" s="291"/>
      <c r="P96" s="291"/>
      <c r="Q96" s="254"/>
      <c r="R96" s="254"/>
    </row>
    <row r="97" spans="1:18" x14ac:dyDescent="0.25">
      <c r="A97" s="263" t="s">
        <v>23</v>
      </c>
      <c r="B97" s="297">
        <v>7966</v>
      </c>
      <c r="C97" s="297">
        <v>16663</v>
      </c>
      <c r="D97" s="290"/>
      <c r="E97" s="290"/>
      <c r="F97" s="290"/>
      <c r="G97" s="290"/>
      <c r="H97" s="254"/>
      <c r="I97" s="254"/>
      <c r="J97" s="258" t="s">
        <v>23</v>
      </c>
      <c r="K97" s="299">
        <v>1466506.31</v>
      </c>
      <c r="L97" s="299">
        <v>1905768.13</v>
      </c>
      <c r="M97" s="291"/>
      <c r="N97" s="291"/>
      <c r="O97" s="291"/>
      <c r="P97" s="291"/>
      <c r="Q97" s="254"/>
      <c r="R97" s="254"/>
    </row>
    <row r="98" spans="1:18" x14ac:dyDescent="0.25">
      <c r="A98" s="263" t="s">
        <v>24</v>
      </c>
      <c r="B98" s="297">
        <v>7925</v>
      </c>
      <c r="C98" s="297">
        <v>16579</v>
      </c>
      <c r="D98" s="290"/>
      <c r="E98" s="290"/>
      <c r="F98" s="290"/>
      <c r="G98" s="290"/>
      <c r="H98" s="254"/>
      <c r="I98" s="254"/>
      <c r="J98" s="258" t="s">
        <v>24</v>
      </c>
      <c r="K98" s="298" t="s">
        <v>193</v>
      </c>
      <c r="L98" s="299">
        <v>1556148.57</v>
      </c>
      <c r="M98" s="291"/>
      <c r="N98" s="291"/>
      <c r="O98" s="291"/>
      <c r="P98" s="291"/>
      <c r="Q98" s="254"/>
      <c r="R98" s="254"/>
    </row>
    <row r="99" spans="1:18" x14ac:dyDescent="0.25">
      <c r="A99" s="263" t="s">
        <v>25</v>
      </c>
      <c r="B99" s="297">
        <v>7885</v>
      </c>
      <c r="C99" s="297">
        <v>16497</v>
      </c>
      <c r="D99" s="290"/>
      <c r="E99" s="290"/>
      <c r="F99" s="290"/>
      <c r="G99" s="290"/>
      <c r="H99" s="254"/>
      <c r="I99" s="254"/>
      <c r="J99" s="258" t="s">
        <v>25</v>
      </c>
      <c r="K99" s="298" t="s">
        <v>193</v>
      </c>
      <c r="L99" s="299">
        <v>1490887.91</v>
      </c>
      <c r="M99" s="291"/>
      <c r="N99" s="291"/>
      <c r="O99" s="291"/>
      <c r="P99" s="291"/>
      <c r="Q99" s="254"/>
      <c r="R99" s="254"/>
    </row>
    <row r="100" spans="1:18" x14ac:dyDescent="0.25">
      <c r="A100" s="263" t="s">
        <v>26</v>
      </c>
      <c r="B100" s="297">
        <v>7849</v>
      </c>
      <c r="C100" s="297">
        <v>16417</v>
      </c>
      <c r="D100" s="290"/>
      <c r="E100" s="290"/>
      <c r="F100" s="290"/>
      <c r="G100" s="290"/>
      <c r="H100" s="254"/>
      <c r="I100" s="254"/>
      <c r="J100" s="258" t="s">
        <v>26</v>
      </c>
      <c r="K100" s="298" t="s">
        <v>193</v>
      </c>
      <c r="L100" s="299">
        <v>776505.54</v>
      </c>
      <c r="M100" s="291"/>
      <c r="N100" s="291"/>
      <c r="O100" s="291"/>
      <c r="P100" s="291"/>
      <c r="Q100" s="254"/>
      <c r="R100" s="254"/>
    </row>
    <row r="101" spans="1:18" x14ac:dyDescent="0.25">
      <c r="A101" s="263" t="s">
        <v>27</v>
      </c>
      <c r="B101" s="297">
        <v>7816</v>
      </c>
      <c r="C101" s="297">
        <v>16331</v>
      </c>
      <c r="D101" s="290"/>
      <c r="E101" s="290"/>
      <c r="F101" s="290"/>
      <c r="G101" s="290"/>
      <c r="H101" s="254"/>
      <c r="I101" s="254"/>
      <c r="J101" s="258" t="s">
        <v>27</v>
      </c>
      <c r="K101" s="298" t="s">
        <v>193</v>
      </c>
      <c r="L101" s="299">
        <v>776505.54</v>
      </c>
      <c r="M101" s="291"/>
      <c r="N101" s="291"/>
      <c r="O101" s="291"/>
      <c r="P101" s="291"/>
      <c r="Q101" s="254"/>
      <c r="R101" s="254"/>
    </row>
    <row r="102" spans="1:18" x14ac:dyDescent="0.25">
      <c r="A102" s="263" t="s">
        <v>28</v>
      </c>
      <c r="B102" s="297">
        <v>7772</v>
      </c>
      <c r="C102" s="297">
        <v>16247</v>
      </c>
      <c r="D102" s="290"/>
      <c r="E102" s="290"/>
      <c r="F102" s="290"/>
      <c r="G102" s="290"/>
      <c r="H102" s="254"/>
      <c r="I102" s="254"/>
      <c r="J102" s="258" t="s">
        <v>28</v>
      </c>
      <c r="K102" s="298" t="s">
        <v>193</v>
      </c>
      <c r="L102" s="299">
        <v>724155.7</v>
      </c>
      <c r="M102" s="291"/>
      <c r="N102" s="291"/>
      <c r="O102" s="291"/>
      <c r="P102" s="291"/>
      <c r="Q102" s="254"/>
      <c r="R102" s="254"/>
    </row>
    <row r="103" spans="1:18" x14ac:dyDescent="0.25">
      <c r="A103" s="263" t="s">
        <v>29</v>
      </c>
      <c r="B103" s="297">
        <v>7738</v>
      </c>
      <c r="C103" s="297">
        <v>16172</v>
      </c>
      <c r="D103" s="290"/>
      <c r="E103" s="290"/>
      <c r="F103" s="290"/>
      <c r="G103" s="290"/>
      <c r="H103" s="254"/>
      <c r="I103" s="254"/>
      <c r="J103" s="258" t="s">
        <v>29</v>
      </c>
      <c r="K103" s="298" t="s">
        <v>193</v>
      </c>
      <c r="L103" s="299">
        <v>288699.28999999998</v>
      </c>
      <c r="M103" s="291"/>
      <c r="N103" s="291"/>
      <c r="O103" s="291"/>
      <c r="P103" s="291"/>
      <c r="Q103" s="254"/>
      <c r="R103" s="254"/>
    </row>
    <row r="104" spans="1:18" x14ac:dyDescent="0.25">
      <c r="A104" s="263" t="s">
        <v>30</v>
      </c>
      <c r="B104" s="297">
        <v>7696</v>
      </c>
      <c r="C104" s="297">
        <v>16090</v>
      </c>
      <c r="D104" s="290"/>
      <c r="E104" s="290"/>
      <c r="F104" s="290"/>
      <c r="G104" s="290"/>
      <c r="H104" s="254"/>
      <c r="I104" s="254"/>
      <c r="J104" s="258" t="s">
        <v>30</v>
      </c>
      <c r="K104" s="292">
        <v>0</v>
      </c>
      <c r="L104" s="292">
        <v>0</v>
      </c>
      <c r="M104" s="291"/>
      <c r="N104" s="291"/>
      <c r="O104" s="291"/>
      <c r="P104" s="291"/>
      <c r="Q104" s="254"/>
      <c r="R104" s="254"/>
    </row>
    <row r="105" spans="1:18" x14ac:dyDescent="0.25">
      <c r="A105" s="263" t="s">
        <v>31</v>
      </c>
      <c r="B105" s="297">
        <v>7656</v>
      </c>
      <c r="C105" s="297">
        <v>16011</v>
      </c>
      <c r="D105" s="290"/>
      <c r="E105" s="290"/>
      <c r="F105" s="290"/>
      <c r="G105" s="290"/>
      <c r="H105" s="254"/>
      <c r="I105" s="254"/>
      <c r="J105" s="258" t="s">
        <v>31</v>
      </c>
      <c r="K105" s="292">
        <v>0</v>
      </c>
      <c r="L105" s="292">
        <v>0</v>
      </c>
      <c r="M105" s="291"/>
      <c r="N105" s="291"/>
      <c r="O105" s="291"/>
      <c r="P105" s="291"/>
      <c r="Q105" s="254"/>
      <c r="R105" s="254"/>
    </row>
    <row r="106" spans="1:18" x14ac:dyDescent="0.25">
      <c r="A106" s="263" t="s">
        <v>32</v>
      </c>
      <c r="B106" s="297">
        <v>7621</v>
      </c>
      <c r="C106" s="297">
        <v>15651</v>
      </c>
      <c r="D106" s="290"/>
      <c r="E106" s="290"/>
      <c r="F106" s="290"/>
      <c r="G106" s="290"/>
      <c r="H106" s="254"/>
      <c r="I106" s="254"/>
      <c r="J106" s="258" t="s">
        <v>32</v>
      </c>
      <c r="K106" s="292">
        <v>0</v>
      </c>
      <c r="L106" s="292">
        <v>0</v>
      </c>
      <c r="M106" s="291"/>
      <c r="N106" s="291"/>
      <c r="O106" s="291"/>
      <c r="P106" s="291"/>
      <c r="Q106" s="254"/>
      <c r="R106" s="254"/>
    </row>
    <row r="107" spans="1:18" x14ac:dyDescent="0.25">
      <c r="A107" s="263" t="s">
        <v>33</v>
      </c>
      <c r="B107" s="297">
        <v>7576</v>
      </c>
      <c r="C107" s="297">
        <v>15574</v>
      </c>
      <c r="D107" s="290"/>
      <c r="E107" s="290"/>
      <c r="F107" s="290"/>
      <c r="G107" s="290"/>
      <c r="H107" s="254"/>
      <c r="I107" s="254"/>
      <c r="J107" s="258" t="s">
        <v>33</v>
      </c>
      <c r="K107" s="292">
        <v>0</v>
      </c>
      <c r="L107" s="292">
        <v>0</v>
      </c>
      <c r="M107" s="291"/>
      <c r="N107" s="291"/>
      <c r="O107" s="291"/>
      <c r="P107" s="291"/>
      <c r="Q107" s="254"/>
      <c r="R107" s="254"/>
    </row>
    <row r="108" spans="1:18" x14ac:dyDescent="0.25">
      <c r="A108" s="263" t="s">
        <v>34</v>
      </c>
      <c r="B108" s="297">
        <v>7545</v>
      </c>
      <c r="C108" s="297">
        <v>12868</v>
      </c>
      <c r="D108" s="290"/>
      <c r="E108" s="290"/>
      <c r="F108" s="290"/>
      <c r="G108" s="290"/>
      <c r="H108" s="254"/>
      <c r="I108" s="254"/>
      <c r="J108" s="258" t="s">
        <v>34</v>
      </c>
      <c r="K108" s="292">
        <v>0</v>
      </c>
      <c r="L108" s="292">
        <v>0</v>
      </c>
      <c r="M108" s="291"/>
      <c r="N108" s="291"/>
      <c r="O108" s="291"/>
      <c r="P108" s="291"/>
      <c r="Q108" s="254"/>
      <c r="R108" s="254"/>
    </row>
    <row r="109" spans="1:18" x14ac:dyDescent="0.25">
      <c r="A109" s="263" t="s">
        <v>35</v>
      </c>
      <c r="B109" s="297">
        <v>7254</v>
      </c>
      <c r="C109" s="297">
        <v>12298</v>
      </c>
      <c r="D109" s="290"/>
      <c r="E109" s="290"/>
      <c r="F109" s="290"/>
      <c r="G109" s="290"/>
      <c r="H109" s="254"/>
      <c r="I109" s="254"/>
      <c r="J109" s="258" t="s">
        <v>35</v>
      </c>
      <c r="K109" s="292">
        <v>0</v>
      </c>
      <c r="L109" s="292">
        <v>0</v>
      </c>
      <c r="M109" s="291"/>
      <c r="N109" s="291"/>
      <c r="O109" s="291"/>
      <c r="P109" s="291"/>
      <c r="Q109" s="254"/>
      <c r="R109" s="254"/>
    </row>
    <row r="110" spans="1:18" x14ac:dyDescent="0.25">
      <c r="A110" s="263" t="s">
        <v>36</v>
      </c>
      <c r="B110" s="297">
        <v>3450</v>
      </c>
      <c r="C110" s="297">
        <v>6073</v>
      </c>
      <c r="D110" s="290"/>
      <c r="E110" s="290"/>
      <c r="F110" s="290"/>
      <c r="G110" s="290"/>
      <c r="H110" s="254"/>
      <c r="I110" s="254"/>
      <c r="J110" s="258" t="s">
        <v>36</v>
      </c>
      <c r="K110" s="292">
        <v>0</v>
      </c>
      <c r="L110" s="292">
        <v>0</v>
      </c>
      <c r="M110" s="291"/>
      <c r="N110" s="291"/>
      <c r="O110" s="291"/>
      <c r="P110" s="291"/>
      <c r="Q110" s="254"/>
      <c r="R110" s="254"/>
    </row>
    <row r="111" spans="1:18" x14ac:dyDescent="0.25">
      <c r="A111" s="263" t="s">
        <v>37</v>
      </c>
      <c r="B111" s="297">
        <v>1194</v>
      </c>
      <c r="C111" s="297">
        <v>2196</v>
      </c>
      <c r="D111" s="290"/>
      <c r="E111" s="290"/>
      <c r="F111" s="290"/>
      <c r="G111" s="290"/>
      <c r="H111" s="254"/>
      <c r="I111" s="254"/>
      <c r="J111" s="258" t="s">
        <v>37</v>
      </c>
      <c r="K111" s="292">
        <v>0</v>
      </c>
      <c r="L111" s="292">
        <v>0</v>
      </c>
      <c r="M111" s="291"/>
      <c r="N111" s="291"/>
      <c r="O111" s="291"/>
      <c r="P111" s="291"/>
      <c r="Q111" s="254"/>
      <c r="R111" s="254"/>
    </row>
    <row r="112" spans="1:18" x14ac:dyDescent="0.25">
      <c r="A112" s="263" t="s">
        <v>38</v>
      </c>
      <c r="B112" s="290">
        <v>0</v>
      </c>
      <c r="C112" s="290">
        <v>0</v>
      </c>
      <c r="D112" s="290"/>
      <c r="E112" s="290"/>
      <c r="F112" s="290"/>
      <c r="G112" s="290"/>
      <c r="H112" s="254"/>
      <c r="I112" s="254"/>
      <c r="J112" s="258" t="s">
        <v>38</v>
      </c>
      <c r="K112" s="292">
        <v>0</v>
      </c>
      <c r="L112" s="292">
        <v>0</v>
      </c>
      <c r="M112" s="291"/>
      <c r="N112" s="291"/>
      <c r="O112" s="291"/>
      <c r="P112" s="291"/>
      <c r="Q112" s="254"/>
      <c r="R112" s="254"/>
    </row>
    <row r="113" spans="1:18" x14ac:dyDescent="0.25">
      <c r="A113" s="263" t="s">
        <v>39</v>
      </c>
      <c r="B113" s="290">
        <v>0</v>
      </c>
      <c r="C113" s="290">
        <v>0</v>
      </c>
      <c r="D113" s="290"/>
      <c r="E113" s="290"/>
      <c r="F113" s="290"/>
      <c r="G113" s="290"/>
      <c r="H113" s="254"/>
      <c r="I113" s="254"/>
      <c r="J113" s="258" t="s">
        <v>39</v>
      </c>
      <c r="K113" s="292">
        <v>0</v>
      </c>
      <c r="L113" s="292">
        <v>0</v>
      </c>
      <c r="M113" s="291"/>
      <c r="N113" s="291"/>
      <c r="O113" s="291"/>
      <c r="P113" s="291"/>
      <c r="Q113" s="254"/>
      <c r="R113" s="254"/>
    </row>
    <row r="114" spans="1:18" x14ac:dyDescent="0.25">
      <c r="A114" s="263" t="s">
        <v>40</v>
      </c>
      <c r="B114" s="290">
        <v>0</v>
      </c>
      <c r="C114" s="290">
        <v>0</v>
      </c>
      <c r="D114" s="290"/>
      <c r="E114" s="290"/>
      <c r="F114" s="290"/>
      <c r="G114" s="290"/>
      <c r="H114" s="254"/>
      <c r="I114" s="254"/>
      <c r="J114" s="258" t="s">
        <v>40</v>
      </c>
      <c r="K114" s="292">
        <v>0</v>
      </c>
      <c r="L114" s="292">
        <v>0</v>
      </c>
      <c r="M114" s="291"/>
      <c r="N114" s="291"/>
      <c r="O114" s="291"/>
      <c r="P114" s="291"/>
      <c r="Q114" s="254"/>
      <c r="R114" s="254"/>
    </row>
    <row r="115" spans="1:18" x14ac:dyDescent="0.25">
      <c r="A115" s="263" t="s">
        <v>172</v>
      </c>
      <c r="B115" s="290">
        <v>0</v>
      </c>
      <c r="C115" s="290">
        <v>0</v>
      </c>
      <c r="D115" s="290"/>
      <c r="E115" s="290"/>
      <c r="F115" s="290"/>
      <c r="G115" s="290"/>
      <c r="H115" s="254"/>
      <c r="I115" s="254"/>
      <c r="J115" s="258" t="s">
        <v>172</v>
      </c>
      <c r="K115" s="292"/>
      <c r="L115" s="292"/>
      <c r="M115" s="291"/>
      <c r="N115" s="291"/>
      <c r="O115" s="291"/>
      <c r="P115" s="291"/>
      <c r="Q115" s="254"/>
      <c r="R115" s="254"/>
    </row>
    <row r="116" spans="1:18" x14ac:dyDescent="0.25">
      <c r="A116" s="263" t="s">
        <v>199</v>
      </c>
      <c r="B116" s="290">
        <v>0</v>
      </c>
      <c r="C116" s="290">
        <v>0</v>
      </c>
      <c r="D116" s="290"/>
      <c r="E116" s="290"/>
      <c r="F116" s="290"/>
      <c r="G116" s="290"/>
      <c r="H116" s="254"/>
      <c r="I116" s="254"/>
      <c r="J116" s="258" t="s">
        <v>199</v>
      </c>
      <c r="K116" s="292"/>
      <c r="L116" s="292"/>
      <c r="M116" s="291"/>
      <c r="N116" s="291"/>
      <c r="O116" s="291"/>
      <c r="P116" s="291"/>
      <c r="Q116" s="254"/>
      <c r="R116" s="254"/>
    </row>
  </sheetData>
  <pageMargins left="0.7" right="0.7" top="0.75" bottom="0.75" header="0.3" footer="0.3"/>
  <pageSetup scale="35" fitToHeight="3" orientation="portrait" r:id="rId1"/>
  <customProperties>
    <customPr name="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CB913-FDFD-49DA-AF1D-5FCC39021B6C}">
  <sheetPr>
    <pageSetUpPr fitToPage="1"/>
  </sheetPr>
  <dimension ref="A1:AO146"/>
  <sheetViews>
    <sheetView zoomScaleNormal="100" workbookViewId="0">
      <pane xSplit="1" topLeftCell="U1" activePane="topRight" state="frozen"/>
      <selection activeCell="L3" sqref="L3"/>
      <selection pane="topRight" activeCell="U7" sqref="U7"/>
    </sheetView>
  </sheetViews>
  <sheetFormatPr defaultRowHeight="15" x14ac:dyDescent="0.25"/>
  <cols>
    <col min="1" max="1" width="17.42578125" bestFit="1" customWidth="1"/>
    <col min="2" max="3" width="14.42578125" bestFit="1" customWidth="1"/>
    <col min="4" max="4" width="12.5703125" bestFit="1" customWidth="1"/>
    <col min="5" max="7" width="12.5703125" customWidth="1"/>
    <col min="8" max="8" width="23.42578125" customWidth="1"/>
    <col min="9" max="9" width="13.140625" customWidth="1"/>
    <col min="10" max="10" width="10.5703125" customWidth="1"/>
    <col min="11" max="11" width="14.42578125" bestFit="1" customWidth="1"/>
    <col min="12" max="12" width="18" customWidth="1"/>
    <col min="13" max="13" width="17.5703125" customWidth="1"/>
    <col min="14" max="14" width="18.42578125" bestFit="1" customWidth="1"/>
    <col min="15" max="15" width="16.140625" customWidth="1"/>
    <col min="16" max="16" width="21.85546875" bestFit="1" customWidth="1"/>
    <col min="17" max="17" width="12.5703125" customWidth="1"/>
    <col min="18" max="18" width="39.5703125" bestFit="1" customWidth="1"/>
    <col min="19" max="19" width="24.5703125" bestFit="1" customWidth="1"/>
    <col min="20" max="20" width="25" bestFit="1" customWidth="1"/>
    <col min="21" max="21" width="19.5703125" bestFit="1" customWidth="1"/>
    <col min="22" max="22" width="17.5703125" bestFit="1" customWidth="1"/>
    <col min="23" max="23" width="24" bestFit="1" customWidth="1"/>
    <col min="24" max="24" width="22.42578125" bestFit="1" customWidth="1"/>
    <col min="25" max="25" width="19.5703125" bestFit="1" customWidth="1"/>
    <col min="26" max="26" width="23.5703125" bestFit="1" customWidth="1"/>
    <col min="27" max="27" width="18.42578125" bestFit="1" customWidth="1"/>
    <col min="28" max="28" width="15.42578125" bestFit="1" customWidth="1"/>
    <col min="29" max="29" width="15.5703125" bestFit="1" customWidth="1"/>
    <col min="30" max="30" width="14.42578125" bestFit="1" customWidth="1"/>
    <col min="31" max="31" width="14.42578125" customWidth="1"/>
    <col min="32" max="32" width="21" bestFit="1" customWidth="1"/>
    <col min="33" max="33" width="20.5703125" bestFit="1" customWidth="1"/>
    <col min="34" max="34" width="14.5703125" bestFit="1" customWidth="1"/>
    <col min="35" max="35" width="14.5703125" customWidth="1"/>
    <col min="36" max="36" width="11" bestFit="1" customWidth="1"/>
    <col min="37" max="37" width="11" customWidth="1"/>
    <col min="38" max="38" width="17.5703125" customWidth="1"/>
    <col min="39" max="39" width="12.140625" bestFit="1" customWidth="1"/>
    <col min="40" max="40" width="13.5703125" bestFit="1" customWidth="1"/>
  </cols>
  <sheetData>
    <row r="1" spans="1:41" x14ac:dyDescent="0.25">
      <c r="A1" t="s">
        <v>183</v>
      </c>
      <c r="B1" s="170" t="s">
        <v>200</v>
      </c>
      <c r="C1" s="170"/>
      <c r="D1" s="170"/>
      <c r="E1" s="170"/>
      <c r="F1" s="170"/>
      <c r="G1" s="170"/>
      <c r="H1" s="170"/>
      <c r="I1" s="170"/>
      <c r="J1" s="170"/>
      <c r="K1" s="170"/>
      <c r="L1" s="170"/>
      <c r="M1" s="170"/>
      <c r="N1" s="170"/>
      <c r="O1" s="170"/>
      <c r="P1" s="170"/>
      <c r="Q1" s="170"/>
      <c r="R1" s="170"/>
      <c r="S1" s="170"/>
      <c r="T1" s="170"/>
      <c r="U1" s="170"/>
      <c r="V1" s="190" t="s">
        <v>95</v>
      </c>
      <c r="W1" s="190"/>
      <c r="X1" s="190"/>
      <c r="Y1" s="190"/>
      <c r="Z1" s="190"/>
      <c r="AA1" s="190"/>
      <c r="AB1" s="190"/>
      <c r="AC1" s="190"/>
      <c r="AD1" s="190"/>
      <c r="AE1" s="190"/>
      <c r="AF1" s="190"/>
    </row>
    <row r="2" spans="1:41" ht="30" x14ac:dyDescent="0.25">
      <c r="A2" s="184" t="s">
        <v>1</v>
      </c>
      <c r="B2" s="1" t="s">
        <v>201</v>
      </c>
      <c r="C2" s="1" t="s">
        <v>202</v>
      </c>
      <c r="D2" s="1" t="s">
        <v>203</v>
      </c>
      <c r="E2" s="1" t="s">
        <v>189</v>
      </c>
      <c r="F2" s="1" t="s">
        <v>190</v>
      </c>
      <c r="G2" s="1" t="s">
        <v>191</v>
      </c>
      <c r="H2" s="24" t="s">
        <v>204</v>
      </c>
      <c r="I2" s="184" t="s">
        <v>205</v>
      </c>
      <c r="J2" s="184" t="s">
        <v>206</v>
      </c>
      <c r="K2" s="184" t="s">
        <v>207</v>
      </c>
      <c r="L2" s="184" t="s">
        <v>208</v>
      </c>
      <c r="M2" s="184" t="s">
        <v>209</v>
      </c>
      <c r="N2" s="184" t="s">
        <v>210</v>
      </c>
      <c r="O2" s="184" t="s">
        <v>211</v>
      </c>
      <c r="P2" s="184" t="s">
        <v>212</v>
      </c>
      <c r="Q2" s="313" t="s">
        <v>213</v>
      </c>
      <c r="R2" s="24" t="s">
        <v>214</v>
      </c>
      <c r="S2" s="24" t="s">
        <v>215</v>
      </c>
      <c r="T2" s="24" t="s">
        <v>216</v>
      </c>
      <c r="U2" s="24" t="s">
        <v>217</v>
      </c>
      <c r="V2" s="184" t="s">
        <v>138</v>
      </c>
      <c r="W2" s="184" t="s">
        <v>144</v>
      </c>
      <c r="X2" s="25" t="s">
        <v>153</v>
      </c>
      <c r="Y2" s="184" t="s">
        <v>158</v>
      </c>
      <c r="Z2" s="25" t="s">
        <v>162</v>
      </c>
      <c r="AA2" s="25" t="s">
        <v>165</v>
      </c>
      <c r="AB2" s="184" t="s">
        <v>90</v>
      </c>
      <c r="AC2" s="184" t="s">
        <v>91</v>
      </c>
      <c r="AD2" s="184" t="s">
        <v>86</v>
      </c>
      <c r="AE2" s="184" t="s">
        <v>218</v>
      </c>
      <c r="AF2" s="25" t="s">
        <v>219</v>
      </c>
      <c r="AG2" s="192" t="s">
        <v>220</v>
      </c>
      <c r="AH2" s="24" t="s">
        <v>221</v>
      </c>
      <c r="AI2" s="24" t="s">
        <v>222</v>
      </c>
      <c r="AJ2" s="320" t="s">
        <v>223</v>
      </c>
      <c r="AK2" s="321"/>
      <c r="AL2" s="76" t="s">
        <v>224</v>
      </c>
      <c r="AM2" s="76" t="s">
        <v>225</v>
      </c>
      <c r="AN2" t="s">
        <v>226</v>
      </c>
      <c r="AO2" t="s">
        <v>227</v>
      </c>
    </row>
    <row r="3" spans="1:41" x14ac:dyDescent="0.25">
      <c r="A3" s="184"/>
      <c r="B3" s="184"/>
      <c r="C3" s="184"/>
      <c r="D3" s="184"/>
      <c r="E3" s="184"/>
      <c r="F3" s="184"/>
      <c r="G3" s="184"/>
      <c r="H3" s="24"/>
      <c r="I3" s="184"/>
      <c r="J3" s="184"/>
      <c r="K3" s="184"/>
      <c r="L3" s="184"/>
      <c r="M3" s="184"/>
      <c r="N3" s="184"/>
      <c r="O3" s="184"/>
      <c r="P3" s="184"/>
      <c r="Q3" s="184"/>
      <c r="R3" s="24"/>
      <c r="S3" s="24"/>
      <c r="T3" s="24"/>
      <c r="U3" s="24"/>
      <c r="V3" s="184"/>
      <c r="W3" s="184"/>
      <c r="X3" s="184"/>
      <c r="Y3" s="184"/>
      <c r="Z3" s="184"/>
      <c r="AA3" s="184"/>
      <c r="AB3" s="184"/>
      <c r="AC3" s="184"/>
      <c r="AD3" s="184"/>
      <c r="AE3" s="184"/>
      <c r="AF3" s="184"/>
      <c r="AG3" s="24"/>
      <c r="AH3" s="24"/>
      <c r="AI3" s="24"/>
    </row>
    <row r="4" spans="1:41" x14ac:dyDescent="0.25">
      <c r="A4" s="177" t="s">
        <v>17</v>
      </c>
      <c r="B4" s="178">
        <f>'ABP Under Contract'!B4</f>
        <v>177233</v>
      </c>
      <c r="C4" s="178">
        <f>'ABP Under Contract'!C4</f>
        <v>355988</v>
      </c>
      <c r="D4" s="178">
        <f>'ABP Under Contract'!D4</f>
        <v>127823</v>
      </c>
      <c r="E4" s="178" t="str">
        <f>'ABP Under Contract'!E4</f>
        <v xml:space="preserve"> -   </v>
      </c>
      <c r="F4" s="178" t="str">
        <f>'ABP Under Contract'!F4</f>
        <v xml:space="preserve"> -   </v>
      </c>
      <c r="G4" s="178" t="str">
        <f>'ABP Under Contract'!G4</f>
        <v xml:space="preserve"> -   </v>
      </c>
      <c r="H4" s="174">
        <f>SUM(B4:G4)</f>
        <v>661044</v>
      </c>
      <c r="I4" s="178">
        <v>1830409</v>
      </c>
      <c r="J4" s="178">
        <v>31316</v>
      </c>
      <c r="K4" s="178">
        <v>3273</v>
      </c>
      <c r="L4" s="178">
        <v>730000</v>
      </c>
      <c r="M4" s="178">
        <f>M33+M61+M89</f>
        <v>24313.292300000001</v>
      </c>
      <c r="N4" s="178" cm="1">
        <f t="array" ref="N4:P27">TRANSPOSE('Indexed REC Activities'!C74:Z76)</f>
        <v>0</v>
      </c>
      <c r="O4" s="178">
        <v>0</v>
      </c>
      <c r="P4" s="178">
        <v>0</v>
      </c>
      <c r="Q4" s="178">
        <v>58271.600000000006</v>
      </c>
      <c r="R4" s="174">
        <f t="shared" ref="R4:R26" si="0">SUM(I4:Q4)</f>
        <v>2677582.8922999999</v>
      </c>
      <c r="S4" s="174">
        <f>H4+J4+K4+M4+O4+P4+Q4</f>
        <v>778217.89229999995</v>
      </c>
      <c r="T4" s="174">
        <f>I4+L4+N4</f>
        <v>2560409</v>
      </c>
      <c r="U4" s="174">
        <f t="shared" ref="U4:U27" si="1">H4+R4</f>
        <v>3338626.8922999999</v>
      </c>
      <c r="V4" s="26"/>
      <c r="W4" s="26"/>
      <c r="X4" s="26"/>
      <c r="Y4" s="26"/>
      <c r="Z4" s="26"/>
      <c r="AA4" s="26"/>
      <c r="AB4" s="26" cm="1">
        <f t="array" ref="AB4:AD27">TRANSPOSE('Indexed REC Activities'!C80:Z82)</f>
        <v>0</v>
      </c>
      <c r="AC4" s="26">
        <v>0</v>
      </c>
      <c r="AD4" s="26">
        <v>0</v>
      </c>
      <c r="AE4" s="26"/>
      <c r="AF4" s="26"/>
      <c r="AG4" s="174">
        <f>SUM(V4:AF4)</f>
        <v>0</v>
      </c>
      <c r="AH4" s="174">
        <f>H4+R4+AG4</f>
        <v>3338626.8922999999</v>
      </c>
      <c r="AI4" s="191">
        <f>AH4/'Collections and ACP'!E7</f>
        <v>2.7625640640182855E-2</v>
      </c>
      <c r="AJ4" s="185">
        <v>2839962.8922999999</v>
      </c>
      <c r="AK4" s="185">
        <f>AH4-AJ4</f>
        <v>498664</v>
      </c>
      <c r="AL4" s="172">
        <f>H4+J4+K4+M4+Q4+V4+W4+X4+Y4+Z4+AA4+AC4+AD4+AF4+O4+P4+AE4</f>
        <v>778217.89229999995</v>
      </c>
      <c r="AM4" s="172">
        <f>I4+L4+AB4+N4</f>
        <v>2560409</v>
      </c>
      <c r="AN4" s="105">
        <f>AL4/(AL4+AM4)</f>
        <v>0.23309519673936402</v>
      </c>
      <c r="AO4" s="105">
        <f>1-AN4</f>
        <v>0.76690480326063604</v>
      </c>
    </row>
    <row r="5" spans="1:41" x14ac:dyDescent="0.25">
      <c r="A5" s="177" t="s">
        <v>18</v>
      </c>
      <c r="B5" s="178">
        <f>'ABP Under Contract'!B5</f>
        <v>234135</v>
      </c>
      <c r="C5" s="178">
        <f>'ABP Under Contract'!C5</f>
        <v>448093</v>
      </c>
      <c r="D5" s="178">
        <f>'ABP Under Contract'!D5</f>
        <v>362353</v>
      </c>
      <c r="E5" s="178" t="str">
        <f>'ABP Under Contract'!E5</f>
        <v xml:space="preserve"> -   </v>
      </c>
      <c r="F5" s="178" t="str">
        <f>'ABP Under Contract'!F5</f>
        <v xml:space="preserve"> -   </v>
      </c>
      <c r="G5" s="178" t="str">
        <f>'ABP Under Contract'!G5</f>
        <v xml:space="preserve"> -   </v>
      </c>
      <c r="H5" s="174">
        <f t="shared" ref="H5:H26" si="2">SUM(B5:G5)</f>
        <v>1044581</v>
      </c>
      <c r="I5" s="178">
        <v>1830409</v>
      </c>
      <c r="J5" s="178">
        <v>31316</v>
      </c>
      <c r="K5" s="178">
        <v>21732</v>
      </c>
      <c r="L5" s="178">
        <v>2065519</v>
      </c>
      <c r="M5" s="178">
        <f t="shared" ref="M5:M27" si="3">M34+M62+M90</f>
        <v>927320.57460000005</v>
      </c>
      <c r="N5" s="178">
        <v>0</v>
      </c>
      <c r="O5" s="178">
        <v>0</v>
      </c>
      <c r="P5" s="178">
        <v>0</v>
      </c>
      <c r="Q5" s="178">
        <v>65181.53333333334</v>
      </c>
      <c r="R5" s="174">
        <f t="shared" si="0"/>
        <v>4941478.1079333331</v>
      </c>
      <c r="S5" s="174">
        <f t="shared" ref="S5:S27" si="4">H5+J5+K5+M5+O5+P5+Q5</f>
        <v>2090131.1079333334</v>
      </c>
      <c r="T5" s="174">
        <f t="shared" ref="T5:T27" si="5">I5+L5+N5</f>
        <v>3895928</v>
      </c>
      <c r="U5" s="174">
        <f t="shared" si="1"/>
        <v>5986059.1079333331</v>
      </c>
      <c r="V5" s="174"/>
      <c r="W5" s="174"/>
      <c r="X5" s="174"/>
      <c r="Y5" s="174"/>
      <c r="Z5" s="174"/>
      <c r="AA5" s="174"/>
      <c r="AB5" s="174">
        <v>0</v>
      </c>
      <c r="AC5" s="174">
        <v>0</v>
      </c>
      <c r="AD5" s="174">
        <v>0</v>
      </c>
      <c r="AE5" s="27"/>
      <c r="AF5" s="27"/>
      <c r="AG5" s="174">
        <f t="shared" ref="AG5:AG26" si="6">SUM(V5:AF5)</f>
        <v>0</v>
      </c>
      <c r="AH5" s="174">
        <f t="shared" ref="AH5:AH26" si="7">H5+R5+AG5</f>
        <v>5986059.1079333331</v>
      </c>
      <c r="AI5" s="191">
        <f>AH5/'Collections and ACP'!E8</f>
        <v>4.9915674103104102E-2</v>
      </c>
      <c r="AJ5" s="185">
        <v>5490150.1079333331</v>
      </c>
      <c r="AK5" s="185">
        <f t="shared" ref="AK5:AK27" si="8">AH5-AJ5</f>
        <v>495909</v>
      </c>
      <c r="AL5" s="172">
        <f t="shared" ref="AL5:AL27" si="9">H5+J5+K5+M5+Q5+V5+W5+X5+Y5+Z5+AA5+AC5+AD5+AF5+O5+P5+AE5</f>
        <v>2090131.1079333334</v>
      </c>
      <c r="AM5" s="172">
        <f t="shared" ref="AM5:AM27" si="10">I5+L5+AB5+N5</f>
        <v>3895928</v>
      </c>
      <c r="AN5" s="105">
        <f t="shared" ref="AN5:AN27" si="11">AL5/(AL5+AM5)</f>
        <v>0.34916646665972267</v>
      </c>
      <c r="AO5" s="105">
        <f t="shared" ref="AO5:AO27" si="12">1-AN5</f>
        <v>0.65083353334027727</v>
      </c>
    </row>
    <row r="6" spans="1:41" x14ac:dyDescent="0.25">
      <c r="A6" s="177" t="s">
        <v>19</v>
      </c>
      <c r="B6" s="178">
        <f>'ABP Under Contract'!B6</f>
        <v>319104</v>
      </c>
      <c r="C6" s="178">
        <f>'ABP Under Contract'!C6</f>
        <v>484680</v>
      </c>
      <c r="D6" s="178">
        <f>'ABP Under Contract'!D6</f>
        <v>439942</v>
      </c>
      <c r="E6" s="178" t="str">
        <f>'ABP Under Contract'!E6</f>
        <v xml:space="preserve"> -   </v>
      </c>
      <c r="F6" s="178" t="str">
        <f>'ABP Under Contract'!F6</f>
        <v xml:space="preserve"> -   </v>
      </c>
      <c r="G6" s="178" t="str">
        <f>'ABP Under Contract'!G6</f>
        <v xml:space="preserve"> -   </v>
      </c>
      <c r="H6" s="174">
        <f t="shared" si="2"/>
        <v>1243726</v>
      </c>
      <c r="I6" s="178">
        <v>1830409</v>
      </c>
      <c r="J6" s="178">
        <v>31316</v>
      </c>
      <c r="K6" s="178">
        <v>5613</v>
      </c>
      <c r="L6" s="178">
        <v>2065519</v>
      </c>
      <c r="M6" s="178">
        <f t="shared" si="3"/>
        <v>1995629.5746000002</v>
      </c>
      <c r="N6" s="178">
        <v>0</v>
      </c>
      <c r="O6" s="178">
        <v>0</v>
      </c>
      <c r="P6" s="178">
        <v>0</v>
      </c>
      <c r="Q6" s="178">
        <v>64855.625666666674</v>
      </c>
      <c r="R6" s="174">
        <f t="shared" si="0"/>
        <v>5993342.2002666667</v>
      </c>
      <c r="S6" s="174">
        <f t="shared" si="4"/>
        <v>3341140.2002666667</v>
      </c>
      <c r="T6" s="174">
        <f>I6+L6+N6</f>
        <v>3895928</v>
      </c>
      <c r="U6" s="174">
        <f t="shared" si="1"/>
        <v>7237068.2002666667</v>
      </c>
      <c r="V6" s="28"/>
      <c r="W6" s="28"/>
      <c r="X6" s="28"/>
      <c r="Y6" s="28"/>
      <c r="Z6" s="28"/>
      <c r="AA6" s="28"/>
      <c r="AB6" s="29">
        <v>0</v>
      </c>
      <c r="AC6" s="29">
        <v>0</v>
      </c>
      <c r="AD6" s="29">
        <v>0</v>
      </c>
      <c r="AE6" s="29"/>
      <c r="AF6" s="29"/>
      <c r="AG6" s="174">
        <f t="shared" si="6"/>
        <v>0</v>
      </c>
      <c r="AH6" s="174">
        <f t="shared" si="7"/>
        <v>7237068.2002666667</v>
      </c>
      <c r="AI6" s="191">
        <f>AH6/'Collections and ACP'!E9</f>
        <v>6.0157341501462847E-2</v>
      </c>
      <c r="AJ6" s="185">
        <v>6755290.2002666667</v>
      </c>
      <c r="AK6" s="185">
        <f t="shared" si="8"/>
        <v>481778</v>
      </c>
      <c r="AL6" s="172">
        <f t="shared" si="9"/>
        <v>3341140.2002666667</v>
      </c>
      <c r="AM6" s="172">
        <f t="shared" si="10"/>
        <v>3895928</v>
      </c>
      <c r="AN6" s="105">
        <f t="shared" si="11"/>
        <v>0.46167040406549636</v>
      </c>
      <c r="AO6" s="105">
        <f t="shared" si="12"/>
        <v>0.53832959593450358</v>
      </c>
    </row>
    <row r="7" spans="1:41" x14ac:dyDescent="0.25">
      <c r="A7" s="177" t="s">
        <v>20</v>
      </c>
      <c r="B7" s="178">
        <f>'ABP Under Contract'!B7</f>
        <v>556621</v>
      </c>
      <c r="C7" s="178">
        <f>'ABP Under Contract'!C7</f>
        <v>646085</v>
      </c>
      <c r="D7" s="178">
        <f>'ABP Under Contract'!D7</f>
        <v>662729</v>
      </c>
      <c r="E7" s="178" t="str">
        <f>'ABP Under Contract'!E7</f>
        <v xml:space="preserve"> -   </v>
      </c>
      <c r="F7" s="178" t="str">
        <f>'ABP Under Contract'!F7</f>
        <v xml:space="preserve"> -   </v>
      </c>
      <c r="G7" s="178" t="str">
        <f>'ABP Under Contract'!G7</f>
        <v xml:space="preserve"> -   </v>
      </c>
      <c r="H7" s="174">
        <f t="shared" si="2"/>
        <v>1865435</v>
      </c>
      <c r="I7" s="178">
        <v>1830409</v>
      </c>
      <c r="J7" s="178">
        <v>31316</v>
      </c>
      <c r="K7" s="30"/>
      <c r="L7" s="178">
        <v>2065519</v>
      </c>
      <c r="M7" s="178">
        <f t="shared" si="3"/>
        <v>1995629.5746000002</v>
      </c>
      <c r="N7" s="178">
        <v>0</v>
      </c>
      <c r="O7" s="178">
        <v>0</v>
      </c>
      <c r="P7" s="178">
        <v>0</v>
      </c>
      <c r="Q7" s="178">
        <v>64531.347538333343</v>
      </c>
      <c r="R7" s="174">
        <f t="shared" si="0"/>
        <v>5987404.9221383333</v>
      </c>
      <c r="S7" s="174">
        <f t="shared" si="4"/>
        <v>3956911.9221383333</v>
      </c>
      <c r="T7" s="174">
        <f t="shared" si="5"/>
        <v>3895928</v>
      </c>
      <c r="U7" s="174">
        <f t="shared" si="1"/>
        <v>7852839.9221383333</v>
      </c>
      <c r="V7" s="28"/>
      <c r="W7" s="28"/>
      <c r="X7" s="28"/>
      <c r="Y7" s="28"/>
      <c r="Z7" s="28"/>
      <c r="AA7" s="28"/>
      <c r="AB7" s="29">
        <v>0</v>
      </c>
      <c r="AC7" s="29">
        <v>0</v>
      </c>
      <c r="AD7" s="29">
        <v>0</v>
      </c>
      <c r="AE7" s="29"/>
      <c r="AF7" s="29">
        <v>47000</v>
      </c>
      <c r="AG7" s="174">
        <f>SUM(V7:AF7)</f>
        <v>47000</v>
      </c>
      <c r="AH7" s="174">
        <f>H7+R7+AG7</f>
        <v>7899839.9221383333</v>
      </c>
      <c r="AI7" s="191">
        <f>AH7/'Collections and ACP'!E10</f>
        <v>6.6786732417747838E-2</v>
      </c>
      <c r="AJ7" s="185">
        <v>7191317.9221383333</v>
      </c>
      <c r="AK7" s="185">
        <f t="shared" si="8"/>
        <v>708522</v>
      </c>
      <c r="AL7" s="172">
        <f t="shared" si="9"/>
        <v>4003911.9221383333</v>
      </c>
      <c r="AM7" s="172">
        <f t="shared" si="10"/>
        <v>3895928</v>
      </c>
      <c r="AN7" s="105">
        <f t="shared" si="11"/>
        <v>0.50683456394070225</v>
      </c>
      <c r="AO7" s="105">
        <f t="shared" si="12"/>
        <v>0.49316543605929775</v>
      </c>
    </row>
    <row r="8" spans="1:41" x14ac:dyDescent="0.25">
      <c r="A8" s="177" t="s">
        <v>22</v>
      </c>
      <c r="B8" s="178">
        <f>'ABP Under Contract'!B8</f>
        <v>638832</v>
      </c>
      <c r="C8" s="178">
        <f>'ABP Under Contract'!C8</f>
        <v>885020</v>
      </c>
      <c r="D8" s="178">
        <f>'ABP Under Contract'!D8</f>
        <v>1015074</v>
      </c>
      <c r="E8" s="178">
        <f>'ABP Under Contract'!E8</f>
        <v>1657</v>
      </c>
      <c r="F8" s="178">
        <f>'ABP Under Contract'!F8</f>
        <v>6313</v>
      </c>
      <c r="G8" s="178" t="str">
        <f>'ABP Under Contract'!G8</f>
        <v xml:space="preserve"> -   </v>
      </c>
      <c r="H8" s="174">
        <f t="shared" si="2"/>
        <v>2546896</v>
      </c>
      <c r="I8" s="178">
        <v>1830409</v>
      </c>
      <c r="J8" s="178">
        <v>31316</v>
      </c>
      <c r="K8" s="30"/>
      <c r="L8" s="178">
        <v>2065519</v>
      </c>
      <c r="M8" s="178">
        <f t="shared" si="3"/>
        <v>1995629.5746000002</v>
      </c>
      <c r="N8" s="178">
        <v>0</v>
      </c>
      <c r="O8" s="178">
        <v>0</v>
      </c>
      <c r="P8" s="178">
        <v>0</v>
      </c>
      <c r="Q8" s="178">
        <v>64208.690800641678</v>
      </c>
      <c r="R8" s="174">
        <f t="shared" si="0"/>
        <v>5987082.2654006416</v>
      </c>
      <c r="S8" s="174">
        <f t="shared" si="4"/>
        <v>4638050.2654006416</v>
      </c>
      <c r="T8" s="174">
        <f t="shared" si="5"/>
        <v>3895928</v>
      </c>
      <c r="U8" s="174">
        <f t="shared" si="1"/>
        <v>8533978.2654006407</v>
      </c>
      <c r="V8" s="13" cm="1">
        <f t="array" ref="V8:AA27">TRANSPOSE('Projected ABP RECs'!B164:U169)</f>
        <v>0</v>
      </c>
      <c r="W8" s="28">
        <v>0</v>
      </c>
      <c r="X8" s="28">
        <v>0</v>
      </c>
      <c r="Y8" s="28">
        <v>0</v>
      </c>
      <c r="Z8" s="28">
        <v>0</v>
      </c>
      <c r="AA8" s="28">
        <v>0</v>
      </c>
      <c r="AB8" s="29">
        <v>0</v>
      </c>
      <c r="AC8" s="29">
        <v>0</v>
      </c>
      <c r="AD8" s="29">
        <v>0</v>
      </c>
      <c r="AE8" s="29">
        <v>379110</v>
      </c>
      <c r="AF8" s="29">
        <v>93530</v>
      </c>
      <c r="AG8" s="174">
        <f>SUM(V8:AF8)</f>
        <v>472640</v>
      </c>
      <c r="AH8" s="174">
        <f t="shared" si="7"/>
        <v>9006618.2654006407</v>
      </c>
      <c r="AI8" s="191">
        <f>AH8/'Collections and ACP'!E11</f>
        <v>7.6685659041897294E-2</v>
      </c>
      <c r="AJ8" s="185">
        <v>9319906.5583002046</v>
      </c>
      <c r="AK8" s="185">
        <f t="shared" si="8"/>
        <v>-313288.29289956391</v>
      </c>
      <c r="AL8" s="172">
        <f t="shared" si="9"/>
        <v>5110690.2654006416</v>
      </c>
      <c r="AM8" s="172">
        <f t="shared" si="10"/>
        <v>3895928</v>
      </c>
      <c r="AN8" s="105">
        <f t="shared" si="11"/>
        <v>0.56743720171127998</v>
      </c>
      <c r="AO8" s="105">
        <f t="shared" si="12"/>
        <v>0.43256279828872002</v>
      </c>
    </row>
    <row r="9" spans="1:41" x14ac:dyDescent="0.25">
      <c r="A9" s="177" t="s">
        <v>23</v>
      </c>
      <c r="B9" s="178">
        <f>'ABP Under Contract'!B9</f>
        <v>736409</v>
      </c>
      <c r="C9" s="178">
        <f>'ABP Under Contract'!C9</f>
        <v>1003095</v>
      </c>
      <c r="D9" s="178">
        <f>'ABP Under Contract'!D9</f>
        <v>1775912</v>
      </c>
      <c r="E9" s="178">
        <f>'ABP Under Contract'!E9</f>
        <v>30470</v>
      </c>
      <c r="F9" s="178">
        <f>'ABP Under Contract'!F9</f>
        <v>158554</v>
      </c>
      <c r="G9" s="178">
        <f>'ABP Under Contract'!G9</f>
        <v>815558</v>
      </c>
      <c r="H9" s="174">
        <f t="shared" si="2"/>
        <v>4519998</v>
      </c>
      <c r="I9" s="178">
        <v>1830409</v>
      </c>
      <c r="J9" s="178">
        <v>31316</v>
      </c>
      <c r="K9" s="30"/>
      <c r="L9" s="178">
        <v>2065519</v>
      </c>
      <c r="M9" s="178">
        <f t="shared" si="3"/>
        <v>1995629.5746000002</v>
      </c>
      <c r="N9" s="178">
        <v>0</v>
      </c>
      <c r="O9" s="178">
        <v>1891521</v>
      </c>
      <c r="P9" s="178">
        <v>0</v>
      </c>
      <c r="Q9" s="178">
        <v>63887.64734663847</v>
      </c>
      <c r="R9" s="174">
        <f t="shared" si="0"/>
        <v>7878282.2219466381</v>
      </c>
      <c r="S9" s="174">
        <f t="shared" si="4"/>
        <v>8502352.2219466381</v>
      </c>
      <c r="T9" s="174">
        <f t="shared" si="5"/>
        <v>3895928</v>
      </c>
      <c r="U9" s="174">
        <f t="shared" si="1"/>
        <v>12398280.221946638</v>
      </c>
      <c r="V9" s="13">
        <v>145906.86007555202</v>
      </c>
      <c r="W9" s="13">
        <v>155342.33973121329</v>
      </c>
      <c r="X9" s="13">
        <v>0</v>
      </c>
      <c r="Y9" s="13">
        <v>128422.12297199998</v>
      </c>
      <c r="Z9" s="13">
        <v>0</v>
      </c>
      <c r="AA9" s="13">
        <v>172602.59970134808</v>
      </c>
      <c r="AB9" s="29">
        <v>0</v>
      </c>
      <c r="AC9" s="29">
        <v>0</v>
      </c>
      <c r="AD9" s="29">
        <v>0</v>
      </c>
      <c r="AE9" s="29">
        <v>379110</v>
      </c>
      <c r="AF9" s="29">
        <v>140295</v>
      </c>
      <c r="AG9" s="174">
        <f t="shared" si="6"/>
        <v>1121678.9224801133</v>
      </c>
      <c r="AH9" s="174">
        <f t="shared" si="7"/>
        <v>13519959.144426752</v>
      </c>
      <c r="AI9" s="191">
        <f>AH9/'Collections and ACP'!E12</f>
        <v>0.115451485059547</v>
      </c>
      <c r="AJ9" s="185">
        <v>13756961.622285817</v>
      </c>
      <c r="AK9" s="185">
        <f t="shared" si="8"/>
        <v>-237002.47785906494</v>
      </c>
      <c r="AL9" s="172">
        <f t="shared" si="9"/>
        <v>9624031.1444267519</v>
      </c>
      <c r="AM9" s="172">
        <f t="shared" si="10"/>
        <v>3895928</v>
      </c>
      <c r="AN9" s="105">
        <f t="shared" si="11"/>
        <v>0.71183877418697716</v>
      </c>
      <c r="AO9" s="105">
        <f t="shared" si="12"/>
        <v>0.28816122581302284</v>
      </c>
    </row>
    <row r="10" spans="1:41" x14ac:dyDescent="0.25">
      <c r="A10" s="177" t="s">
        <v>24</v>
      </c>
      <c r="B10" s="178">
        <f>'ABP Under Contract'!B10</f>
        <v>732474</v>
      </c>
      <c r="C10" s="178">
        <f>'ABP Under Contract'!C10</f>
        <v>998039</v>
      </c>
      <c r="D10" s="178">
        <f>'ABP Under Contract'!D10</f>
        <v>2055421</v>
      </c>
      <c r="E10" s="178">
        <f>'ABP Under Contract'!E10</f>
        <v>39320</v>
      </c>
      <c r="F10" s="178">
        <f>'ABP Under Contract'!F10</f>
        <v>188553</v>
      </c>
      <c r="G10" s="178">
        <f>'ABP Under Contract'!G10</f>
        <v>829965</v>
      </c>
      <c r="H10" s="174">
        <f t="shared" si="2"/>
        <v>4843772</v>
      </c>
      <c r="I10" s="178">
        <v>1830409</v>
      </c>
      <c r="J10" s="178">
        <v>31316</v>
      </c>
      <c r="K10" s="30"/>
      <c r="L10" s="178">
        <v>2065519</v>
      </c>
      <c r="M10" s="178">
        <f t="shared" si="3"/>
        <v>1995629.5746000002</v>
      </c>
      <c r="N10" s="178">
        <v>0</v>
      </c>
      <c r="O10" s="178">
        <v>4133071.395</v>
      </c>
      <c r="P10" s="178">
        <v>0</v>
      </c>
      <c r="Q10" s="178">
        <v>63568.209109905278</v>
      </c>
      <c r="R10" s="174">
        <f t="shared" si="0"/>
        <v>10119513.178709906</v>
      </c>
      <c r="S10" s="174">
        <f t="shared" si="4"/>
        <v>11067357.178709906</v>
      </c>
      <c r="T10" s="174">
        <f>I10+L10+N10</f>
        <v>3895928</v>
      </c>
      <c r="U10" s="174">
        <f t="shared" si="1"/>
        <v>14963285.178709906</v>
      </c>
      <c r="V10" s="13">
        <v>291084.18585072627</v>
      </c>
      <c r="W10" s="13">
        <v>309907.96776377049</v>
      </c>
      <c r="X10" s="13">
        <v>266722.870788</v>
      </c>
      <c r="Y10" s="13">
        <v>256202.13532913997</v>
      </c>
      <c r="Z10" s="13">
        <v>39514.499376</v>
      </c>
      <c r="AA10" s="13">
        <v>344342.18640418944</v>
      </c>
      <c r="AB10" s="29">
        <v>0</v>
      </c>
      <c r="AC10" s="29">
        <v>0</v>
      </c>
      <c r="AD10" s="29">
        <v>0</v>
      </c>
      <c r="AE10" s="29">
        <v>379110</v>
      </c>
      <c r="AF10" s="29">
        <v>187060</v>
      </c>
      <c r="AG10" s="174">
        <f t="shared" si="6"/>
        <v>2073943.8455118262</v>
      </c>
      <c r="AH10" s="174">
        <f t="shared" si="7"/>
        <v>17037229.024221733</v>
      </c>
      <c r="AI10" s="191">
        <f>AH10/'Collections and ACP'!E13</f>
        <v>0.14782219111955888</v>
      </c>
      <c r="AJ10" s="185">
        <v>16967213.8996915</v>
      </c>
      <c r="AK10" s="185">
        <f t="shared" si="8"/>
        <v>70015.124530233443</v>
      </c>
      <c r="AL10" s="172">
        <f t="shared" si="9"/>
        <v>13141301.024221731</v>
      </c>
      <c r="AM10" s="172">
        <f t="shared" si="10"/>
        <v>3895928</v>
      </c>
      <c r="AN10" s="105">
        <f t="shared" si="11"/>
        <v>0.77132854207329238</v>
      </c>
      <c r="AO10" s="105">
        <f t="shared" si="12"/>
        <v>0.22867145792670762</v>
      </c>
    </row>
    <row r="11" spans="1:41" x14ac:dyDescent="0.25">
      <c r="A11" s="177" t="s">
        <v>25</v>
      </c>
      <c r="B11" s="178">
        <f>'ABP Under Contract'!B11</f>
        <v>728629</v>
      </c>
      <c r="C11" s="178">
        <f>'ABP Under Contract'!C11</f>
        <v>993035</v>
      </c>
      <c r="D11" s="178">
        <f>'ABP Under Contract'!D11</f>
        <v>2045145</v>
      </c>
      <c r="E11" s="178">
        <f>'ABP Under Contract'!E11</f>
        <v>39124</v>
      </c>
      <c r="F11" s="178">
        <f>'ABP Under Contract'!F11</f>
        <v>187604</v>
      </c>
      <c r="G11" s="178">
        <f>'ABP Under Contract'!G11</f>
        <v>825813</v>
      </c>
      <c r="H11" s="174">
        <f t="shared" si="2"/>
        <v>4819350</v>
      </c>
      <c r="I11" s="178">
        <v>1830409</v>
      </c>
      <c r="J11" s="178">
        <v>31316</v>
      </c>
      <c r="K11" s="30"/>
      <c r="L11" s="178">
        <v>2065519</v>
      </c>
      <c r="M11" s="178">
        <f t="shared" si="3"/>
        <v>1995629.5746000002</v>
      </c>
      <c r="N11" s="178">
        <v>1186980</v>
      </c>
      <c r="O11" s="178">
        <v>4970625.0380250001</v>
      </c>
      <c r="P11" s="178">
        <v>74000</v>
      </c>
      <c r="Q11" s="178">
        <v>63250.368064355753</v>
      </c>
      <c r="R11" s="174">
        <f t="shared" si="0"/>
        <v>12217728.980689354</v>
      </c>
      <c r="S11" s="174">
        <f t="shared" si="4"/>
        <v>11954170.980689354</v>
      </c>
      <c r="T11" s="174">
        <f t="shared" si="5"/>
        <v>5082908</v>
      </c>
      <c r="U11" s="174">
        <f t="shared" si="1"/>
        <v>17037078.980689354</v>
      </c>
      <c r="V11" s="13">
        <v>435535.62499702466</v>
      </c>
      <c r="W11" s="13">
        <v>463700.76765616494</v>
      </c>
      <c r="X11" s="13">
        <v>532112.12722205999</v>
      </c>
      <c r="Y11" s="13">
        <v>383343.24762449425</v>
      </c>
      <c r="Z11" s="13">
        <v>78831.426255119994</v>
      </c>
      <c r="AA11" s="13">
        <v>515223.07517351652</v>
      </c>
      <c r="AB11" s="29">
        <v>0</v>
      </c>
      <c r="AC11" s="29">
        <v>0</v>
      </c>
      <c r="AD11" s="29">
        <v>0</v>
      </c>
      <c r="AE11" s="29">
        <v>379110</v>
      </c>
      <c r="AF11" s="29">
        <v>233825</v>
      </c>
      <c r="AG11" s="174">
        <f t="shared" si="6"/>
        <v>3021681.2689283807</v>
      </c>
      <c r="AH11" s="174">
        <f t="shared" si="7"/>
        <v>20058760.249617733</v>
      </c>
      <c r="AI11" s="191">
        <f>AH11/'Collections and ACP'!E14</f>
        <v>0.174333700237014</v>
      </c>
      <c r="AJ11" s="185">
        <v>26963739.245710157</v>
      </c>
      <c r="AK11" s="185">
        <f t="shared" si="8"/>
        <v>-6904978.9960924238</v>
      </c>
      <c r="AL11" s="172">
        <f t="shared" si="9"/>
        <v>14975852.249617737</v>
      </c>
      <c r="AM11" s="172">
        <f t="shared" si="10"/>
        <v>5082908</v>
      </c>
      <c r="AN11" s="105">
        <f t="shared" si="11"/>
        <v>0.74659909502149491</v>
      </c>
      <c r="AO11" s="105">
        <f t="shared" si="12"/>
        <v>0.25340090497850509</v>
      </c>
    </row>
    <row r="12" spans="1:41" x14ac:dyDescent="0.25">
      <c r="A12" s="177" t="s">
        <v>26</v>
      </c>
      <c r="B12" s="178">
        <f>'ABP Under Contract'!B12</f>
        <v>724871</v>
      </c>
      <c r="C12" s="178">
        <f>'ABP Under Contract'!C12</f>
        <v>988101</v>
      </c>
      <c r="D12" s="178">
        <f>'ABP Under Contract'!D12</f>
        <v>2034917</v>
      </c>
      <c r="E12" s="178">
        <f>'ABP Under Contract'!E12</f>
        <v>38930</v>
      </c>
      <c r="F12" s="178">
        <f>'ABP Under Contract'!F12</f>
        <v>186669</v>
      </c>
      <c r="G12" s="178">
        <f>'ABP Under Contract'!G12</f>
        <v>821688</v>
      </c>
      <c r="H12" s="174">
        <f>SUM(B12:G12)</f>
        <v>4795176</v>
      </c>
      <c r="I12" s="178">
        <v>1830409</v>
      </c>
      <c r="J12" s="178">
        <v>31316</v>
      </c>
      <c r="K12" s="30"/>
      <c r="L12" s="178">
        <v>2065519</v>
      </c>
      <c r="M12" s="178">
        <f t="shared" si="3"/>
        <v>1995629.5746000002</v>
      </c>
      <c r="N12" s="178">
        <v>1186980</v>
      </c>
      <c r="O12" s="178">
        <v>4945771.9128348753</v>
      </c>
      <c r="P12" s="178">
        <v>158630</v>
      </c>
      <c r="Q12" s="178">
        <v>62934.116224033976</v>
      </c>
      <c r="R12" s="174">
        <f t="shared" si="0"/>
        <v>12277189.603658909</v>
      </c>
      <c r="S12" s="174">
        <f t="shared" si="4"/>
        <v>11989457.603658909</v>
      </c>
      <c r="T12" s="174">
        <f t="shared" si="5"/>
        <v>5082908</v>
      </c>
      <c r="U12" s="174">
        <f t="shared" si="1"/>
        <v>17072365.603658907</v>
      </c>
      <c r="V12" s="13">
        <v>579264.80694759148</v>
      </c>
      <c r="W12" s="13">
        <v>616724.60354909743</v>
      </c>
      <c r="X12" s="13">
        <v>796174.43737394968</v>
      </c>
      <c r="Y12" s="13">
        <v>509848.6543583718</v>
      </c>
      <c r="Z12" s="13">
        <v>117951.76849984439</v>
      </c>
      <c r="AA12" s="13">
        <v>685249.55949899706</v>
      </c>
      <c r="AB12" s="29">
        <v>2500000</v>
      </c>
      <c r="AC12" s="29">
        <v>1500000</v>
      </c>
      <c r="AD12" s="29">
        <v>85000</v>
      </c>
      <c r="AE12" s="29">
        <v>379110</v>
      </c>
      <c r="AF12" s="29">
        <v>280590</v>
      </c>
      <c r="AG12" s="174">
        <f t="shared" si="6"/>
        <v>8049913.8302278519</v>
      </c>
      <c r="AH12" s="174">
        <f t="shared" si="7"/>
        <v>25122279.433886759</v>
      </c>
      <c r="AI12" s="191">
        <f>AH12/'Collections and ACP'!E15</f>
        <v>0.2177878910967086</v>
      </c>
      <c r="AJ12" s="185">
        <v>31948053.689998716</v>
      </c>
      <c r="AK12" s="185">
        <f t="shared" si="8"/>
        <v>-6825774.2561119571</v>
      </c>
      <c r="AL12" s="172">
        <f t="shared" si="9"/>
        <v>17539371.433886759</v>
      </c>
      <c r="AM12" s="172">
        <f t="shared" si="10"/>
        <v>7582908</v>
      </c>
      <c r="AN12" s="105">
        <f t="shared" si="11"/>
        <v>0.69816003281248351</v>
      </c>
      <c r="AO12" s="105">
        <f t="shared" si="12"/>
        <v>0.30183996718751649</v>
      </c>
    </row>
    <row r="13" spans="1:41" x14ac:dyDescent="0.25">
      <c r="A13" s="177" t="s">
        <v>27</v>
      </c>
      <c r="B13" s="178">
        <f>'ABP Under Contract'!B13</f>
        <v>721196</v>
      </c>
      <c r="C13" s="178">
        <f>'ABP Under Contract'!C13</f>
        <v>983180</v>
      </c>
      <c r="D13" s="178">
        <f>'ABP Under Contract'!D13</f>
        <v>2024734</v>
      </c>
      <c r="E13" s="178">
        <f>'ABP Under Contract'!E13</f>
        <v>38735</v>
      </c>
      <c r="F13" s="178">
        <f>'ABP Under Contract'!F13</f>
        <v>185733</v>
      </c>
      <c r="G13" s="178">
        <f>'ABP Under Contract'!G13</f>
        <v>817571</v>
      </c>
      <c r="H13" s="174">
        <f t="shared" si="2"/>
        <v>4771149</v>
      </c>
      <c r="I13" s="178">
        <v>1830409</v>
      </c>
      <c r="J13" s="178">
        <v>31316</v>
      </c>
      <c r="K13" s="30"/>
      <c r="L13" s="178">
        <v>2065519</v>
      </c>
      <c r="M13" s="178">
        <f t="shared" si="3"/>
        <v>1995629.5746000002</v>
      </c>
      <c r="N13" s="178">
        <v>1186980</v>
      </c>
      <c r="O13" s="178">
        <v>4921043.0532707004</v>
      </c>
      <c r="P13" s="178">
        <v>242836.85</v>
      </c>
      <c r="Q13" s="178">
        <v>62619.445642913808</v>
      </c>
      <c r="R13" s="174">
        <f t="shared" si="0"/>
        <v>12336352.923513616</v>
      </c>
      <c r="S13" s="174">
        <f t="shared" si="4"/>
        <v>12024593.923513616</v>
      </c>
      <c r="T13" s="174">
        <f t="shared" si="5"/>
        <v>5082908</v>
      </c>
      <c r="U13" s="174">
        <f t="shared" si="1"/>
        <v>17107501.923513614</v>
      </c>
      <c r="V13" s="13">
        <v>722275.34298840561</v>
      </c>
      <c r="W13" s="13">
        <v>768983.32026256516</v>
      </c>
      <c r="X13" s="13">
        <v>1058916.4359750799</v>
      </c>
      <c r="Y13" s="13">
        <v>635721.53405857994</v>
      </c>
      <c r="Z13" s="13">
        <v>156876.50903334518</v>
      </c>
      <c r="AA13" s="13">
        <v>854425.9114028503</v>
      </c>
      <c r="AB13" s="29">
        <v>5000000</v>
      </c>
      <c r="AC13" s="29">
        <v>2992500</v>
      </c>
      <c r="AD13" s="29">
        <v>169575</v>
      </c>
      <c r="AE13" s="29">
        <v>379110</v>
      </c>
      <c r="AF13" s="29">
        <v>315751.65413533832</v>
      </c>
      <c r="AG13" s="174">
        <f t="shared" si="6"/>
        <v>13054135.707856163</v>
      </c>
      <c r="AH13" s="174">
        <f t="shared" si="7"/>
        <v>30161637.631369777</v>
      </c>
      <c r="AI13" s="191">
        <f>AH13/'Collections and ACP'!E16</f>
        <v>0.26126458076656378</v>
      </c>
      <c r="AJ13" s="185">
        <v>36908506.366201177</v>
      </c>
      <c r="AK13" s="185">
        <f t="shared" si="8"/>
        <v>-6746868.7348314002</v>
      </c>
      <c r="AL13" s="172">
        <f t="shared" si="9"/>
        <v>20078729.631369781</v>
      </c>
      <c r="AM13" s="172">
        <f t="shared" si="10"/>
        <v>10082908</v>
      </c>
      <c r="AN13" s="105">
        <f t="shared" si="11"/>
        <v>0.66570422590339673</v>
      </c>
      <c r="AO13" s="105">
        <f t="shared" si="12"/>
        <v>0.33429577409660327</v>
      </c>
    </row>
    <row r="14" spans="1:41" x14ac:dyDescent="0.25">
      <c r="A14" s="177" t="s">
        <v>28</v>
      </c>
      <c r="B14" s="178">
        <f>'ABP Under Contract'!B14</f>
        <v>717531</v>
      </c>
      <c r="C14" s="178">
        <f>'ABP Under Contract'!C14</f>
        <v>978226</v>
      </c>
      <c r="D14" s="178">
        <f>'ABP Under Contract'!D14</f>
        <v>2014619</v>
      </c>
      <c r="E14" s="178">
        <f>'ABP Under Contract'!E14</f>
        <v>38541</v>
      </c>
      <c r="F14" s="178">
        <f>'ABP Under Contract'!F14</f>
        <v>184807</v>
      </c>
      <c r="G14" s="178">
        <f>'ABP Under Contract'!G14</f>
        <v>813486</v>
      </c>
      <c r="H14" s="174">
        <f t="shared" si="2"/>
        <v>4747210</v>
      </c>
      <c r="I14" s="178">
        <v>1830409</v>
      </c>
      <c r="J14" s="178">
        <v>31316</v>
      </c>
      <c r="K14" s="30"/>
      <c r="L14" s="178">
        <v>2065519</v>
      </c>
      <c r="M14" s="178">
        <f t="shared" si="3"/>
        <v>1995629.5746000002</v>
      </c>
      <c r="N14" s="178">
        <v>1186980</v>
      </c>
      <c r="O14" s="178">
        <v>4896437.8380043469</v>
      </c>
      <c r="P14" s="178">
        <v>241622.66574999999</v>
      </c>
      <c r="Q14" s="178">
        <v>62306.348414699241</v>
      </c>
      <c r="R14" s="174">
        <f t="shared" si="0"/>
        <v>12310220.426769046</v>
      </c>
      <c r="S14" s="174">
        <f t="shared" si="4"/>
        <v>11974522.426769046</v>
      </c>
      <c r="T14" s="174">
        <f t="shared" si="5"/>
        <v>5082908</v>
      </c>
      <c r="U14" s="174">
        <f t="shared" si="1"/>
        <v>17057430.426769048</v>
      </c>
      <c r="V14" s="13">
        <v>864570.82634901558</v>
      </c>
      <c r="W14" s="13">
        <v>920480.74339246564</v>
      </c>
      <c r="X14" s="13">
        <v>1320344.7245832046</v>
      </c>
      <c r="Y14" s="13">
        <v>760965.04936028691</v>
      </c>
      <c r="Z14" s="13">
        <v>195606.62586417844</v>
      </c>
      <c r="AA14" s="13">
        <v>1022756.3815471841</v>
      </c>
      <c r="AB14" s="29">
        <v>7500000</v>
      </c>
      <c r="AC14" s="29">
        <v>4477537.5</v>
      </c>
      <c r="AD14" s="29">
        <v>253727.125</v>
      </c>
      <c r="AE14" s="29">
        <v>379110</v>
      </c>
      <c r="AF14" s="29">
        <v>350913.30827067664</v>
      </c>
      <c r="AG14" s="174">
        <f t="shared" si="6"/>
        <v>18046012.284367014</v>
      </c>
      <c r="AH14" s="174">
        <f t="shared" si="7"/>
        <v>35103442.711136058</v>
      </c>
      <c r="AI14" s="191">
        <f>AH14/'Collections and ACP'!E17</f>
        <v>0.30228118746962263</v>
      </c>
      <c r="AJ14" s="185">
        <v>41856771.792293303</v>
      </c>
      <c r="AK14" s="185">
        <f t="shared" si="8"/>
        <v>-6753329.0811572447</v>
      </c>
      <c r="AL14" s="172">
        <f t="shared" si="9"/>
        <v>22520534.711136058</v>
      </c>
      <c r="AM14" s="172">
        <f t="shared" si="10"/>
        <v>12582908</v>
      </c>
      <c r="AN14" s="105">
        <f t="shared" si="11"/>
        <v>0.6415477506424675</v>
      </c>
      <c r="AO14" s="105">
        <f t="shared" si="12"/>
        <v>0.3584522493575325</v>
      </c>
    </row>
    <row r="15" spans="1:41" x14ac:dyDescent="0.25">
      <c r="A15" s="177" t="s">
        <v>29</v>
      </c>
      <c r="B15" s="178">
        <f>'ABP Under Contract'!B15</f>
        <v>713936</v>
      </c>
      <c r="C15" s="178">
        <f>'ABP Under Contract'!C15</f>
        <v>973355</v>
      </c>
      <c r="D15" s="178">
        <f>'ABP Under Contract'!D15</f>
        <v>2004542</v>
      </c>
      <c r="E15" s="178">
        <f>'ABP Under Contract'!E15</f>
        <v>38348</v>
      </c>
      <c r="F15" s="178">
        <f>'ABP Under Contract'!F15</f>
        <v>183883</v>
      </c>
      <c r="G15" s="178">
        <f>'ABP Under Contract'!G15</f>
        <v>809419</v>
      </c>
      <c r="H15" s="174">
        <f t="shared" si="2"/>
        <v>4723483</v>
      </c>
      <c r="I15" s="178">
        <v>1830409</v>
      </c>
      <c r="J15" s="178">
        <v>31316</v>
      </c>
      <c r="K15" s="30"/>
      <c r="L15" s="178">
        <v>2065519</v>
      </c>
      <c r="M15" s="178">
        <f t="shared" si="3"/>
        <v>1995629.5746000002</v>
      </c>
      <c r="N15" s="178">
        <v>1186980</v>
      </c>
      <c r="O15" s="178">
        <v>4871955.6488143252</v>
      </c>
      <c r="P15" s="178">
        <v>240414.55242125</v>
      </c>
      <c r="Q15" s="178">
        <v>61994.816672625748</v>
      </c>
      <c r="R15" s="174">
        <f t="shared" si="0"/>
        <v>12284218.592508199</v>
      </c>
      <c r="S15" s="174">
        <f t="shared" si="4"/>
        <v>11924793.592508199</v>
      </c>
      <c r="T15" s="174">
        <f>I15+L15+N15</f>
        <v>5082908</v>
      </c>
      <c r="U15" s="174">
        <f t="shared" si="1"/>
        <v>17007701.592508197</v>
      </c>
      <c r="V15" s="13">
        <v>1006154.8322928224</v>
      </c>
      <c r="W15" s="13">
        <v>1071220.6794067165</v>
      </c>
      <c r="X15" s="13">
        <v>1580465.8717482886</v>
      </c>
      <c r="Y15" s="13">
        <v>885582.34708548547</v>
      </c>
      <c r="Z15" s="13">
        <v>234143.09211085757</v>
      </c>
      <c r="AA15" s="13">
        <v>1190245.1993407961</v>
      </c>
      <c r="AB15" s="29">
        <v>10000000</v>
      </c>
      <c r="AC15" s="29">
        <v>5455149.8125</v>
      </c>
      <c r="AD15" s="29">
        <v>337458.489375</v>
      </c>
      <c r="AE15" s="29">
        <v>379110</v>
      </c>
      <c r="AF15" s="29">
        <v>386074.96240601491</v>
      </c>
      <c r="AG15" s="174">
        <f t="shared" si="6"/>
        <v>22525605.286265977</v>
      </c>
      <c r="AH15" s="174">
        <f t="shared" si="7"/>
        <v>39533306.878774174</v>
      </c>
      <c r="AI15" s="191">
        <f>AH15/'Collections and ACP'!E18</f>
        <v>0.3385494597044077</v>
      </c>
      <c r="AJ15" s="185">
        <v>46260072.917674832</v>
      </c>
      <c r="AK15" s="185">
        <f t="shared" si="8"/>
        <v>-6726766.0389006585</v>
      </c>
      <c r="AL15" s="172">
        <f t="shared" si="9"/>
        <v>24450398.878774177</v>
      </c>
      <c r="AM15" s="172">
        <f t="shared" si="10"/>
        <v>15082908</v>
      </c>
      <c r="AN15" s="105">
        <f t="shared" si="11"/>
        <v>0.61847593356532071</v>
      </c>
      <c r="AO15" s="105">
        <f t="shared" si="12"/>
        <v>0.38152406643467929</v>
      </c>
    </row>
    <row r="16" spans="1:41" x14ac:dyDescent="0.25">
      <c r="A16" s="177" t="s">
        <v>30</v>
      </c>
      <c r="B16" s="178">
        <f>'ABP Under Contract'!B16</f>
        <v>710059</v>
      </c>
      <c r="C16" s="178">
        <f>'ABP Under Contract'!C16</f>
        <v>968420</v>
      </c>
      <c r="D16" s="178">
        <f>'ABP Under Contract'!D16</f>
        <v>1994514</v>
      </c>
      <c r="E16" s="178">
        <f>'ABP Under Contract'!E16</f>
        <v>38155</v>
      </c>
      <c r="F16" s="178">
        <f>'ABP Under Contract'!F16</f>
        <v>182965</v>
      </c>
      <c r="G16" s="178">
        <f>'ABP Under Contract'!G16</f>
        <v>805367</v>
      </c>
      <c r="H16" s="174">
        <f t="shared" si="2"/>
        <v>4699480</v>
      </c>
      <c r="I16" s="30"/>
      <c r="J16" s="30"/>
      <c r="K16" s="30"/>
      <c r="L16" s="178">
        <v>2065519</v>
      </c>
      <c r="M16" s="178">
        <f t="shared" si="3"/>
        <v>1995629.5746000002</v>
      </c>
      <c r="N16" s="178">
        <v>1186980</v>
      </c>
      <c r="O16" s="178">
        <v>4847595.8705702536</v>
      </c>
      <c r="P16" s="178">
        <v>239212.47965914375</v>
      </c>
      <c r="Q16" s="178">
        <v>61684.842589262618</v>
      </c>
      <c r="R16" s="174">
        <f t="shared" si="0"/>
        <v>10396621.76741866</v>
      </c>
      <c r="S16" s="174">
        <f t="shared" si="4"/>
        <v>11843602.76741866</v>
      </c>
      <c r="T16" s="174">
        <f t="shared" si="5"/>
        <v>3252499</v>
      </c>
      <c r="U16" s="174">
        <f t="shared" si="1"/>
        <v>15096101.76741866</v>
      </c>
      <c r="V16" s="13">
        <v>1147030.9182069104</v>
      </c>
      <c r="W16" s="13">
        <v>1221206.915740896</v>
      </c>
      <c r="X16" s="13">
        <v>1839286.413177547</v>
      </c>
      <c r="Y16" s="13">
        <v>1009576.5583220581</v>
      </c>
      <c r="Z16" s="13">
        <v>272486.87602630333</v>
      </c>
      <c r="AA16" s="13">
        <v>1356896.5730454403</v>
      </c>
      <c r="AB16" s="29">
        <v>12500000</v>
      </c>
      <c r="AC16" s="29">
        <v>6427874.0634375</v>
      </c>
      <c r="AD16" s="29">
        <v>420771.19692812499</v>
      </c>
      <c r="AE16" s="29">
        <v>379110</v>
      </c>
      <c r="AF16" s="29">
        <v>421236.61654135323</v>
      </c>
      <c r="AG16" s="174">
        <f t="shared" si="6"/>
        <v>26995476.131426133</v>
      </c>
      <c r="AH16" s="174">
        <f>H16+R16+AG16</f>
        <v>42091577.898844793</v>
      </c>
      <c r="AI16" s="191">
        <f>AH16/'Collections and ACP'!E19</f>
        <v>0.35813810017733527</v>
      </c>
      <c r="AJ16" s="185">
        <v>48831464.080076128</v>
      </c>
      <c r="AK16" s="185">
        <f t="shared" si="8"/>
        <v>-6739886.1812313348</v>
      </c>
      <c r="AL16" s="172">
        <f t="shared" si="9"/>
        <v>26339078.89884479</v>
      </c>
      <c r="AM16" s="172">
        <f t="shared" si="10"/>
        <v>15752499</v>
      </c>
      <c r="AN16" s="105">
        <f t="shared" si="11"/>
        <v>0.62575651029627155</v>
      </c>
      <c r="AO16" s="105">
        <f t="shared" si="12"/>
        <v>0.37424348970372845</v>
      </c>
    </row>
    <row r="17" spans="1:41" x14ac:dyDescent="0.25">
      <c r="A17" s="177" t="s">
        <v>31</v>
      </c>
      <c r="B17" s="178">
        <f>'ABP Under Contract'!B17</f>
        <v>706207</v>
      </c>
      <c r="C17" s="178">
        <f>'ABP Under Contract'!C17</f>
        <v>963569</v>
      </c>
      <c r="D17" s="178">
        <f>'ABP Under Contract'!D17</f>
        <v>1984542</v>
      </c>
      <c r="E17" s="178">
        <f>'ABP Under Contract'!E17</f>
        <v>37968</v>
      </c>
      <c r="F17" s="178">
        <f>'ABP Under Contract'!F17</f>
        <v>182050</v>
      </c>
      <c r="G17" s="178">
        <f>'ABP Under Contract'!G17</f>
        <v>801345</v>
      </c>
      <c r="H17" s="174">
        <f t="shared" si="2"/>
        <v>4675681</v>
      </c>
      <c r="I17" s="30"/>
      <c r="J17" s="30"/>
      <c r="K17" s="30"/>
      <c r="L17" s="178">
        <v>1635519</v>
      </c>
      <c r="M17" s="178">
        <f t="shared" si="3"/>
        <v>1995629.5746000002</v>
      </c>
      <c r="N17" s="178">
        <v>1186980</v>
      </c>
      <c r="O17" s="178">
        <v>4823357.8912174013</v>
      </c>
      <c r="P17" s="178">
        <v>238016.41726084799</v>
      </c>
      <c r="Q17" s="178">
        <v>61376.418376316302</v>
      </c>
      <c r="R17" s="174">
        <f t="shared" si="0"/>
        <v>9940879.3014545646</v>
      </c>
      <c r="S17" s="174">
        <f t="shared" si="4"/>
        <v>11794061.301454565</v>
      </c>
      <c r="T17" s="174">
        <f t="shared" si="5"/>
        <v>2822499</v>
      </c>
      <c r="U17" s="174">
        <f t="shared" si="1"/>
        <v>14616560.301454565</v>
      </c>
      <c r="V17" s="13">
        <v>1287202.6236914278</v>
      </c>
      <c r="W17" s="13">
        <v>1370443.2208934049</v>
      </c>
      <c r="X17" s="13">
        <v>2096812.8518996595</v>
      </c>
      <c r="Y17" s="13">
        <v>1132950.7985024478</v>
      </c>
      <c r="Z17" s="13">
        <v>310638.94102217181</v>
      </c>
      <c r="AA17" s="13">
        <v>1522714.6898815611</v>
      </c>
      <c r="AB17" s="29">
        <v>13500000</v>
      </c>
      <c r="AC17" s="29">
        <v>7145734.6931203129</v>
      </c>
      <c r="AD17" s="29">
        <v>503667.34094348439</v>
      </c>
      <c r="AE17" s="29">
        <v>379110</v>
      </c>
      <c r="AF17" s="29">
        <v>456398.27067669155</v>
      </c>
      <c r="AG17" s="174">
        <f t="shared" si="6"/>
        <v>29705673.430631161</v>
      </c>
      <c r="AH17" s="174">
        <f t="shared" si="7"/>
        <v>44322233.732085727</v>
      </c>
      <c r="AI17" s="191">
        <f>AH17/'Collections and ACP'!E20</f>
        <v>0.37595050990040513</v>
      </c>
      <c r="AJ17" s="185">
        <v>49540338.13993609</v>
      </c>
      <c r="AK17" s="185">
        <f t="shared" si="8"/>
        <v>-5218104.4078503624</v>
      </c>
      <c r="AL17" s="172">
        <f t="shared" si="9"/>
        <v>27999734.732085727</v>
      </c>
      <c r="AM17" s="172">
        <f t="shared" si="10"/>
        <v>16322499</v>
      </c>
      <c r="AN17" s="105">
        <f t="shared" si="11"/>
        <v>0.63173112847460511</v>
      </c>
      <c r="AO17" s="105">
        <f t="shared" si="12"/>
        <v>0.36826887152539489</v>
      </c>
    </row>
    <row r="18" spans="1:41" x14ac:dyDescent="0.25">
      <c r="A18" s="177" t="s">
        <v>32</v>
      </c>
      <c r="B18" s="178">
        <f>'ABP Under Contract'!B18</f>
        <v>600036</v>
      </c>
      <c r="C18" s="178">
        <f>'ABP Under Contract'!C18</f>
        <v>636702</v>
      </c>
      <c r="D18" s="178">
        <f>'ABP Under Contract'!D18</f>
        <v>1855455</v>
      </c>
      <c r="E18" s="178">
        <f>'ABP Under Contract'!E18</f>
        <v>37775</v>
      </c>
      <c r="F18" s="178">
        <f>'ABP Under Contract'!F18</f>
        <v>181140</v>
      </c>
      <c r="G18" s="178">
        <f>'ABP Under Contract'!G18</f>
        <v>797338</v>
      </c>
      <c r="H18" s="174">
        <f t="shared" si="2"/>
        <v>4108446</v>
      </c>
      <c r="I18" s="30"/>
      <c r="J18" s="30"/>
      <c r="K18" s="30"/>
      <c r="L18" s="178">
        <v>1635519</v>
      </c>
      <c r="M18" s="178">
        <f t="shared" si="3"/>
        <v>1995629.5746000002</v>
      </c>
      <c r="N18" s="178">
        <v>1186980</v>
      </c>
      <c r="O18" s="178">
        <v>4799241.1017613141</v>
      </c>
      <c r="P18" s="178">
        <v>236826.33517454375</v>
      </c>
      <c r="Q18" s="178">
        <v>61069.536284434718</v>
      </c>
      <c r="R18" s="174">
        <f t="shared" si="0"/>
        <v>9915265.5478202943</v>
      </c>
      <c r="S18" s="174">
        <f t="shared" si="4"/>
        <v>11201212.547820294</v>
      </c>
      <c r="T18" s="174">
        <f t="shared" si="5"/>
        <v>2822499</v>
      </c>
      <c r="U18" s="174">
        <f t="shared" si="1"/>
        <v>14023711.547820294</v>
      </c>
      <c r="V18" s="13">
        <v>1353720.0406107467</v>
      </c>
      <c r="W18" s="13">
        <v>1441262.1746545446</v>
      </c>
      <c r="X18" s="13">
        <v>2353051.6584281609</v>
      </c>
      <c r="Y18" s="13">
        <v>1191497.1059959354</v>
      </c>
      <c r="Z18" s="13">
        <v>348600.24569306098</v>
      </c>
      <c r="AA18" s="13">
        <v>1601402.4162828275</v>
      </c>
      <c r="AB18" s="29">
        <v>14500000</v>
      </c>
      <c r="AC18" s="29">
        <v>7860006.0196547117</v>
      </c>
      <c r="AD18" s="29">
        <v>586149.00423876697</v>
      </c>
      <c r="AE18" s="29">
        <v>379110</v>
      </c>
      <c r="AF18" s="29">
        <v>491559.92481202987</v>
      </c>
      <c r="AG18" s="174">
        <f t="shared" si="6"/>
        <v>32106358.590370782</v>
      </c>
      <c r="AH18" s="174">
        <f t="shared" si="7"/>
        <v>46130070.138191074</v>
      </c>
      <c r="AI18" s="191">
        <f>AH18/'Collections and ACP'!E21</f>
        <v>0.38932811709821091</v>
      </c>
      <c r="AJ18" s="185">
        <v>51746466.779952779</v>
      </c>
      <c r="AK18" s="185">
        <f t="shared" si="8"/>
        <v>-5616396.6417617053</v>
      </c>
      <c r="AL18" s="172">
        <f t="shared" si="9"/>
        <v>28807571.138191074</v>
      </c>
      <c r="AM18" s="172">
        <f t="shared" si="10"/>
        <v>17322499</v>
      </c>
      <c r="AN18" s="105">
        <f t="shared" si="11"/>
        <v>0.62448574328833051</v>
      </c>
      <c r="AO18" s="105">
        <f t="shared" si="12"/>
        <v>0.37551425671166949</v>
      </c>
    </row>
    <row r="19" spans="1:41" x14ac:dyDescent="0.25">
      <c r="A19" s="177" t="s">
        <v>33</v>
      </c>
      <c r="B19" s="178">
        <f>'ABP Under Contract'!B19</f>
        <v>534713</v>
      </c>
      <c r="C19" s="178">
        <f>'ABP Under Contract'!C19</f>
        <v>623823</v>
      </c>
      <c r="D19" s="178">
        <f>'ABP Under Contract'!D19</f>
        <v>1846183</v>
      </c>
      <c r="E19" s="178">
        <f>'ABP Under Contract'!E19</f>
        <v>37587</v>
      </c>
      <c r="F19" s="178">
        <f>'ABP Under Contract'!F19</f>
        <v>180232</v>
      </c>
      <c r="G19" s="178">
        <f>'ABP Under Contract'!G19</f>
        <v>793346</v>
      </c>
      <c r="H19" s="174">
        <f t="shared" si="2"/>
        <v>4015884</v>
      </c>
      <c r="I19" s="30"/>
      <c r="J19" s="30"/>
      <c r="K19" s="30"/>
      <c r="L19" s="178">
        <v>1335519</v>
      </c>
      <c r="M19" s="178">
        <f t="shared" si="3"/>
        <v>1989043.2823000001</v>
      </c>
      <c r="N19" s="178">
        <v>1186980</v>
      </c>
      <c r="O19" s="178">
        <v>4775244.8962525083</v>
      </c>
      <c r="P19" s="178">
        <v>235642.20349867106</v>
      </c>
      <c r="Q19" s="178">
        <v>60764.188603012546</v>
      </c>
      <c r="R19" s="174">
        <f t="shared" si="0"/>
        <v>9583193.5706541911</v>
      </c>
      <c r="S19" s="174">
        <f t="shared" si="4"/>
        <v>11076578.570654191</v>
      </c>
      <c r="T19" s="174">
        <f t="shared" si="5"/>
        <v>2522499</v>
      </c>
      <c r="U19" s="174">
        <f t="shared" si="1"/>
        <v>13599077.570654191</v>
      </c>
      <c r="V19" s="13">
        <v>1419904.8704454689</v>
      </c>
      <c r="W19" s="13">
        <v>1511727.0336468786</v>
      </c>
      <c r="X19" s="13">
        <v>2474647.8355300198</v>
      </c>
      <c r="Y19" s="13">
        <v>1249750.6819519557</v>
      </c>
      <c r="Z19" s="13">
        <v>366614.49415259564</v>
      </c>
      <c r="AA19" s="13">
        <v>1679696.7040520874</v>
      </c>
      <c r="AB19" s="29">
        <v>15500000</v>
      </c>
      <c r="AC19" s="29">
        <v>8570705.9895564392</v>
      </c>
      <c r="AD19" s="29">
        <v>668218.2592175731</v>
      </c>
      <c r="AE19" s="29">
        <v>379110</v>
      </c>
      <c r="AF19" s="29">
        <v>526721.57894736819</v>
      </c>
      <c r="AG19" s="174">
        <f t="shared" si="6"/>
        <v>34347097.447500378</v>
      </c>
      <c r="AH19" s="174">
        <f t="shared" si="7"/>
        <v>47946175.018154569</v>
      </c>
      <c r="AI19" s="191">
        <f>AH19/'Collections and ACP'!E22</f>
        <v>0.4031761937716129</v>
      </c>
      <c r="AJ19" s="185">
        <v>55096065.102970064</v>
      </c>
      <c r="AK19" s="185">
        <f t="shared" si="8"/>
        <v>-7149890.0848154947</v>
      </c>
      <c r="AL19" s="172">
        <f t="shared" si="9"/>
        <v>29923676.01815458</v>
      </c>
      <c r="AM19" s="172">
        <f t="shared" si="10"/>
        <v>18022499</v>
      </c>
      <c r="AN19" s="105">
        <f t="shared" si="11"/>
        <v>0.62410976489415748</v>
      </c>
      <c r="AO19" s="105">
        <f t="shared" si="12"/>
        <v>0.37589023510584252</v>
      </c>
    </row>
    <row r="20" spans="1:41" x14ac:dyDescent="0.25">
      <c r="A20" s="177" t="s">
        <v>34</v>
      </c>
      <c r="B20" s="178">
        <f>'ABP Under Contract'!B20</f>
        <v>478539</v>
      </c>
      <c r="C20" s="178">
        <f>'ABP Under Contract'!C20</f>
        <v>533651</v>
      </c>
      <c r="D20" s="178">
        <f>'ABP Under Contract'!D20</f>
        <v>1618817</v>
      </c>
      <c r="E20" s="178">
        <f>'ABP Under Contract'!E20</f>
        <v>37399</v>
      </c>
      <c r="F20" s="178">
        <f>'ABP Under Contract'!F20</f>
        <v>179329</v>
      </c>
      <c r="G20" s="178">
        <f>'ABP Under Contract'!G20</f>
        <v>789381</v>
      </c>
      <c r="H20" s="174">
        <f t="shared" si="2"/>
        <v>3637116</v>
      </c>
      <c r="I20" s="30"/>
      <c r="J20" s="30"/>
      <c r="K20" s="30"/>
      <c r="L20" s="30"/>
      <c r="M20" s="178">
        <f t="shared" si="3"/>
        <v>0</v>
      </c>
      <c r="N20" s="178">
        <v>1186980</v>
      </c>
      <c r="O20" s="178">
        <v>4751368.671771246</v>
      </c>
      <c r="P20" s="178">
        <v>234463.9924811777</v>
      </c>
      <c r="Q20" s="178">
        <v>60460.367659997486</v>
      </c>
      <c r="R20" s="174">
        <f t="shared" si="0"/>
        <v>6233273.0319124209</v>
      </c>
      <c r="S20" s="174">
        <f t="shared" si="4"/>
        <v>8683409.0319124218</v>
      </c>
      <c r="T20" s="174">
        <f t="shared" si="5"/>
        <v>1186980</v>
      </c>
      <c r="U20" s="174">
        <f t="shared" si="1"/>
        <v>9870389.0319124199</v>
      </c>
      <c r="V20" s="13">
        <v>1485758.7761310176</v>
      </c>
      <c r="W20" s="13">
        <v>1581839.5683442508</v>
      </c>
      <c r="X20" s="13">
        <v>2595636.0317463698</v>
      </c>
      <c r="Y20" s="13">
        <v>1307712.990028196</v>
      </c>
      <c r="Z20" s="13">
        <v>384538.67136983265</v>
      </c>
      <c r="AA20" s="13">
        <v>1757599.520382501</v>
      </c>
      <c r="AB20" s="29">
        <v>16500000</v>
      </c>
      <c r="AC20" s="29">
        <v>9277852.4596086554</v>
      </c>
      <c r="AD20" s="29">
        <v>749877.16792148526</v>
      </c>
      <c r="AE20" s="29">
        <v>379110</v>
      </c>
      <c r="AF20" s="29">
        <v>561883.23308270646</v>
      </c>
      <c r="AG20" s="174">
        <f t="shared" si="6"/>
        <v>36581808.418615006</v>
      </c>
      <c r="AH20" s="174">
        <f t="shared" si="7"/>
        <v>46452197.45052743</v>
      </c>
      <c r="AI20" s="191">
        <f>AH20/'Collections and ACP'!E23</f>
        <v>0.38892160809430626</v>
      </c>
      <c r="AJ20" s="185">
        <v>52107275.731181443</v>
      </c>
      <c r="AK20" s="185">
        <f t="shared" si="8"/>
        <v>-5655078.2806540132</v>
      </c>
      <c r="AL20" s="172">
        <f t="shared" si="9"/>
        <v>28765217.450527437</v>
      </c>
      <c r="AM20" s="172">
        <f t="shared" si="10"/>
        <v>17686980</v>
      </c>
      <c r="AN20" s="105">
        <f t="shared" si="11"/>
        <v>0.61924341644252667</v>
      </c>
      <c r="AO20" s="105">
        <f t="shared" si="12"/>
        <v>0.38075658355747333</v>
      </c>
    </row>
    <row r="21" spans="1:41" x14ac:dyDescent="0.25">
      <c r="A21" s="177" t="s">
        <v>35</v>
      </c>
      <c r="B21" s="178">
        <f>'ABP Under Contract'!B21</f>
        <v>396562</v>
      </c>
      <c r="C21" s="178">
        <f>'ABP Under Contract'!C21</f>
        <v>494974</v>
      </c>
      <c r="D21" s="178">
        <f>'ABP Under Contract'!D21</f>
        <v>1537072</v>
      </c>
      <c r="E21" s="178">
        <f>'ABP Under Contract'!E21</f>
        <v>37209</v>
      </c>
      <c r="F21" s="178">
        <f>'ABP Under Contract'!F21</f>
        <v>178438</v>
      </c>
      <c r="G21" s="178">
        <f>'ABP Under Contract'!G21</f>
        <v>785439</v>
      </c>
      <c r="H21" s="174">
        <f t="shared" si="2"/>
        <v>3429694</v>
      </c>
      <c r="I21" s="30"/>
      <c r="J21" s="30"/>
      <c r="K21" s="30"/>
      <c r="L21" s="30"/>
      <c r="M21" s="178">
        <f t="shared" si="3"/>
        <v>0</v>
      </c>
      <c r="N21" s="178">
        <v>1186980</v>
      </c>
      <c r="O21" s="178">
        <v>4727611.8284123894</v>
      </c>
      <c r="P21" s="178">
        <v>233291.67251877178</v>
      </c>
      <c r="Q21" s="178">
        <v>60158.065821697499</v>
      </c>
      <c r="R21" s="174">
        <f t="shared" si="0"/>
        <v>6208041.5667528594</v>
      </c>
      <c r="S21" s="174">
        <f t="shared" si="4"/>
        <v>8450755.5667528585</v>
      </c>
      <c r="T21" s="174">
        <f t="shared" si="5"/>
        <v>1186980</v>
      </c>
      <c r="U21" s="174">
        <f t="shared" si="1"/>
        <v>9637735.5667528585</v>
      </c>
      <c r="V21" s="13">
        <v>1551283.4122881386</v>
      </c>
      <c r="W21" s="13">
        <v>1651601.5403681363</v>
      </c>
      <c r="X21" s="13">
        <v>2716019.2869816381</v>
      </c>
      <c r="Y21" s="13">
        <v>1365385.4865640549</v>
      </c>
      <c r="Z21" s="13">
        <v>402373.22770098347</v>
      </c>
      <c r="AA21" s="13">
        <v>1835112.8226312622</v>
      </c>
      <c r="AB21" s="29">
        <v>17500000</v>
      </c>
      <c r="AC21" s="29">
        <v>9981463.1973106135</v>
      </c>
      <c r="AD21" s="29">
        <v>831127.78208187781</v>
      </c>
      <c r="AE21" s="29">
        <v>379110</v>
      </c>
      <c r="AF21" s="29">
        <v>597044.88721804484</v>
      </c>
      <c r="AG21" s="174">
        <f t="shared" si="6"/>
        <v>38810521.643144749</v>
      </c>
      <c r="AH21" s="174">
        <f t="shared" si="7"/>
        <v>48448257.209897608</v>
      </c>
      <c r="AI21" s="191">
        <f>AH21/'Collections and ACP'!E24</f>
        <v>0.40478941849584271</v>
      </c>
      <c r="AJ21" s="185">
        <v>54181029.455410942</v>
      </c>
      <c r="AK21" s="185">
        <f t="shared" si="8"/>
        <v>-5732772.2455133349</v>
      </c>
      <c r="AL21" s="172">
        <f t="shared" si="9"/>
        <v>29761277.209897611</v>
      </c>
      <c r="AM21" s="172">
        <f t="shared" si="10"/>
        <v>18686980</v>
      </c>
      <c r="AN21" s="105">
        <f t="shared" si="11"/>
        <v>0.61428994403162163</v>
      </c>
      <c r="AO21" s="105">
        <f t="shared" si="12"/>
        <v>0.38571005596837837</v>
      </c>
    </row>
    <row r="22" spans="1:41" x14ac:dyDescent="0.25">
      <c r="A22" s="177" t="s">
        <v>36</v>
      </c>
      <c r="B22" s="178">
        <f>'ABP Under Contract'!B22</f>
        <v>174144</v>
      </c>
      <c r="C22" s="178">
        <f>'ABP Under Contract'!C22</f>
        <v>345681</v>
      </c>
      <c r="D22" s="178">
        <f>'ABP Under Contract'!D22</f>
        <v>1518169</v>
      </c>
      <c r="E22" s="178">
        <f>'ABP Under Contract'!E22</f>
        <v>37025</v>
      </c>
      <c r="F22" s="178">
        <f>'ABP Under Contract'!F22</f>
        <v>177540</v>
      </c>
      <c r="G22" s="178">
        <f>'ABP Under Contract'!G22</f>
        <v>781502</v>
      </c>
      <c r="H22" s="174">
        <f t="shared" si="2"/>
        <v>3034061</v>
      </c>
      <c r="I22" s="30"/>
      <c r="J22" s="30"/>
      <c r="K22" s="30"/>
      <c r="L22" s="30"/>
      <c r="M22" s="178">
        <f t="shared" si="3"/>
        <v>0</v>
      </c>
      <c r="N22" s="178">
        <v>1186980</v>
      </c>
      <c r="O22" s="178">
        <v>4703973.7692703279</v>
      </c>
      <c r="P22" s="178">
        <v>232125.21415617794</v>
      </c>
      <c r="Q22" s="178">
        <v>59857.275492589011</v>
      </c>
      <c r="R22" s="174">
        <f t="shared" si="0"/>
        <v>6182936.2589190947</v>
      </c>
      <c r="S22" s="174">
        <f t="shared" si="4"/>
        <v>8030017.2589190947</v>
      </c>
      <c r="T22" s="174">
        <f t="shared" si="5"/>
        <v>1186980</v>
      </c>
      <c r="U22" s="174">
        <f t="shared" si="1"/>
        <v>9216997.2589190938</v>
      </c>
      <c r="V22" s="13">
        <v>1616480.4252644738</v>
      </c>
      <c r="W22" s="13">
        <v>1721014.7025319017</v>
      </c>
      <c r="X22" s="13">
        <v>2835800.6259407299</v>
      </c>
      <c r="Y22" s="13">
        <v>1422769.6206172348</v>
      </c>
      <c r="Z22" s="13">
        <v>420118.6112504786</v>
      </c>
      <c r="AA22" s="13">
        <v>1912238.5583687802</v>
      </c>
      <c r="AB22" s="29">
        <v>18500000</v>
      </c>
      <c r="AC22" s="29">
        <v>10681555.88132406</v>
      </c>
      <c r="AD22" s="29">
        <v>911972.1431714684</v>
      </c>
      <c r="AE22" s="29">
        <v>379110</v>
      </c>
      <c r="AF22" s="29">
        <v>632206.5413533831</v>
      </c>
      <c r="AG22" s="174">
        <f t="shared" si="6"/>
        <v>41033267.109822512</v>
      </c>
      <c r="AH22" s="174">
        <f t="shared" si="7"/>
        <v>50250264.368741602</v>
      </c>
      <c r="AI22" s="191">
        <f>AH22/'Collections and ACP'!E25</f>
        <v>0.41792109629543744</v>
      </c>
      <c r="AJ22" s="185">
        <v>56280144.369289964</v>
      </c>
      <c r="AK22" s="185">
        <f t="shared" si="8"/>
        <v>-6029880.0005483627</v>
      </c>
      <c r="AL22" s="172">
        <f t="shared" si="9"/>
        <v>30563284.368741602</v>
      </c>
      <c r="AM22" s="172">
        <f t="shared" si="10"/>
        <v>19686980</v>
      </c>
      <c r="AN22" s="105">
        <f t="shared" si="11"/>
        <v>0.60822136465721022</v>
      </c>
      <c r="AO22" s="105">
        <f t="shared" si="12"/>
        <v>0.39177863534278978</v>
      </c>
    </row>
    <row r="23" spans="1:41" x14ac:dyDescent="0.25">
      <c r="A23" s="177" t="s">
        <v>37</v>
      </c>
      <c r="B23" s="178">
        <f>'ABP Under Contract'!B23</f>
        <v>93812</v>
      </c>
      <c r="C23" s="178">
        <f>'ABP Under Contract'!C23</f>
        <v>114214</v>
      </c>
      <c r="D23" s="178">
        <f>'ABP Under Contract'!D23</f>
        <v>1510578</v>
      </c>
      <c r="E23" s="178">
        <f>'ABP Under Contract'!E23</f>
        <v>36839</v>
      </c>
      <c r="F23" s="178">
        <f>'ABP Under Contract'!F23</f>
        <v>170796</v>
      </c>
      <c r="G23" s="178">
        <f>'ABP Under Contract'!G23</f>
        <v>777602</v>
      </c>
      <c r="H23" s="174">
        <f t="shared" si="2"/>
        <v>2703841</v>
      </c>
      <c r="I23" s="30"/>
      <c r="J23" s="30"/>
      <c r="K23" s="30"/>
      <c r="L23" s="30"/>
      <c r="M23" s="178">
        <f t="shared" si="3"/>
        <v>0</v>
      </c>
      <c r="N23" s="178">
        <v>1186980</v>
      </c>
      <c r="O23" s="178">
        <v>4680453.9004239757</v>
      </c>
      <c r="P23" s="178">
        <v>230964.58808539703</v>
      </c>
      <c r="Q23" s="178">
        <v>59557.989115126067</v>
      </c>
      <c r="R23" s="174">
        <f t="shared" si="0"/>
        <v>6157956.4776244992</v>
      </c>
      <c r="S23" s="174">
        <f t="shared" si="4"/>
        <v>7674817.4776244992</v>
      </c>
      <c r="T23" s="174">
        <f t="shared" si="5"/>
        <v>1186980</v>
      </c>
      <c r="U23" s="174">
        <f t="shared" si="1"/>
        <v>8861797.4776244983</v>
      </c>
      <c r="V23" s="13">
        <v>1681351.4531759275</v>
      </c>
      <c r="W23" s="13">
        <v>1790080.7988848488</v>
      </c>
      <c r="X23" s="13">
        <v>2954983.0582050257</v>
      </c>
      <c r="Y23" s="13">
        <v>1479866.8340001486</v>
      </c>
      <c r="Z23" s="13">
        <v>437775.26788222621</v>
      </c>
      <c r="AA23" s="13">
        <v>1988978.6654276103</v>
      </c>
      <c r="AB23" s="29">
        <v>19500000</v>
      </c>
      <c r="AC23" s="29">
        <v>11378148.101917438</v>
      </c>
      <c r="AD23" s="29">
        <v>992412.28245561104</v>
      </c>
      <c r="AE23" s="29">
        <v>379110</v>
      </c>
      <c r="AF23" s="29">
        <v>667368.19548872148</v>
      </c>
      <c r="AG23" s="174">
        <f t="shared" si="6"/>
        <v>43250074.657437555</v>
      </c>
      <c r="AH23" s="174">
        <f t="shared" si="7"/>
        <v>52111872.135062054</v>
      </c>
      <c r="AI23" s="191">
        <f>AH23/'Collections and ACP'!E26</f>
        <v>0.43179554243570512</v>
      </c>
      <c r="AJ23" s="185">
        <v>57356310.108593807</v>
      </c>
      <c r="AK23" s="185">
        <f t="shared" si="8"/>
        <v>-5244437.9735317528</v>
      </c>
      <c r="AL23" s="172">
        <f t="shared" si="9"/>
        <v>31424892.135062061</v>
      </c>
      <c r="AM23" s="172">
        <f t="shared" si="10"/>
        <v>20686980</v>
      </c>
      <c r="AN23" s="105">
        <f t="shared" si="11"/>
        <v>0.60302750309211539</v>
      </c>
      <c r="AO23" s="105">
        <f t="shared" si="12"/>
        <v>0.39697249690788461</v>
      </c>
    </row>
    <row r="24" spans="1:41" x14ac:dyDescent="0.25">
      <c r="A24" s="177" t="s">
        <v>38</v>
      </c>
      <c r="B24" s="178">
        <f>'ABP Under Contract'!B24</f>
        <v>80</v>
      </c>
      <c r="C24" s="178" t="str">
        <f>'ABP Under Contract'!C24</f>
        <v xml:space="preserve"> -   </v>
      </c>
      <c r="D24" s="178">
        <f>'ABP Under Contract'!D24</f>
        <v>1503020</v>
      </c>
      <c r="E24" s="178">
        <f>'ABP Under Contract'!E24</f>
        <v>36656</v>
      </c>
      <c r="F24" s="178">
        <f>'ABP Under Contract'!F24</f>
        <v>28702</v>
      </c>
      <c r="G24" s="178">
        <f>'ABP Under Contract'!G24</f>
        <v>767239</v>
      </c>
      <c r="H24" s="174">
        <f t="shared" si="2"/>
        <v>2335697</v>
      </c>
      <c r="I24" s="30"/>
      <c r="J24" s="30"/>
      <c r="K24" s="30"/>
      <c r="L24" s="30"/>
      <c r="M24" s="178">
        <f t="shared" si="3"/>
        <v>0</v>
      </c>
      <c r="N24" s="178">
        <v>1186980</v>
      </c>
      <c r="O24" s="178">
        <v>4657051.6309218556</v>
      </c>
      <c r="P24" s="178">
        <v>229809.76514497004</v>
      </c>
      <c r="Q24" s="178">
        <v>59260.199169550433</v>
      </c>
      <c r="R24" s="174">
        <f t="shared" si="0"/>
        <v>6133101.5952363759</v>
      </c>
      <c r="S24" s="174">
        <f t="shared" si="4"/>
        <v>7281818.5952363759</v>
      </c>
      <c r="T24" s="174">
        <f t="shared" si="5"/>
        <v>1186980</v>
      </c>
      <c r="U24" s="174">
        <f t="shared" si="1"/>
        <v>8468798.5952363759</v>
      </c>
      <c r="V24" s="13">
        <v>1610559.4502040241</v>
      </c>
      <c r="W24" s="13">
        <v>1714710.8308777234</v>
      </c>
      <c r="X24" s="13">
        <v>3073569.5783080007</v>
      </c>
      <c r="Y24" s="13">
        <v>1536678.5613161477</v>
      </c>
      <c r="Z24" s="13">
        <v>455343.64123081503</v>
      </c>
      <c r="AA24" s="13">
        <v>1905234.2565308043</v>
      </c>
      <c r="AB24" s="29">
        <v>20500000</v>
      </c>
      <c r="AC24" s="29">
        <v>12071257.361407852</v>
      </c>
      <c r="AD24" s="29">
        <v>1072450.2210433329</v>
      </c>
      <c r="AE24" s="29">
        <v>379110</v>
      </c>
      <c r="AF24" s="29">
        <v>702529.84962405975</v>
      </c>
      <c r="AG24" s="174">
        <f t="shared" si="6"/>
        <v>45021443.75054276</v>
      </c>
      <c r="AH24" s="174">
        <f t="shared" si="7"/>
        <v>53490242.345779136</v>
      </c>
      <c r="AI24" s="191">
        <f>AH24/'Collections and ACP'!E27</f>
        <v>0.44126158842015722</v>
      </c>
      <c r="AJ24" s="185">
        <v>58945753.695705831</v>
      </c>
      <c r="AK24" s="185">
        <f t="shared" si="8"/>
        <v>-5455511.3499266952</v>
      </c>
      <c r="AL24" s="172">
        <f t="shared" si="9"/>
        <v>31803262.345779136</v>
      </c>
      <c r="AM24" s="172">
        <f t="shared" si="10"/>
        <v>21686980</v>
      </c>
      <c r="AN24" s="105">
        <f t="shared" si="11"/>
        <v>0.59456194160033937</v>
      </c>
      <c r="AO24" s="105">
        <f t="shared" si="12"/>
        <v>0.40543805839966063</v>
      </c>
    </row>
    <row r="25" spans="1:41" x14ac:dyDescent="0.25">
      <c r="A25" s="177" t="s">
        <v>39</v>
      </c>
      <c r="B25" s="178">
        <f>'ABP Under Contract'!B25</f>
        <v>60</v>
      </c>
      <c r="C25" s="178" t="str">
        <f>'ABP Under Contract'!C25</f>
        <v xml:space="preserve"> -   </v>
      </c>
      <c r="D25" s="178">
        <f>'ABP Under Contract'!D25</f>
        <v>1495515</v>
      </c>
      <c r="E25" s="178">
        <f>'ABP Under Contract'!E25</f>
        <v>36473</v>
      </c>
      <c r="F25" s="178" t="str">
        <f>'ABP Under Contract'!F25</f>
        <v xml:space="preserve"> -   </v>
      </c>
      <c r="G25" s="178">
        <f>'ABP Under Contract'!G25</f>
        <v>763403</v>
      </c>
      <c r="H25" s="174">
        <f t="shared" si="2"/>
        <v>2295451</v>
      </c>
      <c r="I25" s="30"/>
      <c r="J25" s="30"/>
      <c r="K25" s="30"/>
      <c r="L25" s="30"/>
      <c r="M25" s="178">
        <f t="shared" si="3"/>
        <v>0</v>
      </c>
      <c r="N25" s="178">
        <v>1186980</v>
      </c>
      <c r="O25" s="178">
        <v>4633766.3727672463</v>
      </c>
      <c r="P25" s="178">
        <v>228660.7163192452</v>
      </c>
      <c r="Q25" s="178">
        <v>58963.898173702677</v>
      </c>
      <c r="R25" s="174">
        <f t="shared" si="0"/>
        <v>6108370.9872601945</v>
      </c>
      <c r="S25" s="174">
        <f t="shared" si="4"/>
        <v>7216841.9872601945</v>
      </c>
      <c r="T25" s="174">
        <f t="shared" si="5"/>
        <v>1186980</v>
      </c>
      <c r="U25" s="174">
        <f t="shared" si="1"/>
        <v>8403821.9872601945</v>
      </c>
      <c r="V25" s="13">
        <v>1540121.4072469801</v>
      </c>
      <c r="W25" s="13">
        <v>1639717.7127106336</v>
      </c>
      <c r="X25" s="13">
        <v>3191563.1658104612</v>
      </c>
      <c r="Y25" s="13">
        <v>1593206.2299955667</v>
      </c>
      <c r="Z25" s="13">
        <v>436171.74927309219</v>
      </c>
      <c r="AA25" s="13">
        <v>1821908.5696784819</v>
      </c>
      <c r="AB25" s="29">
        <v>21500000</v>
      </c>
      <c r="AC25" s="29">
        <v>12760901.074600812</v>
      </c>
      <c r="AD25" s="29">
        <v>1152087.9699381161</v>
      </c>
      <c r="AE25" s="29">
        <v>379110</v>
      </c>
      <c r="AF25" s="29">
        <v>737691.50375939801</v>
      </c>
      <c r="AG25" s="174">
        <f t="shared" si="6"/>
        <v>46752479.383013546</v>
      </c>
      <c r="AH25" s="174">
        <f t="shared" si="7"/>
        <v>55156301.370273739</v>
      </c>
      <c r="AI25" s="191">
        <f>AH25/'Collections and ACP'!E28</f>
        <v>0.45362823175850225</v>
      </c>
      <c r="AJ25" s="185">
        <v>62081899.349713385</v>
      </c>
      <c r="AK25" s="185">
        <f t="shared" si="8"/>
        <v>-6925597.979439646</v>
      </c>
      <c r="AL25" s="172">
        <f t="shared" si="9"/>
        <v>32469321.370273735</v>
      </c>
      <c r="AM25" s="172">
        <f t="shared" si="10"/>
        <v>22686980</v>
      </c>
      <c r="AN25" s="105">
        <f t="shared" si="11"/>
        <v>0.58867836609096746</v>
      </c>
      <c r="AO25" s="105">
        <f t="shared" si="12"/>
        <v>0.41132163390903254</v>
      </c>
    </row>
    <row r="26" spans="1:41" x14ac:dyDescent="0.25">
      <c r="A26" s="177" t="s">
        <v>40</v>
      </c>
      <c r="B26" s="178">
        <f>'ABP Under Contract'!B26</f>
        <v>8</v>
      </c>
      <c r="C26" s="178" t="str">
        <f>'ABP Under Contract'!C26</f>
        <v xml:space="preserve"> -   </v>
      </c>
      <c r="D26" s="178">
        <f>'ABP Under Contract'!D26</f>
        <v>1488036</v>
      </c>
      <c r="E26" s="178">
        <f>'ABP Under Contract'!E26</f>
        <v>36291</v>
      </c>
      <c r="F26" s="178" t="str">
        <f>'ABP Under Contract'!F26</f>
        <v xml:space="preserve"> -   </v>
      </c>
      <c r="G26" s="178">
        <f>'ABP Under Contract'!G26</f>
        <v>759583</v>
      </c>
      <c r="H26" s="174">
        <f t="shared" si="2"/>
        <v>2283918</v>
      </c>
      <c r="I26" s="30"/>
      <c r="J26" s="30"/>
      <c r="K26" s="30"/>
      <c r="L26" s="30"/>
      <c r="M26" s="178">
        <f t="shared" si="3"/>
        <v>0</v>
      </c>
      <c r="N26" s="178">
        <v>1186980</v>
      </c>
      <c r="O26" s="178">
        <v>4610597.5409034099</v>
      </c>
      <c r="P26" s="178">
        <v>227517.41273764899</v>
      </c>
      <c r="Q26" s="178">
        <v>58669.078682834166</v>
      </c>
      <c r="R26" s="174">
        <f t="shared" si="0"/>
        <v>6083764.0323238932</v>
      </c>
      <c r="S26" s="174">
        <f t="shared" si="4"/>
        <v>7180702.0323238932</v>
      </c>
      <c r="T26" s="174">
        <f t="shared" si="5"/>
        <v>1186980</v>
      </c>
      <c r="U26" s="174">
        <f t="shared" si="1"/>
        <v>8367682.0323238932</v>
      </c>
      <c r="V26" s="13">
        <v>1397082.1244669452</v>
      </c>
      <c r="W26" s="13">
        <v>1487428.3902687728</v>
      </c>
      <c r="X26" s="13">
        <v>3308966.7853754088</v>
      </c>
      <c r="Y26" s="13">
        <v>1585240.1988455888</v>
      </c>
      <c r="Z26" s="13">
        <v>417095.7167751579</v>
      </c>
      <c r="AA26" s="13">
        <v>1652698.2114097476</v>
      </c>
      <c r="AB26" s="29">
        <v>22500000</v>
      </c>
      <c r="AC26" s="29">
        <v>13447096.569227809</v>
      </c>
      <c r="AD26" s="29">
        <v>1231327.5300884256</v>
      </c>
      <c r="AE26" s="29">
        <v>379110</v>
      </c>
      <c r="AF26" s="29">
        <v>772853.15789473639</v>
      </c>
      <c r="AG26" s="174">
        <f t="shared" si="6"/>
        <v>48178898.684352592</v>
      </c>
      <c r="AH26" s="174">
        <f t="shared" si="7"/>
        <v>56546580.716676489</v>
      </c>
      <c r="AI26" s="191">
        <f>AH26/'Collections and ACP'!E29</f>
        <v>0.46363298703178801</v>
      </c>
      <c r="AJ26" s="185">
        <v>61534544.680906937</v>
      </c>
      <c r="AK26" s="185">
        <f t="shared" si="8"/>
        <v>-4987963.964230448</v>
      </c>
      <c r="AL26" s="172">
        <f t="shared" si="9"/>
        <v>32859600.716676492</v>
      </c>
      <c r="AM26" s="172">
        <f t="shared" si="10"/>
        <v>23686980</v>
      </c>
      <c r="AN26" s="105">
        <f t="shared" si="11"/>
        <v>0.58110676720344423</v>
      </c>
      <c r="AO26" s="105">
        <f t="shared" si="12"/>
        <v>0.41889323279655577</v>
      </c>
    </row>
    <row r="27" spans="1:41" x14ac:dyDescent="0.25">
      <c r="A27" s="189" t="s">
        <v>172</v>
      </c>
      <c r="B27" s="178" t="str">
        <f>'ABP Under Contract'!B27</f>
        <v xml:space="preserve"> -   </v>
      </c>
      <c r="C27" s="178" t="str">
        <f>'ABP Under Contract'!C27</f>
        <v xml:space="preserve"> -   </v>
      </c>
      <c r="D27" s="178">
        <f>'ABP Under Contract'!D27</f>
        <v>1288007</v>
      </c>
      <c r="E27" s="178">
        <f>'ABP Under Contract'!E27</f>
        <v>36108</v>
      </c>
      <c r="F27" s="178" t="str">
        <f>'ABP Under Contract'!F27</f>
        <v xml:space="preserve"> -   </v>
      </c>
      <c r="G27" s="178">
        <f>'ABP Under Contract'!G27</f>
        <v>755784</v>
      </c>
      <c r="H27" s="174">
        <f>SUM(B27:G27)</f>
        <v>2079899</v>
      </c>
      <c r="I27" s="30"/>
      <c r="J27" s="30"/>
      <c r="K27" s="30"/>
      <c r="L27" s="30"/>
      <c r="M27" s="178">
        <f t="shared" si="3"/>
        <v>0</v>
      </c>
      <c r="N27" s="178">
        <v>1186980</v>
      </c>
      <c r="O27" s="178">
        <v>4596230.6276215874</v>
      </c>
      <c r="P27" s="178">
        <v>226379.82567396073</v>
      </c>
      <c r="Q27" s="178"/>
      <c r="R27" s="174">
        <f>SUM(I27:Q27)</f>
        <v>6009590.4532955484</v>
      </c>
      <c r="S27" s="174">
        <f t="shared" si="4"/>
        <v>6902509.4532955484</v>
      </c>
      <c r="T27" s="174">
        <f t="shared" si="5"/>
        <v>1186980</v>
      </c>
      <c r="U27" s="174">
        <f t="shared" si="1"/>
        <v>8089489.4532955484</v>
      </c>
      <c r="V27" s="185">
        <v>1254758.0381008107</v>
      </c>
      <c r="W27" s="185">
        <v>1335900.5144391211</v>
      </c>
      <c r="X27" s="185">
        <v>3292421.9514485323</v>
      </c>
      <c r="Y27" s="185">
        <v>1577313.9978513608</v>
      </c>
      <c r="Z27" s="185">
        <v>378357.81475171342</v>
      </c>
      <c r="AA27" s="185">
        <v>1484333.9049323569</v>
      </c>
      <c r="AB27" s="185">
        <v>23500000</v>
      </c>
      <c r="AC27" s="185">
        <v>14133611.08638167</v>
      </c>
      <c r="AD27" s="185">
        <v>1310170.8924379835</v>
      </c>
      <c r="AG27" s="174">
        <f t="shared" ref="AG27" si="13">SUM(V27:AF27)</f>
        <v>48266868.200343557</v>
      </c>
      <c r="AH27" s="174">
        <f t="shared" ref="AH27" si="14">H27+R27+AG27</f>
        <v>56356357.653639108</v>
      </c>
      <c r="AI27" s="191"/>
      <c r="AJ27" s="185">
        <v>61395847.932918511</v>
      </c>
      <c r="AK27" s="185">
        <f t="shared" si="8"/>
        <v>-5039490.2792794034</v>
      </c>
      <c r="AL27" s="172">
        <f t="shared" si="9"/>
        <v>31669377.653639093</v>
      </c>
      <c r="AM27" s="172">
        <f t="shared" si="10"/>
        <v>24686980</v>
      </c>
      <c r="AN27" s="105">
        <f t="shared" si="11"/>
        <v>0.56194862429321868</v>
      </c>
      <c r="AO27" s="105">
        <f t="shared" si="12"/>
        <v>0.43805137570678132</v>
      </c>
    </row>
    <row r="29" spans="1:41" x14ac:dyDescent="0.25">
      <c r="A29" s="189"/>
      <c r="C29" t="s">
        <v>218</v>
      </c>
      <c r="H29" s="31"/>
      <c r="I29" s="31"/>
      <c r="J29" s="31"/>
      <c r="V29" s="185"/>
      <c r="W29" s="185"/>
      <c r="X29" s="185"/>
      <c r="Y29" s="185"/>
      <c r="Z29" s="185"/>
      <c r="AA29" s="185"/>
      <c r="AB29" s="185"/>
    </row>
    <row r="30" spans="1:41" x14ac:dyDescent="0.25">
      <c r="A30" s="177" t="s">
        <v>41</v>
      </c>
      <c r="B30" s="22">
        <v>0.2896143019416435</v>
      </c>
      <c r="C30" s="22">
        <v>0.28693999999999997</v>
      </c>
    </row>
    <row r="31" spans="1:41" ht="30" x14ac:dyDescent="0.25">
      <c r="A31" s="184" t="s">
        <v>1</v>
      </c>
      <c r="B31" s="184" t="str">
        <f t="shared" ref="B31:G31" si="15">B2</f>
        <v>Small DG</v>
      </c>
      <c r="C31" s="184" t="str">
        <f t="shared" si="15"/>
        <v>Large DG</v>
      </c>
      <c r="D31" s="184" t="str">
        <f t="shared" si="15"/>
        <v>Traditional CS</v>
      </c>
      <c r="E31" s="184" t="str">
        <f t="shared" si="15"/>
        <v xml:space="preserve"> Public Schools </v>
      </c>
      <c r="F31" s="184" t="str">
        <f t="shared" si="15"/>
        <v xml:space="preserve"> CDCS </v>
      </c>
      <c r="G31" s="184" t="str">
        <f t="shared" si="15"/>
        <v xml:space="preserve"> EEC </v>
      </c>
      <c r="H31" s="24" t="s">
        <v>204</v>
      </c>
      <c r="I31" s="184" t="s">
        <v>205</v>
      </c>
      <c r="J31" s="184" t="s">
        <v>206</v>
      </c>
      <c r="K31" s="184" t="s">
        <v>207</v>
      </c>
      <c r="L31" s="184" t="s">
        <v>228</v>
      </c>
      <c r="M31" s="184" t="s">
        <v>229</v>
      </c>
      <c r="N31" s="184" t="s">
        <v>210</v>
      </c>
      <c r="O31" s="184" t="s">
        <v>211</v>
      </c>
      <c r="P31" s="184" t="s">
        <v>212</v>
      </c>
      <c r="Q31" s="313" t="s">
        <v>213</v>
      </c>
      <c r="R31" s="24" t="s">
        <v>214</v>
      </c>
      <c r="S31" s="24" t="s">
        <v>215</v>
      </c>
      <c r="T31" s="24" t="s">
        <v>216</v>
      </c>
      <c r="U31" s="24" t="s">
        <v>217</v>
      </c>
      <c r="V31" s="184" t="s">
        <v>138</v>
      </c>
      <c r="W31" s="184" t="s">
        <v>144</v>
      </c>
      <c r="X31" s="25" t="s">
        <v>153</v>
      </c>
      <c r="Y31" s="184" t="s">
        <v>158</v>
      </c>
      <c r="Z31" s="25" t="s">
        <v>162</v>
      </c>
      <c r="AA31" s="25" t="s">
        <v>165</v>
      </c>
      <c r="AB31" s="184" t="s">
        <v>90</v>
      </c>
      <c r="AC31" s="184" t="s">
        <v>91</v>
      </c>
      <c r="AD31" s="184" t="s">
        <v>86</v>
      </c>
      <c r="AE31" s="184" t="s">
        <v>218</v>
      </c>
      <c r="AF31" s="25" t="s">
        <v>219</v>
      </c>
      <c r="AG31" s="192" t="s">
        <v>220</v>
      </c>
      <c r="AH31" s="24" t="s">
        <v>221</v>
      </c>
      <c r="AI31" s="24" t="s">
        <v>222</v>
      </c>
      <c r="AL31" s="76" t="s">
        <v>224</v>
      </c>
      <c r="AM31" s="76" t="s">
        <v>225</v>
      </c>
      <c r="AN31" t="s">
        <v>226</v>
      </c>
      <c r="AO31" t="s">
        <v>227</v>
      </c>
    </row>
    <row r="32" spans="1:41" x14ac:dyDescent="0.25">
      <c r="A32" s="184"/>
      <c r="B32" s="184"/>
      <c r="C32" s="184"/>
      <c r="D32" s="184"/>
      <c r="E32" s="184"/>
      <c r="F32" s="184"/>
      <c r="G32" s="184"/>
      <c r="H32" s="24"/>
      <c r="I32" s="184"/>
      <c r="J32" s="184"/>
      <c r="K32" s="184"/>
      <c r="L32" s="184"/>
      <c r="M32" s="184"/>
      <c r="N32" s="184"/>
      <c r="O32" s="184"/>
      <c r="P32" s="184"/>
      <c r="Q32" s="184"/>
      <c r="R32" s="24"/>
      <c r="S32" s="174"/>
      <c r="T32" s="174">
        <f t="shared" ref="T32:T56" si="16">I32+L32+N32</f>
        <v>0</v>
      </c>
      <c r="U32" s="174">
        <f t="shared" ref="U32:U56" si="17">H32+R32</f>
        <v>0</v>
      </c>
      <c r="V32" s="184"/>
      <c r="W32" s="184"/>
      <c r="X32" s="184"/>
      <c r="Y32" s="184"/>
      <c r="Z32" s="184"/>
      <c r="AA32" s="184"/>
      <c r="AB32" s="184"/>
      <c r="AC32" s="184"/>
      <c r="AD32" s="184"/>
      <c r="AE32" s="184"/>
      <c r="AF32" s="184"/>
      <c r="AG32" s="24"/>
      <c r="AH32" s="24"/>
      <c r="AI32" s="24"/>
    </row>
    <row r="33" spans="1:41" x14ac:dyDescent="0.25">
      <c r="A33" s="177" t="s">
        <v>17</v>
      </c>
      <c r="B33" s="178">
        <f>'ABP Under Contract'!B32</f>
        <v>35659</v>
      </c>
      <c r="C33" s="178">
        <f>'ABP Under Contract'!C32</f>
        <v>126418</v>
      </c>
      <c r="D33" s="178">
        <f>'ABP Under Contract'!D32</f>
        <v>46468</v>
      </c>
      <c r="E33" s="178" t="str">
        <f>'ABP Under Contract'!E32</f>
        <v xml:space="preserve"> -   </v>
      </c>
      <c r="F33" s="178" t="str">
        <f>'ABP Under Contract'!F32</f>
        <v xml:space="preserve"> -   </v>
      </c>
      <c r="G33" s="178" t="str">
        <f>'ABP Under Contract'!G32</f>
        <v xml:space="preserve"> -   </v>
      </c>
      <c r="H33" s="174">
        <f>SUM(B33:G33)</f>
        <v>208545</v>
      </c>
      <c r="I33" s="178">
        <v>600000</v>
      </c>
      <c r="J33" s="178"/>
      <c r="K33" s="178">
        <v>3273</v>
      </c>
      <c r="L33" s="178">
        <v>214109</v>
      </c>
      <c r="M33" s="178">
        <v>2838</v>
      </c>
      <c r="N33" s="178"/>
      <c r="O33" s="178"/>
      <c r="P33" s="178"/>
      <c r="Q33" s="178">
        <f t="shared" ref="Q33:Q55" si="18">Q4*$B$30</f>
        <v>16876.288757022674</v>
      </c>
      <c r="R33" s="174">
        <f>SUM(I33:Q33)</f>
        <v>837096.2887570227</v>
      </c>
      <c r="S33" s="174">
        <f>H33+J33+K33+M33+O33+P33+Q33</f>
        <v>231532.28875702267</v>
      </c>
      <c r="T33" s="174">
        <f>I33+L33+N33</f>
        <v>814109</v>
      </c>
      <c r="U33" s="174">
        <f>H33+R33</f>
        <v>1045641.2887570227</v>
      </c>
      <c r="V33" s="174">
        <f t="shared" ref="V33:AD33" si="19">$B$30*V4</f>
        <v>0</v>
      </c>
      <c r="W33" s="174">
        <f t="shared" si="19"/>
        <v>0</v>
      </c>
      <c r="X33" s="174">
        <f t="shared" si="19"/>
        <v>0</v>
      </c>
      <c r="Y33" s="174">
        <f t="shared" si="19"/>
        <v>0</v>
      </c>
      <c r="Z33" s="174">
        <f t="shared" si="19"/>
        <v>0</v>
      </c>
      <c r="AA33" s="174">
        <f t="shared" si="19"/>
        <v>0</v>
      </c>
      <c r="AB33" s="174">
        <f t="shared" si="19"/>
        <v>0</v>
      </c>
      <c r="AC33" s="174">
        <f t="shared" si="19"/>
        <v>0</v>
      </c>
      <c r="AD33" s="174">
        <f t="shared" si="19"/>
        <v>0</v>
      </c>
      <c r="AE33" s="174"/>
      <c r="AF33" s="174">
        <f t="shared" ref="AF33:AF56" si="20">AF4*$B$30</f>
        <v>0</v>
      </c>
      <c r="AG33" s="174">
        <f>SUM(V33:AF33)</f>
        <v>0</v>
      </c>
      <c r="AH33" s="174">
        <f t="shared" ref="AH33:AH55" si="21">H33+R33+AG33</f>
        <v>1045641.2887570227</v>
      </c>
      <c r="AI33" s="191">
        <f>AH33/'Collections and ACP'!E40</f>
        <v>2.9489065117554173E-2</v>
      </c>
      <c r="AL33" s="172">
        <f>H33+J33+K33+M33+Q33+V33+W33+X33+Y33+Z33+AA33+AC33+AD33+AF33+O33+P33+AE33</f>
        <v>231532.28875702267</v>
      </c>
      <c r="AM33" s="172">
        <f>I33+L33+AB33+N33</f>
        <v>814109</v>
      </c>
      <c r="AN33" s="105">
        <f>AL33/(AL33+AM33)</f>
        <v>0.22142611548196448</v>
      </c>
      <c r="AO33" s="105">
        <f>1-AN33</f>
        <v>0.77857388451803555</v>
      </c>
    </row>
    <row r="34" spans="1:41" x14ac:dyDescent="0.25">
      <c r="A34" s="177" t="s">
        <v>18</v>
      </c>
      <c r="B34" s="178">
        <f>'ABP Under Contract'!B33</f>
        <v>49951</v>
      </c>
      <c r="C34" s="178">
        <f>'ABP Under Contract'!C33</f>
        <v>164267</v>
      </c>
      <c r="D34" s="178">
        <f>'ABP Under Contract'!D33</f>
        <v>99556</v>
      </c>
      <c r="E34" s="178" t="str">
        <f>'ABP Under Contract'!E33</f>
        <v xml:space="preserve"> -   </v>
      </c>
      <c r="F34" s="178" t="str">
        <f>'ABP Under Contract'!F33</f>
        <v xml:space="preserve"> -   </v>
      </c>
      <c r="G34" s="178" t="str">
        <f>'ABP Under Contract'!G33</f>
        <v xml:space="preserve"> -   </v>
      </c>
      <c r="H34" s="174">
        <f t="shared" ref="H34:H55" si="22">SUM(B34:G34)</f>
        <v>313774</v>
      </c>
      <c r="I34" s="178">
        <v>600000</v>
      </c>
      <c r="J34" s="178"/>
      <c r="K34" s="178">
        <v>2838</v>
      </c>
      <c r="L34" s="178">
        <v>605816</v>
      </c>
      <c r="M34" s="178">
        <v>269620.28230000002</v>
      </c>
      <c r="N34" s="178"/>
      <c r="O34" s="178"/>
      <c r="P34" s="178"/>
      <c r="Q34" s="178">
        <f t="shared" si="18"/>
        <v>18877.504275819301</v>
      </c>
      <c r="R34" s="174">
        <f t="shared" ref="R34:R55" si="23">SUM(I34:Q34)</f>
        <v>1497151.7865758194</v>
      </c>
      <c r="S34" s="174">
        <f t="shared" ref="S34:S56" si="24">H34+J34+K34+M34+O34+P34+Q34</f>
        <v>605109.78657581937</v>
      </c>
      <c r="T34" s="174">
        <f t="shared" si="16"/>
        <v>1205816</v>
      </c>
      <c r="U34" s="174">
        <f t="shared" si="17"/>
        <v>1810925.7865758194</v>
      </c>
      <c r="V34" s="174">
        <f t="shared" ref="V34:AD34" si="25">$B$30*V5</f>
        <v>0</v>
      </c>
      <c r="W34" s="174">
        <f t="shared" si="25"/>
        <v>0</v>
      </c>
      <c r="X34" s="174">
        <f t="shared" si="25"/>
        <v>0</v>
      </c>
      <c r="Y34" s="174">
        <f t="shared" si="25"/>
        <v>0</v>
      </c>
      <c r="Z34" s="174">
        <f t="shared" si="25"/>
        <v>0</v>
      </c>
      <c r="AA34" s="174">
        <f t="shared" si="25"/>
        <v>0</v>
      </c>
      <c r="AB34" s="174">
        <f t="shared" si="25"/>
        <v>0</v>
      </c>
      <c r="AC34" s="174">
        <f t="shared" si="25"/>
        <v>0</v>
      </c>
      <c r="AD34" s="174">
        <f t="shared" si="25"/>
        <v>0</v>
      </c>
      <c r="AE34" s="174"/>
      <c r="AF34" s="174">
        <f t="shared" si="20"/>
        <v>0</v>
      </c>
      <c r="AG34" s="174">
        <f t="shared" ref="AG34:AG35" si="26">SUM(V34:AF34)</f>
        <v>0</v>
      </c>
      <c r="AH34" s="174">
        <f t="shared" si="21"/>
        <v>1810925.7865758194</v>
      </c>
      <c r="AI34" s="191">
        <f>AH34/'Collections and ACP'!E41</f>
        <v>5.1630847139424632E-2</v>
      </c>
      <c r="AL34" s="172">
        <f t="shared" ref="AL34:AL56" si="27">H34+J34+K34+M34+Q34+V34+W34+X34+Y34+Z34+AA34+AC34+AD34+AF34+O34+P34+AE34</f>
        <v>605109.78657581937</v>
      </c>
      <c r="AM34" s="172">
        <f t="shared" ref="AM34:AM56" si="28">I34+L34+AB34+N34</f>
        <v>1205816</v>
      </c>
      <c r="AN34" s="105">
        <f t="shared" ref="AN34:AN56" si="29">AL34/(AL34+AM34)</f>
        <v>0.33414388986088073</v>
      </c>
      <c r="AO34" s="105">
        <f t="shared" ref="AO34:AO56" si="30">1-AN34</f>
        <v>0.66585611013911927</v>
      </c>
    </row>
    <row r="35" spans="1:41" x14ac:dyDescent="0.25">
      <c r="A35" s="177" t="s">
        <v>19</v>
      </c>
      <c r="B35" s="178">
        <f>'ABP Under Contract'!B34</f>
        <v>67231</v>
      </c>
      <c r="C35" s="178">
        <f>'ABP Under Contract'!C34</f>
        <v>181303</v>
      </c>
      <c r="D35" s="178">
        <f>'ABP Under Contract'!D34</f>
        <v>111722</v>
      </c>
      <c r="E35" s="178" t="str">
        <f>'ABP Under Contract'!E34</f>
        <v xml:space="preserve"> -   </v>
      </c>
      <c r="F35" s="178" t="str">
        <f>'ABP Under Contract'!F34</f>
        <v xml:space="preserve"> -   </v>
      </c>
      <c r="G35" s="178" t="str">
        <f>'ABP Under Contract'!G34</f>
        <v xml:space="preserve"> -   </v>
      </c>
      <c r="H35" s="174">
        <f t="shared" si="22"/>
        <v>360256</v>
      </c>
      <c r="I35" s="178">
        <v>600000</v>
      </c>
      <c r="J35" s="178"/>
      <c r="K35" s="178">
        <v>327</v>
      </c>
      <c r="L35" s="178">
        <v>605816</v>
      </c>
      <c r="M35" s="178">
        <v>585317.28229999996</v>
      </c>
      <c r="N35" s="178"/>
      <c r="O35" s="178"/>
      <c r="P35" s="178"/>
      <c r="Q35" s="178">
        <f t="shared" si="18"/>
        <v>18783.116754440205</v>
      </c>
      <c r="R35" s="174">
        <f t="shared" si="23"/>
        <v>1810243.3990544402</v>
      </c>
      <c r="S35" s="174">
        <f t="shared" si="24"/>
        <v>964683.3990544402</v>
      </c>
      <c r="T35" s="174">
        <f t="shared" si="16"/>
        <v>1205816</v>
      </c>
      <c r="U35" s="174">
        <f t="shared" si="17"/>
        <v>2170499.3990544402</v>
      </c>
      <c r="V35" s="174">
        <f t="shared" ref="V35:AD35" si="31">$B$30*V6</f>
        <v>0</v>
      </c>
      <c r="W35" s="174">
        <f t="shared" si="31"/>
        <v>0</v>
      </c>
      <c r="X35" s="174">
        <f t="shared" si="31"/>
        <v>0</v>
      </c>
      <c r="Y35" s="174">
        <f t="shared" si="31"/>
        <v>0</v>
      </c>
      <c r="Z35" s="174">
        <f t="shared" si="31"/>
        <v>0</v>
      </c>
      <c r="AA35" s="174">
        <f t="shared" si="31"/>
        <v>0</v>
      </c>
      <c r="AB35" s="174">
        <f t="shared" si="31"/>
        <v>0</v>
      </c>
      <c r="AC35" s="174">
        <f t="shared" si="31"/>
        <v>0</v>
      </c>
      <c r="AD35" s="174">
        <f t="shared" si="31"/>
        <v>0</v>
      </c>
      <c r="AE35" s="174"/>
      <c r="AF35" s="174">
        <f t="shared" si="20"/>
        <v>0</v>
      </c>
      <c r="AG35" s="174">
        <f t="shared" si="26"/>
        <v>0</v>
      </c>
      <c r="AH35" s="174">
        <f t="shared" si="21"/>
        <v>2170499.3990544402</v>
      </c>
      <c r="AI35" s="191">
        <f>AH35/'Collections and ACP'!E42</f>
        <v>6.3245719087073188E-2</v>
      </c>
      <c r="AJ35" s="172"/>
      <c r="AK35" s="172"/>
      <c r="AL35" s="172">
        <f t="shared" si="27"/>
        <v>964683.3990544402</v>
      </c>
      <c r="AM35" s="172">
        <f t="shared" si="28"/>
        <v>1205816</v>
      </c>
      <c r="AN35" s="105">
        <f t="shared" si="29"/>
        <v>0.44445227650129571</v>
      </c>
      <c r="AO35" s="105">
        <f t="shared" si="30"/>
        <v>0.55554772349870429</v>
      </c>
    </row>
    <row r="36" spans="1:41" x14ac:dyDescent="0.25">
      <c r="A36" s="177" t="s">
        <v>20</v>
      </c>
      <c r="B36" s="178">
        <f>'ABP Under Contract'!B35</f>
        <v>99315</v>
      </c>
      <c r="C36" s="178">
        <f>'ABP Under Contract'!C35</f>
        <v>233600</v>
      </c>
      <c r="D36" s="178">
        <f>'ABP Under Contract'!D35</f>
        <v>169313</v>
      </c>
      <c r="E36" s="178" t="str">
        <f>'ABP Under Contract'!E35</f>
        <v xml:space="preserve"> -   </v>
      </c>
      <c r="F36" s="178" t="str">
        <f>'ABP Under Contract'!F35</f>
        <v xml:space="preserve"> -   </v>
      </c>
      <c r="G36" s="178" t="str">
        <f>'ABP Under Contract'!G35</f>
        <v xml:space="preserve"> -   </v>
      </c>
      <c r="H36" s="174">
        <f t="shared" si="22"/>
        <v>502228</v>
      </c>
      <c r="I36" s="178">
        <v>600000</v>
      </c>
      <c r="J36" s="178"/>
      <c r="K36" s="30"/>
      <c r="L36" s="178">
        <v>605816</v>
      </c>
      <c r="M36" s="178">
        <v>585317.28229999996</v>
      </c>
      <c r="N36" s="178"/>
      <c r="O36" s="178"/>
      <c r="P36" s="178"/>
      <c r="Q36" s="178">
        <f t="shared" si="18"/>
        <v>18689.201170668006</v>
      </c>
      <c r="R36" s="174">
        <f t="shared" si="23"/>
        <v>1809822.4834706681</v>
      </c>
      <c r="S36" s="174">
        <f t="shared" si="24"/>
        <v>1106234.4834706681</v>
      </c>
      <c r="T36" s="174">
        <f t="shared" si="16"/>
        <v>1205816</v>
      </c>
      <c r="U36" s="174">
        <f t="shared" si="17"/>
        <v>2312050.4834706681</v>
      </c>
      <c r="V36" s="174">
        <f t="shared" ref="V36:AD36" si="32">$B$30*V7</f>
        <v>0</v>
      </c>
      <c r="W36" s="174">
        <f t="shared" si="32"/>
        <v>0</v>
      </c>
      <c r="X36" s="174">
        <f t="shared" si="32"/>
        <v>0</v>
      </c>
      <c r="Y36" s="174">
        <f t="shared" si="32"/>
        <v>0</v>
      </c>
      <c r="Z36" s="174">
        <f t="shared" si="32"/>
        <v>0</v>
      </c>
      <c r="AA36" s="174">
        <f t="shared" si="32"/>
        <v>0</v>
      </c>
      <c r="AB36" s="174">
        <f t="shared" si="32"/>
        <v>0</v>
      </c>
      <c r="AC36" s="174">
        <f t="shared" si="32"/>
        <v>0</v>
      </c>
      <c r="AD36" s="174">
        <f t="shared" si="32"/>
        <v>0</v>
      </c>
      <c r="AE36" s="174"/>
      <c r="AF36" s="174">
        <f t="shared" si="20"/>
        <v>13611.872191257246</v>
      </c>
      <c r="AG36" s="174">
        <f>SUM(V36:AF36)</f>
        <v>13611.872191257246</v>
      </c>
      <c r="AH36" s="174">
        <f t="shared" si="21"/>
        <v>2325662.3556619254</v>
      </c>
      <c r="AI36" s="191">
        <f>AH36/'Collections and ACP'!E43</f>
        <v>6.8475818892349147E-2</v>
      </c>
      <c r="AJ36" s="172"/>
      <c r="AK36" s="172"/>
      <c r="AL36" s="172">
        <f t="shared" si="27"/>
        <v>1119846.3556619254</v>
      </c>
      <c r="AM36" s="172">
        <f t="shared" si="28"/>
        <v>1205816</v>
      </c>
      <c r="AN36" s="105">
        <f t="shared" si="29"/>
        <v>0.48151716990886967</v>
      </c>
      <c r="AO36" s="105">
        <f t="shared" si="30"/>
        <v>0.51848283009113039</v>
      </c>
    </row>
    <row r="37" spans="1:41" x14ac:dyDescent="0.25">
      <c r="A37" s="177" t="s">
        <v>22</v>
      </c>
      <c r="B37" s="178">
        <f>'ABP Under Contract'!B36</f>
        <v>102981</v>
      </c>
      <c r="C37" s="178">
        <f>'ABP Under Contract'!C36</f>
        <v>253681</v>
      </c>
      <c r="D37" s="178">
        <f>'ABP Under Contract'!D36</f>
        <v>271269</v>
      </c>
      <c r="E37" s="178">
        <f>'ABP Under Contract'!E36</f>
        <v>715</v>
      </c>
      <c r="F37" s="178" t="str">
        <f>'ABP Under Contract'!F36</f>
        <v xml:space="preserve"> -   </v>
      </c>
      <c r="G37" s="178" t="str">
        <f>'ABP Under Contract'!G36</f>
        <v xml:space="preserve"> -   </v>
      </c>
      <c r="H37" s="174">
        <f t="shared" si="22"/>
        <v>628646</v>
      </c>
      <c r="I37" s="178">
        <v>600000</v>
      </c>
      <c r="J37" s="178"/>
      <c r="K37" s="30"/>
      <c r="L37" s="178">
        <v>605816</v>
      </c>
      <c r="M37" s="178">
        <v>585317.28229999996</v>
      </c>
      <c r="N37" s="178">
        <f t="shared" ref="N37:P56" si="33">N8*$B$30</f>
        <v>0</v>
      </c>
      <c r="O37" s="178">
        <f t="shared" si="33"/>
        <v>0</v>
      </c>
      <c r="P37" s="178">
        <f t="shared" si="33"/>
        <v>0</v>
      </c>
      <c r="Q37" s="178">
        <f t="shared" si="18"/>
        <v>18595.755164814665</v>
      </c>
      <c r="R37" s="174">
        <f t="shared" si="23"/>
        <v>1809729.0374648147</v>
      </c>
      <c r="S37" s="174">
        <f>H37+J37+K37+M37+O37+P37+Q37</f>
        <v>1232559.0374648147</v>
      </c>
      <c r="T37" s="174">
        <f t="shared" si="16"/>
        <v>1205816</v>
      </c>
      <c r="U37" s="174">
        <f t="shared" si="17"/>
        <v>2438375.0374648147</v>
      </c>
      <c r="V37" s="174">
        <f t="shared" ref="V37:AD37" si="34">$B$30*V8</f>
        <v>0</v>
      </c>
      <c r="W37" s="174">
        <f t="shared" si="34"/>
        <v>0</v>
      </c>
      <c r="X37" s="174">
        <f t="shared" si="34"/>
        <v>0</v>
      </c>
      <c r="Y37" s="174">
        <f t="shared" si="34"/>
        <v>0</v>
      </c>
      <c r="Z37" s="174">
        <f t="shared" si="34"/>
        <v>0</v>
      </c>
      <c r="AA37" s="174">
        <f t="shared" si="34"/>
        <v>0</v>
      </c>
      <c r="AB37" s="174">
        <f t="shared" si="34"/>
        <v>0</v>
      </c>
      <c r="AC37" s="174">
        <f t="shared" si="34"/>
        <v>0</v>
      </c>
      <c r="AD37" s="174">
        <f t="shared" si="34"/>
        <v>0</v>
      </c>
      <c r="AE37" s="174">
        <f t="shared" ref="AE37:AE56" si="35">AE8*$C$30</f>
        <v>108781.82339999999</v>
      </c>
      <c r="AF37" s="174">
        <f t="shared" si="20"/>
        <v>27087.625660601916</v>
      </c>
      <c r="AG37" s="174">
        <f>SUM(V37:AF37)</f>
        <v>135869.44906060191</v>
      </c>
      <c r="AH37" s="174">
        <f t="shared" si="21"/>
        <v>2574244.4865254168</v>
      </c>
      <c r="AI37" s="191">
        <f>AH37/'Collections and ACP'!E44</f>
        <v>7.4308790225193988E-2</v>
      </c>
      <c r="AJ37" s="172"/>
      <c r="AK37" s="172"/>
      <c r="AL37" s="172">
        <f t="shared" si="27"/>
        <v>1368428.4865254168</v>
      </c>
      <c r="AM37" s="172">
        <f t="shared" si="28"/>
        <v>1205816</v>
      </c>
      <c r="AN37" s="105">
        <f t="shared" si="29"/>
        <v>0.53158450710035376</v>
      </c>
      <c r="AO37" s="105">
        <f t="shared" si="30"/>
        <v>0.46841549289964624</v>
      </c>
    </row>
    <row r="38" spans="1:41" x14ac:dyDescent="0.25">
      <c r="A38" s="177" t="s">
        <v>23</v>
      </c>
      <c r="B38" s="178">
        <f>'ABP Under Contract'!B37</f>
        <v>104076</v>
      </c>
      <c r="C38" s="178">
        <f>'ABP Under Contract'!C37</f>
        <v>267055</v>
      </c>
      <c r="D38" s="178">
        <f>'ABP Under Contract'!D37</f>
        <v>535277</v>
      </c>
      <c r="E38" s="178">
        <f>'ABP Under Contract'!E37</f>
        <v>6019</v>
      </c>
      <c r="F38" s="178">
        <f>'ABP Under Contract'!F37</f>
        <v>36435</v>
      </c>
      <c r="G38" s="178">
        <f>'ABP Under Contract'!G37</f>
        <v>269651</v>
      </c>
      <c r="H38" s="174">
        <f t="shared" si="22"/>
        <v>1218513</v>
      </c>
      <c r="I38" s="178">
        <v>600000</v>
      </c>
      <c r="J38" s="178"/>
      <c r="K38" s="30"/>
      <c r="L38" s="178">
        <v>605816</v>
      </c>
      <c r="M38" s="178">
        <v>585317.28229999996</v>
      </c>
      <c r="N38" s="178">
        <f t="shared" si="33"/>
        <v>0</v>
      </c>
      <c r="O38" s="178">
        <f t="shared" si="33"/>
        <v>547811.53402295941</v>
      </c>
      <c r="P38" s="178">
        <f t="shared" si="33"/>
        <v>0</v>
      </c>
      <c r="Q38" s="178">
        <f t="shared" si="18"/>
        <v>18502.776388990595</v>
      </c>
      <c r="R38" s="174">
        <f t="shared" si="23"/>
        <v>2357447.5927119502</v>
      </c>
      <c r="S38" s="174">
        <f t="shared" si="24"/>
        <v>2370144.5927119502</v>
      </c>
      <c r="T38" s="174">
        <f t="shared" si="16"/>
        <v>1205816</v>
      </c>
      <c r="U38" s="174">
        <f t="shared" si="17"/>
        <v>3575960.5927119502</v>
      </c>
      <c r="V38" s="174">
        <f t="shared" ref="V38:AD38" si="36">$B$30*V9</f>
        <v>42256.713429278054</v>
      </c>
      <c r="W38" s="174">
        <f t="shared" si="36"/>
        <v>44989.363283236969</v>
      </c>
      <c r="X38" s="174">
        <f t="shared" si="36"/>
        <v>0</v>
      </c>
      <c r="Y38" s="174">
        <f t="shared" si="36"/>
        <v>37192.883498399679</v>
      </c>
      <c r="Z38" s="174">
        <f t="shared" si="36"/>
        <v>0</v>
      </c>
      <c r="AA38" s="174">
        <f t="shared" si="36"/>
        <v>49988.181425818853</v>
      </c>
      <c r="AB38" s="174">
        <f t="shared" si="36"/>
        <v>0</v>
      </c>
      <c r="AC38" s="174">
        <f t="shared" si="36"/>
        <v>0</v>
      </c>
      <c r="AD38" s="174">
        <f t="shared" si="36"/>
        <v>0</v>
      </c>
      <c r="AE38" s="174">
        <f t="shared" si="35"/>
        <v>108781.82339999999</v>
      </c>
      <c r="AF38" s="174">
        <f t="shared" si="20"/>
        <v>40631.438490902874</v>
      </c>
      <c r="AG38" s="174">
        <f t="shared" ref="AG38:AG56" si="37">SUM(V38:AF38)</f>
        <v>323840.40352763643</v>
      </c>
      <c r="AH38" s="174">
        <f t="shared" si="21"/>
        <v>3899800.9962395867</v>
      </c>
      <c r="AI38" s="191">
        <f>AH38/'Collections and ACP'!E45</f>
        <v>0.11758961491687654</v>
      </c>
      <c r="AJ38" s="172"/>
      <c r="AK38" s="172"/>
      <c r="AL38" s="172">
        <f t="shared" si="27"/>
        <v>2693984.9962395867</v>
      </c>
      <c r="AM38" s="172">
        <f t="shared" si="28"/>
        <v>1205816</v>
      </c>
      <c r="AN38" s="105">
        <f t="shared" si="29"/>
        <v>0.69080063286236471</v>
      </c>
      <c r="AO38" s="105">
        <f t="shared" si="30"/>
        <v>0.30919936713763529</v>
      </c>
    </row>
    <row r="39" spans="1:41" x14ac:dyDescent="0.25">
      <c r="A39" s="177" t="s">
        <v>24</v>
      </c>
      <c r="B39" s="178">
        <f>'ABP Under Contract'!B38</f>
        <v>103553</v>
      </c>
      <c r="C39" s="178">
        <f>'ABP Under Contract'!C38</f>
        <v>265692</v>
      </c>
      <c r="D39" s="178">
        <f>'ABP Under Contract'!D38</f>
        <v>602460</v>
      </c>
      <c r="E39" s="178">
        <f>'ABP Under Contract'!E38</f>
        <v>5989</v>
      </c>
      <c r="F39" s="178">
        <f>'ABP Under Contract'!F38</f>
        <v>43378</v>
      </c>
      <c r="G39" s="178">
        <f>'ABP Under Contract'!G38</f>
        <v>268308</v>
      </c>
      <c r="H39" s="174">
        <f t="shared" si="22"/>
        <v>1289380</v>
      </c>
      <c r="I39" s="178">
        <v>600000</v>
      </c>
      <c r="J39" s="178"/>
      <c r="K39" s="30"/>
      <c r="L39" s="178">
        <v>605816</v>
      </c>
      <c r="M39" s="178">
        <v>585317.28229999996</v>
      </c>
      <c r="N39" s="178">
        <f t="shared" si="33"/>
        <v>0</v>
      </c>
      <c r="O39" s="178">
        <f t="shared" si="33"/>
        <v>1196996.5869378997</v>
      </c>
      <c r="P39" s="178">
        <f t="shared" si="33"/>
        <v>0</v>
      </c>
      <c r="Q39" s="178">
        <f t="shared" si="18"/>
        <v>18410.262507045642</v>
      </c>
      <c r="R39" s="174">
        <f t="shared" si="23"/>
        <v>3006540.1317449454</v>
      </c>
      <c r="S39" s="174">
        <f t="shared" si="24"/>
        <v>3090104.1317449454</v>
      </c>
      <c r="T39" s="174">
        <f t="shared" si="16"/>
        <v>1205816</v>
      </c>
      <c r="U39" s="174">
        <f t="shared" si="17"/>
        <v>4295920.1317449454</v>
      </c>
      <c r="V39" s="174">
        <f t="shared" ref="V39:AD39" si="38">$B$30*V10</f>
        <v>84302.143291409709</v>
      </c>
      <c r="W39" s="174">
        <f t="shared" si="38"/>
        <v>89753.779750057744</v>
      </c>
      <c r="X39" s="174">
        <f t="shared" si="38"/>
        <v>77246.758035137798</v>
      </c>
      <c r="Y39" s="174">
        <f t="shared" si="38"/>
        <v>74199.802579307361</v>
      </c>
      <c r="Z39" s="174">
        <f t="shared" si="38"/>
        <v>11443.964153353747</v>
      </c>
      <c r="AA39" s="174">
        <f t="shared" si="38"/>
        <v>99726.421944508606</v>
      </c>
      <c r="AB39" s="174">
        <f t="shared" si="38"/>
        <v>0</v>
      </c>
      <c r="AC39" s="174">
        <f t="shared" si="38"/>
        <v>0</v>
      </c>
      <c r="AD39" s="174">
        <f t="shared" si="38"/>
        <v>0</v>
      </c>
      <c r="AE39" s="174">
        <f t="shared" si="35"/>
        <v>108781.82339999999</v>
      </c>
      <c r="AF39" s="174">
        <f t="shared" si="20"/>
        <v>54175.251321203832</v>
      </c>
      <c r="AG39" s="174">
        <f t="shared" si="37"/>
        <v>599629.94447497884</v>
      </c>
      <c r="AH39" s="174">
        <f t="shared" si="21"/>
        <v>4895550.0762199238</v>
      </c>
      <c r="AI39" s="191">
        <f>AH39/'Collections and ACP'!E46</f>
        <v>0.14863733099311197</v>
      </c>
      <c r="AJ39" s="172"/>
      <c r="AK39" s="172"/>
      <c r="AL39" s="172">
        <f t="shared" si="27"/>
        <v>3689734.0762199247</v>
      </c>
      <c r="AM39" s="172">
        <f t="shared" si="28"/>
        <v>1205816</v>
      </c>
      <c r="AN39" s="105">
        <f t="shared" si="29"/>
        <v>0.75369141746558033</v>
      </c>
      <c r="AO39" s="105">
        <f t="shared" si="30"/>
        <v>0.24630858253441967</v>
      </c>
    </row>
    <row r="40" spans="1:41" x14ac:dyDescent="0.25">
      <c r="A40" s="177" t="s">
        <v>25</v>
      </c>
      <c r="B40" s="178">
        <f>'ABP Under Contract'!B39</f>
        <v>103053</v>
      </c>
      <c r="C40" s="178">
        <f>'ABP Under Contract'!C39</f>
        <v>264346</v>
      </c>
      <c r="D40" s="178">
        <f>'ABP Under Contract'!D39</f>
        <v>599442</v>
      </c>
      <c r="E40" s="178">
        <f>'ABP Under Contract'!E39</f>
        <v>5960</v>
      </c>
      <c r="F40" s="178">
        <f>'ABP Under Contract'!F39</f>
        <v>43159</v>
      </c>
      <c r="G40" s="178">
        <f>'ABP Under Contract'!G39</f>
        <v>266964</v>
      </c>
      <c r="H40" s="174">
        <f t="shared" si="22"/>
        <v>1282924</v>
      </c>
      <c r="I40" s="178">
        <v>600000</v>
      </c>
      <c r="J40" s="178"/>
      <c r="K40" s="30"/>
      <c r="L40" s="178">
        <v>605816</v>
      </c>
      <c r="M40" s="178">
        <v>585317.28229999996</v>
      </c>
      <c r="N40" s="178">
        <f t="shared" si="33"/>
        <v>343766.38411869202</v>
      </c>
      <c r="O40" s="178">
        <f t="shared" si="33"/>
        <v>1439564.1006012657</v>
      </c>
      <c r="P40" s="178">
        <f t="shared" si="33"/>
        <v>21431.458343681621</v>
      </c>
      <c r="Q40" s="178">
        <f t="shared" si="18"/>
        <v>18318.211194510412</v>
      </c>
      <c r="R40" s="174">
        <f t="shared" si="23"/>
        <v>3614213.4365581498</v>
      </c>
      <c r="S40" s="174">
        <f t="shared" si="24"/>
        <v>3347555.0524394577</v>
      </c>
      <c r="T40" s="174">
        <f t="shared" si="16"/>
        <v>1549582.384118692</v>
      </c>
      <c r="U40" s="174">
        <f t="shared" si="17"/>
        <v>4897137.4365581498</v>
      </c>
      <c r="V40" s="174">
        <f t="shared" ref="V40:AD40" si="39">$B$30*V11</f>
        <v>126137.34600423071</v>
      </c>
      <c r="W40" s="174">
        <f t="shared" si="39"/>
        <v>134294.37413454443</v>
      </c>
      <c r="X40" s="174">
        <f t="shared" si="39"/>
        <v>154107.2822800999</v>
      </c>
      <c r="Y40" s="174">
        <f t="shared" si="39"/>
        <v>111021.6870648105</v>
      </c>
      <c r="Z40" s="174">
        <f t="shared" si="39"/>
        <v>22830.708485940726</v>
      </c>
      <c r="AA40" s="174">
        <f t="shared" si="39"/>
        <v>149215.97126060491</v>
      </c>
      <c r="AB40" s="174">
        <f t="shared" si="39"/>
        <v>0</v>
      </c>
      <c r="AC40" s="174">
        <f t="shared" si="39"/>
        <v>0</v>
      </c>
      <c r="AD40" s="174">
        <f t="shared" si="39"/>
        <v>0</v>
      </c>
      <c r="AE40" s="174">
        <f t="shared" si="35"/>
        <v>108781.82339999999</v>
      </c>
      <c r="AF40" s="174">
        <f t="shared" si="20"/>
        <v>67719.06415150479</v>
      </c>
      <c r="AG40" s="174">
        <f t="shared" si="37"/>
        <v>874108.25678173592</v>
      </c>
      <c r="AH40" s="174">
        <f t="shared" si="21"/>
        <v>5771245.6933398861</v>
      </c>
      <c r="AI40" s="191">
        <f>AH40/'Collections and ACP'!E47</f>
        <v>0.17522495797364948</v>
      </c>
      <c r="AJ40" s="172"/>
      <c r="AK40" s="172"/>
      <c r="AL40" s="172">
        <f t="shared" si="27"/>
        <v>4221663.3092211941</v>
      </c>
      <c r="AM40" s="172">
        <f t="shared" si="28"/>
        <v>1549582.384118692</v>
      </c>
      <c r="AN40" s="105">
        <f t="shared" si="29"/>
        <v>0.73149949483056387</v>
      </c>
      <c r="AO40" s="105">
        <f t="shared" si="30"/>
        <v>0.26850050516943613</v>
      </c>
    </row>
    <row r="41" spans="1:41" x14ac:dyDescent="0.25">
      <c r="A41" s="177" t="s">
        <v>26</v>
      </c>
      <c r="B41" s="178">
        <f>'ABP Under Contract'!B40</f>
        <v>102511</v>
      </c>
      <c r="C41" s="178">
        <f>'ABP Under Contract'!C40</f>
        <v>263057</v>
      </c>
      <c r="D41" s="178">
        <f>'ABP Under Contract'!D40</f>
        <v>596448</v>
      </c>
      <c r="E41" s="178">
        <f>'ABP Under Contract'!E40</f>
        <v>5930</v>
      </c>
      <c r="F41" s="178">
        <f>'ABP Under Contract'!F40</f>
        <v>42945</v>
      </c>
      <c r="G41" s="178">
        <f>'ABP Under Contract'!G40</f>
        <v>265631</v>
      </c>
      <c r="H41" s="174">
        <f t="shared" si="22"/>
        <v>1276522</v>
      </c>
      <c r="I41" s="178">
        <v>600000</v>
      </c>
      <c r="J41" s="178"/>
      <c r="K41" s="30"/>
      <c r="L41" s="178">
        <v>605816</v>
      </c>
      <c r="M41" s="178">
        <v>585317.28229999996</v>
      </c>
      <c r="N41" s="178">
        <f t="shared" si="33"/>
        <v>343766.38411869202</v>
      </c>
      <c r="O41" s="178">
        <f t="shared" si="33"/>
        <v>1432366.2800982592</v>
      </c>
      <c r="P41" s="178">
        <f t="shared" si="33"/>
        <v>45941.516717002909</v>
      </c>
      <c r="Q41" s="178">
        <f t="shared" si="18"/>
        <v>18226.620138537863</v>
      </c>
      <c r="R41" s="174">
        <f t="shared" si="23"/>
        <v>3631434.0833724923</v>
      </c>
      <c r="S41" s="174">
        <f t="shared" si="24"/>
        <v>3358373.6992538003</v>
      </c>
      <c r="T41" s="174">
        <f t="shared" si="16"/>
        <v>1549582.384118692</v>
      </c>
      <c r="U41" s="174">
        <f t="shared" si="17"/>
        <v>4907956.0833724923</v>
      </c>
      <c r="V41" s="174">
        <f t="shared" ref="V41:AD41" si="40">$B$30*V12</f>
        <v>167763.37270348761</v>
      </c>
      <c r="W41" s="174">
        <f t="shared" si="40"/>
        <v>178612.26554710869</v>
      </c>
      <c r="X41" s="174">
        <f t="shared" si="40"/>
        <v>230583.50390383721</v>
      </c>
      <c r="Y41" s="174">
        <f t="shared" si="40"/>
        <v>147659.46212788613</v>
      </c>
      <c r="Z41" s="174">
        <f t="shared" si="40"/>
        <v>34160.519096864766</v>
      </c>
      <c r="AA41" s="174">
        <f t="shared" si="40"/>
        <v>198458.07283012074</v>
      </c>
      <c r="AB41" s="174">
        <f t="shared" si="40"/>
        <v>724035.75485410879</v>
      </c>
      <c r="AC41" s="174">
        <f t="shared" si="40"/>
        <v>434421.45291246526</v>
      </c>
      <c r="AD41" s="174">
        <f t="shared" si="40"/>
        <v>24617.215665039697</v>
      </c>
      <c r="AE41" s="174">
        <f t="shared" si="35"/>
        <v>108781.82339999999</v>
      </c>
      <c r="AF41" s="174">
        <f t="shared" si="20"/>
        <v>81262.876981805748</v>
      </c>
      <c r="AG41" s="174">
        <f t="shared" si="37"/>
        <v>2330356.3200227246</v>
      </c>
      <c r="AH41" s="174">
        <f t="shared" si="21"/>
        <v>7238312.4033952169</v>
      </c>
      <c r="AI41" s="191">
        <f>AH41/'Collections and ACP'!E48</f>
        <v>0.21976762974218028</v>
      </c>
      <c r="AJ41" s="172"/>
      <c r="AK41" s="172"/>
      <c r="AL41" s="172">
        <f t="shared" si="27"/>
        <v>4964694.2644224158</v>
      </c>
      <c r="AM41" s="172">
        <f t="shared" si="28"/>
        <v>2273618.1389728007</v>
      </c>
      <c r="AN41" s="105">
        <f t="shared" si="29"/>
        <v>0.68589112872410241</v>
      </c>
      <c r="AO41" s="105">
        <f t="shared" si="30"/>
        <v>0.31410887127589759</v>
      </c>
    </row>
    <row r="42" spans="1:41" x14ac:dyDescent="0.25">
      <c r="A42" s="177" t="s">
        <v>27</v>
      </c>
      <c r="B42" s="178">
        <f>'ABP Under Contract'!B41</f>
        <v>102005</v>
      </c>
      <c r="C42" s="178">
        <f>'ABP Under Contract'!C41</f>
        <v>261746</v>
      </c>
      <c r="D42" s="178">
        <f>'ABP Under Contract'!D41</f>
        <v>593458</v>
      </c>
      <c r="E42" s="178">
        <f>'ABP Under Contract'!E41</f>
        <v>5900</v>
      </c>
      <c r="F42" s="178">
        <f>'ABP Under Contract'!F41</f>
        <v>42730</v>
      </c>
      <c r="G42" s="178">
        <f>'ABP Under Contract'!G41</f>
        <v>264298</v>
      </c>
      <c r="H42" s="174">
        <f t="shared" si="22"/>
        <v>1270137</v>
      </c>
      <c r="I42" s="178">
        <v>600000</v>
      </c>
      <c r="J42" s="178"/>
      <c r="K42" s="30"/>
      <c r="L42" s="178">
        <v>605816</v>
      </c>
      <c r="M42" s="178">
        <v>585317.28229999996</v>
      </c>
      <c r="N42" s="178">
        <f t="shared" si="33"/>
        <v>343766.38411869202</v>
      </c>
      <c r="O42" s="178">
        <f t="shared" si="33"/>
        <v>1425204.4486977679</v>
      </c>
      <c r="P42" s="178">
        <f t="shared" si="33"/>
        <v>70329.024798457598</v>
      </c>
      <c r="Q42" s="178">
        <f t="shared" si="18"/>
        <v>18135.487037845171</v>
      </c>
      <c r="R42" s="174">
        <f t="shared" si="23"/>
        <v>3648568.6269527627</v>
      </c>
      <c r="S42" s="174">
        <f t="shared" si="24"/>
        <v>3369123.2428340707</v>
      </c>
      <c r="T42" s="174">
        <f t="shared" si="16"/>
        <v>1549582.384118692</v>
      </c>
      <c r="U42" s="174">
        <f t="shared" si="17"/>
        <v>4918705.6269527627</v>
      </c>
      <c r="V42" s="174">
        <f t="shared" ref="V42:AD42" si="41">$B$30*V13</f>
        <v>209181.26926924824</v>
      </c>
      <c r="W42" s="174">
        <f t="shared" si="41"/>
        <v>222708.56750261009</v>
      </c>
      <c r="X42" s="174">
        <f t="shared" si="41"/>
        <v>306677.3444194558</v>
      </c>
      <c r="Y42" s="174">
        <f t="shared" si="41"/>
        <v>184114.04831564639</v>
      </c>
      <c r="Z42" s="174">
        <f t="shared" si="41"/>
        <v>45433.680654734198</v>
      </c>
      <c r="AA42" s="174">
        <f t="shared" si="41"/>
        <v>247453.96389178903</v>
      </c>
      <c r="AB42" s="174">
        <f t="shared" si="41"/>
        <v>1448071.5097082176</v>
      </c>
      <c r="AC42" s="174">
        <f t="shared" si="41"/>
        <v>866670.79856036813</v>
      </c>
      <c r="AD42" s="174">
        <f t="shared" si="41"/>
        <v>49111.345251754195</v>
      </c>
      <c r="AE42" s="174">
        <f t="shared" si="35"/>
        <v>108781.82339999999</v>
      </c>
      <c r="AF42" s="174">
        <f t="shared" si="20"/>
        <v>91446.194899325259</v>
      </c>
      <c r="AG42" s="174">
        <f t="shared" si="37"/>
        <v>3779650.5458731488</v>
      </c>
      <c r="AH42" s="174">
        <f t="shared" si="21"/>
        <v>8698356.172825912</v>
      </c>
      <c r="AI42" s="191">
        <f>AH42/'Collections and ACP'!E49</f>
        <v>0.26409707293906609</v>
      </c>
      <c r="AJ42" s="172"/>
      <c r="AK42" s="172"/>
      <c r="AL42" s="172">
        <f t="shared" si="27"/>
        <v>5700702.2789990017</v>
      </c>
      <c r="AM42" s="172">
        <f t="shared" si="28"/>
        <v>2997653.8938269094</v>
      </c>
      <c r="AN42" s="105">
        <f t="shared" si="29"/>
        <v>0.65537696614542806</v>
      </c>
      <c r="AO42" s="105">
        <f t="shared" si="30"/>
        <v>0.34462303385457194</v>
      </c>
    </row>
    <row r="43" spans="1:41" x14ac:dyDescent="0.25">
      <c r="A43" s="177" t="s">
        <v>28</v>
      </c>
      <c r="B43" s="178">
        <f>'ABP Under Contract'!B42</f>
        <v>101511</v>
      </c>
      <c r="C43" s="178">
        <f>'ABP Under Contract'!C42</f>
        <v>260420</v>
      </c>
      <c r="D43" s="178">
        <f>'ABP Under Contract'!D42</f>
        <v>590501</v>
      </c>
      <c r="E43" s="178">
        <f>'ABP Under Contract'!E42</f>
        <v>5870</v>
      </c>
      <c r="F43" s="178">
        <f>'ABP Under Contract'!F42</f>
        <v>42515</v>
      </c>
      <c r="G43" s="178">
        <f>'ABP Under Contract'!G42</f>
        <v>262978</v>
      </c>
      <c r="H43" s="174">
        <f t="shared" si="22"/>
        <v>1263795</v>
      </c>
      <c r="I43" s="178">
        <v>600000</v>
      </c>
      <c r="J43" s="178"/>
      <c r="K43" s="30"/>
      <c r="L43" s="178">
        <v>605816</v>
      </c>
      <c r="M43" s="178">
        <v>585317.28229999996</v>
      </c>
      <c r="N43" s="178">
        <f t="shared" si="33"/>
        <v>343766.38411869202</v>
      </c>
      <c r="O43" s="178">
        <f t="shared" si="33"/>
        <v>1418078.4264542791</v>
      </c>
      <c r="P43" s="178">
        <f t="shared" si="33"/>
        <v>69977.379674465294</v>
      </c>
      <c r="Q43" s="178">
        <f t="shared" si="18"/>
        <v>18044.809602655947</v>
      </c>
      <c r="R43" s="174">
        <f t="shared" si="23"/>
        <v>3641000.2821500925</v>
      </c>
      <c r="S43" s="174">
        <f t="shared" si="24"/>
        <v>3355212.8980314005</v>
      </c>
      <c r="T43" s="174">
        <f t="shared" si="16"/>
        <v>1549582.384118692</v>
      </c>
      <c r="U43" s="174">
        <f t="shared" si="17"/>
        <v>4904795.2821500925</v>
      </c>
      <c r="V43" s="174">
        <f t="shared" ref="V43:AD43" si="42">$B$30*V14</f>
        <v>250392.07635218004</v>
      </c>
      <c r="W43" s="174">
        <f t="shared" si="42"/>
        <v>266584.38794833404</v>
      </c>
      <c r="X43" s="174">
        <f t="shared" si="42"/>
        <v>382390.71573249635</v>
      </c>
      <c r="Y43" s="174">
        <f t="shared" si="42"/>
        <v>220386.36157246778</v>
      </c>
      <c r="Z43" s="174">
        <f t="shared" si="42"/>
        <v>56650.476404814268</v>
      </c>
      <c r="AA43" s="174">
        <f t="shared" si="42"/>
        <v>296204.8754981489</v>
      </c>
      <c r="AB43" s="174">
        <f t="shared" si="42"/>
        <v>2172107.2645623265</v>
      </c>
      <c r="AC43" s="174">
        <f t="shared" si="42"/>
        <v>1296758.8974800317</v>
      </c>
      <c r="AD43" s="174">
        <f t="shared" si="42"/>
        <v>73483.004190535125</v>
      </c>
      <c r="AE43" s="174">
        <f t="shared" si="35"/>
        <v>108781.82339999999</v>
      </c>
      <c r="AF43" s="174">
        <f t="shared" si="20"/>
        <v>101629.51281684477</v>
      </c>
      <c r="AG43" s="174">
        <f t="shared" si="37"/>
        <v>5225369.3959581796</v>
      </c>
      <c r="AH43" s="174">
        <f t="shared" si="21"/>
        <v>10130164.678108271</v>
      </c>
      <c r="AI43" s="191">
        <f>AH43/'Collections and ACP'!E50</f>
        <v>0.30756924489215848</v>
      </c>
      <c r="AJ43" s="172"/>
      <c r="AK43" s="172"/>
      <c r="AL43" s="172">
        <f t="shared" si="27"/>
        <v>6408475.0294272536</v>
      </c>
      <c r="AM43" s="172">
        <f t="shared" si="28"/>
        <v>3721689.6486810185</v>
      </c>
      <c r="AN43" s="105">
        <f t="shared" si="29"/>
        <v>0.63261311469854464</v>
      </c>
      <c r="AO43" s="105">
        <f t="shared" si="30"/>
        <v>0.36738688530145536</v>
      </c>
    </row>
    <row r="44" spans="1:41" x14ac:dyDescent="0.25">
      <c r="A44" s="177" t="s">
        <v>29</v>
      </c>
      <c r="B44" s="178">
        <f>'ABP Under Contract'!B43</f>
        <v>101046</v>
      </c>
      <c r="C44" s="178">
        <f>'ABP Under Contract'!C43</f>
        <v>259136</v>
      </c>
      <c r="D44" s="178">
        <f>'ABP Under Contract'!D43</f>
        <v>587546</v>
      </c>
      <c r="E44" s="178">
        <f>'ABP Under Contract'!E43</f>
        <v>5841</v>
      </c>
      <c r="F44" s="178">
        <f>'ABP Under Contract'!F43</f>
        <v>42303</v>
      </c>
      <c r="G44" s="178">
        <f>'ABP Under Contract'!G43</f>
        <v>261661</v>
      </c>
      <c r="H44" s="174">
        <f t="shared" si="22"/>
        <v>1257533</v>
      </c>
      <c r="I44" s="178">
        <v>600000</v>
      </c>
      <c r="J44" s="178"/>
      <c r="K44" s="30"/>
      <c r="L44" s="178">
        <v>605816</v>
      </c>
      <c r="M44" s="178">
        <v>585317.28229999996</v>
      </c>
      <c r="N44" s="178">
        <f t="shared" si="33"/>
        <v>343766.38411869202</v>
      </c>
      <c r="O44" s="178">
        <f t="shared" si="33"/>
        <v>1410988.0343220076</v>
      </c>
      <c r="P44" s="178">
        <f t="shared" si="33"/>
        <v>69627.492776092971</v>
      </c>
      <c r="Q44" s="178">
        <f t="shared" si="18"/>
        <v>17954.585554642668</v>
      </c>
      <c r="R44" s="174">
        <f t="shared" si="23"/>
        <v>3633469.7790714353</v>
      </c>
      <c r="S44" s="174">
        <f t="shared" si="24"/>
        <v>3341420.3949527433</v>
      </c>
      <c r="T44" s="174">
        <f t="shared" si="16"/>
        <v>1549582.384118692</v>
      </c>
      <c r="U44" s="174">
        <f t="shared" si="17"/>
        <v>4891002.7790714353</v>
      </c>
      <c r="V44" s="174">
        <f t="shared" ref="V44:AD44" si="43">$B$30*V15</f>
        <v>291396.82939969713</v>
      </c>
      <c r="W44" s="174">
        <f t="shared" si="43"/>
        <v>310240.82929182926</v>
      </c>
      <c r="X44" s="174">
        <f t="shared" si="43"/>
        <v>457725.52018897166</v>
      </c>
      <c r="Y44" s="174">
        <f t="shared" si="43"/>
        <v>256477.31326300511</v>
      </c>
      <c r="Z44" s="174">
        <f t="shared" si="43"/>
        <v>67811.188176143958</v>
      </c>
      <c r="AA44" s="174">
        <f t="shared" si="43"/>
        <v>344712.03254647698</v>
      </c>
      <c r="AB44" s="174">
        <f t="shared" si="43"/>
        <v>2896143.0194164352</v>
      </c>
      <c r="AC44" s="174">
        <f t="shared" si="43"/>
        <v>1579889.404934275</v>
      </c>
      <c r="AD44" s="174">
        <f t="shared" si="43"/>
        <v>97732.804834622148</v>
      </c>
      <c r="AE44" s="174">
        <f t="shared" si="35"/>
        <v>108781.82339999999</v>
      </c>
      <c r="AF44" s="174">
        <f t="shared" si="20"/>
        <v>111812.83073436427</v>
      </c>
      <c r="AG44" s="174">
        <f t="shared" si="37"/>
        <v>6522723.5961858211</v>
      </c>
      <c r="AH44" s="174">
        <f t="shared" si="21"/>
        <v>11413726.375257257</v>
      </c>
      <c r="AI44" s="191">
        <f>AH44/'Collections and ACP'!E51</f>
        <v>0.34654038845290991</v>
      </c>
      <c r="AJ44" s="172"/>
      <c r="AK44" s="172"/>
      <c r="AL44" s="172">
        <f t="shared" si="27"/>
        <v>6968000.9717221288</v>
      </c>
      <c r="AM44" s="172">
        <f t="shared" si="28"/>
        <v>4445725.4035351276</v>
      </c>
      <c r="AN44" s="105">
        <f t="shared" si="29"/>
        <v>0.61049308022903037</v>
      </c>
      <c r="AO44" s="105">
        <f t="shared" si="30"/>
        <v>0.38950691977096963</v>
      </c>
    </row>
    <row r="45" spans="1:41" x14ac:dyDescent="0.25">
      <c r="A45" s="177" t="s">
        <v>30</v>
      </c>
      <c r="B45" s="178">
        <f>'ABP Under Contract'!B44</f>
        <v>100410</v>
      </c>
      <c r="C45" s="178">
        <f>'ABP Under Contract'!C44</f>
        <v>257800</v>
      </c>
      <c r="D45" s="178">
        <f>'ABP Under Contract'!D44</f>
        <v>584606</v>
      </c>
      <c r="E45" s="178">
        <f>'ABP Under Contract'!E44</f>
        <v>5811</v>
      </c>
      <c r="F45" s="178">
        <f>'ABP Under Contract'!F44</f>
        <v>42092</v>
      </c>
      <c r="G45" s="178">
        <f>'ABP Under Contract'!G44</f>
        <v>260354</v>
      </c>
      <c r="H45" s="174">
        <f t="shared" si="22"/>
        <v>1251073</v>
      </c>
      <c r="I45" s="30"/>
      <c r="J45" s="30"/>
      <c r="K45" s="30"/>
      <c r="L45" s="178">
        <v>605816</v>
      </c>
      <c r="M45" s="178">
        <v>585317.28229999996</v>
      </c>
      <c r="N45" s="178">
        <f t="shared" si="33"/>
        <v>343766.38411869202</v>
      </c>
      <c r="O45" s="178">
        <f t="shared" si="33"/>
        <v>1403933.0941503977</v>
      </c>
      <c r="P45" s="178">
        <f t="shared" si="33"/>
        <v>69279.355312212516</v>
      </c>
      <c r="Q45" s="178">
        <f t="shared" si="18"/>
        <v>17864.812626869454</v>
      </c>
      <c r="R45" s="174">
        <f t="shared" si="23"/>
        <v>3025976.9285081718</v>
      </c>
      <c r="S45" s="174">
        <f t="shared" si="24"/>
        <v>3327467.5443894798</v>
      </c>
      <c r="T45" s="174">
        <f t="shared" si="16"/>
        <v>949582.38411869202</v>
      </c>
      <c r="U45" s="174">
        <f t="shared" si="17"/>
        <v>4277049.9285081718</v>
      </c>
      <c r="V45" s="174">
        <f t="shared" ref="V45:AD45" si="44">$B$30*V16</f>
        <v>332196.55868197675</v>
      </c>
      <c r="W45" s="174">
        <f t="shared" si="44"/>
        <v>353678.98842860706</v>
      </c>
      <c r="X45" s="174">
        <f t="shared" si="44"/>
        <v>532683.65062316461</v>
      </c>
      <c r="Y45" s="174">
        <f t="shared" si="44"/>
        <v>292387.81019508978</v>
      </c>
      <c r="Z45" s="174">
        <f t="shared" si="44"/>
        <v>78916.096388616992</v>
      </c>
      <c r="AA45" s="174">
        <f t="shared" si="44"/>
        <v>392976.65380956349</v>
      </c>
      <c r="AB45" s="174">
        <f t="shared" si="44"/>
        <v>3620178.7742705438</v>
      </c>
      <c r="AC45" s="174">
        <f t="shared" si="44"/>
        <v>1861604.2598512471</v>
      </c>
      <c r="AD45" s="174">
        <f t="shared" si="44"/>
        <v>121861.35647548873</v>
      </c>
      <c r="AE45" s="174">
        <f t="shared" si="35"/>
        <v>108781.82339999999</v>
      </c>
      <c r="AF45" s="174">
        <f t="shared" si="20"/>
        <v>121996.14865188378</v>
      </c>
      <c r="AG45" s="174">
        <f t="shared" si="37"/>
        <v>7817262.120776182</v>
      </c>
      <c r="AH45" s="174">
        <f t="shared" si="21"/>
        <v>12094312.049284354</v>
      </c>
      <c r="AI45" s="191">
        <f>AH45/'Collections and ACP'!E52</f>
        <v>0.36720414156023107</v>
      </c>
      <c r="AJ45" s="172"/>
      <c r="AK45" s="172"/>
      <c r="AL45" s="172">
        <f t="shared" si="27"/>
        <v>7524550.890895118</v>
      </c>
      <c r="AM45" s="172">
        <f t="shared" si="28"/>
        <v>4569761.1583892358</v>
      </c>
      <c r="AN45" s="105">
        <f t="shared" si="29"/>
        <v>0.62215617227607101</v>
      </c>
      <c r="AO45" s="105">
        <f t="shared" si="30"/>
        <v>0.37784382772392899</v>
      </c>
    </row>
    <row r="46" spans="1:41" x14ac:dyDescent="0.25">
      <c r="A46" s="177" t="s">
        <v>31</v>
      </c>
      <c r="B46" s="178">
        <f>'ABP Under Contract'!B45</f>
        <v>99873</v>
      </c>
      <c r="C46" s="178">
        <f>'ABP Under Contract'!C45</f>
        <v>256503</v>
      </c>
      <c r="D46" s="178">
        <f>'ABP Under Contract'!D45</f>
        <v>581681</v>
      </c>
      <c r="E46" s="178">
        <f>'ABP Under Contract'!E45</f>
        <v>5783</v>
      </c>
      <c r="F46" s="178">
        <f>'ABP Under Contract'!F45</f>
        <v>41882</v>
      </c>
      <c r="G46" s="178">
        <f>'ABP Under Contract'!G45</f>
        <v>259053</v>
      </c>
      <c r="H46" s="174">
        <f t="shared" si="22"/>
        <v>1244775</v>
      </c>
      <c r="I46" s="30"/>
      <c r="J46" s="30"/>
      <c r="K46" s="30"/>
      <c r="L46" s="178">
        <v>479697</v>
      </c>
      <c r="M46" s="178">
        <v>585317.28229999996</v>
      </c>
      <c r="N46" s="178">
        <f t="shared" si="33"/>
        <v>343766.38411869202</v>
      </c>
      <c r="O46" s="178">
        <f t="shared" si="33"/>
        <v>1396913.4286796453</v>
      </c>
      <c r="P46" s="178">
        <f t="shared" si="33"/>
        <v>68932.958535651444</v>
      </c>
      <c r="Q46" s="178">
        <f t="shared" si="18"/>
        <v>17775.488563735107</v>
      </c>
      <c r="R46" s="174">
        <f t="shared" si="23"/>
        <v>2892402.5421977239</v>
      </c>
      <c r="S46" s="174">
        <f t="shared" si="24"/>
        <v>3313714.1580790319</v>
      </c>
      <c r="T46" s="174">
        <f t="shared" si="16"/>
        <v>823463.38411869202</v>
      </c>
      <c r="U46" s="174">
        <f t="shared" si="17"/>
        <v>4137177.5421977239</v>
      </c>
      <c r="V46" s="174">
        <f t="shared" ref="V46:AD46" si="45">$B$30*V17</f>
        <v>372792.2893178449</v>
      </c>
      <c r="W46" s="174">
        <f t="shared" si="45"/>
        <v>396899.95676970104</v>
      </c>
      <c r="X46" s="174">
        <f t="shared" si="45"/>
        <v>607266.99040518666</v>
      </c>
      <c r="Y46" s="174">
        <f t="shared" si="45"/>
        <v>328118.75464251405</v>
      </c>
      <c r="Z46" s="174">
        <f t="shared" si="45"/>
        <v>89965.48006002765</v>
      </c>
      <c r="AA46" s="174">
        <f t="shared" si="45"/>
        <v>440999.95196633448</v>
      </c>
      <c r="AB46" s="174">
        <f t="shared" si="45"/>
        <v>3909793.0762121873</v>
      </c>
      <c r="AC46" s="174">
        <f t="shared" si="45"/>
        <v>2069506.9650082237</v>
      </c>
      <c r="AD46" s="174">
        <f t="shared" si="45"/>
        <v>145869.26535815099</v>
      </c>
      <c r="AE46" s="174">
        <f t="shared" si="35"/>
        <v>108781.82339999999</v>
      </c>
      <c r="AF46" s="174">
        <f t="shared" si="20"/>
        <v>132179.46656940327</v>
      </c>
      <c r="AG46" s="174">
        <f t="shared" si="37"/>
        <v>8602174.0197095722</v>
      </c>
      <c r="AH46" s="174">
        <f t="shared" si="21"/>
        <v>12739351.561907295</v>
      </c>
      <c r="AI46" s="191">
        <f>AH46/'Collections and ACP'!E53</f>
        <v>0.38678865199289786</v>
      </c>
      <c r="AJ46" s="172"/>
      <c r="AK46" s="172"/>
      <c r="AL46" s="172">
        <f t="shared" si="27"/>
        <v>8006095.1015764186</v>
      </c>
      <c r="AM46" s="172">
        <f t="shared" si="28"/>
        <v>4733256.4603308793</v>
      </c>
      <c r="AN46" s="105">
        <f t="shared" si="29"/>
        <v>0.62845389442865562</v>
      </c>
      <c r="AO46" s="105">
        <f t="shared" si="30"/>
        <v>0.37154610557134438</v>
      </c>
    </row>
    <row r="47" spans="1:41" x14ac:dyDescent="0.25">
      <c r="A47" s="177" t="s">
        <v>32</v>
      </c>
      <c r="B47" s="178">
        <f>'ABP Under Contract'!B46</f>
        <v>72002</v>
      </c>
      <c r="C47" s="178">
        <f>'ABP Under Contract'!C46</f>
        <v>143066</v>
      </c>
      <c r="D47" s="178">
        <f>'ABP Under Contract'!D46</f>
        <v>535457</v>
      </c>
      <c r="E47" s="178">
        <f>'ABP Under Contract'!E46</f>
        <v>5754</v>
      </c>
      <c r="F47" s="178">
        <f>'ABP Under Contract'!F46</f>
        <v>41671</v>
      </c>
      <c r="G47" s="178">
        <f>'ABP Under Contract'!G46</f>
        <v>257761</v>
      </c>
      <c r="H47" s="174">
        <f t="shared" si="22"/>
        <v>1055711</v>
      </c>
      <c r="I47" s="30"/>
      <c r="J47" s="30"/>
      <c r="K47" s="30"/>
      <c r="L47" s="178">
        <v>479697</v>
      </c>
      <c r="M47" s="178">
        <v>585317.28229999996</v>
      </c>
      <c r="N47" s="178">
        <f t="shared" si="33"/>
        <v>343766.38411869202</v>
      </c>
      <c r="O47" s="178">
        <f t="shared" si="33"/>
        <v>1389928.861536247</v>
      </c>
      <c r="P47" s="178">
        <f t="shared" si="33"/>
        <v>68588.293742973183</v>
      </c>
      <c r="Q47" s="178">
        <f t="shared" si="18"/>
        <v>17686.61112091643</v>
      </c>
      <c r="R47" s="174">
        <f t="shared" si="23"/>
        <v>2884984.4328188286</v>
      </c>
      <c r="S47" s="174">
        <f t="shared" si="24"/>
        <v>3117232.0487001366</v>
      </c>
      <c r="T47" s="174">
        <f t="shared" si="16"/>
        <v>823463.38411869202</v>
      </c>
      <c r="U47" s="174">
        <f t="shared" si="17"/>
        <v>3940695.4328188286</v>
      </c>
      <c r="V47" s="174">
        <f t="shared" ref="V47:AD47" si="46">$B$30*V18</f>
        <v>392056.68458589469</v>
      </c>
      <c r="W47" s="174">
        <f t="shared" si="46"/>
        <v>417410.13862747099</v>
      </c>
      <c r="X47" s="174">
        <f t="shared" si="46"/>
        <v>681477.41348829842</v>
      </c>
      <c r="Y47" s="174">
        <f t="shared" si="46"/>
        <v>345074.60261850123</v>
      </c>
      <c r="Z47" s="174">
        <f t="shared" si="46"/>
        <v>100959.61681308127</v>
      </c>
      <c r="AA47" s="174">
        <f t="shared" si="46"/>
        <v>463789.04291941231</v>
      </c>
      <c r="AB47" s="174">
        <f t="shared" si="46"/>
        <v>4199407.3781538308</v>
      </c>
      <c r="AC47" s="174">
        <f t="shared" si="46"/>
        <v>2276370.1566394153</v>
      </c>
      <c r="AD47" s="174">
        <f t="shared" si="46"/>
        <v>169757.13469639994</v>
      </c>
      <c r="AE47" s="174">
        <f t="shared" si="35"/>
        <v>108781.82339999999</v>
      </c>
      <c r="AF47" s="174">
        <f t="shared" si="20"/>
        <v>142362.78448692278</v>
      </c>
      <c r="AG47" s="174">
        <f t="shared" si="37"/>
        <v>9297446.7764292285</v>
      </c>
      <c r="AH47" s="174">
        <f t="shared" si="21"/>
        <v>13238142.209248057</v>
      </c>
      <c r="AI47" s="191">
        <f>AH47/'Collections and ACP'!E54</f>
        <v>0.4019327950188647</v>
      </c>
      <c r="AJ47" s="172"/>
      <c r="AK47" s="172"/>
      <c r="AL47" s="172">
        <f t="shared" si="27"/>
        <v>8215271.4469755329</v>
      </c>
      <c r="AM47" s="172">
        <f t="shared" si="28"/>
        <v>5022870.7622725228</v>
      </c>
      <c r="AN47" s="105">
        <f t="shared" si="29"/>
        <v>0.620575857028973</v>
      </c>
      <c r="AO47" s="105">
        <f t="shared" si="30"/>
        <v>0.379424142971027</v>
      </c>
    </row>
    <row r="48" spans="1:41" x14ac:dyDescent="0.25">
      <c r="A48" s="177" t="s">
        <v>33</v>
      </c>
      <c r="B48" s="178">
        <f>'ABP Under Contract'!B47</f>
        <v>65752</v>
      </c>
      <c r="C48" s="178">
        <f>'ABP Under Contract'!C47</f>
        <v>136717</v>
      </c>
      <c r="D48" s="178">
        <f>'ABP Under Contract'!D47</f>
        <v>532776</v>
      </c>
      <c r="E48" s="178">
        <f>'ABP Under Contract'!E47</f>
        <v>5725</v>
      </c>
      <c r="F48" s="178">
        <f>'ABP Under Contract'!F47</f>
        <v>41463</v>
      </c>
      <c r="G48" s="178">
        <f>'ABP Under Contract'!G47</f>
        <v>256467</v>
      </c>
      <c r="H48" s="174">
        <f t="shared" si="22"/>
        <v>1038900</v>
      </c>
      <c r="I48" s="30"/>
      <c r="J48" s="30"/>
      <c r="K48" s="30"/>
      <c r="L48" s="178">
        <v>391707</v>
      </c>
      <c r="M48" s="178">
        <v>585317.28229999996</v>
      </c>
      <c r="N48" s="178">
        <f t="shared" si="33"/>
        <v>343766.38411869202</v>
      </c>
      <c r="O48" s="178">
        <f t="shared" si="33"/>
        <v>1382979.2172285661</v>
      </c>
      <c r="P48" s="178">
        <f t="shared" si="33"/>
        <v>68245.35227425833</v>
      </c>
      <c r="Q48" s="178">
        <f t="shared" si="18"/>
        <v>17598.178065311848</v>
      </c>
      <c r="R48" s="174">
        <f t="shared" si="23"/>
        <v>2789613.4139868282</v>
      </c>
      <c r="S48" s="174">
        <f t="shared" si="24"/>
        <v>3093040.0298681362</v>
      </c>
      <c r="T48" s="174">
        <f t="shared" si="16"/>
        <v>735473.38411869202</v>
      </c>
      <c r="U48" s="174">
        <f t="shared" si="17"/>
        <v>3828513.4139868282</v>
      </c>
      <c r="V48" s="174">
        <f t="shared" ref="V48:AD48" si="47">$B$30*V19</f>
        <v>411224.75787760422</v>
      </c>
      <c r="W48" s="174">
        <f t="shared" si="47"/>
        <v>437817.76957595214</v>
      </c>
      <c r="X48" s="174">
        <f t="shared" si="47"/>
        <v>716693.40543842572</v>
      </c>
      <c r="Y48" s="174">
        <f t="shared" si="47"/>
        <v>361945.67135460855</v>
      </c>
      <c r="Z48" s="174">
        <f t="shared" si="47"/>
        <v>106176.80080569274</v>
      </c>
      <c r="AA48" s="174">
        <f t="shared" si="47"/>
        <v>486464.18841772462</v>
      </c>
      <c r="AB48" s="174">
        <f t="shared" si="47"/>
        <v>4489021.6800954742</v>
      </c>
      <c r="AC48" s="174">
        <f t="shared" si="47"/>
        <v>2482199.0323124509</v>
      </c>
      <c r="AD48" s="174">
        <f t="shared" si="47"/>
        <v>193525.56468795761</v>
      </c>
      <c r="AE48" s="174">
        <f t="shared" si="35"/>
        <v>108781.82339999999</v>
      </c>
      <c r="AF48" s="174">
        <f t="shared" si="20"/>
        <v>152546.1024044423</v>
      </c>
      <c r="AG48" s="174">
        <f t="shared" si="37"/>
        <v>9946396.7963703331</v>
      </c>
      <c r="AH48" s="174">
        <f t="shared" si="21"/>
        <v>13774910.210357161</v>
      </c>
      <c r="AI48" s="191">
        <f>AH48/'Collections and ACP'!E55</f>
        <v>0.41822999590644494</v>
      </c>
      <c r="AJ48" s="172"/>
      <c r="AK48" s="172"/>
      <c r="AL48" s="172">
        <f t="shared" si="27"/>
        <v>8550415.146142995</v>
      </c>
      <c r="AM48" s="172">
        <f t="shared" si="28"/>
        <v>5224495.0642141663</v>
      </c>
      <c r="AN48" s="105">
        <f t="shared" si="29"/>
        <v>0.62072383889036586</v>
      </c>
      <c r="AO48" s="105">
        <f t="shared" si="30"/>
        <v>0.37927616110963414</v>
      </c>
    </row>
    <row r="49" spans="1:41" x14ac:dyDescent="0.25">
      <c r="A49" s="177" t="s">
        <v>34</v>
      </c>
      <c r="B49" s="178">
        <f>'ABP Under Contract'!B48</f>
        <v>52028</v>
      </c>
      <c r="C49" s="178">
        <f>'ABP Under Contract'!C48</f>
        <v>100355</v>
      </c>
      <c r="D49" s="178">
        <f>'ABP Under Contract'!D48</f>
        <v>480654</v>
      </c>
      <c r="E49" s="178">
        <f>'ABP Under Contract'!E48</f>
        <v>5697</v>
      </c>
      <c r="F49" s="178">
        <f>'ABP Under Contract'!F48</f>
        <v>41256</v>
      </c>
      <c r="G49" s="178">
        <f>'ABP Under Contract'!G48</f>
        <v>255186</v>
      </c>
      <c r="H49" s="174">
        <f t="shared" si="22"/>
        <v>935176</v>
      </c>
      <c r="I49" s="30"/>
      <c r="J49" s="30"/>
      <c r="K49" s="30"/>
      <c r="L49" s="178">
        <f t="shared" ref="L49:L56" si="48">L20*$B$30</f>
        <v>0</v>
      </c>
      <c r="M49" s="30"/>
      <c r="N49" s="178">
        <f t="shared" si="33"/>
        <v>343766.38411869202</v>
      </c>
      <c r="O49" s="178">
        <f t="shared" si="33"/>
        <v>1376064.3211424232</v>
      </c>
      <c r="P49" s="178">
        <f t="shared" si="33"/>
        <v>67904.125512887025</v>
      </c>
      <c r="Q49" s="178">
        <f t="shared" si="18"/>
        <v>17510.187174985291</v>
      </c>
      <c r="R49" s="174">
        <f t="shared" si="23"/>
        <v>1805245.0179489874</v>
      </c>
      <c r="S49" s="174">
        <f t="shared" si="24"/>
        <v>2396654.6338302949</v>
      </c>
      <c r="T49" s="174">
        <f t="shared" si="16"/>
        <v>343766.38411869202</v>
      </c>
      <c r="U49" s="174">
        <f t="shared" si="17"/>
        <v>2740421.0179489874</v>
      </c>
      <c r="V49" s="174">
        <f t="shared" ref="V49:AD49" si="49">$B$30*V20</f>
        <v>430296.99080285523</v>
      </c>
      <c r="W49" s="174">
        <f t="shared" si="49"/>
        <v>458123.36236969085</v>
      </c>
      <c r="X49" s="174">
        <f t="shared" si="49"/>
        <v>751733.31742880249</v>
      </c>
      <c r="Y49" s="174">
        <f t="shared" si="49"/>
        <v>378732.38474703539</v>
      </c>
      <c r="Z49" s="174">
        <f t="shared" si="49"/>
        <v>111367.89887834113</v>
      </c>
      <c r="AA49" s="174">
        <f t="shared" si="49"/>
        <v>509025.95818854542</v>
      </c>
      <c r="AB49" s="174">
        <f t="shared" si="49"/>
        <v>4778635.9820371177</v>
      </c>
      <c r="AC49" s="174">
        <f t="shared" si="49"/>
        <v>2686998.7636071211</v>
      </c>
      <c r="AD49" s="174">
        <f t="shared" si="49"/>
        <v>217175.15252955756</v>
      </c>
      <c r="AE49" s="174">
        <f t="shared" si="35"/>
        <v>108781.82339999999</v>
      </c>
      <c r="AF49" s="174">
        <f t="shared" si="20"/>
        <v>162729.42032196181</v>
      </c>
      <c r="AG49" s="174">
        <f t="shared" si="37"/>
        <v>10593601.054311028</v>
      </c>
      <c r="AH49" s="174">
        <f t="shared" si="21"/>
        <v>13334022.072260015</v>
      </c>
      <c r="AI49" s="191">
        <f>AH49/'Collections and ACP'!E56</f>
        <v>0.40484387277564388</v>
      </c>
      <c r="AJ49" s="172"/>
      <c r="AK49" s="172"/>
      <c r="AL49" s="172">
        <f t="shared" si="27"/>
        <v>8211619.7061042059</v>
      </c>
      <c r="AM49" s="172">
        <f t="shared" si="28"/>
        <v>5122402.3661558097</v>
      </c>
      <c r="AN49" s="105">
        <f t="shared" si="29"/>
        <v>0.61583966650149691</v>
      </c>
      <c r="AO49" s="105">
        <f t="shared" si="30"/>
        <v>0.38416033349850309</v>
      </c>
    </row>
    <row r="50" spans="1:41" x14ac:dyDescent="0.25">
      <c r="A50" s="177" t="s">
        <v>35</v>
      </c>
      <c r="B50" s="178">
        <f>'ABP Under Contract'!B49</f>
        <v>35613</v>
      </c>
      <c r="C50" s="178">
        <f>'ABP Under Contract'!C49</f>
        <v>83299</v>
      </c>
      <c r="D50" s="178">
        <f>'ABP Under Contract'!D49</f>
        <v>466504</v>
      </c>
      <c r="E50" s="178">
        <f>'ABP Under Contract'!E49</f>
        <v>5666</v>
      </c>
      <c r="F50" s="178">
        <f>'ABP Under Contract'!F49</f>
        <v>41051</v>
      </c>
      <c r="G50" s="178">
        <f>'ABP Under Contract'!G49</f>
        <v>253913</v>
      </c>
      <c r="H50" s="174">
        <f t="shared" si="22"/>
        <v>886046</v>
      </c>
      <c r="I50" s="30"/>
      <c r="J50" s="30"/>
      <c r="K50" s="30"/>
      <c r="L50" s="178">
        <f t="shared" si="48"/>
        <v>0</v>
      </c>
      <c r="M50" s="30"/>
      <c r="N50" s="178">
        <f t="shared" si="33"/>
        <v>343766.38411869202</v>
      </c>
      <c r="O50" s="178">
        <f t="shared" si="33"/>
        <v>1369183.999536711</v>
      </c>
      <c r="P50" s="178">
        <f t="shared" si="33"/>
        <v>67564.60488532258</v>
      </c>
      <c r="Q50" s="178">
        <f t="shared" si="18"/>
        <v>17422.636239110365</v>
      </c>
      <c r="R50" s="174">
        <f t="shared" si="23"/>
        <v>1797937.6247798358</v>
      </c>
      <c r="S50" s="174">
        <f t="shared" si="24"/>
        <v>2340217.2406611438</v>
      </c>
      <c r="T50" s="174">
        <f t="shared" si="16"/>
        <v>343766.38411869202</v>
      </c>
      <c r="U50" s="174">
        <f t="shared" si="17"/>
        <v>2683983.6247798358</v>
      </c>
      <c r="V50" s="174">
        <f t="shared" ref="V50:AD50" si="50">$B$30*V21</f>
        <v>449273.86256348004</v>
      </c>
      <c r="W50" s="174">
        <f t="shared" si="50"/>
        <v>478327.42719946092</v>
      </c>
      <c r="X50" s="174">
        <f t="shared" si="50"/>
        <v>786598.02985922748</v>
      </c>
      <c r="Y50" s="174">
        <f t="shared" si="50"/>
        <v>395435.16457249998</v>
      </c>
      <c r="Z50" s="174">
        <f t="shared" si="50"/>
        <v>116533.04146062629</v>
      </c>
      <c r="AA50" s="174">
        <f t="shared" si="50"/>
        <v>531474.91911051201</v>
      </c>
      <c r="AB50" s="174">
        <f t="shared" si="50"/>
        <v>5068250.2839787612</v>
      </c>
      <c r="AC50" s="174">
        <f t="shared" si="50"/>
        <v>2890774.4962453186</v>
      </c>
      <c r="AD50" s="174">
        <f t="shared" si="50"/>
        <v>240706.49243194945</v>
      </c>
      <c r="AE50" s="174">
        <f t="shared" si="35"/>
        <v>108781.82339999999</v>
      </c>
      <c r="AF50" s="174">
        <f t="shared" si="20"/>
        <v>172912.73823948132</v>
      </c>
      <c r="AG50" s="174">
        <f t="shared" si="37"/>
        <v>11239068.279061319</v>
      </c>
      <c r="AH50" s="174">
        <f t="shared" si="21"/>
        <v>13923051.903841155</v>
      </c>
      <c r="AI50" s="191">
        <f>AH50/'Collections and ACP'!E57</f>
        <v>0.42272783283701165</v>
      </c>
      <c r="AJ50" s="172"/>
      <c r="AK50" s="172"/>
      <c r="AL50" s="172">
        <f t="shared" si="27"/>
        <v>8511035.2357436996</v>
      </c>
      <c r="AM50" s="172">
        <f t="shared" si="28"/>
        <v>5412016.6680974532</v>
      </c>
      <c r="AN50" s="105">
        <f t="shared" si="29"/>
        <v>0.61129092202806756</v>
      </c>
      <c r="AO50" s="105">
        <f t="shared" si="30"/>
        <v>0.38870907797193244</v>
      </c>
    </row>
    <row r="51" spans="1:41" x14ac:dyDescent="0.25">
      <c r="A51" s="177" t="s">
        <v>36</v>
      </c>
      <c r="B51" s="178">
        <f>'ABP Under Contract'!B50</f>
        <v>5609</v>
      </c>
      <c r="C51" s="178">
        <f>'ABP Under Contract'!C50</f>
        <v>33627</v>
      </c>
      <c r="D51" s="178">
        <f>'ABP Under Contract'!D50</f>
        <v>464173</v>
      </c>
      <c r="E51" s="178">
        <f>'ABP Under Contract'!E50</f>
        <v>5638</v>
      </c>
      <c r="F51" s="178">
        <f>'ABP Under Contract'!F50</f>
        <v>40845</v>
      </c>
      <c r="G51" s="178">
        <f>'ABP Under Contract'!G50</f>
        <v>252640</v>
      </c>
      <c r="H51" s="174">
        <f t="shared" si="22"/>
        <v>802532</v>
      </c>
      <c r="I51" s="30"/>
      <c r="J51" s="30"/>
      <c r="K51" s="30"/>
      <c r="L51" s="178">
        <f t="shared" si="48"/>
        <v>0</v>
      </c>
      <c r="M51" s="30"/>
      <c r="N51" s="178">
        <f t="shared" si="33"/>
        <v>343766.38411869202</v>
      </c>
      <c r="O51" s="178">
        <f t="shared" si="33"/>
        <v>1362338.0795390275</v>
      </c>
      <c r="P51" s="178">
        <f t="shared" si="33"/>
        <v>67226.781860895979</v>
      </c>
      <c r="Q51" s="178">
        <f t="shared" si="18"/>
        <v>17335.523057914812</v>
      </c>
      <c r="R51" s="174">
        <f t="shared" si="23"/>
        <v>1790666.7685765303</v>
      </c>
      <c r="S51" s="174">
        <f t="shared" si="24"/>
        <v>2249432.3844578383</v>
      </c>
      <c r="T51" s="174">
        <f t="shared" si="16"/>
        <v>343766.38411869202</v>
      </c>
      <c r="U51" s="174">
        <f t="shared" si="17"/>
        <v>2593198.7685765303</v>
      </c>
      <c r="V51" s="174">
        <f t="shared" ref="V51:AD51" si="51">$B$30*V22</f>
        <v>468155.84996530158</v>
      </c>
      <c r="W51" s="174">
        <f t="shared" si="51"/>
        <v>498430.47170508193</v>
      </c>
      <c r="X51" s="174">
        <f t="shared" si="51"/>
        <v>821288.41872750013</v>
      </c>
      <c r="Y51" s="174">
        <f t="shared" si="51"/>
        <v>412054.43049883744</v>
      </c>
      <c r="Z51" s="174">
        <f t="shared" si="51"/>
        <v>121672.35833000006</v>
      </c>
      <c r="AA51" s="174">
        <f t="shared" si="51"/>
        <v>553811.63522786903</v>
      </c>
      <c r="AB51" s="174">
        <f t="shared" si="51"/>
        <v>5357864.5859204046</v>
      </c>
      <c r="AC51" s="174">
        <f t="shared" si="51"/>
        <v>3093531.3502203245</v>
      </c>
      <c r="AD51" s="174">
        <f t="shared" si="51"/>
        <v>264120.17563482939</v>
      </c>
      <c r="AE51" s="174">
        <f t="shared" si="35"/>
        <v>108781.82339999999</v>
      </c>
      <c r="AF51" s="174">
        <f t="shared" si="20"/>
        <v>183096.05615700083</v>
      </c>
      <c r="AG51" s="174">
        <f t="shared" si="37"/>
        <v>11882807.155787149</v>
      </c>
      <c r="AH51" s="174">
        <f t="shared" si="21"/>
        <v>14476005.92436368</v>
      </c>
      <c r="AI51" s="191">
        <f>AH51/'Collections and ACP'!E58</f>
        <v>0.43951646914810027</v>
      </c>
      <c r="AJ51" s="172"/>
      <c r="AK51" s="172"/>
      <c r="AL51" s="172">
        <f t="shared" si="27"/>
        <v>8774374.9543245826</v>
      </c>
      <c r="AM51" s="172">
        <f t="shared" si="28"/>
        <v>5701630.9700390967</v>
      </c>
      <c r="AN51" s="105">
        <f t="shared" si="29"/>
        <v>0.60613231302682524</v>
      </c>
      <c r="AO51" s="105">
        <f t="shared" si="30"/>
        <v>0.39386768697317476</v>
      </c>
    </row>
    <row r="52" spans="1:41" x14ac:dyDescent="0.25">
      <c r="A52" s="177" t="s">
        <v>37</v>
      </c>
      <c r="B52" s="178">
        <f>'ABP Under Contract'!B51</f>
        <v>1537</v>
      </c>
      <c r="C52" s="178">
        <f>'ABP Under Contract'!C51</f>
        <v>13656</v>
      </c>
      <c r="D52" s="178">
        <f>'ABP Under Contract'!D51</f>
        <v>461850</v>
      </c>
      <c r="E52" s="178">
        <f>'ABP Under Contract'!E51</f>
        <v>5610</v>
      </c>
      <c r="F52" s="178">
        <f>'ABP Under Contract'!F51</f>
        <v>40641</v>
      </c>
      <c r="G52" s="178">
        <f>'ABP Under Contract'!G51</f>
        <v>251376</v>
      </c>
      <c r="H52" s="174">
        <f t="shared" si="22"/>
        <v>774670</v>
      </c>
      <c r="I52" s="30"/>
      <c r="J52" s="30"/>
      <c r="K52" s="30"/>
      <c r="L52" s="178">
        <f t="shared" si="48"/>
        <v>0</v>
      </c>
      <c r="M52" s="30"/>
      <c r="N52" s="178">
        <f t="shared" si="33"/>
        <v>343766.38411869202</v>
      </c>
      <c r="O52" s="178">
        <f t="shared" si="33"/>
        <v>1355526.3891413324</v>
      </c>
      <c r="P52" s="178">
        <f t="shared" si="33"/>
        <v>66890.647951591498</v>
      </c>
      <c r="Q52" s="178">
        <f t="shared" si="18"/>
        <v>17248.845442625239</v>
      </c>
      <c r="R52" s="174">
        <f t="shared" si="23"/>
        <v>1783432.2666542411</v>
      </c>
      <c r="S52" s="174">
        <f t="shared" si="24"/>
        <v>2214335.8825355489</v>
      </c>
      <c r="T52" s="174">
        <f t="shared" si="16"/>
        <v>343766.38411869202</v>
      </c>
      <c r="U52" s="174">
        <f t="shared" si="17"/>
        <v>2558102.2666542409</v>
      </c>
      <c r="V52" s="174">
        <f t="shared" ref="V52:AD52" si="52">$B$30*V23</f>
        <v>486943.42743011413</v>
      </c>
      <c r="W52" s="174">
        <f t="shared" si="52"/>
        <v>518433.00098817504</v>
      </c>
      <c r="X52" s="174">
        <f t="shared" si="52"/>
        <v>855805.35565143148</v>
      </c>
      <c r="Y52" s="174">
        <f t="shared" si="52"/>
        <v>428590.60009554308</v>
      </c>
      <c r="Z52" s="174">
        <f t="shared" si="52"/>
        <v>126785.97861502694</v>
      </c>
      <c r="AA52" s="174">
        <f t="shared" si="52"/>
        <v>576036.66776463902</v>
      </c>
      <c r="AB52" s="174">
        <f t="shared" si="52"/>
        <v>5647478.8878620481</v>
      </c>
      <c r="AC52" s="174">
        <f t="shared" si="52"/>
        <v>3295274.419925455</v>
      </c>
      <c r="AD52" s="174">
        <f t="shared" si="52"/>
        <v>287416.79042169492</v>
      </c>
      <c r="AE52" s="174">
        <f t="shared" si="35"/>
        <v>108781.82339999999</v>
      </c>
      <c r="AF52" s="174">
        <f t="shared" si="20"/>
        <v>193279.37407452034</v>
      </c>
      <c r="AG52" s="174">
        <f t="shared" si="37"/>
        <v>12524826.326228648</v>
      </c>
      <c r="AH52" s="174">
        <f t="shared" si="21"/>
        <v>15082928.59288289</v>
      </c>
      <c r="AI52" s="191">
        <f>AH52/'Collections and ACP'!E59</f>
        <v>0.45794368655235346</v>
      </c>
      <c r="AJ52" s="172"/>
      <c r="AK52" s="172"/>
      <c r="AL52" s="172">
        <f t="shared" si="27"/>
        <v>9091683.3209021501</v>
      </c>
      <c r="AM52" s="172">
        <f t="shared" si="28"/>
        <v>5991245.2719807401</v>
      </c>
      <c r="AN52" s="105">
        <f t="shared" si="29"/>
        <v>0.60277970984973039</v>
      </c>
      <c r="AO52" s="105">
        <f t="shared" si="30"/>
        <v>0.39722029015026961</v>
      </c>
    </row>
    <row r="53" spans="1:41" x14ac:dyDescent="0.25">
      <c r="A53" s="177" t="s">
        <v>38</v>
      </c>
      <c r="B53" s="178">
        <f>'ABP Under Contract'!B52</f>
        <v>10</v>
      </c>
      <c r="C53" s="178" t="str">
        <f>'ABP Under Contract'!C52</f>
        <v xml:space="preserve"> -   </v>
      </c>
      <c r="D53" s="178">
        <f>'ABP Under Contract'!D52</f>
        <v>459541</v>
      </c>
      <c r="E53" s="178">
        <f>'ABP Under Contract'!E52</f>
        <v>5582</v>
      </c>
      <c r="F53" s="178">
        <f>'ABP Under Contract'!F52</f>
        <v>6642</v>
      </c>
      <c r="G53" s="178">
        <f>'ABP Under Contract'!G52</f>
        <v>250124</v>
      </c>
      <c r="H53" s="174">
        <f t="shared" si="22"/>
        <v>721899</v>
      </c>
      <c r="I53" s="30"/>
      <c r="J53" s="30"/>
      <c r="K53" s="30"/>
      <c r="L53" s="178">
        <f t="shared" si="48"/>
        <v>0</v>
      </c>
      <c r="M53" s="30"/>
      <c r="N53" s="178">
        <f t="shared" si="33"/>
        <v>343766.38411869202</v>
      </c>
      <c r="O53" s="178">
        <f t="shared" si="33"/>
        <v>1348748.7571956257</v>
      </c>
      <c r="P53" s="178">
        <f t="shared" si="33"/>
        <v>66556.194711833537</v>
      </c>
      <c r="Q53" s="178">
        <f t="shared" si="18"/>
        <v>17162.601215412109</v>
      </c>
      <c r="R53" s="174">
        <f t="shared" si="23"/>
        <v>1776233.9372415633</v>
      </c>
      <c r="S53" s="174">
        <f t="shared" si="24"/>
        <v>2154366.5531228711</v>
      </c>
      <c r="T53" s="174">
        <f t="shared" si="16"/>
        <v>343766.38411869202</v>
      </c>
      <c r="U53" s="174">
        <f t="shared" si="17"/>
        <v>2498132.9372415636</v>
      </c>
      <c r="V53" s="174">
        <f t="shared" ref="V53:AD53" si="53">$B$30*V24</f>
        <v>466441.05090635561</v>
      </c>
      <c r="W53" s="174">
        <f t="shared" si="53"/>
        <v>496604.78031642741</v>
      </c>
      <c r="X53" s="174">
        <f t="shared" si="53"/>
        <v>890149.70789074316</v>
      </c>
      <c r="Y53" s="174">
        <f t="shared" si="53"/>
        <v>445044.08884426515</v>
      </c>
      <c r="Z53" s="174">
        <f t="shared" si="53"/>
        <v>131874.03079862866</v>
      </c>
      <c r="AA53" s="174">
        <f t="shared" si="53"/>
        <v>551783.08924047509</v>
      </c>
      <c r="AB53" s="174">
        <f t="shared" si="53"/>
        <v>5937093.1898036916</v>
      </c>
      <c r="AC53" s="174">
        <f t="shared" si="53"/>
        <v>3496008.7742820606</v>
      </c>
      <c r="AD53" s="174">
        <f t="shared" si="53"/>
        <v>310596.92213462613</v>
      </c>
      <c r="AE53" s="174">
        <f t="shared" si="35"/>
        <v>108781.82339999999</v>
      </c>
      <c r="AF53" s="174">
        <f t="shared" si="20"/>
        <v>203462.69199203985</v>
      </c>
      <c r="AG53" s="174">
        <f t="shared" si="37"/>
        <v>13037840.149609314</v>
      </c>
      <c r="AH53" s="174">
        <f t="shared" si="21"/>
        <v>15535973.086850878</v>
      </c>
      <c r="AI53" s="191">
        <f>AH53/'Collections and ACP'!E60</f>
        <v>0.47169889758198352</v>
      </c>
      <c r="AJ53" s="172"/>
      <c r="AK53" s="172"/>
      <c r="AL53" s="172">
        <f t="shared" si="27"/>
        <v>9255113.5129284933</v>
      </c>
      <c r="AM53" s="172">
        <f t="shared" si="28"/>
        <v>6280859.5739223836</v>
      </c>
      <c r="AN53" s="105">
        <f t="shared" si="29"/>
        <v>0.59572152070485418</v>
      </c>
      <c r="AO53" s="105">
        <f t="shared" si="30"/>
        <v>0.40427847929514582</v>
      </c>
    </row>
    <row r="54" spans="1:41" x14ac:dyDescent="0.25">
      <c r="A54" s="177" t="s">
        <v>39</v>
      </c>
      <c r="B54" s="178">
        <f>'ABP Under Contract'!B53</f>
        <v>10</v>
      </c>
      <c r="C54" s="178" t="str">
        <f>'ABP Under Contract'!C53</f>
        <v xml:space="preserve"> -   </v>
      </c>
      <c r="D54" s="178">
        <f>'ABP Under Contract'!D53</f>
        <v>457244</v>
      </c>
      <c r="E54" s="178">
        <f>'ABP Under Contract'!E53</f>
        <v>5556</v>
      </c>
      <c r="F54" s="178" t="str">
        <f>'ABP Under Contract'!F53</f>
        <v xml:space="preserve"> -   </v>
      </c>
      <c r="G54" s="178">
        <f>'ABP Under Contract'!G53</f>
        <v>248870</v>
      </c>
      <c r="H54" s="174">
        <f t="shared" si="22"/>
        <v>711680</v>
      </c>
      <c r="I54" s="30"/>
      <c r="J54" s="30"/>
      <c r="K54" s="30"/>
      <c r="L54" s="178">
        <f t="shared" si="48"/>
        <v>0</v>
      </c>
      <c r="M54" s="30"/>
      <c r="N54" s="178">
        <f t="shared" si="33"/>
        <v>343766.38411869202</v>
      </c>
      <c r="O54" s="178">
        <f t="shared" si="33"/>
        <v>1342005.0134096474</v>
      </c>
      <c r="P54" s="178">
        <f t="shared" si="33"/>
        <v>66223.413738274365</v>
      </c>
      <c r="Q54" s="178">
        <f t="shared" si="18"/>
        <v>17076.788209335049</v>
      </c>
      <c r="R54" s="174">
        <f t="shared" si="23"/>
        <v>1769071.5994759486</v>
      </c>
      <c r="S54" s="174">
        <f t="shared" si="24"/>
        <v>2136985.2153572566</v>
      </c>
      <c r="T54" s="174">
        <f t="shared" si="16"/>
        <v>343766.38411869202</v>
      </c>
      <c r="U54" s="174">
        <f t="shared" si="17"/>
        <v>2480751.5994759486</v>
      </c>
      <c r="V54" s="174">
        <f t="shared" ref="V54:AD54" si="54">$B$30*V25</f>
        <v>446041.1862652158</v>
      </c>
      <c r="W54" s="174">
        <f t="shared" si="54"/>
        <v>474885.70074803854</v>
      </c>
      <c r="X54" s="174">
        <f t="shared" si="54"/>
        <v>924322.33836885856</v>
      </c>
      <c r="Y54" s="174">
        <f t="shared" si="54"/>
        <v>461415.31014924357</v>
      </c>
      <c r="Z54" s="174">
        <f t="shared" si="54"/>
        <v>126321.57669239215</v>
      </c>
      <c r="AA54" s="174">
        <f t="shared" si="54"/>
        <v>527650.77860893169</v>
      </c>
      <c r="AB54" s="174">
        <f t="shared" si="54"/>
        <v>6226707.491745335</v>
      </c>
      <c r="AC54" s="174">
        <f t="shared" si="54"/>
        <v>3695739.4568668827</v>
      </c>
      <c r="AD54" s="174">
        <f t="shared" si="54"/>
        <v>333661.1531889927</v>
      </c>
      <c r="AE54" s="174">
        <f t="shared" si="35"/>
        <v>108781.82339999999</v>
      </c>
      <c r="AF54" s="174">
        <f t="shared" si="20"/>
        <v>213646.00990955933</v>
      </c>
      <c r="AG54" s="174">
        <f t="shared" si="37"/>
        <v>13539172.82594345</v>
      </c>
      <c r="AH54" s="174">
        <f t="shared" si="21"/>
        <v>16019924.425419398</v>
      </c>
      <c r="AI54" s="191">
        <f>AH54/'Collections and ACP'!E61</f>
        <v>0.48639249363869297</v>
      </c>
      <c r="AJ54" s="172"/>
      <c r="AK54" s="172"/>
      <c r="AL54" s="172">
        <f t="shared" si="27"/>
        <v>9449450.5495553724</v>
      </c>
      <c r="AM54" s="172">
        <f t="shared" si="28"/>
        <v>6570473.8758640271</v>
      </c>
      <c r="AN54" s="105">
        <f t="shared" si="29"/>
        <v>0.58985612532363663</v>
      </c>
      <c r="AO54" s="105">
        <f t="shared" si="30"/>
        <v>0.41014387467636337</v>
      </c>
    </row>
    <row r="55" spans="1:41" x14ac:dyDescent="0.25">
      <c r="A55" s="177" t="s">
        <v>40</v>
      </c>
      <c r="B55" s="178" t="str">
        <f>'ABP Under Contract'!B54</f>
        <v xml:space="preserve"> -   </v>
      </c>
      <c r="C55" s="178" t="str">
        <f>'ABP Under Contract'!C54</f>
        <v xml:space="preserve"> -   </v>
      </c>
      <c r="D55" s="178">
        <f>'ABP Under Contract'!D54</f>
        <v>454960</v>
      </c>
      <c r="E55" s="178">
        <f>'ABP Under Contract'!E54</f>
        <v>5528</v>
      </c>
      <c r="F55" s="178" t="str">
        <f>'ABP Under Contract'!F54</f>
        <v xml:space="preserve"> -   </v>
      </c>
      <c r="G55" s="178">
        <f>'ABP Under Contract'!G54</f>
        <v>247622</v>
      </c>
      <c r="H55" s="174">
        <f t="shared" si="22"/>
        <v>708110</v>
      </c>
      <c r="I55" s="30"/>
      <c r="J55" s="30"/>
      <c r="K55" s="30"/>
      <c r="L55" s="178">
        <f t="shared" si="48"/>
        <v>0</v>
      </c>
      <c r="M55" s="30"/>
      <c r="N55" s="178">
        <f t="shared" si="33"/>
        <v>343766.38411869202</v>
      </c>
      <c r="O55" s="178">
        <f t="shared" si="33"/>
        <v>1335294.9883425992</v>
      </c>
      <c r="P55" s="178">
        <f t="shared" si="33"/>
        <v>65892.296669582996</v>
      </c>
      <c r="Q55" s="178">
        <f t="shared" si="18"/>
        <v>16991.404268288374</v>
      </c>
      <c r="R55" s="174">
        <f t="shared" si="23"/>
        <v>1761945.0733991626</v>
      </c>
      <c r="S55" s="174">
        <f t="shared" si="24"/>
        <v>2126288.6892804708</v>
      </c>
      <c r="T55" s="174">
        <f t="shared" si="16"/>
        <v>343766.38411869202</v>
      </c>
      <c r="U55" s="174">
        <f t="shared" si="17"/>
        <v>2470055.0733991629</v>
      </c>
      <c r="V55" s="174">
        <f t="shared" ref="V55:AD55" si="55">$B$30*V26</f>
        <v>404614.96423264261</v>
      </c>
      <c r="W55" s="174">
        <f t="shared" si="55"/>
        <v>430780.53493587312</v>
      </c>
      <c r="X55" s="174">
        <f t="shared" si="55"/>
        <v>958324.10569458315</v>
      </c>
      <c r="Y55" s="174">
        <f t="shared" si="55"/>
        <v>459108.23359849735</v>
      </c>
      <c r="Z55" s="174">
        <f t="shared" si="55"/>
        <v>120796.8848566868</v>
      </c>
      <c r="AA55" s="174">
        <f t="shared" si="55"/>
        <v>478645.03881763679</v>
      </c>
      <c r="AB55" s="174">
        <f t="shared" si="55"/>
        <v>6516321.7936869785</v>
      </c>
      <c r="AC55" s="174">
        <f t="shared" si="55"/>
        <v>3894471.4860387812</v>
      </c>
      <c r="AD55" s="174">
        <f t="shared" si="55"/>
        <v>356610.06308808742</v>
      </c>
      <c r="AE55" s="174">
        <f t="shared" si="35"/>
        <v>108781.82339999999</v>
      </c>
      <c r="AF55" s="174">
        <f t="shared" si="20"/>
        <v>223829.32782707887</v>
      </c>
      <c r="AG55" s="174">
        <f t="shared" si="37"/>
        <v>13952284.256176846</v>
      </c>
      <c r="AH55" s="174">
        <f t="shared" si="21"/>
        <v>16422339.329576008</v>
      </c>
      <c r="AI55" s="191"/>
      <c r="AJ55" s="172"/>
      <c r="AK55" s="172"/>
      <c r="AL55" s="172">
        <f t="shared" si="27"/>
        <v>9562251.1517703403</v>
      </c>
      <c r="AM55" s="172">
        <f t="shared" si="28"/>
        <v>6860088.1778056705</v>
      </c>
      <c r="AN55" s="105">
        <f t="shared" si="29"/>
        <v>0.58227095177293575</v>
      </c>
      <c r="AO55" s="105">
        <f t="shared" si="30"/>
        <v>0.41772904822706425</v>
      </c>
    </row>
    <row r="56" spans="1:41" x14ac:dyDescent="0.25">
      <c r="A56" s="189" t="s">
        <v>172</v>
      </c>
      <c r="B56" s="187"/>
      <c r="C56" s="187"/>
      <c r="D56" s="187"/>
      <c r="E56" s="187"/>
      <c r="F56" s="187"/>
      <c r="G56" s="187"/>
      <c r="H56" s="186"/>
      <c r="I56" s="171"/>
      <c r="J56" s="171"/>
      <c r="K56" s="171"/>
      <c r="L56" s="178">
        <f t="shared" si="48"/>
        <v>0</v>
      </c>
      <c r="M56" s="171"/>
      <c r="N56" s="178">
        <f t="shared" si="33"/>
        <v>343766.38411869202</v>
      </c>
      <c r="O56" s="178">
        <f t="shared" si="33"/>
        <v>1331134.1247814281</v>
      </c>
      <c r="P56" s="178">
        <f t="shared" si="33"/>
        <v>65562.835186235083</v>
      </c>
      <c r="Q56" s="187"/>
      <c r="R56" s="174">
        <f>SUM(I56:Q56)</f>
        <v>1740463.3440863553</v>
      </c>
      <c r="S56" s="174">
        <f t="shared" si="24"/>
        <v>1396696.9599676633</v>
      </c>
      <c r="T56" s="174">
        <f t="shared" si="16"/>
        <v>343766.38411869202</v>
      </c>
      <c r="U56" s="174">
        <f t="shared" si="17"/>
        <v>1740463.3440863553</v>
      </c>
      <c r="V56" s="174">
        <f t="shared" ref="V56:AD56" si="56">$B$30*V27</f>
        <v>363395.87331023242</v>
      </c>
      <c r="W56" s="174">
        <f t="shared" si="56"/>
        <v>386895.89495276852</v>
      </c>
      <c r="X56" s="174">
        <f t="shared" si="56"/>
        <v>953532.48516611033</v>
      </c>
      <c r="Y56" s="174">
        <f t="shared" si="56"/>
        <v>456812.69243050483</v>
      </c>
      <c r="Z56" s="174">
        <f t="shared" si="56"/>
        <v>109577.83440348315</v>
      </c>
      <c r="AA56" s="174">
        <f t="shared" si="56"/>
        <v>429884.32772529835</v>
      </c>
      <c r="AB56" s="174">
        <f t="shared" si="56"/>
        <v>6805936.095628622</v>
      </c>
      <c r="AC56" s="174">
        <f t="shared" si="56"/>
        <v>4093295.9086971013</v>
      </c>
      <c r="AD56" s="174">
        <f t="shared" si="56"/>
        <v>379444.22843768669</v>
      </c>
      <c r="AE56" s="174">
        <f t="shared" si="35"/>
        <v>0</v>
      </c>
      <c r="AF56" s="174">
        <f t="shared" si="20"/>
        <v>0</v>
      </c>
      <c r="AG56" s="174">
        <f t="shared" si="37"/>
        <v>13978775.340751806</v>
      </c>
      <c r="AH56" s="174">
        <f t="shared" ref="AH56" si="57">H56+R56+AG56</f>
        <v>15719238.684838161</v>
      </c>
      <c r="AI56" s="191"/>
      <c r="AL56" s="172">
        <f t="shared" si="27"/>
        <v>8569536.2050908487</v>
      </c>
      <c r="AM56" s="172">
        <f t="shared" si="28"/>
        <v>7149702.479747314</v>
      </c>
      <c r="AN56" s="105">
        <f t="shared" si="29"/>
        <v>0.54516229296502194</v>
      </c>
      <c r="AO56" s="105">
        <f t="shared" si="30"/>
        <v>0.45483770703497806</v>
      </c>
    </row>
    <row r="57" spans="1:41" x14ac:dyDescent="0.25">
      <c r="C57" t="s">
        <v>218</v>
      </c>
    </row>
    <row r="58" spans="1:41" x14ac:dyDescent="0.25">
      <c r="A58" s="177" t="s">
        <v>44</v>
      </c>
      <c r="B58" s="22">
        <v>0.70538159360122976</v>
      </c>
      <c r="C58" s="22">
        <v>0.71035999999999999</v>
      </c>
    </row>
    <row r="59" spans="1:41" ht="30" x14ac:dyDescent="0.25">
      <c r="A59" s="184" t="s">
        <v>1</v>
      </c>
      <c r="B59" s="184" t="str">
        <f t="shared" ref="B59:G59" si="58">B2</f>
        <v>Small DG</v>
      </c>
      <c r="C59" s="184" t="str">
        <f t="shared" si="58"/>
        <v>Large DG</v>
      </c>
      <c r="D59" s="184" t="str">
        <f t="shared" si="58"/>
        <v>Traditional CS</v>
      </c>
      <c r="E59" s="184" t="str">
        <f t="shared" si="58"/>
        <v xml:space="preserve"> Public Schools </v>
      </c>
      <c r="F59" s="184" t="str">
        <f t="shared" si="58"/>
        <v xml:space="preserve"> CDCS </v>
      </c>
      <c r="G59" s="184" t="str">
        <f t="shared" si="58"/>
        <v xml:space="preserve"> EEC </v>
      </c>
      <c r="H59" s="24" t="s">
        <v>204</v>
      </c>
      <c r="I59" s="184" t="s">
        <v>205</v>
      </c>
      <c r="J59" s="184" t="s">
        <v>206</v>
      </c>
      <c r="K59" s="184" t="s">
        <v>207</v>
      </c>
      <c r="L59" s="184" t="s">
        <v>228</v>
      </c>
      <c r="M59" s="184" t="s">
        <v>229</v>
      </c>
      <c r="N59" s="184" t="s">
        <v>210</v>
      </c>
      <c r="O59" s="184" t="s">
        <v>211</v>
      </c>
      <c r="P59" s="184" t="s">
        <v>212</v>
      </c>
      <c r="Q59" s="313" t="s">
        <v>213</v>
      </c>
      <c r="R59" s="24" t="s">
        <v>214</v>
      </c>
      <c r="S59" s="24" t="s">
        <v>215</v>
      </c>
      <c r="T59" s="24" t="s">
        <v>216</v>
      </c>
      <c r="U59" s="24" t="s">
        <v>217</v>
      </c>
      <c r="V59" s="184" t="s">
        <v>138</v>
      </c>
      <c r="W59" s="184" t="s">
        <v>144</v>
      </c>
      <c r="X59" s="25" t="s">
        <v>153</v>
      </c>
      <c r="Y59" s="184" t="s">
        <v>158</v>
      </c>
      <c r="Z59" s="25" t="s">
        <v>162</v>
      </c>
      <c r="AA59" s="25" t="s">
        <v>165</v>
      </c>
      <c r="AB59" s="184" t="s">
        <v>90</v>
      </c>
      <c r="AC59" s="184" t="s">
        <v>91</v>
      </c>
      <c r="AD59" s="184" t="s">
        <v>86</v>
      </c>
      <c r="AE59" s="184" t="s">
        <v>218</v>
      </c>
      <c r="AF59" s="25" t="s">
        <v>219</v>
      </c>
      <c r="AG59" s="192" t="s">
        <v>220</v>
      </c>
      <c r="AH59" s="24" t="s">
        <v>221</v>
      </c>
      <c r="AI59" s="24" t="s">
        <v>222</v>
      </c>
      <c r="AL59" s="76" t="s">
        <v>224</v>
      </c>
      <c r="AM59" s="76" t="s">
        <v>225</v>
      </c>
      <c r="AN59" t="s">
        <v>226</v>
      </c>
      <c r="AO59" t="s">
        <v>227</v>
      </c>
    </row>
    <row r="60" spans="1:41" x14ac:dyDescent="0.25">
      <c r="A60" s="184"/>
      <c r="B60" s="184"/>
      <c r="C60" s="184"/>
      <c r="D60" s="184"/>
      <c r="E60" s="184"/>
      <c r="F60" s="184"/>
      <c r="G60" s="184"/>
      <c r="H60" s="24"/>
      <c r="I60" s="184"/>
      <c r="J60" s="184"/>
      <c r="K60" s="184"/>
      <c r="L60" s="184"/>
      <c r="M60" s="184"/>
      <c r="N60" s="184"/>
      <c r="O60" s="184"/>
      <c r="P60" s="184"/>
      <c r="Q60" s="313"/>
      <c r="R60" s="24"/>
      <c r="S60" s="174"/>
      <c r="T60" s="174">
        <f t="shared" ref="T60:T84" si="59">I60+L60+N60</f>
        <v>0</v>
      </c>
      <c r="U60" s="174">
        <f t="shared" ref="U60:U84" si="60">H60+R60</f>
        <v>0</v>
      </c>
      <c r="V60" s="184"/>
      <c r="W60" s="184"/>
      <c r="X60" s="25"/>
      <c r="Y60" s="184"/>
      <c r="Z60" s="25"/>
      <c r="AA60" s="25"/>
      <c r="AB60" s="184"/>
      <c r="AC60" s="184"/>
      <c r="AD60" s="184"/>
      <c r="AE60" s="184"/>
      <c r="AF60" s="25"/>
      <c r="AG60" s="24"/>
      <c r="AH60" s="24"/>
      <c r="AI60" s="24"/>
    </row>
    <row r="61" spans="1:41" x14ac:dyDescent="0.25">
      <c r="A61" s="177" t="s">
        <v>17</v>
      </c>
      <c r="B61" s="178">
        <f>'ABP Under Contract'!B62</f>
        <v>141574</v>
      </c>
      <c r="C61" s="178">
        <f>'ABP Under Contract'!C62</f>
        <v>229273</v>
      </c>
      <c r="D61" s="178">
        <f>'ABP Under Contract'!D62</f>
        <v>81355</v>
      </c>
      <c r="E61" s="178" t="str">
        <f>'ABP Under Contract'!E62</f>
        <v xml:space="preserve"> -   </v>
      </c>
      <c r="F61" s="178" t="str">
        <f>'ABP Under Contract'!F62</f>
        <v xml:space="preserve"> -   </v>
      </c>
      <c r="G61" s="178" t="str">
        <f>'ABP Under Contract'!G62</f>
        <v xml:space="preserve"> -   </v>
      </c>
      <c r="H61" s="174">
        <f>SUM(B61:G61)</f>
        <v>452202</v>
      </c>
      <c r="I61" s="178">
        <v>1261725</v>
      </c>
      <c r="J61" s="178"/>
      <c r="K61" s="178">
        <v>0</v>
      </c>
      <c r="L61" s="178">
        <v>513482</v>
      </c>
      <c r="M61" s="178">
        <v>18445</v>
      </c>
      <c r="N61" s="178"/>
      <c r="O61" s="178"/>
      <c r="P61" s="178"/>
      <c r="Q61" s="178">
        <f t="shared" ref="Q61:Q83" si="61">Q4*$B$58</f>
        <v>41103.714069693422</v>
      </c>
      <c r="R61" s="174">
        <f t="shared" ref="R61:R83" si="62">SUM(I61:Q61)</f>
        <v>1834755.7140696933</v>
      </c>
      <c r="S61" s="174">
        <f>H61+J61+K61+M61+O61+P61+Q61</f>
        <v>511750.71406969341</v>
      </c>
      <c r="T61" s="174">
        <f>I61+L61+N61</f>
        <v>1775207</v>
      </c>
      <c r="U61" s="174">
        <f t="shared" si="60"/>
        <v>2286957.7140696933</v>
      </c>
      <c r="V61" s="174">
        <f t="shared" ref="V61:AD61" si="63">$B$58*V4</f>
        <v>0</v>
      </c>
      <c r="W61" s="174">
        <f t="shared" si="63"/>
        <v>0</v>
      </c>
      <c r="X61" s="174">
        <f t="shared" si="63"/>
        <v>0</v>
      </c>
      <c r="Y61" s="174">
        <f t="shared" si="63"/>
        <v>0</v>
      </c>
      <c r="Z61" s="174">
        <f t="shared" si="63"/>
        <v>0</v>
      </c>
      <c r="AA61" s="174">
        <f t="shared" si="63"/>
        <v>0</v>
      </c>
      <c r="AB61" s="174">
        <f t="shared" si="63"/>
        <v>0</v>
      </c>
      <c r="AC61" s="174">
        <f t="shared" si="63"/>
        <v>0</v>
      </c>
      <c r="AD61" s="174">
        <f t="shared" si="63"/>
        <v>0</v>
      </c>
      <c r="AE61" s="174"/>
      <c r="AF61" s="174">
        <f t="shared" ref="AF61:AF83" si="64">AF4*$B$58</f>
        <v>0</v>
      </c>
      <c r="AG61" s="174">
        <f>SUM(V61:AF61)</f>
        <v>0</v>
      </c>
      <c r="AH61" s="174">
        <f t="shared" ref="AH61:AH83" si="65">H61+R61+AG61</f>
        <v>2286957.7140696933</v>
      </c>
      <c r="AI61" s="191">
        <f>AH61/'Collections and ACP'!E73</f>
        <v>2.7247818404547621E-2</v>
      </c>
      <c r="AL61" s="172">
        <f>H61+J61+K61+M61+Q61+V61+W61+X61+Y61+Z61+AA61+AC61+AD61+AF61+O61+P61+AE61</f>
        <v>511750.71406969341</v>
      </c>
      <c r="AM61" s="172">
        <f>I61+L61+AB61+N61</f>
        <v>1775207</v>
      </c>
      <c r="AN61" s="105">
        <f>AL61/(AL61+AM61)</f>
        <v>0.22376920697804306</v>
      </c>
      <c r="AO61" s="105">
        <f>1-AN61</f>
        <v>0.77623079302195697</v>
      </c>
    </row>
    <row r="62" spans="1:41" x14ac:dyDescent="0.25">
      <c r="A62" s="177" t="s">
        <v>18</v>
      </c>
      <c r="B62" s="178">
        <f>'ABP Under Contract'!B63</f>
        <v>184184</v>
      </c>
      <c r="C62" s="178">
        <f>'ABP Under Contract'!C63</f>
        <v>280699</v>
      </c>
      <c r="D62" s="178">
        <f>'ABP Under Contract'!D63</f>
        <v>262797</v>
      </c>
      <c r="E62" s="178" t="str">
        <f>'ABP Under Contract'!E63</f>
        <v xml:space="preserve"> -   </v>
      </c>
      <c r="F62" s="178" t="str">
        <f>'ABP Under Contract'!F63</f>
        <v xml:space="preserve"> -   </v>
      </c>
      <c r="G62" s="178" t="str">
        <f>'ABP Under Contract'!G63</f>
        <v xml:space="preserve"> -   </v>
      </c>
      <c r="H62" s="174">
        <f t="shared" ref="H62:H83" si="66">SUM(B62:G62)</f>
        <v>727680</v>
      </c>
      <c r="I62" s="178">
        <v>1261725</v>
      </c>
      <c r="J62" s="178"/>
      <c r="K62" s="178">
        <v>18445</v>
      </c>
      <c r="L62" s="178">
        <v>1452887</v>
      </c>
      <c r="M62" s="178">
        <v>651114</v>
      </c>
      <c r="N62" s="178"/>
      <c r="O62" s="178"/>
      <c r="P62" s="178"/>
      <c r="Q62" s="178">
        <f t="shared" si="61"/>
        <v>45977.853856038346</v>
      </c>
      <c r="R62" s="174">
        <f t="shared" si="62"/>
        <v>3430148.8538560383</v>
      </c>
      <c r="S62" s="174">
        <f t="shared" ref="S62:S84" si="67">H62+J62+K62+M62+O62+P62+Q62</f>
        <v>1443216.8538560383</v>
      </c>
      <c r="T62" s="174">
        <f t="shared" si="59"/>
        <v>2714612</v>
      </c>
      <c r="U62" s="174">
        <f t="shared" si="60"/>
        <v>4157828.8538560383</v>
      </c>
      <c r="V62" s="174">
        <f t="shared" ref="V62:AD62" si="68">$B$58*V5</f>
        <v>0</v>
      </c>
      <c r="W62" s="174">
        <f t="shared" si="68"/>
        <v>0</v>
      </c>
      <c r="X62" s="174">
        <f t="shared" si="68"/>
        <v>0</v>
      </c>
      <c r="Y62" s="174">
        <f t="shared" si="68"/>
        <v>0</v>
      </c>
      <c r="Z62" s="174">
        <f t="shared" si="68"/>
        <v>0</v>
      </c>
      <c r="AA62" s="174">
        <f t="shared" si="68"/>
        <v>0</v>
      </c>
      <c r="AB62" s="174">
        <f t="shared" si="68"/>
        <v>0</v>
      </c>
      <c r="AC62" s="174">
        <f t="shared" si="68"/>
        <v>0</v>
      </c>
      <c r="AD62" s="174">
        <f t="shared" si="68"/>
        <v>0</v>
      </c>
      <c r="AE62" s="174"/>
      <c r="AF62" s="174">
        <f t="shared" si="64"/>
        <v>0</v>
      </c>
      <c r="AG62" s="174">
        <f t="shared" ref="AG62:AG63" si="69">SUM(V62:AF62)</f>
        <v>0</v>
      </c>
      <c r="AH62" s="174">
        <f t="shared" si="65"/>
        <v>4157828.8538560383</v>
      </c>
      <c r="AI62" s="191">
        <f>AH62/'Collections and ACP'!E74</f>
        <v>4.9090452260448211E-2</v>
      </c>
      <c r="AL62" s="172">
        <f t="shared" ref="AL62:AL84" si="70">H62+J62+K62+M62+Q62+V62+W62+X62+Y62+Z62+AA62+AC62+AD62+AF62+O62+P62+AE62</f>
        <v>1443216.8538560383</v>
      </c>
      <c r="AM62" s="172">
        <f t="shared" ref="AM62:AM84" si="71">I62+L62+AB62+N62</f>
        <v>2714612</v>
      </c>
      <c r="AN62" s="105">
        <f t="shared" ref="AN62:AN84" si="72">AL62/(AL62+AM62)</f>
        <v>0.34710828766258028</v>
      </c>
      <c r="AO62" s="105">
        <f t="shared" ref="AO62:AO84" si="73">1-AN62</f>
        <v>0.65289171233741972</v>
      </c>
    </row>
    <row r="63" spans="1:41" x14ac:dyDescent="0.25">
      <c r="A63" s="177" t="s">
        <v>19</v>
      </c>
      <c r="B63" s="178">
        <f>'ABP Under Contract'!B64</f>
        <v>251607</v>
      </c>
      <c r="C63" s="178">
        <f>'ABP Under Contract'!C64</f>
        <v>299718</v>
      </c>
      <c r="D63" s="178">
        <f>'ABP Under Contract'!D64</f>
        <v>328220</v>
      </c>
      <c r="E63" s="178" t="str">
        <f>'ABP Under Contract'!E64</f>
        <v xml:space="preserve"> -   </v>
      </c>
      <c r="F63" s="178" t="str">
        <f>'ABP Under Contract'!F64</f>
        <v xml:space="preserve"> -   </v>
      </c>
      <c r="G63" s="178" t="str">
        <f>'ABP Under Contract'!G64</f>
        <v xml:space="preserve"> -   </v>
      </c>
      <c r="H63" s="174">
        <f t="shared" si="66"/>
        <v>879545</v>
      </c>
      <c r="I63" s="178">
        <v>1261725</v>
      </c>
      <c r="J63" s="178"/>
      <c r="K63" s="178">
        <v>5286</v>
      </c>
      <c r="L63" s="178">
        <v>1452887</v>
      </c>
      <c r="M63" s="178">
        <v>1403726</v>
      </c>
      <c r="N63" s="178"/>
      <c r="O63" s="178"/>
      <c r="P63" s="178"/>
      <c r="Q63" s="178">
        <f t="shared" si="61"/>
        <v>45747.964586758157</v>
      </c>
      <c r="R63" s="174">
        <f t="shared" si="62"/>
        <v>4169371.9645867581</v>
      </c>
      <c r="S63" s="174">
        <f t="shared" si="67"/>
        <v>2334304.9645867581</v>
      </c>
      <c r="T63" s="174">
        <f t="shared" si="59"/>
        <v>2714612</v>
      </c>
      <c r="U63" s="174">
        <f t="shared" si="60"/>
        <v>5048916.9645867581</v>
      </c>
      <c r="V63" s="174">
        <f t="shared" ref="V63:AD63" si="74">$B$58*V6</f>
        <v>0</v>
      </c>
      <c r="W63" s="174">
        <f t="shared" si="74"/>
        <v>0</v>
      </c>
      <c r="X63" s="174">
        <f t="shared" si="74"/>
        <v>0</v>
      </c>
      <c r="Y63" s="174">
        <f t="shared" si="74"/>
        <v>0</v>
      </c>
      <c r="Z63" s="174">
        <f t="shared" si="74"/>
        <v>0</v>
      </c>
      <c r="AA63" s="174">
        <f t="shared" si="74"/>
        <v>0</v>
      </c>
      <c r="AB63" s="174">
        <f t="shared" si="74"/>
        <v>0</v>
      </c>
      <c r="AC63" s="174">
        <f t="shared" si="74"/>
        <v>0</v>
      </c>
      <c r="AD63" s="174">
        <f t="shared" si="74"/>
        <v>0</v>
      </c>
      <c r="AE63" s="174"/>
      <c r="AF63" s="174">
        <f t="shared" si="64"/>
        <v>0</v>
      </c>
      <c r="AG63" s="174">
        <f t="shared" si="69"/>
        <v>0</v>
      </c>
      <c r="AH63" s="174">
        <f t="shared" si="65"/>
        <v>5048916.9645867581</v>
      </c>
      <c r="AI63" s="191">
        <f>AH63/'Collections and ACP'!E75</f>
        <v>6.0510197852762931E-2</v>
      </c>
      <c r="AJ63" s="172"/>
      <c r="AK63" s="172"/>
      <c r="AL63" s="172">
        <f t="shared" si="70"/>
        <v>2334304.9645867581</v>
      </c>
      <c r="AM63" s="172">
        <f t="shared" si="71"/>
        <v>2714612</v>
      </c>
      <c r="AN63" s="105">
        <f t="shared" si="72"/>
        <v>0.46233776094153201</v>
      </c>
      <c r="AO63" s="105">
        <f t="shared" si="73"/>
        <v>0.53766223905846799</v>
      </c>
    </row>
    <row r="64" spans="1:41" x14ac:dyDescent="0.25">
      <c r="A64" s="177" t="s">
        <v>20</v>
      </c>
      <c r="B64" s="178">
        <f>'ABP Under Contract'!B65</f>
        <v>452978</v>
      </c>
      <c r="C64" s="178">
        <f>'ABP Under Contract'!C65</f>
        <v>402196</v>
      </c>
      <c r="D64" s="178">
        <f>'ABP Under Contract'!D65</f>
        <v>493416</v>
      </c>
      <c r="E64" s="178" t="str">
        <f>'ABP Under Contract'!E65</f>
        <v xml:space="preserve"> -   </v>
      </c>
      <c r="F64" s="178" t="str">
        <f>'ABP Under Contract'!F65</f>
        <v xml:space="preserve"> -   </v>
      </c>
      <c r="G64" s="178" t="str">
        <f>'ABP Under Contract'!G65</f>
        <v xml:space="preserve"> -   </v>
      </c>
      <c r="H64" s="174">
        <f t="shared" si="66"/>
        <v>1348590</v>
      </c>
      <c r="I64" s="178">
        <v>1261725</v>
      </c>
      <c r="J64" s="178"/>
      <c r="K64" s="30"/>
      <c r="L64" s="178">
        <v>1452887</v>
      </c>
      <c r="M64" s="178">
        <v>1403726</v>
      </c>
      <c r="N64" s="178"/>
      <c r="O64" s="178"/>
      <c r="P64" s="178"/>
      <c r="Q64" s="178">
        <f t="shared" si="61"/>
        <v>45519.224763824372</v>
      </c>
      <c r="R64" s="174">
        <f t="shared" si="62"/>
        <v>4163857.2247638246</v>
      </c>
      <c r="S64" s="174">
        <f t="shared" si="67"/>
        <v>2797835.2247638246</v>
      </c>
      <c r="T64" s="174">
        <f t="shared" si="59"/>
        <v>2714612</v>
      </c>
      <c r="U64" s="174">
        <f t="shared" si="60"/>
        <v>5512447.2247638246</v>
      </c>
      <c r="V64" s="174">
        <f t="shared" ref="V64:AD64" si="75">$B$58*V7</f>
        <v>0</v>
      </c>
      <c r="W64" s="174">
        <f t="shared" si="75"/>
        <v>0</v>
      </c>
      <c r="X64" s="174">
        <f t="shared" si="75"/>
        <v>0</v>
      </c>
      <c r="Y64" s="174">
        <f t="shared" si="75"/>
        <v>0</v>
      </c>
      <c r="Z64" s="174">
        <f t="shared" si="75"/>
        <v>0</v>
      </c>
      <c r="AA64" s="174">
        <f t="shared" si="75"/>
        <v>0</v>
      </c>
      <c r="AB64" s="174">
        <f t="shared" si="75"/>
        <v>0</v>
      </c>
      <c r="AC64" s="174">
        <f t="shared" si="75"/>
        <v>0</v>
      </c>
      <c r="AD64" s="174">
        <f t="shared" si="75"/>
        <v>0</v>
      </c>
      <c r="AE64" s="174"/>
      <c r="AF64" s="174">
        <f t="shared" si="64"/>
        <v>33152.934899257802</v>
      </c>
      <c r="AG64" s="174">
        <f>SUM(V64:AF64)</f>
        <v>33152.934899257802</v>
      </c>
      <c r="AH64" s="174">
        <f t="shared" si="65"/>
        <v>5545600.1596630821</v>
      </c>
      <c r="AI64" s="191">
        <f>AH64/'Collections and ACP'!E76</f>
        <v>6.6849195550592794E-2</v>
      </c>
      <c r="AJ64" s="172"/>
      <c r="AK64" s="172"/>
      <c r="AL64" s="172">
        <f t="shared" si="70"/>
        <v>2830988.1596630826</v>
      </c>
      <c r="AM64" s="172">
        <f t="shared" si="71"/>
        <v>2714612</v>
      </c>
      <c r="AN64" s="105">
        <f t="shared" si="72"/>
        <v>0.51049265690930667</v>
      </c>
      <c r="AO64" s="105">
        <f t="shared" si="73"/>
        <v>0.48950734309069333</v>
      </c>
    </row>
    <row r="65" spans="1:41" x14ac:dyDescent="0.25">
      <c r="A65" s="177" t="s">
        <v>22</v>
      </c>
      <c r="B65" s="178">
        <f>'ABP Under Contract'!B66</f>
        <v>529135</v>
      </c>
      <c r="C65" s="178">
        <f>'ABP Under Contract'!C66</f>
        <v>616957</v>
      </c>
      <c r="D65" s="178">
        <f>'ABP Under Contract'!D66</f>
        <v>743805</v>
      </c>
      <c r="E65" s="178">
        <f>'ABP Under Contract'!E66</f>
        <v>942</v>
      </c>
      <c r="F65" s="178">
        <f>'ABP Under Contract'!F66</f>
        <v>6313</v>
      </c>
      <c r="G65" s="178" t="str">
        <f>'ABP Under Contract'!G66</f>
        <v xml:space="preserve"> -   </v>
      </c>
      <c r="H65" s="174">
        <f t="shared" si="66"/>
        <v>1897152</v>
      </c>
      <c r="I65" s="178">
        <v>1261725</v>
      </c>
      <c r="J65" s="178"/>
      <c r="K65" s="30"/>
      <c r="L65" s="178">
        <v>1452887</v>
      </c>
      <c r="M65" s="178">
        <v>1403726</v>
      </c>
      <c r="N65" s="178">
        <f t="shared" ref="N65:P84" si="76">N8*$B$58</f>
        <v>0</v>
      </c>
      <c r="O65" s="178">
        <f t="shared" si="76"/>
        <v>0</v>
      </c>
      <c r="P65" s="178">
        <f t="shared" si="76"/>
        <v>0</v>
      </c>
      <c r="Q65" s="178">
        <f t="shared" si="61"/>
        <v>45291.628640005249</v>
      </c>
      <c r="R65" s="174">
        <f t="shared" si="62"/>
        <v>4163629.6286400054</v>
      </c>
      <c r="S65" s="174">
        <f t="shared" si="67"/>
        <v>3346169.6286400054</v>
      </c>
      <c r="T65" s="174">
        <f t="shared" si="59"/>
        <v>2714612</v>
      </c>
      <c r="U65" s="174">
        <f t="shared" si="60"/>
        <v>6060781.6286400054</v>
      </c>
      <c r="V65" s="174">
        <f t="shared" ref="V65:AD65" si="77">$B$58*V8</f>
        <v>0</v>
      </c>
      <c r="W65" s="174">
        <f t="shared" si="77"/>
        <v>0</v>
      </c>
      <c r="X65" s="174">
        <f t="shared" si="77"/>
        <v>0</v>
      </c>
      <c r="Y65" s="174">
        <f t="shared" si="77"/>
        <v>0</v>
      </c>
      <c r="Z65" s="174">
        <f t="shared" si="77"/>
        <v>0</v>
      </c>
      <c r="AA65" s="174">
        <f t="shared" si="77"/>
        <v>0</v>
      </c>
      <c r="AB65" s="174">
        <f t="shared" si="77"/>
        <v>0</v>
      </c>
      <c r="AC65" s="174">
        <f t="shared" si="77"/>
        <v>0</v>
      </c>
      <c r="AD65" s="174">
        <f t="shared" si="77"/>
        <v>0</v>
      </c>
      <c r="AE65" s="174">
        <f t="shared" ref="AE65:AE83" si="78">AE8*$C$58</f>
        <v>269304.5796</v>
      </c>
      <c r="AF65" s="174">
        <f t="shared" si="64"/>
        <v>65974.340449523021</v>
      </c>
      <c r="AG65" s="174">
        <f>SUM(V65:AF65)</f>
        <v>335278.920049523</v>
      </c>
      <c r="AH65" s="174">
        <f t="shared" si="65"/>
        <v>6396060.5486895284</v>
      </c>
      <c r="AI65" s="191">
        <f>AH65/'Collections and ACP'!E77</f>
        <v>7.8063071818619281E-2</v>
      </c>
      <c r="AJ65" s="172"/>
      <c r="AK65" s="172"/>
      <c r="AL65" s="172">
        <f t="shared" si="70"/>
        <v>3681448.5486895284</v>
      </c>
      <c r="AM65" s="172">
        <f t="shared" si="71"/>
        <v>2714612</v>
      </c>
      <c r="AN65" s="105">
        <f t="shared" si="72"/>
        <v>0.57558062821087752</v>
      </c>
      <c r="AO65" s="105">
        <f t="shared" si="73"/>
        <v>0.42441937178912248</v>
      </c>
    </row>
    <row r="66" spans="1:41" x14ac:dyDescent="0.25">
      <c r="A66" s="177" t="s">
        <v>23</v>
      </c>
      <c r="B66" s="178">
        <f>'ABP Under Contract'!B67</f>
        <v>624367</v>
      </c>
      <c r="C66" s="178">
        <f>'ABP Under Contract'!C67</f>
        <v>719377</v>
      </c>
      <c r="D66" s="178">
        <f>'ABP Under Contract'!D67</f>
        <v>1240635</v>
      </c>
      <c r="E66" s="178">
        <f>'ABP Under Contract'!E67</f>
        <v>24451</v>
      </c>
      <c r="F66" s="178">
        <f>'ABP Under Contract'!F67</f>
        <v>122119</v>
      </c>
      <c r="G66" s="178">
        <f>'ABP Under Contract'!G67</f>
        <v>545907</v>
      </c>
      <c r="H66" s="174">
        <f t="shared" si="66"/>
        <v>3276856</v>
      </c>
      <c r="I66" s="178">
        <v>1261725</v>
      </c>
      <c r="J66" s="178"/>
      <c r="K66" s="30"/>
      <c r="L66" s="178">
        <v>1452887</v>
      </c>
      <c r="M66" s="178">
        <v>1403726</v>
      </c>
      <c r="N66" s="178">
        <f t="shared" si="76"/>
        <v>0</v>
      </c>
      <c r="O66" s="178">
        <f t="shared" si="76"/>
        <v>1334244.0973101917</v>
      </c>
      <c r="P66" s="178">
        <f t="shared" si="76"/>
        <v>0</v>
      </c>
      <c r="Q66" s="178">
        <f t="shared" si="61"/>
        <v>45065.170496805222</v>
      </c>
      <c r="R66" s="174">
        <f t="shared" si="62"/>
        <v>5497647.2678069975</v>
      </c>
      <c r="S66" s="174">
        <f t="shared" si="67"/>
        <v>6059891.2678069975</v>
      </c>
      <c r="T66" s="174">
        <f t="shared" si="59"/>
        <v>2714612</v>
      </c>
      <c r="U66" s="174">
        <f t="shared" si="60"/>
        <v>8774503.2678069975</v>
      </c>
      <c r="V66" s="174">
        <f t="shared" ref="V66:AD66" si="79">$B$58*V9</f>
        <v>102920.01347744453</v>
      </c>
      <c r="W66" s="174">
        <f t="shared" si="79"/>
        <v>109575.62715334685</v>
      </c>
      <c r="X66" s="174">
        <f t="shared" si="79"/>
        <v>0</v>
      </c>
      <c r="Y66" s="174">
        <f t="shared" si="79"/>
        <v>90586.601755642449</v>
      </c>
      <c r="Z66" s="174">
        <f t="shared" si="79"/>
        <v>0</v>
      </c>
      <c r="AA66" s="174">
        <f t="shared" si="79"/>
        <v>121750.69683705205</v>
      </c>
      <c r="AB66" s="174">
        <f t="shared" si="79"/>
        <v>0</v>
      </c>
      <c r="AC66" s="174">
        <f t="shared" si="79"/>
        <v>0</v>
      </c>
      <c r="AD66" s="174">
        <f t="shared" si="79"/>
        <v>0</v>
      </c>
      <c r="AE66" s="174">
        <f t="shared" si="78"/>
        <v>269304.5796</v>
      </c>
      <c r="AF66" s="174">
        <f t="shared" si="64"/>
        <v>98961.510674284524</v>
      </c>
      <c r="AG66" s="174">
        <f t="shared" ref="AG66:AG84" si="80">SUM(V66:AF66)</f>
        <v>793099.02949777036</v>
      </c>
      <c r="AH66" s="174">
        <f t="shared" si="65"/>
        <v>9567602.2973047681</v>
      </c>
      <c r="AI66" s="191">
        <f>AH66/'Collections and ACP'!E78</f>
        <v>0.11730677129443945</v>
      </c>
      <c r="AJ66" s="172"/>
      <c r="AK66" s="172"/>
      <c r="AL66" s="172">
        <f t="shared" si="70"/>
        <v>6852990.2973047681</v>
      </c>
      <c r="AM66" s="172">
        <f t="shared" si="71"/>
        <v>2714612</v>
      </c>
      <c r="AN66" s="105">
        <f t="shared" si="72"/>
        <v>0.71627039715428842</v>
      </c>
      <c r="AO66" s="105">
        <f t="shared" si="73"/>
        <v>0.28372960284571158</v>
      </c>
    </row>
    <row r="67" spans="1:41" x14ac:dyDescent="0.25">
      <c r="A67" s="177" t="s">
        <v>24</v>
      </c>
      <c r="B67" s="178">
        <f>'ABP Under Contract'!B68</f>
        <v>620996</v>
      </c>
      <c r="C67" s="178">
        <f>'ABP Under Contract'!C68</f>
        <v>715768</v>
      </c>
      <c r="D67" s="178">
        <f>'ABP Under Contract'!D68</f>
        <v>1452961</v>
      </c>
      <c r="E67" s="178">
        <f>'ABP Under Contract'!E68</f>
        <v>33331</v>
      </c>
      <c r="F67" s="178">
        <f>'ABP Under Contract'!F68</f>
        <v>145175</v>
      </c>
      <c r="G67" s="178">
        <f>'ABP Under Contract'!G68</f>
        <v>561657</v>
      </c>
      <c r="H67" s="174">
        <f t="shared" si="66"/>
        <v>3529888</v>
      </c>
      <c r="I67" s="178">
        <v>1261725</v>
      </c>
      <c r="J67" s="178"/>
      <c r="K67" s="30"/>
      <c r="L67" s="178">
        <v>1452887</v>
      </c>
      <c r="M67" s="178">
        <v>1403726</v>
      </c>
      <c r="N67" s="178">
        <f t="shared" si="76"/>
        <v>0</v>
      </c>
      <c r="O67" s="178">
        <f t="shared" si="76"/>
        <v>2915392.4870727579</v>
      </c>
      <c r="P67" s="178">
        <f t="shared" si="76"/>
        <v>0</v>
      </c>
      <c r="Q67" s="178">
        <f t="shared" si="61"/>
        <v>44839.844644321194</v>
      </c>
      <c r="R67" s="174">
        <f t="shared" si="62"/>
        <v>7078570.3317170795</v>
      </c>
      <c r="S67" s="174">
        <f t="shared" si="67"/>
        <v>7893846.3317170795</v>
      </c>
      <c r="T67" s="174">
        <f t="shared" si="59"/>
        <v>2714612</v>
      </c>
      <c r="U67" s="174">
        <f t="shared" si="60"/>
        <v>10608458.33171708</v>
      </c>
      <c r="V67" s="174">
        <f t="shared" ref="V67:AD67" si="81">$B$58*V10</f>
        <v>205325.42688750182</v>
      </c>
      <c r="W67" s="174">
        <f t="shared" si="81"/>
        <v>218603.37617092696</v>
      </c>
      <c r="X67" s="174">
        <f t="shared" si="81"/>
        <v>188141.40364633434</v>
      </c>
      <c r="Y67" s="174">
        <f t="shared" si="81"/>
        <v>180720.27050250667</v>
      </c>
      <c r="Z67" s="174">
        <f t="shared" si="81"/>
        <v>27872.800540197677</v>
      </c>
      <c r="AA67" s="174">
        <f t="shared" si="81"/>
        <v>242892.64018991886</v>
      </c>
      <c r="AB67" s="174">
        <f t="shared" si="81"/>
        <v>0</v>
      </c>
      <c r="AC67" s="174">
        <f t="shared" si="81"/>
        <v>0</v>
      </c>
      <c r="AD67" s="174">
        <f t="shared" si="81"/>
        <v>0</v>
      </c>
      <c r="AE67" s="174">
        <f t="shared" si="78"/>
        <v>269304.5796</v>
      </c>
      <c r="AF67" s="174">
        <f t="shared" si="64"/>
        <v>131948.68089904604</v>
      </c>
      <c r="AG67" s="174">
        <f t="shared" si="80"/>
        <v>1464809.1784364325</v>
      </c>
      <c r="AH67" s="174">
        <f t="shared" si="65"/>
        <v>12073267.510153512</v>
      </c>
      <c r="AI67" s="191">
        <f>AH67/'Collections and ACP'!E79</f>
        <v>0.14796952882754177</v>
      </c>
      <c r="AJ67" s="172"/>
      <c r="AK67" s="172"/>
      <c r="AL67" s="172">
        <f t="shared" si="70"/>
        <v>9358655.5101535115</v>
      </c>
      <c r="AM67" s="172">
        <f t="shared" si="71"/>
        <v>2714612</v>
      </c>
      <c r="AN67" s="105">
        <f t="shared" si="72"/>
        <v>0.77515515184956885</v>
      </c>
      <c r="AO67" s="105">
        <f t="shared" si="73"/>
        <v>0.22484484815043115</v>
      </c>
    </row>
    <row r="68" spans="1:41" x14ac:dyDescent="0.25">
      <c r="A68" s="177" t="s">
        <v>25</v>
      </c>
      <c r="B68" s="178">
        <f>'ABP Under Contract'!B69</f>
        <v>617691</v>
      </c>
      <c r="C68" s="178">
        <f>'ABP Under Contract'!C69</f>
        <v>712192</v>
      </c>
      <c r="D68" s="178">
        <f>'ABP Under Contract'!D69</f>
        <v>1445703</v>
      </c>
      <c r="E68" s="178">
        <f>'ABP Under Contract'!E69</f>
        <v>33164</v>
      </c>
      <c r="F68" s="178">
        <f>'ABP Under Contract'!F69</f>
        <v>144445</v>
      </c>
      <c r="G68" s="178">
        <f>'ABP Under Contract'!G69</f>
        <v>558849</v>
      </c>
      <c r="H68" s="174">
        <f t="shared" si="66"/>
        <v>3512044</v>
      </c>
      <c r="I68" s="178">
        <v>1261725</v>
      </c>
      <c r="J68" s="178"/>
      <c r="K68" s="30"/>
      <c r="L68" s="178">
        <v>1452887</v>
      </c>
      <c r="M68" s="178">
        <v>1403726</v>
      </c>
      <c r="N68" s="178">
        <f t="shared" si="76"/>
        <v>837273.84397278773</v>
      </c>
      <c r="O68" s="178">
        <f t="shared" si="76"/>
        <v>3506187.4105162481</v>
      </c>
      <c r="P68" s="178">
        <f t="shared" si="76"/>
        <v>52198.237926491005</v>
      </c>
      <c r="Q68" s="178">
        <f t="shared" si="61"/>
        <v>44615.645421099594</v>
      </c>
      <c r="R68" s="174">
        <f t="shared" si="62"/>
        <v>8558613.1378366239</v>
      </c>
      <c r="S68" s="174">
        <f t="shared" si="67"/>
        <v>8518771.2938638367</v>
      </c>
      <c r="T68" s="174">
        <f t="shared" si="59"/>
        <v>3551885.8439727877</v>
      </c>
      <c r="U68" s="174">
        <f t="shared" si="60"/>
        <v>12070657.137836624</v>
      </c>
      <c r="V68" s="174">
        <f t="shared" ref="V68:AD68" si="82">$B$58*V11</f>
        <v>307218.81323050888</v>
      </c>
      <c r="W68" s="174">
        <f t="shared" si="82"/>
        <v>327085.98644341918</v>
      </c>
      <c r="X68" s="174">
        <f t="shared" si="82"/>
        <v>375342.10027443699</v>
      </c>
      <c r="Y68" s="174">
        <f t="shared" si="82"/>
        <v>270403.2709056366</v>
      </c>
      <c r="Z68" s="174">
        <f t="shared" si="82"/>
        <v>55606.237077694364</v>
      </c>
      <c r="AA68" s="174">
        <f t="shared" si="82"/>
        <v>363428.87382602127</v>
      </c>
      <c r="AB68" s="174">
        <f t="shared" si="82"/>
        <v>0</v>
      </c>
      <c r="AC68" s="174">
        <f t="shared" si="82"/>
        <v>0</v>
      </c>
      <c r="AD68" s="174">
        <f t="shared" si="82"/>
        <v>0</v>
      </c>
      <c r="AE68" s="174">
        <f t="shared" si="78"/>
        <v>269304.5796</v>
      </c>
      <c r="AF68" s="174">
        <f t="shared" si="64"/>
        <v>164935.85112380754</v>
      </c>
      <c r="AG68" s="174">
        <f t="shared" si="80"/>
        <v>2133325.7124815253</v>
      </c>
      <c r="AH68" s="174">
        <f t="shared" si="65"/>
        <v>14203982.850318149</v>
      </c>
      <c r="AI68" s="191">
        <f>AH68/'Collections and ACP'!E80</f>
        <v>0.17346368550442176</v>
      </c>
      <c r="AJ68" s="172"/>
      <c r="AK68" s="172"/>
      <c r="AL68" s="172">
        <f t="shared" si="70"/>
        <v>10652097.006345363</v>
      </c>
      <c r="AM68" s="172">
        <f t="shared" si="71"/>
        <v>3551885.8439727877</v>
      </c>
      <c r="AN68" s="105">
        <f t="shared" si="72"/>
        <v>0.74993733226781323</v>
      </c>
      <c r="AO68" s="105">
        <f t="shared" si="73"/>
        <v>0.25006266773218677</v>
      </c>
    </row>
    <row r="69" spans="1:41" x14ac:dyDescent="0.25">
      <c r="A69" s="177" t="s">
        <v>26</v>
      </c>
      <c r="B69" s="178">
        <f>'ABP Under Contract'!B70</f>
        <v>614511</v>
      </c>
      <c r="C69" s="178">
        <f>'ABP Under Contract'!C70</f>
        <v>708627</v>
      </c>
      <c r="D69" s="178">
        <f>'ABP Under Contract'!D70</f>
        <v>1438469</v>
      </c>
      <c r="E69" s="178">
        <f>'ABP Under Contract'!E70</f>
        <v>33000</v>
      </c>
      <c r="F69" s="178">
        <f>'ABP Under Contract'!F70</f>
        <v>143724</v>
      </c>
      <c r="G69" s="178">
        <f>'ABP Under Contract'!G70</f>
        <v>556057</v>
      </c>
      <c r="H69" s="174">
        <f t="shared" si="66"/>
        <v>3494388</v>
      </c>
      <c r="I69" s="178">
        <v>1261725</v>
      </c>
      <c r="J69" s="178"/>
      <c r="K69" s="30"/>
      <c r="L69" s="178">
        <v>1452887</v>
      </c>
      <c r="M69" s="178">
        <v>1403726</v>
      </c>
      <c r="N69" s="178">
        <f t="shared" si="76"/>
        <v>837273.84397278773</v>
      </c>
      <c r="O69" s="178">
        <f t="shared" si="76"/>
        <v>3488656.4734636666</v>
      </c>
      <c r="P69" s="178">
        <f t="shared" si="76"/>
        <v>111894.68219296308</v>
      </c>
      <c r="Q69" s="178">
        <f t="shared" si="61"/>
        <v>44392.567193994095</v>
      </c>
      <c r="R69" s="174">
        <f t="shared" si="62"/>
        <v>8600555.5668234099</v>
      </c>
      <c r="S69" s="174">
        <f t="shared" si="67"/>
        <v>8543057.7228506245</v>
      </c>
      <c r="T69" s="174">
        <f t="shared" si="59"/>
        <v>3551885.8439727877</v>
      </c>
      <c r="U69" s="174">
        <f t="shared" si="60"/>
        <v>12094943.56682341</v>
      </c>
      <c r="V69" s="174">
        <f t="shared" ref="V69:AD69" si="83">$B$58*V12</f>
        <v>408602.73264180077</v>
      </c>
      <c r="W69" s="174">
        <f t="shared" si="83"/>
        <v>435026.18366454897</v>
      </c>
      <c r="X69" s="174">
        <f t="shared" si="83"/>
        <v>561606.79341939918</v>
      </c>
      <c r="Y69" s="174">
        <f t="shared" si="83"/>
        <v>359637.85630675085</v>
      </c>
      <c r="Z69" s="174">
        <f t="shared" si="83"/>
        <v>83201.006432503564</v>
      </c>
      <c r="AA69" s="174">
        <f t="shared" si="83"/>
        <v>483362.42629394325</v>
      </c>
      <c r="AB69" s="174">
        <f t="shared" si="83"/>
        <v>1763453.9840030745</v>
      </c>
      <c r="AC69" s="174">
        <f t="shared" si="83"/>
        <v>1058072.3904018446</v>
      </c>
      <c r="AD69" s="174">
        <f t="shared" si="83"/>
        <v>59957.435456104533</v>
      </c>
      <c r="AE69" s="174">
        <f t="shared" si="78"/>
        <v>269304.5796</v>
      </c>
      <c r="AF69" s="174">
        <f t="shared" si="64"/>
        <v>197923.02134856905</v>
      </c>
      <c r="AG69" s="174">
        <f t="shared" si="80"/>
        <v>5680148.409568538</v>
      </c>
      <c r="AH69" s="174">
        <f t="shared" si="65"/>
        <v>17775091.976391949</v>
      </c>
      <c r="AI69" s="191">
        <f>AH69/'Collections and ACP'!E81</f>
        <v>0.21683006142355382</v>
      </c>
      <c r="AJ69" s="172"/>
      <c r="AK69" s="172"/>
      <c r="AL69" s="172">
        <f t="shared" si="70"/>
        <v>12459752.148416089</v>
      </c>
      <c r="AM69" s="172">
        <f t="shared" si="71"/>
        <v>5315339.8279758617</v>
      </c>
      <c r="AN69" s="105">
        <f t="shared" si="72"/>
        <v>0.70096695786241514</v>
      </c>
      <c r="AO69" s="105">
        <f t="shared" si="73"/>
        <v>0.29903304213758486</v>
      </c>
    </row>
    <row r="70" spans="1:41" x14ac:dyDescent="0.25">
      <c r="A70" s="177" t="s">
        <v>27</v>
      </c>
      <c r="B70" s="178">
        <f>'ABP Under Contract'!B71</f>
        <v>611375</v>
      </c>
      <c r="C70" s="178">
        <f>'ABP Under Contract'!C71</f>
        <v>705103</v>
      </c>
      <c r="D70" s="178">
        <f>'ABP Under Contract'!D71</f>
        <v>1431276</v>
      </c>
      <c r="E70" s="178">
        <f>'ABP Under Contract'!E71</f>
        <v>32835</v>
      </c>
      <c r="F70" s="178">
        <f>'ABP Under Contract'!F71</f>
        <v>143003</v>
      </c>
      <c r="G70" s="178">
        <f>'ABP Under Contract'!G71</f>
        <v>553273</v>
      </c>
      <c r="H70" s="174">
        <f t="shared" si="66"/>
        <v>3476865</v>
      </c>
      <c r="I70" s="178">
        <v>1261725</v>
      </c>
      <c r="J70" s="178"/>
      <c r="K70" s="30"/>
      <c r="L70" s="178">
        <v>1452887</v>
      </c>
      <c r="M70" s="178">
        <v>1403726</v>
      </c>
      <c r="N70" s="178">
        <f t="shared" si="76"/>
        <v>837273.84397278773</v>
      </c>
      <c r="O70" s="178">
        <f t="shared" si="76"/>
        <v>3471213.1910963482</v>
      </c>
      <c r="P70" s="178">
        <f t="shared" si="76"/>
        <v>171292.6442381028</v>
      </c>
      <c r="Q70" s="178">
        <f t="shared" si="61"/>
        <v>44170.604358024124</v>
      </c>
      <c r="R70" s="174">
        <f t="shared" si="62"/>
        <v>8642288.283665264</v>
      </c>
      <c r="S70" s="174">
        <f t="shared" si="67"/>
        <v>8567267.4396924768</v>
      </c>
      <c r="T70" s="174">
        <f t="shared" si="59"/>
        <v>3551885.8439727877</v>
      </c>
      <c r="U70" s="174">
        <f t="shared" si="60"/>
        <v>12119153.283665264</v>
      </c>
      <c r="V70" s="174">
        <f t="shared" ref="V70:AD70" si="84">$B$58*V13</f>
        <v>509479.73245603638</v>
      </c>
      <c r="W70" s="174">
        <f t="shared" si="84"/>
        <v>542426.67989957309</v>
      </c>
      <c r="X70" s="174">
        <f t="shared" si="84"/>
        <v>746940.16309863643</v>
      </c>
      <c r="Y70" s="174">
        <f t="shared" si="84"/>
        <v>448426.26878085959</v>
      </c>
      <c r="Z70" s="174">
        <f t="shared" si="84"/>
        <v>110657.80194053875</v>
      </c>
      <c r="AA70" s="174">
        <f t="shared" si="84"/>
        <v>602696.31099952571</v>
      </c>
      <c r="AB70" s="174">
        <f t="shared" si="84"/>
        <v>3526907.9680061489</v>
      </c>
      <c r="AC70" s="174">
        <f t="shared" si="84"/>
        <v>2110854.4188516801</v>
      </c>
      <c r="AD70" s="174">
        <f t="shared" si="84"/>
        <v>119615.08373492854</v>
      </c>
      <c r="AE70" s="174">
        <f t="shared" si="78"/>
        <v>269304.5796</v>
      </c>
      <c r="AF70" s="174">
        <f t="shared" si="64"/>
        <v>222725.40497620928</v>
      </c>
      <c r="AG70" s="174">
        <f t="shared" si="80"/>
        <v>9210034.4123441372</v>
      </c>
      <c r="AH70" s="174">
        <f t="shared" si="65"/>
        <v>21329187.696009401</v>
      </c>
      <c r="AI70" s="191">
        <f>AH70/'Collections and ACP'!E82</f>
        <v>0.25803578248222447</v>
      </c>
      <c r="AJ70" s="172"/>
      <c r="AK70" s="172"/>
      <c r="AL70" s="172">
        <f t="shared" si="70"/>
        <v>14250393.884030465</v>
      </c>
      <c r="AM70" s="172">
        <f t="shared" si="71"/>
        <v>7078793.8119789362</v>
      </c>
      <c r="AN70" s="105">
        <f t="shared" si="72"/>
        <v>0.66811704632786606</v>
      </c>
      <c r="AO70" s="105">
        <f t="shared" si="73"/>
        <v>0.33188295367213394</v>
      </c>
    </row>
    <row r="71" spans="1:41" x14ac:dyDescent="0.25">
      <c r="A71" s="177" t="s">
        <v>28</v>
      </c>
      <c r="B71" s="178">
        <f>'ABP Under Contract'!B72</f>
        <v>608248</v>
      </c>
      <c r="C71" s="178">
        <f>'ABP Under Contract'!C72</f>
        <v>701559</v>
      </c>
      <c r="D71" s="178">
        <f>'ABP Under Contract'!D72</f>
        <v>1424118</v>
      </c>
      <c r="E71" s="178">
        <f>'ABP Under Contract'!E72</f>
        <v>32671</v>
      </c>
      <c r="F71" s="178">
        <f>'ABP Under Contract'!F72</f>
        <v>142292</v>
      </c>
      <c r="G71" s="178">
        <f>'ABP Under Contract'!G72</f>
        <v>550508</v>
      </c>
      <c r="H71" s="174">
        <f t="shared" si="66"/>
        <v>3459396</v>
      </c>
      <c r="I71" s="178">
        <v>1261725</v>
      </c>
      <c r="J71" s="178"/>
      <c r="K71" s="30"/>
      <c r="L71" s="178">
        <v>1452887</v>
      </c>
      <c r="M71" s="178">
        <v>1403726</v>
      </c>
      <c r="N71" s="178">
        <f t="shared" si="76"/>
        <v>837273.84397278773</v>
      </c>
      <c r="O71" s="178">
        <f t="shared" si="76"/>
        <v>3453857.1251408663</v>
      </c>
      <c r="P71" s="178">
        <f t="shared" si="76"/>
        <v>170436.18101691228</v>
      </c>
      <c r="Q71" s="178">
        <f t="shared" si="61"/>
        <v>43949.751336234003</v>
      </c>
      <c r="R71" s="174">
        <f t="shared" si="62"/>
        <v>8623854.9014667999</v>
      </c>
      <c r="S71" s="174">
        <f t="shared" si="67"/>
        <v>8531365.0574940126</v>
      </c>
      <c r="T71" s="174">
        <f>I71+L71+N71</f>
        <v>3551885.8439727877</v>
      </c>
      <c r="U71" s="174">
        <f t="shared" si="60"/>
        <v>12083250.9014668</v>
      </c>
      <c r="V71" s="174">
        <f t="shared" ref="V71:AD71" si="85">$B$58*V14</f>
        <v>609852.34727120074</v>
      </c>
      <c r="W71" s="174">
        <f t="shared" si="85"/>
        <v>649290.17365342204</v>
      </c>
      <c r="X71" s="174">
        <f t="shared" si="85"/>
        <v>931346.86592947762</v>
      </c>
      <c r="Y71" s="174">
        <f t="shared" si="85"/>
        <v>536770.73919259768</v>
      </c>
      <c r="Z71" s="174">
        <f t="shared" si="85"/>
        <v>137977.3134710337</v>
      </c>
      <c r="AA71" s="174">
        <f t="shared" si="85"/>
        <v>721433.5262815801</v>
      </c>
      <c r="AB71" s="174">
        <f t="shared" si="85"/>
        <v>5290361.9520092234</v>
      </c>
      <c r="AC71" s="174">
        <f t="shared" si="85"/>
        <v>3158372.5371592664</v>
      </c>
      <c r="AD71" s="174">
        <f t="shared" si="85"/>
        <v>178974.44377235841</v>
      </c>
      <c r="AE71" s="174">
        <f t="shared" si="78"/>
        <v>269304.5796</v>
      </c>
      <c r="AF71" s="174">
        <f t="shared" si="64"/>
        <v>247527.78860384948</v>
      </c>
      <c r="AG71" s="174">
        <f t="shared" si="80"/>
        <v>12731212.26694401</v>
      </c>
      <c r="AH71" s="174">
        <f t="shared" si="65"/>
        <v>24814463.168410808</v>
      </c>
      <c r="AI71" s="191">
        <f>AH71/'Collections and ACP'!E83</f>
        <v>0.29788053913086759</v>
      </c>
      <c r="AJ71" s="172"/>
      <c r="AK71" s="172"/>
      <c r="AL71" s="172">
        <f t="shared" si="70"/>
        <v>15972215.372428799</v>
      </c>
      <c r="AM71" s="172">
        <f t="shared" si="71"/>
        <v>8842247.7959820107</v>
      </c>
      <c r="AN71" s="105">
        <f t="shared" si="72"/>
        <v>0.64366556165364375</v>
      </c>
      <c r="AO71" s="105">
        <f t="shared" si="73"/>
        <v>0.35633443834635625</v>
      </c>
    </row>
    <row r="72" spans="1:41" x14ac:dyDescent="0.25">
      <c r="A72" s="177" t="s">
        <v>29</v>
      </c>
      <c r="B72" s="178">
        <f>'ABP Under Contract'!B73</f>
        <v>605152</v>
      </c>
      <c r="C72" s="178">
        <f>'ABP Under Contract'!C73</f>
        <v>698047</v>
      </c>
      <c r="D72" s="178">
        <f>'ABP Under Contract'!D73</f>
        <v>1416996</v>
      </c>
      <c r="E72" s="178">
        <f>'ABP Under Contract'!E73</f>
        <v>32507</v>
      </c>
      <c r="F72" s="178">
        <f>'ABP Under Contract'!F73</f>
        <v>141580</v>
      </c>
      <c r="G72" s="178">
        <f>'ABP Under Contract'!G73</f>
        <v>547758</v>
      </c>
      <c r="H72" s="174">
        <f t="shared" si="66"/>
        <v>3442040</v>
      </c>
      <c r="I72" s="178">
        <v>1261725</v>
      </c>
      <c r="J72" s="178"/>
      <c r="K72" s="30"/>
      <c r="L72" s="178">
        <v>1452887</v>
      </c>
      <c r="M72" s="178">
        <v>1403726</v>
      </c>
      <c r="N72" s="178">
        <f t="shared" si="76"/>
        <v>837273.84397278773</v>
      </c>
      <c r="O72" s="178">
        <f t="shared" si="76"/>
        <v>3436587.8395151622</v>
      </c>
      <c r="P72" s="178">
        <f t="shared" si="76"/>
        <v>169584.00011182771</v>
      </c>
      <c r="Q72" s="178">
        <f t="shared" si="61"/>
        <v>43730.002579552842</v>
      </c>
      <c r="R72" s="174">
        <f t="shared" si="62"/>
        <v>8605513.6861793306</v>
      </c>
      <c r="S72" s="174">
        <f t="shared" si="67"/>
        <v>8495667.8422065433</v>
      </c>
      <c r="T72" s="174">
        <f t="shared" si="59"/>
        <v>3551885.8439727877</v>
      </c>
      <c r="U72" s="174">
        <f t="shared" si="60"/>
        <v>12047553.686179331</v>
      </c>
      <c r="V72" s="174">
        <f t="shared" ref="V72:AD72" si="86">$B$58*V15</f>
        <v>709723.0990122892</v>
      </c>
      <c r="W72" s="174">
        <f t="shared" si="86"/>
        <v>755619.34993850172</v>
      </c>
      <c r="X72" s="174">
        <f t="shared" si="86"/>
        <v>1114831.5352461645</v>
      </c>
      <c r="Y72" s="174">
        <f t="shared" si="86"/>
        <v>624673.48725227709</v>
      </c>
      <c r="Z72" s="174">
        <f t="shared" si="86"/>
        <v>165160.22744387624</v>
      </c>
      <c r="AA72" s="174">
        <f t="shared" si="86"/>
        <v>839577.05548722413</v>
      </c>
      <c r="AB72" s="174">
        <f t="shared" si="86"/>
        <v>7053815.9360122979</v>
      </c>
      <c r="AC72" s="174">
        <f t="shared" si="86"/>
        <v>3847962.2680746997</v>
      </c>
      <c r="AD72" s="174">
        <f t="shared" si="86"/>
        <v>238037.00700960116</v>
      </c>
      <c r="AE72" s="174">
        <f t="shared" si="78"/>
        <v>269304.5796</v>
      </c>
      <c r="AF72" s="174">
        <f t="shared" si="64"/>
        <v>272330.17223148968</v>
      </c>
      <c r="AG72" s="174">
        <f t="shared" si="80"/>
        <v>15891034.717308423</v>
      </c>
      <c r="AH72" s="174">
        <f t="shared" si="65"/>
        <v>27938588.403487753</v>
      </c>
      <c r="AI72" s="191">
        <f>AH72/'Collections and ACP'!E84</f>
        <v>0.33236903203250906</v>
      </c>
      <c r="AJ72" s="172"/>
      <c r="AK72" s="172"/>
      <c r="AL72" s="172">
        <f t="shared" si="70"/>
        <v>17332886.623502668</v>
      </c>
      <c r="AM72" s="172">
        <f t="shared" si="71"/>
        <v>10605701.779985085</v>
      </c>
      <c r="AN72" s="105">
        <f t="shared" si="72"/>
        <v>0.62039235387206937</v>
      </c>
      <c r="AO72" s="105">
        <f t="shared" si="73"/>
        <v>0.37960764612793063</v>
      </c>
    </row>
    <row r="73" spans="1:41" x14ac:dyDescent="0.25">
      <c r="A73" s="177" t="s">
        <v>30</v>
      </c>
      <c r="B73" s="178">
        <f>'ABP Under Contract'!B74</f>
        <v>601953</v>
      </c>
      <c r="C73" s="178">
        <f>'ABP Under Contract'!C74</f>
        <v>694530</v>
      </c>
      <c r="D73" s="178">
        <f>'ABP Under Contract'!D74</f>
        <v>1409908</v>
      </c>
      <c r="E73" s="178">
        <f>'ABP Under Contract'!E74</f>
        <v>32344</v>
      </c>
      <c r="F73" s="178">
        <f>'ABP Under Contract'!F74</f>
        <v>140873</v>
      </c>
      <c r="G73" s="178">
        <f>'ABP Under Contract'!G74</f>
        <v>545013</v>
      </c>
      <c r="H73" s="174">
        <f t="shared" si="66"/>
        <v>3424621</v>
      </c>
      <c r="I73" s="30"/>
      <c r="J73" s="30"/>
      <c r="K73" s="30"/>
      <c r="L73" s="178">
        <v>1452887</v>
      </c>
      <c r="M73" s="178">
        <v>1403726</v>
      </c>
      <c r="N73" s="178">
        <f t="shared" si="76"/>
        <v>837273.84397278773</v>
      </c>
      <c r="O73" s="178">
        <f t="shared" si="76"/>
        <v>3419404.900317586</v>
      </c>
      <c r="P73" s="178">
        <f t="shared" si="76"/>
        <v>168736.08011126859</v>
      </c>
      <c r="Q73" s="178">
        <f t="shared" si="61"/>
        <v>43511.35256665507</v>
      </c>
      <c r="R73" s="174">
        <f t="shared" si="62"/>
        <v>7325539.1769682979</v>
      </c>
      <c r="S73" s="174">
        <f t="shared" si="67"/>
        <v>8459999.3329955097</v>
      </c>
      <c r="T73" s="174">
        <f t="shared" si="59"/>
        <v>2290160.8439727877</v>
      </c>
      <c r="U73" s="174">
        <f t="shared" si="60"/>
        <v>10750160.176968299</v>
      </c>
      <c r="V73" s="174">
        <f t="shared" ref="V73:AD73" si="87">$B$58*V16</f>
        <v>809094.49699467223</v>
      </c>
      <c r="W73" s="174">
        <f t="shared" si="87"/>
        <v>861416.88034215593</v>
      </c>
      <c r="X73" s="174">
        <f t="shared" si="87"/>
        <v>1297398.781216268</v>
      </c>
      <c r="Y73" s="174">
        <f t="shared" si="87"/>
        <v>712136.72157165816</v>
      </c>
      <c r="Z73" s="174">
        <f t="shared" si="87"/>
        <v>192207.22684685458</v>
      </c>
      <c r="AA73" s="174">
        <f t="shared" si="87"/>
        <v>957129.86704684014</v>
      </c>
      <c r="AB73" s="174">
        <f t="shared" si="87"/>
        <v>8817269.9200153723</v>
      </c>
      <c r="AC73" s="174">
        <f t="shared" si="87"/>
        <v>4534104.0503355563</v>
      </c>
      <c r="AD73" s="174">
        <f t="shared" si="87"/>
        <v>296804.25743065769</v>
      </c>
      <c r="AE73" s="174">
        <f t="shared" si="78"/>
        <v>269304.5796</v>
      </c>
      <c r="AF73" s="174">
        <f t="shared" si="64"/>
        <v>297132.55585912988</v>
      </c>
      <c r="AG73" s="174">
        <f t="shared" si="80"/>
        <v>19043999.337259162</v>
      </c>
      <c r="AH73" s="174">
        <f t="shared" si="65"/>
        <v>29794159.514227461</v>
      </c>
      <c r="AI73" s="191">
        <f>AH73/'Collections and ACP'!E85</f>
        <v>0.35291242447717558</v>
      </c>
      <c r="AJ73" s="172"/>
      <c r="AK73" s="172"/>
      <c r="AL73" s="172">
        <f t="shared" si="70"/>
        <v>18686728.750239301</v>
      </c>
      <c r="AM73" s="172">
        <f t="shared" si="71"/>
        <v>11107430.76398816</v>
      </c>
      <c r="AN73" s="105">
        <f t="shared" si="72"/>
        <v>0.62719435805248736</v>
      </c>
      <c r="AO73" s="105">
        <f t="shared" si="73"/>
        <v>0.37280564194751264</v>
      </c>
    </row>
    <row r="74" spans="1:41" x14ac:dyDescent="0.25">
      <c r="A74" s="177" t="s">
        <v>31</v>
      </c>
      <c r="B74" s="178">
        <f>'ABP Under Contract'!B75</f>
        <v>598678</v>
      </c>
      <c r="C74" s="178">
        <f>'ABP Under Contract'!C75</f>
        <v>691055</v>
      </c>
      <c r="D74" s="178">
        <f>'ABP Under Contract'!D75</f>
        <v>1402861</v>
      </c>
      <c r="E74" s="178">
        <f>'ABP Under Contract'!E75</f>
        <v>32185</v>
      </c>
      <c r="F74" s="178">
        <f>'ABP Under Contract'!F75</f>
        <v>140168</v>
      </c>
      <c r="G74" s="178">
        <f>'ABP Under Contract'!G75</f>
        <v>542292</v>
      </c>
      <c r="H74" s="174">
        <f t="shared" si="66"/>
        <v>3407239</v>
      </c>
      <c r="I74" s="30"/>
      <c r="J74" s="30"/>
      <c r="K74" s="30"/>
      <c r="L74" s="178">
        <v>1150425</v>
      </c>
      <c r="M74" s="178">
        <v>1403726</v>
      </c>
      <c r="N74" s="178">
        <f t="shared" si="76"/>
        <v>837273.84397278773</v>
      </c>
      <c r="O74" s="178">
        <f t="shared" si="76"/>
        <v>3402307.8758159974</v>
      </c>
      <c r="P74" s="178">
        <f t="shared" si="76"/>
        <v>167892.3997107122</v>
      </c>
      <c r="Q74" s="178">
        <f t="shared" si="61"/>
        <v>43293.795803821798</v>
      </c>
      <c r="R74" s="174">
        <f t="shared" si="62"/>
        <v>7004918.9153033188</v>
      </c>
      <c r="S74" s="174">
        <f t="shared" si="67"/>
        <v>8424459.0713305306</v>
      </c>
      <c r="T74" s="174">
        <f t="shared" si="59"/>
        <v>1987698.8439727877</v>
      </c>
      <c r="U74" s="174">
        <f t="shared" si="60"/>
        <v>10412157.91530332</v>
      </c>
      <c r="V74" s="174">
        <f t="shared" ref="V74:AD74" si="88">$B$58*V17</f>
        <v>907969.03798714338</v>
      </c>
      <c r="W74" s="174">
        <f t="shared" si="88"/>
        <v>966685.42309379205</v>
      </c>
      <c r="X74" s="174">
        <f t="shared" si="88"/>
        <v>1479053.1909565211</v>
      </c>
      <c r="Y74" s="174">
        <f t="shared" si="88"/>
        <v>799162.63971944235</v>
      </c>
      <c r="Z74" s="174">
        <f t="shared" si="88"/>
        <v>219118.99125281797</v>
      </c>
      <c r="AA74" s="174">
        <f t="shared" si="88"/>
        <v>1074094.9145486578</v>
      </c>
      <c r="AB74" s="174">
        <f t="shared" si="88"/>
        <v>9522651.513616601</v>
      </c>
      <c r="AC74" s="174">
        <f t="shared" si="88"/>
        <v>5040469.7252848009</v>
      </c>
      <c r="AD74" s="174">
        <f t="shared" si="88"/>
        <v>355277.67159960896</v>
      </c>
      <c r="AE74" s="174">
        <f t="shared" si="78"/>
        <v>269304.5796</v>
      </c>
      <c r="AF74" s="174">
        <f t="shared" si="64"/>
        <v>321934.93948677008</v>
      </c>
      <c r="AG74" s="174">
        <f t="shared" si="80"/>
        <v>20955722.627146155</v>
      </c>
      <c r="AH74" s="174">
        <f t="shared" si="65"/>
        <v>31367880.542449474</v>
      </c>
      <c r="AI74" s="191">
        <f>AH74/'Collections and ACP'!E86</f>
        <v>0.36896509445924836</v>
      </c>
      <c r="AJ74" s="172"/>
      <c r="AK74" s="172"/>
      <c r="AL74" s="172">
        <f t="shared" si="70"/>
        <v>19857530.184860084</v>
      </c>
      <c r="AM74" s="172">
        <f t="shared" si="71"/>
        <v>11510350.357589388</v>
      </c>
      <c r="AN74" s="105">
        <f t="shared" si="72"/>
        <v>0.63305297780598591</v>
      </c>
      <c r="AO74" s="105">
        <f t="shared" si="73"/>
        <v>0.36694702219401409</v>
      </c>
    </row>
    <row r="75" spans="1:41" x14ac:dyDescent="0.25">
      <c r="A75" s="177" t="s">
        <v>32</v>
      </c>
      <c r="B75" s="178">
        <f>'ABP Under Contract'!B76</f>
        <v>520413</v>
      </c>
      <c r="C75" s="178">
        <f>'ABP Under Contract'!C76</f>
        <v>477985</v>
      </c>
      <c r="D75" s="178">
        <f>'ABP Under Contract'!D76</f>
        <v>1319998</v>
      </c>
      <c r="E75" s="178">
        <f>'ABP Under Contract'!E76</f>
        <v>32021</v>
      </c>
      <c r="F75" s="178">
        <f>'ABP Under Contract'!F76</f>
        <v>139469</v>
      </c>
      <c r="G75" s="178">
        <f>'ABP Under Contract'!G76</f>
        <v>539577</v>
      </c>
      <c r="H75" s="174">
        <f t="shared" si="66"/>
        <v>3029463</v>
      </c>
      <c r="I75" s="30"/>
      <c r="J75" s="30"/>
      <c r="K75" s="30"/>
      <c r="L75" s="178">
        <v>1150425</v>
      </c>
      <c r="M75" s="178">
        <v>1403726</v>
      </c>
      <c r="N75" s="178">
        <f t="shared" si="76"/>
        <v>837273.84397278773</v>
      </c>
      <c r="O75" s="178">
        <f t="shared" si="76"/>
        <v>3385296.3364369175</v>
      </c>
      <c r="P75" s="178">
        <f t="shared" si="76"/>
        <v>167052.93771215866</v>
      </c>
      <c r="Q75" s="178">
        <f t="shared" si="61"/>
        <v>43077.326824802687</v>
      </c>
      <c r="R75" s="174">
        <f t="shared" si="62"/>
        <v>6986851.4449466672</v>
      </c>
      <c r="S75" s="174">
        <f t="shared" si="67"/>
        <v>8028615.6009738799</v>
      </c>
      <c r="T75" s="174">
        <f t="shared" si="59"/>
        <v>1987698.8439727877</v>
      </c>
      <c r="U75" s="174">
        <f t="shared" si="60"/>
        <v>10016314.444946667</v>
      </c>
      <c r="V75" s="174">
        <f t="shared" ref="V75:AD75" si="89">$B$58*V18</f>
        <v>954889.19953592995</v>
      </c>
      <c r="W75" s="174">
        <f t="shared" si="89"/>
        <v>1016639.8095549966</v>
      </c>
      <c r="X75" s="174">
        <f t="shared" si="89"/>
        <v>1659799.3286480727</v>
      </c>
      <c r="Y75" s="174">
        <f t="shared" si="89"/>
        <v>840460.12739866623</v>
      </c>
      <c r="Z75" s="174">
        <f t="shared" si="89"/>
        <v>245896.19683675159</v>
      </c>
      <c r="AA75" s="174">
        <f t="shared" si="89"/>
        <v>1129599.7883944409</v>
      </c>
      <c r="AB75" s="174">
        <f t="shared" si="89"/>
        <v>10228033.107217832</v>
      </c>
      <c r="AC75" s="174">
        <f t="shared" si="89"/>
        <v>5544303.5718592992</v>
      </c>
      <c r="AD75" s="174">
        <f t="shared" si="89"/>
        <v>413458.71869771543</v>
      </c>
      <c r="AE75" s="174">
        <f t="shared" si="78"/>
        <v>269304.5796</v>
      </c>
      <c r="AF75" s="174">
        <f t="shared" si="64"/>
        <v>346737.32311441033</v>
      </c>
      <c r="AG75" s="174">
        <f t="shared" si="80"/>
        <v>22649121.750858113</v>
      </c>
      <c r="AH75" s="174">
        <f t="shared" si="65"/>
        <v>32665436.195804782</v>
      </c>
      <c r="AI75" s="191">
        <f>AH75/'Collections and ACP'!E87</f>
        <v>0.38227412911454361</v>
      </c>
      <c r="AJ75" s="172"/>
      <c r="AK75" s="172"/>
      <c r="AL75" s="172">
        <f t="shared" si="70"/>
        <v>20449704.244614162</v>
      </c>
      <c r="AM75" s="172">
        <f t="shared" si="71"/>
        <v>12215731.951190619</v>
      </c>
      <c r="AN75" s="105">
        <f t="shared" si="72"/>
        <v>0.62603493558247703</v>
      </c>
      <c r="AO75" s="105">
        <f t="shared" si="73"/>
        <v>0.37396506441752297</v>
      </c>
    </row>
    <row r="76" spans="1:41" x14ac:dyDescent="0.25">
      <c r="A76" s="177" t="s">
        <v>33</v>
      </c>
      <c r="B76" s="178">
        <f>'ABP Under Contract'!B77</f>
        <v>461385</v>
      </c>
      <c r="C76" s="178">
        <f>'ABP Under Contract'!C77</f>
        <v>471532</v>
      </c>
      <c r="D76" s="178">
        <f>'ABP Under Contract'!D77</f>
        <v>1313407</v>
      </c>
      <c r="E76" s="178">
        <f>'ABP Under Contract'!E77</f>
        <v>31862</v>
      </c>
      <c r="F76" s="178">
        <f>'ABP Under Contract'!F77</f>
        <v>138769</v>
      </c>
      <c r="G76" s="178">
        <f>'ABP Under Contract'!G77</f>
        <v>536879</v>
      </c>
      <c r="H76" s="174">
        <f t="shared" si="66"/>
        <v>2953834</v>
      </c>
      <c r="I76" s="30"/>
      <c r="J76" s="30"/>
      <c r="K76" s="30"/>
      <c r="L76" s="178">
        <v>939405</v>
      </c>
      <c r="M76" s="178">
        <v>1403726</v>
      </c>
      <c r="N76" s="178">
        <f t="shared" si="76"/>
        <v>837273.84397278773</v>
      </c>
      <c r="O76" s="178">
        <f t="shared" si="76"/>
        <v>3368369.8547547334</v>
      </c>
      <c r="P76" s="178">
        <f t="shared" si="76"/>
        <v>166217.67302359786</v>
      </c>
      <c r="Q76" s="178">
        <f t="shared" si="61"/>
        <v>42861.940190678673</v>
      </c>
      <c r="R76" s="174">
        <f t="shared" si="62"/>
        <v>6757854.3119417978</v>
      </c>
      <c r="S76" s="174">
        <f t="shared" si="67"/>
        <v>7935009.4679690097</v>
      </c>
      <c r="T76" s="174">
        <f t="shared" si="59"/>
        <v>1776678.8439727877</v>
      </c>
      <c r="U76" s="174">
        <f t="shared" si="60"/>
        <v>9711688.3119417988</v>
      </c>
      <c r="V76" s="174">
        <f t="shared" ref="V76:AD76" si="90">$B$58*V19</f>
        <v>1001574.7602769725</v>
      </c>
      <c r="W76" s="174">
        <f t="shared" si="90"/>
        <v>1066344.424083895</v>
      </c>
      <c r="X76" s="174">
        <f t="shared" si="90"/>
        <v>1745571.0338279994</v>
      </c>
      <c r="Y76" s="174">
        <f t="shared" si="90"/>
        <v>881551.12763949414</v>
      </c>
      <c r="Z76" s="174">
        <f t="shared" si="90"/>
        <v>258603.11612266663</v>
      </c>
      <c r="AA76" s="174">
        <f t="shared" si="90"/>
        <v>1184827.1378709946</v>
      </c>
      <c r="AB76" s="174">
        <f t="shared" si="90"/>
        <v>10933414.700819062</v>
      </c>
      <c r="AC76" s="174">
        <f t="shared" si="90"/>
        <v>6045618.2492009262</v>
      </c>
      <c r="AD76" s="174">
        <f t="shared" si="90"/>
        <v>471348.86056033138</v>
      </c>
      <c r="AE76" s="174">
        <f t="shared" si="78"/>
        <v>269304.5796</v>
      </c>
      <c r="AF76" s="174">
        <f t="shared" si="64"/>
        <v>371539.70674205053</v>
      </c>
      <c r="AG76" s="174">
        <f t="shared" si="80"/>
        <v>24229697.69674439</v>
      </c>
      <c r="AH76" s="174">
        <f t="shared" si="65"/>
        <v>33941386.008686185</v>
      </c>
      <c r="AI76" s="191">
        <f>AH76/'Collections and ACP'!E88</f>
        <v>0.39481746433234416</v>
      </c>
      <c r="AJ76" s="172"/>
      <c r="AK76" s="172"/>
      <c r="AL76" s="172">
        <f t="shared" si="70"/>
        <v>21231292.463894341</v>
      </c>
      <c r="AM76" s="172">
        <f t="shared" si="71"/>
        <v>12710093.544791849</v>
      </c>
      <c r="AN76" s="105">
        <f t="shared" si="72"/>
        <v>0.62552815192817657</v>
      </c>
      <c r="AO76" s="105">
        <f t="shared" si="73"/>
        <v>0.37447184807182343</v>
      </c>
    </row>
    <row r="77" spans="1:41" x14ac:dyDescent="0.25">
      <c r="A77" s="177" t="s">
        <v>34</v>
      </c>
      <c r="B77" s="178">
        <f>'ABP Under Contract'!B78</f>
        <v>418966</v>
      </c>
      <c r="C77" s="178">
        <f>'ABP Under Contract'!C78</f>
        <v>420428</v>
      </c>
      <c r="D77" s="178">
        <f>'ABP Under Contract'!D78</f>
        <v>1138163</v>
      </c>
      <c r="E77" s="178">
        <f>'ABP Under Contract'!E78</f>
        <v>31702</v>
      </c>
      <c r="F77" s="178">
        <f>'ABP Under Contract'!F78</f>
        <v>138073</v>
      </c>
      <c r="G77" s="178">
        <f>'ABP Under Contract'!G78</f>
        <v>534195</v>
      </c>
      <c r="H77" s="174">
        <f t="shared" si="66"/>
        <v>2681527</v>
      </c>
      <c r="I77" s="30"/>
      <c r="J77" s="30"/>
      <c r="K77" s="30"/>
      <c r="L77" s="178">
        <f t="shared" ref="L77:L84" si="91">L20*$B$58</f>
        <v>0</v>
      </c>
      <c r="M77" s="178"/>
      <c r="N77" s="178">
        <f t="shared" si="76"/>
        <v>837273.84397278773</v>
      </c>
      <c r="O77" s="178">
        <f t="shared" si="76"/>
        <v>3351528.00548096</v>
      </c>
      <c r="P77" s="178">
        <f t="shared" si="76"/>
        <v>165386.58465847987</v>
      </c>
      <c r="Q77" s="178">
        <f t="shared" si="61"/>
        <v>42647.630489725285</v>
      </c>
      <c r="R77" s="174">
        <f t="shared" si="62"/>
        <v>4396836.0646019531</v>
      </c>
      <c r="S77" s="174">
        <f t="shared" si="67"/>
        <v>6241089.2206291659</v>
      </c>
      <c r="T77" s="174">
        <f t="shared" si="59"/>
        <v>837273.84397278773</v>
      </c>
      <c r="U77" s="174">
        <f t="shared" si="60"/>
        <v>7078363.0646019531</v>
      </c>
      <c r="V77" s="174">
        <f t="shared" ref="V77:AD77" si="92">$B$58*V20</f>
        <v>1048026.8932143099</v>
      </c>
      <c r="W77" s="174">
        <f t="shared" si="92"/>
        <v>1115800.5155401491</v>
      </c>
      <c r="X77" s="174">
        <f t="shared" si="92"/>
        <v>1830913.8804820266</v>
      </c>
      <c r="Y77" s="174">
        <f t="shared" si="92"/>
        <v>922436.67287911801</v>
      </c>
      <c r="Z77" s="174">
        <f t="shared" si="92"/>
        <v>271246.50081215217</v>
      </c>
      <c r="AA77" s="174">
        <f t="shared" si="92"/>
        <v>1239778.3506001655</v>
      </c>
      <c r="AB77" s="174">
        <f t="shared" si="92"/>
        <v>11638796.294420291</v>
      </c>
      <c r="AC77" s="174">
        <f t="shared" si="92"/>
        <v>6544426.353155843</v>
      </c>
      <c r="AD77" s="174">
        <f t="shared" si="92"/>
        <v>528949.55171363428</v>
      </c>
      <c r="AE77" s="174">
        <f t="shared" si="78"/>
        <v>269304.5796</v>
      </c>
      <c r="AF77" s="174">
        <f t="shared" si="64"/>
        <v>396342.09036969068</v>
      </c>
      <c r="AG77" s="174">
        <f t="shared" si="80"/>
        <v>25806021.682787381</v>
      </c>
      <c r="AH77" s="174">
        <f t="shared" si="65"/>
        <v>32884384.747389335</v>
      </c>
      <c r="AI77" s="191">
        <f>AH77/'Collections and ACP'!E89</f>
        <v>0.38141817944623851</v>
      </c>
      <c r="AJ77" s="172"/>
      <c r="AK77" s="172"/>
      <c r="AL77" s="172">
        <f t="shared" si="70"/>
        <v>20408314.608996253</v>
      </c>
      <c r="AM77" s="172">
        <f t="shared" si="71"/>
        <v>12476070.138393078</v>
      </c>
      <c r="AN77" s="105">
        <f t="shared" si="72"/>
        <v>0.6206080717571113</v>
      </c>
      <c r="AO77" s="105">
        <f t="shared" si="73"/>
        <v>0.3793919282428887</v>
      </c>
    </row>
    <row r="78" spans="1:41" x14ac:dyDescent="0.25">
      <c r="A78" s="177" t="s">
        <v>35</v>
      </c>
      <c r="B78" s="178">
        <f>'ABP Under Contract'!B79</f>
        <v>353695</v>
      </c>
      <c r="C78" s="178">
        <f>'ABP Under Contract'!C79</f>
        <v>399377</v>
      </c>
      <c r="D78" s="178">
        <f>'ABP Under Contract'!D79</f>
        <v>1070568</v>
      </c>
      <c r="E78" s="178">
        <f>'ABP Under Contract'!E79</f>
        <v>31543</v>
      </c>
      <c r="F78" s="178">
        <f>'ABP Under Contract'!F79</f>
        <v>137387</v>
      </c>
      <c r="G78" s="178">
        <f>'ABP Under Contract'!G79</f>
        <v>531526</v>
      </c>
      <c r="H78" s="174">
        <f t="shared" si="66"/>
        <v>2524096</v>
      </c>
      <c r="I78" s="30"/>
      <c r="J78" s="30"/>
      <c r="K78" s="30"/>
      <c r="L78" s="178">
        <f t="shared" si="91"/>
        <v>0</v>
      </c>
      <c r="M78" s="178"/>
      <c r="N78" s="178">
        <f t="shared" si="76"/>
        <v>837273.84397278773</v>
      </c>
      <c r="O78" s="178">
        <f t="shared" si="76"/>
        <v>3334770.3654535548</v>
      </c>
      <c r="P78" s="178">
        <f t="shared" si="76"/>
        <v>164559.65173518745</v>
      </c>
      <c r="Q78" s="178">
        <f t="shared" si="61"/>
        <v>42434.392337276659</v>
      </c>
      <c r="R78" s="174">
        <f t="shared" si="62"/>
        <v>4379038.2534988066</v>
      </c>
      <c r="S78" s="174">
        <f t="shared" si="67"/>
        <v>6065860.4095260184</v>
      </c>
      <c r="T78" s="174">
        <f t="shared" si="59"/>
        <v>837273.84397278773</v>
      </c>
      <c r="U78" s="174">
        <f t="shared" si="60"/>
        <v>6903134.2534988066</v>
      </c>
      <c r="V78" s="174">
        <f t="shared" ref="V78:AD78" si="93">$B$58*V21</f>
        <v>1094246.7654869608</v>
      </c>
      <c r="W78" s="174">
        <f t="shared" si="93"/>
        <v>1165009.3265391218</v>
      </c>
      <c r="X78" s="174">
        <f t="shared" si="93"/>
        <v>1915830.0129027837</v>
      </c>
      <c r="Y78" s="174">
        <f t="shared" si="93"/>
        <v>963117.79039254354</v>
      </c>
      <c r="Z78" s="174">
        <f t="shared" si="93"/>
        <v>283826.66857819021</v>
      </c>
      <c r="AA78" s="174">
        <f t="shared" si="93"/>
        <v>1294454.8072656908</v>
      </c>
      <c r="AB78" s="174">
        <f t="shared" si="93"/>
        <v>12344177.888021521</v>
      </c>
      <c r="AC78" s="174">
        <f t="shared" si="93"/>
        <v>7040740.4165909868</v>
      </c>
      <c r="AD78" s="174">
        <f t="shared" si="93"/>
        <v>586262.23941117059</v>
      </c>
      <c r="AE78" s="174">
        <f t="shared" si="78"/>
        <v>269304.5796</v>
      </c>
      <c r="AF78" s="174">
        <f t="shared" si="64"/>
        <v>421144.47399733093</v>
      </c>
      <c r="AG78" s="174">
        <f t="shared" si="80"/>
        <v>27378114.968786303</v>
      </c>
      <c r="AH78" s="174">
        <f t="shared" si="65"/>
        <v>34281249.222285107</v>
      </c>
      <c r="AI78" s="191">
        <f>AH78/'Collections and ACP'!E90</f>
        <v>0.39509591786622983</v>
      </c>
      <c r="AJ78" s="172"/>
      <c r="AK78" s="172"/>
      <c r="AL78" s="172">
        <f t="shared" si="70"/>
        <v>21099797.490290798</v>
      </c>
      <c r="AM78" s="172">
        <f t="shared" si="71"/>
        <v>13181451.731994309</v>
      </c>
      <c r="AN78" s="105">
        <f t="shared" si="72"/>
        <v>0.61549091614125073</v>
      </c>
      <c r="AO78" s="105">
        <f t="shared" si="73"/>
        <v>0.38450908385874927</v>
      </c>
    </row>
    <row r="79" spans="1:41" x14ac:dyDescent="0.25">
      <c r="A79" s="177" t="s">
        <v>36</v>
      </c>
      <c r="B79" s="178">
        <f>'ABP Under Contract'!B80</f>
        <v>165085</v>
      </c>
      <c r="C79" s="178">
        <f>'ABP Under Contract'!C80</f>
        <v>305981</v>
      </c>
      <c r="D79" s="178">
        <f>'ABP Under Contract'!D80</f>
        <v>1053996</v>
      </c>
      <c r="E79" s="178">
        <f>'ABP Under Contract'!E80</f>
        <v>31387</v>
      </c>
      <c r="F79" s="178">
        <f>'ABP Under Contract'!F80</f>
        <v>136695</v>
      </c>
      <c r="G79" s="178">
        <f>'ABP Under Contract'!G80</f>
        <v>528862</v>
      </c>
      <c r="H79" s="174">
        <f t="shared" si="66"/>
        <v>2222006</v>
      </c>
      <c r="I79" s="30"/>
      <c r="J79" s="30"/>
      <c r="K79" s="30"/>
      <c r="L79" s="178">
        <f t="shared" si="91"/>
        <v>0</v>
      </c>
      <c r="M79" s="178"/>
      <c r="N79" s="178">
        <f t="shared" si="76"/>
        <v>837273.84397278773</v>
      </c>
      <c r="O79" s="178">
        <f t="shared" si="76"/>
        <v>3318096.5136262872</v>
      </c>
      <c r="P79" s="178">
        <f t="shared" si="76"/>
        <v>163736.85347651155</v>
      </c>
      <c r="Q79" s="178">
        <f t="shared" si="61"/>
        <v>42222.220375590274</v>
      </c>
      <c r="R79" s="174">
        <f t="shared" si="62"/>
        <v>4361329.4314511763</v>
      </c>
      <c r="S79" s="174">
        <f t="shared" si="67"/>
        <v>5746061.5874783881</v>
      </c>
      <c r="T79" s="174">
        <f t="shared" si="59"/>
        <v>837273.84397278773</v>
      </c>
      <c r="U79" s="174">
        <f t="shared" si="60"/>
        <v>6583335.4314511763</v>
      </c>
      <c r="V79" s="174">
        <f t="shared" ref="V79:AD79" si="94">$B$58*V22</f>
        <v>1140235.5383982481</v>
      </c>
      <c r="W79" s="174">
        <f t="shared" si="94"/>
        <v>1213972.0934830992</v>
      </c>
      <c r="X79" s="174">
        <f t="shared" si="94"/>
        <v>2000321.5646614369</v>
      </c>
      <c r="Y79" s="174">
        <f t="shared" si="94"/>
        <v>1003595.5023184022</v>
      </c>
      <c r="Z79" s="174">
        <f t="shared" si="94"/>
        <v>296343.93550539814</v>
      </c>
      <c r="AA79" s="174">
        <f t="shared" si="94"/>
        <v>1348857.8816478883</v>
      </c>
      <c r="AB79" s="174">
        <f t="shared" si="94"/>
        <v>13049559.48162275</v>
      </c>
      <c r="AC79" s="174">
        <f t="shared" si="94"/>
        <v>7534572.9097089535</v>
      </c>
      <c r="AD79" s="174">
        <f t="shared" si="94"/>
        <v>643288.3636702192</v>
      </c>
      <c r="AE79" s="174">
        <f t="shared" si="78"/>
        <v>269304.5796</v>
      </c>
      <c r="AF79" s="174">
        <f t="shared" si="64"/>
        <v>445946.85762497113</v>
      </c>
      <c r="AG79" s="174">
        <f t="shared" si="80"/>
        <v>28945998.708241366</v>
      </c>
      <c r="AH79" s="174">
        <f t="shared" si="65"/>
        <v>35529334.139692545</v>
      </c>
      <c r="AI79" s="191">
        <f>AH79/'Collections and ACP'!E91</f>
        <v>0.4073789028484236</v>
      </c>
      <c r="AJ79" s="172"/>
      <c r="AK79" s="172"/>
      <c r="AL79" s="172">
        <f t="shared" si="70"/>
        <v>21642500.814097006</v>
      </c>
      <c r="AM79" s="172">
        <f t="shared" si="71"/>
        <v>13886833.325595537</v>
      </c>
      <c r="AN79" s="105">
        <f t="shared" si="72"/>
        <v>0.60914456569898134</v>
      </c>
      <c r="AO79" s="105">
        <f t="shared" si="73"/>
        <v>0.39085543430101866</v>
      </c>
    </row>
    <row r="80" spans="1:41" x14ac:dyDescent="0.25">
      <c r="A80" s="177" t="s">
        <v>37</v>
      </c>
      <c r="B80" s="178">
        <f>'ABP Under Contract'!B81</f>
        <v>91081</v>
      </c>
      <c r="C80" s="178">
        <f>'ABP Under Contract'!C81</f>
        <v>98362</v>
      </c>
      <c r="D80" s="178">
        <f>'ABP Under Contract'!D81</f>
        <v>1048728</v>
      </c>
      <c r="E80" s="178">
        <f>'ABP Under Contract'!E81</f>
        <v>31229</v>
      </c>
      <c r="F80" s="178">
        <f>'ABP Under Contract'!F81</f>
        <v>130155</v>
      </c>
      <c r="G80" s="178">
        <f>'ABP Under Contract'!G81</f>
        <v>526226</v>
      </c>
      <c r="H80" s="174">
        <f t="shared" si="66"/>
        <v>1925781</v>
      </c>
      <c r="I80" s="30"/>
      <c r="J80" s="30"/>
      <c r="K80" s="30"/>
      <c r="L80" s="178">
        <f t="shared" si="91"/>
        <v>0</v>
      </c>
      <c r="M80" s="178"/>
      <c r="N80" s="178">
        <f t="shared" si="76"/>
        <v>837273.84397278773</v>
      </c>
      <c r="O80" s="178">
        <f t="shared" si="76"/>
        <v>3301506.0310581555</v>
      </c>
      <c r="P80" s="178">
        <f t="shared" si="76"/>
        <v>162918.16920912897</v>
      </c>
      <c r="Q80" s="178">
        <f t="shared" si="61"/>
        <v>42011.109273712318</v>
      </c>
      <c r="R80" s="174">
        <f t="shared" si="62"/>
        <v>4343709.1535137845</v>
      </c>
      <c r="S80" s="174">
        <f t="shared" si="67"/>
        <v>5432216.3095409963</v>
      </c>
      <c r="T80" s="174">
        <f t="shared" si="59"/>
        <v>837273.84397278773</v>
      </c>
      <c r="U80" s="174">
        <f t="shared" si="60"/>
        <v>6269490.1535137845</v>
      </c>
      <c r="V80" s="174">
        <f t="shared" ref="V80:AD80" si="95">$B$58*V23</f>
        <v>1185994.3674449793</v>
      </c>
      <c r="W80" s="174">
        <f t="shared" si="95"/>
        <v>1262690.0465923571</v>
      </c>
      <c r="X80" s="174">
        <f t="shared" si="95"/>
        <v>2084390.6586612966</v>
      </c>
      <c r="Y80" s="174">
        <f t="shared" si="95"/>
        <v>1043870.8256846314</v>
      </c>
      <c r="Z80" s="174">
        <f t="shared" si="95"/>
        <v>308798.61609796999</v>
      </c>
      <c r="AA80" s="174">
        <f t="shared" si="95"/>
        <v>1402988.9406581749</v>
      </c>
      <c r="AB80" s="174">
        <f t="shared" si="95"/>
        <v>13754941.07522398</v>
      </c>
      <c r="AC80" s="174">
        <f t="shared" si="95"/>
        <v>8025936.2403613301</v>
      </c>
      <c r="AD80" s="174">
        <f t="shared" si="95"/>
        <v>700029.35730797262</v>
      </c>
      <c r="AE80" s="174">
        <f t="shared" si="78"/>
        <v>269304.5796</v>
      </c>
      <c r="AF80" s="174">
        <f t="shared" si="64"/>
        <v>470749.24125261139</v>
      </c>
      <c r="AG80" s="174">
        <f t="shared" si="80"/>
        <v>30509693.948885303</v>
      </c>
      <c r="AH80" s="174">
        <f t="shared" si="65"/>
        <v>36779184.102399088</v>
      </c>
      <c r="AI80" s="191">
        <f>AH80/'Collections and ACP'!E92</f>
        <v>0.41914100971333407</v>
      </c>
      <c r="AJ80" s="172"/>
      <c r="AK80" s="172"/>
      <c r="AL80" s="172">
        <f t="shared" si="70"/>
        <v>22186969.183202323</v>
      </c>
      <c r="AM80" s="172">
        <f t="shared" si="71"/>
        <v>14592214.919196768</v>
      </c>
      <c r="AN80" s="105">
        <f t="shared" si="72"/>
        <v>0.60324799814564345</v>
      </c>
      <c r="AO80" s="105">
        <f t="shared" si="73"/>
        <v>0.39675200185435655</v>
      </c>
    </row>
    <row r="81" spans="1:41" x14ac:dyDescent="0.25">
      <c r="A81" s="177" t="s">
        <v>38</v>
      </c>
      <c r="B81" s="178">
        <f>'ABP Under Contract'!B82</f>
        <v>70</v>
      </c>
      <c r="C81" s="178" t="str">
        <f>'ABP Under Contract'!C82</f>
        <v xml:space="preserve"> -   </v>
      </c>
      <c r="D81" s="178">
        <f>'ABP Under Contract'!D82</f>
        <v>1043479</v>
      </c>
      <c r="E81" s="178">
        <f>'ABP Under Contract'!E82</f>
        <v>31074</v>
      </c>
      <c r="F81" s="178">
        <f>'ABP Under Contract'!F82</f>
        <v>22060</v>
      </c>
      <c r="G81" s="178">
        <f>'ABP Under Contract'!G82</f>
        <v>517115</v>
      </c>
      <c r="H81" s="174">
        <f t="shared" si="66"/>
        <v>1613798</v>
      </c>
      <c r="I81" s="30"/>
      <c r="J81" s="30"/>
      <c r="K81" s="30"/>
      <c r="L81" s="178">
        <f t="shared" si="91"/>
        <v>0</v>
      </c>
      <c r="M81" s="178"/>
      <c r="N81" s="178">
        <f t="shared" si="76"/>
        <v>837273.84397278773</v>
      </c>
      <c r="O81" s="178">
        <f t="shared" si="76"/>
        <v>3284998.5009028646</v>
      </c>
      <c r="P81" s="178">
        <f t="shared" si="76"/>
        <v>162103.5783630833</v>
      </c>
      <c r="Q81" s="178">
        <f t="shared" si="61"/>
        <v>41801.053727343759</v>
      </c>
      <c r="R81" s="174">
        <f t="shared" si="62"/>
        <v>4326176.9769660793</v>
      </c>
      <c r="S81" s="174">
        <f t="shared" si="67"/>
        <v>5102701.1329932921</v>
      </c>
      <c r="T81" s="174">
        <f t="shared" si="59"/>
        <v>837273.84397278773</v>
      </c>
      <c r="U81" s="174">
        <f t="shared" si="60"/>
        <v>5939974.9769660793</v>
      </c>
      <c r="V81" s="174">
        <f t="shared" ref="V81:AD81" si="96">$B$58*V24</f>
        <v>1136058.991574435</v>
      </c>
      <c r="W81" s="174">
        <f t="shared" si="96"/>
        <v>1209525.4584498173</v>
      </c>
      <c r="X81" s="174">
        <f t="shared" si="96"/>
        <v>2168039.4071911573</v>
      </c>
      <c r="Y81" s="174">
        <f t="shared" si="96"/>
        <v>1083944.7724340293</v>
      </c>
      <c r="Z81" s="174">
        <f t="shared" si="96"/>
        <v>321191.02328757895</v>
      </c>
      <c r="AA81" s="174">
        <f t="shared" si="96"/>
        <v>1343917.1760553529</v>
      </c>
      <c r="AB81" s="174">
        <f t="shared" si="96"/>
        <v>14460322.668825211</v>
      </c>
      <c r="AC81" s="174">
        <f t="shared" si="96"/>
        <v>8514842.7543604467</v>
      </c>
      <c r="AD81" s="174">
        <f t="shared" si="96"/>
        <v>756486.64597753726</v>
      </c>
      <c r="AE81" s="174">
        <f t="shared" si="78"/>
        <v>269304.5796</v>
      </c>
      <c r="AF81" s="174">
        <f t="shared" si="64"/>
        <v>495551.62488025159</v>
      </c>
      <c r="AG81" s="174">
        <f t="shared" si="80"/>
        <v>31759185.102635816</v>
      </c>
      <c r="AH81" s="174">
        <f t="shared" si="65"/>
        <v>37699160.079601899</v>
      </c>
      <c r="AI81" s="191">
        <f>AH81/'Collections and ACP'!E93</f>
        <v>0.42783168848992992</v>
      </c>
      <c r="AJ81" s="172"/>
      <c r="AK81" s="172"/>
      <c r="AL81" s="172">
        <f t="shared" si="70"/>
        <v>22401563.566803899</v>
      </c>
      <c r="AM81" s="172">
        <f t="shared" si="71"/>
        <v>15297596.512797998</v>
      </c>
      <c r="AN81" s="105">
        <f t="shared" si="72"/>
        <v>0.59421916879588099</v>
      </c>
      <c r="AO81" s="105">
        <f t="shared" si="73"/>
        <v>0.40578083120411901</v>
      </c>
    </row>
    <row r="82" spans="1:41" x14ac:dyDescent="0.25">
      <c r="A82" s="177" t="s">
        <v>39</v>
      </c>
      <c r="B82" s="178">
        <f>'ABP Under Contract'!B83</f>
        <v>50</v>
      </c>
      <c r="C82" s="178" t="str">
        <f>'ABP Under Contract'!C83</f>
        <v xml:space="preserve"> -   </v>
      </c>
      <c r="D82" s="178">
        <f>'ABP Under Contract'!D83</f>
        <v>1038271</v>
      </c>
      <c r="E82" s="178">
        <f>'ABP Under Contract'!E83</f>
        <v>30917</v>
      </c>
      <c r="F82" s="178" t="str">
        <f>'ABP Under Contract'!F83</f>
        <v xml:space="preserve"> -   </v>
      </c>
      <c r="G82" s="178">
        <f>'ABP Under Contract'!G83</f>
        <v>514533</v>
      </c>
      <c r="H82" s="174">
        <f t="shared" si="66"/>
        <v>1583771</v>
      </c>
      <c r="I82" s="30"/>
      <c r="J82" s="30"/>
      <c r="K82" s="30"/>
      <c r="L82" s="178">
        <f t="shared" si="91"/>
        <v>0</v>
      </c>
      <c r="M82" s="178"/>
      <c r="N82" s="178">
        <f t="shared" si="76"/>
        <v>837273.84397278773</v>
      </c>
      <c r="O82" s="178">
        <f t="shared" si="76"/>
        <v>3268573.5083983503</v>
      </c>
      <c r="P82" s="178">
        <f t="shared" si="76"/>
        <v>161293.06047126791</v>
      </c>
      <c r="Q82" s="178">
        <f t="shared" si="61"/>
        <v>41592.048458707039</v>
      </c>
      <c r="R82" s="174">
        <f t="shared" si="62"/>
        <v>4308732.4613011125</v>
      </c>
      <c r="S82" s="174">
        <f t="shared" si="67"/>
        <v>5055229.6173283253</v>
      </c>
      <c r="T82" s="174">
        <f t="shared" si="59"/>
        <v>837273.84397278773</v>
      </c>
      <c r="U82" s="174">
        <f t="shared" si="60"/>
        <v>5892503.4613011125</v>
      </c>
      <c r="V82" s="174">
        <f t="shared" ref="V82:AD82" si="97">$B$58*V25</f>
        <v>1086373.2925832435</v>
      </c>
      <c r="W82" s="174">
        <f t="shared" si="97"/>
        <v>1156626.6932479902</v>
      </c>
      <c r="X82" s="174">
        <f t="shared" si="97"/>
        <v>2251269.9119783691</v>
      </c>
      <c r="Y82" s="174">
        <f t="shared" si="97"/>
        <v>1123818.3494496802</v>
      </c>
      <c r="Z82" s="174">
        <f t="shared" si="97"/>
        <v>307667.52358608978</v>
      </c>
      <c r="AA82" s="174">
        <f t="shared" si="97"/>
        <v>1285140.7702755446</v>
      </c>
      <c r="AB82" s="174">
        <f t="shared" si="97"/>
        <v>15165704.26242644</v>
      </c>
      <c r="AC82" s="174">
        <f t="shared" si="97"/>
        <v>9001304.7357895654</v>
      </c>
      <c r="AD82" s="174">
        <f t="shared" si="97"/>
        <v>812661.6482037541</v>
      </c>
      <c r="AE82" s="174">
        <f t="shared" si="78"/>
        <v>269304.5796</v>
      </c>
      <c r="AF82" s="174">
        <f t="shared" si="64"/>
        <v>520354.00850789173</v>
      </c>
      <c r="AG82" s="174">
        <f t="shared" si="80"/>
        <v>32980225.775648564</v>
      </c>
      <c r="AH82" s="174">
        <f t="shared" si="65"/>
        <v>38872729.236949675</v>
      </c>
      <c r="AI82" s="191">
        <f>AH82/'Collections and ACP'!E94</f>
        <v>0.43928205639522983</v>
      </c>
      <c r="AJ82" s="172"/>
      <c r="AK82" s="172"/>
      <c r="AL82" s="172">
        <f t="shared" si="70"/>
        <v>22869751.130550452</v>
      </c>
      <c r="AM82" s="172">
        <f t="shared" si="71"/>
        <v>16002978.106399227</v>
      </c>
      <c r="AN82" s="105">
        <f t="shared" si="72"/>
        <v>0.58832378326582935</v>
      </c>
      <c r="AO82" s="105">
        <f t="shared" si="73"/>
        <v>0.41167621673417065</v>
      </c>
    </row>
    <row r="83" spans="1:41" x14ac:dyDescent="0.25">
      <c r="A83" s="177" t="s">
        <v>40</v>
      </c>
      <c r="B83" s="178">
        <f>'ABP Under Contract'!B84</f>
        <v>8</v>
      </c>
      <c r="C83" s="178" t="str">
        <f>'ABP Under Contract'!C84</f>
        <v xml:space="preserve"> -   </v>
      </c>
      <c r="D83" s="178">
        <f>'ABP Under Contract'!D84</f>
        <v>1033076</v>
      </c>
      <c r="E83" s="178">
        <f>'ABP Under Contract'!E84</f>
        <v>30763</v>
      </c>
      <c r="F83" s="178" t="str">
        <f>'ABP Under Contract'!F84</f>
        <v xml:space="preserve"> -   </v>
      </c>
      <c r="G83" s="178">
        <f>'ABP Under Contract'!G84</f>
        <v>511961</v>
      </c>
      <c r="H83" s="174">
        <f t="shared" si="66"/>
        <v>1575808</v>
      </c>
      <c r="I83" s="30"/>
      <c r="J83" s="30"/>
      <c r="K83" s="30"/>
      <c r="L83" s="178">
        <f t="shared" si="91"/>
        <v>0</v>
      </c>
      <c r="M83" s="178"/>
      <c r="N83" s="178">
        <f t="shared" si="76"/>
        <v>837273.84397278773</v>
      </c>
      <c r="O83" s="178">
        <f t="shared" si="76"/>
        <v>3252230.6408563582</v>
      </c>
      <c r="P83" s="178">
        <f t="shared" si="76"/>
        <v>160486.59516891159</v>
      </c>
      <c r="Q83" s="178">
        <f t="shared" si="61"/>
        <v>41384.088216413504</v>
      </c>
      <c r="R83" s="174">
        <f t="shared" si="62"/>
        <v>4291375.1682144711</v>
      </c>
      <c r="S83" s="174">
        <f t="shared" si="67"/>
        <v>5029909.3242416838</v>
      </c>
      <c r="T83" s="174">
        <f t="shared" si="59"/>
        <v>837273.84397278773</v>
      </c>
      <c r="U83" s="174">
        <f t="shared" si="60"/>
        <v>5867183.1682144711</v>
      </c>
      <c r="V83" s="174">
        <f t="shared" ref="V83:AD83" si="98">$B$58*V26</f>
        <v>985476.01534828544</v>
      </c>
      <c r="W83" s="174">
        <f t="shared" si="98"/>
        <v>1049204.6082954989</v>
      </c>
      <c r="X83" s="174">
        <f t="shared" si="98"/>
        <v>2334084.2642416442</v>
      </c>
      <c r="Y83" s="174">
        <f t="shared" si="98"/>
        <v>1118199.2577024319</v>
      </c>
      <c r="Z83" s="174">
        <f t="shared" si="98"/>
        <v>294211.64138310804</v>
      </c>
      <c r="AA83" s="174">
        <f t="shared" si="98"/>
        <v>1165782.8981061098</v>
      </c>
      <c r="AB83" s="174">
        <f t="shared" si="98"/>
        <v>15871085.85602767</v>
      </c>
      <c r="AC83" s="174">
        <f t="shared" si="98"/>
        <v>9485334.407311542</v>
      </c>
      <c r="AD83" s="174">
        <f t="shared" si="98"/>
        <v>868555.77541883988</v>
      </c>
      <c r="AE83" s="174">
        <f t="shared" si="78"/>
        <v>269304.5796</v>
      </c>
      <c r="AF83" s="174">
        <f t="shared" si="64"/>
        <v>545156.39213553199</v>
      </c>
      <c r="AG83" s="174">
        <f t="shared" si="80"/>
        <v>33986395.695570663</v>
      </c>
      <c r="AH83" s="174">
        <f t="shared" si="65"/>
        <v>39853578.863785133</v>
      </c>
      <c r="AI83" s="191"/>
      <c r="AJ83" s="172"/>
      <c r="AK83" s="172"/>
      <c r="AL83" s="172">
        <f t="shared" si="70"/>
        <v>23145219.163784672</v>
      </c>
      <c r="AM83" s="172">
        <f t="shared" si="71"/>
        <v>16708359.700000457</v>
      </c>
      <c r="AN83" s="105">
        <f t="shared" si="72"/>
        <v>0.58075635422586069</v>
      </c>
      <c r="AO83" s="105">
        <f t="shared" si="73"/>
        <v>0.41924364577413931</v>
      </c>
    </row>
    <row r="84" spans="1:41" x14ac:dyDescent="0.25">
      <c r="A84" s="189" t="s">
        <v>172</v>
      </c>
      <c r="L84" s="178">
        <f t="shared" si="91"/>
        <v>0</v>
      </c>
      <c r="N84" s="178">
        <f t="shared" si="76"/>
        <v>837273.84397278773</v>
      </c>
      <c r="O84" s="178">
        <f t="shared" si="76"/>
        <v>3242096.4846704956</v>
      </c>
      <c r="P84" s="178">
        <f t="shared" si="76"/>
        <v>159684.16219306699</v>
      </c>
      <c r="S84" s="174">
        <f t="shared" si="67"/>
        <v>3401780.6468635625</v>
      </c>
      <c r="T84" s="174">
        <f t="shared" si="59"/>
        <v>837273.84397278773</v>
      </c>
      <c r="U84" s="174">
        <f t="shared" si="60"/>
        <v>0</v>
      </c>
      <c r="AG84" s="174">
        <f t="shared" si="80"/>
        <v>0</v>
      </c>
      <c r="AH84" s="174">
        <f t="shared" ref="AH84" si="99">H84+R84+AG84</f>
        <v>0</v>
      </c>
      <c r="AI84" s="191"/>
      <c r="AL84" s="172">
        <f t="shared" si="70"/>
        <v>3401780.6468635625</v>
      </c>
      <c r="AM84" s="172">
        <f t="shared" si="71"/>
        <v>837273.84397278773</v>
      </c>
      <c r="AN84" s="105">
        <f t="shared" si="72"/>
        <v>0.80248570859781598</v>
      </c>
      <c r="AO84" s="105">
        <f t="shared" si="73"/>
        <v>0.19751429140218402</v>
      </c>
    </row>
    <row r="85" spans="1:41" x14ac:dyDescent="0.25">
      <c r="N85" s="187"/>
      <c r="O85" s="187"/>
      <c r="P85" s="187"/>
    </row>
    <row r="86" spans="1:41" x14ac:dyDescent="0.25">
      <c r="A86" s="177" t="s">
        <v>230</v>
      </c>
      <c r="B86" s="22">
        <v>5.0041044571267233E-3</v>
      </c>
    </row>
    <row r="87" spans="1:41" ht="30" x14ac:dyDescent="0.25">
      <c r="A87" s="184" t="s">
        <v>1</v>
      </c>
      <c r="B87" s="184" t="str">
        <f t="shared" ref="B87:G87" si="100">B2</f>
        <v>Small DG</v>
      </c>
      <c r="C87" s="184" t="str">
        <f t="shared" si="100"/>
        <v>Large DG</v>
      </c>
      <c r="D87" s="184" t="str">
        <f t="shared" si="100"/>
        <v>Traditional CS</v>
      </c>
      <c r="E87" s="184" t="str">
        <f t="shared" si="100"/>
        <v xml:space="preserve"> Public Schools </v>
      </c>
      <c r="F87" s="184" t="str">
        <f t="shared" si="100"/>
        <v xml:space="preserve"> CDCS </v>
      </c>
      <c r="G87" s="184" t="str">
        <f t="shared" si="100"/>
        <v xml:space="preserve"> EEC </v>
      </c>
      <c r="H87" s="24" t="s">
        <v>204</v>
      </c>
      <c r="I87" s="184" t="s">
        <v>205</v>
      </c>
      <c r="J87" s="184" t="s">
        <v>206</v>
      </c>
      <c r="K87" s="184" t="s">
        <v>207</v>
      </c>
      <c r="L87" s="184" t="s">
        <v>228</v>
      </c>
      <c r="M87" s="184" t="s">
        <v>229</v>
      </c>
      <c r="N87" s="184" t="s">
        <v>210</v>
      </c>
      <c r="O87" s="184" t="s">
        <v>211</v>
      </c>
      <c r="P87" s="184" t="s">
        <v>212</v>
      </c>
      <c r="Q87" s="313" t="s">
        <v>213</v>
      </c>
      <c r="R87" s="24" t="s">
        <v>214</v>
      </c>
      <c r="S87" s="24" t="s">
        <v>215</v>
      </c>
      <c r="T87" s="24" t="s">
        <v>216</v>
      </c>
      <c r="U87" s="24" t="s">
        <v>217</v>
      </c>
      <c r="V87" s="184" t="s">
        <v>138</v>
      </c>
      <c r="W87" s="184" t="s">
        <v>144</v>
      </c>
      <c r="X87" s="25" t="s">
        <v>153</v>
      </c>
      <c r="Y87" s="184" t="s">
        <v>158</v>
      </c>
      <c r="Z87" s="25" t="s">
        <v>162</v>
      </c>
      <c r="AA87" s="25" t="s">
        <v>165</v>
      </c>
      <c r="AB87" s="184" t="s">
        <v>90</v>
      </c>
      <c r="AC87" s="184" t="s">
        <v>91</v>
      </c>
      <c r="AD87" s="184" t="s">
        <v>86</v>
      </c>
      <c r="AE87" s="184" t="s">
        <v>218</v>
      </c>
      <c r="AF87" s="25" t="s">
        <v>219</v>
      </c>
      <c r="AG87" s="192" t="s">
        <v>220</v>
      </c>
      <c r="AH87" s="24" t="s">
        <v>221</v>
      </c>
      <c r="AI87" s="24" t="s">
        <v>222</v>
      </c>
      <c r="AL87" s="76" t="s">
        <v>224</v>
      </c>
      <c r="AM87" s="76" t="s">
        <v>225</v>
      </c>
      <c r="AN87" t="s">
        <v>226</v>
      </c>
      <c r="AO87" t="s">
        <v>227</v>
      </c>
    </row>
    <row r="88" spans="1:41" x14ac:dyDescent="0.25">
      <c r="A88" s="184"/>
      <c r="B88" s="184"/>
      <c r="C88" s="184"/>
      <c r="D88" s="184"/>
      <c r="E88" s="184"/>
      <c r="F88" s="184"/>
      <c r="G88" s="184"/>
      <c r="H88" s="24"/>
      <c r="I88" s="184"/>
      <c r="J88" s="184"/>
      <c r="K88" s="184"/>
      <c r="L88" s="184"/>
      <c r="M88" s="184"/>
      <c r="N88" s="184"/>
      <c r="O88" s="184"/>
      <c r="P88" s="184"/>
      <c r="Q88" s="313"/>
      <c r="R88" s="24"/>
      <c r="S88" s="24"/>
      <c r="T88" s="24"/>
      <c r="U88" s="24"/>
      <c r="V88" s="184"/>
      <c r="W88" s="184"/>
      <c r="X88" s="184"/>
      <c r="Y88" s="184"/>
      <c r="Z88" s="184"/>
      <c r="AA88" s="184"/>
      <c r="AB88" s="184"/>
      <c r="AC88" s="184"/>
      <c r="AD88" s="184"/>
      <c r="AE88" s="184"/>
      <c r="AF88" s="184"/>
      <c r="AG88" s="24"/>
      <c r="AH88" s="24"/>
      <c r="AI88" s="24"/>
    </row>
    <row r="89" spans="1:41" x14ac:dyDescent="0.25">
      <c r="A89" s="177" t="s">
        <v>17</v>
      </c>
      <c r="B89" s="178" t="str">
        <f>'ABP Under Contract'!B92</f>
        <v xml:space="preserve">-   </v>
      </c>
      <c r="C89" s="178">
        <f>'ABP Under Contract'!C92</f>
        <v>297</v>
      </c>
      <c r="D89" s="178">
        <f>'ABP Under Contract'!D92</f>
        <v>0</v>
      </c>
      <c r="E89" s="178">
        <f>'ABP Under Contract'!E92</f>
        <v>0</v>
      </c>
      <c r="F89" s="178">
        <f>'ABP Under Contract'!F92</f>
        <v>0</v>
      </c>
      <c r="G89" s="178">
        <f>'ABP Under Contract'!G92</f>
        <v>0</v>
      </c>
      <c r="H89" s="174">
        <f>SUM(B89:G89)</f>
        <v>297</v>
      </c>
      <c r="I89" s="178"/>
      <c r="J89" s="178"/>
      <c r="K89" s="178"/>
      <c r="L89" s="178">
        <v>2409</v>
      </c>
      <c r="M89" s="178">
        <v>3030.2923000000001</v>
      </c>
      <c r="N89" s="178"/>
      <c r="O89" s="178"/>
      <c r="P89" s="178"/>
      <c r="Q89" s="178">
        <f t="shared" ref="Q89:Q111" si="101">Q4*$B$86</f>
        <v>291.59717328390559</v>
      </c>
      <c r="R89" s="174">
        <f t="shared" ref="R89:R111" si="102">SUM(I89:Q89)</f>
        <v>5730.8894732839053</v>
      </c>
      <c r="S89" s="174">
        <f>H89+J89+K89+M89+O89+P89+Q89</f>
        <v>3618.8894732839058</v>
      </c>
      <c r="T89" s="174">
        <f t="shared" ref="T89:T112" si="103">I89+L89+N89</f>
        <v>2409</v>
      </c>
      <c r="U89" s="174">
        <f t="shared" ref="U89:U112" si="104">H89+R89</f>
        <v>6027.8894732839053</v>
      </c>
      <c r="V89" s="174">
        <f t="shared" ref="V89:AD89" si="105">$B$86*V4</f>
        <v>0</v>
      </c>
      <c r="W89" s="174">
        <f t="shared" si="105"/>
        <v>0</v>
      </c>
      <c r="X89" s="174">
        <f t="shared" si="105"/>
        <v>0</v>
      </c>
      <c r="Y89" s="174">
        <f t="shared" si="105"/>
        <v>0</v>
      </c>
      <c r="Z89" s="174">
        <f t="shared" si="105"/>
        <v>0</v>
      </c>
      <c r="AA89" s="174">
        <f t="shared" si="105"/>
        <v>0</v>
      </c>
      <c r="AB89" s="174">
        <f t="shared" si="105"/>
        <v>0</v>
      </c>
      <c r="AC89" s="174">
        <f t="shared" si="105"/>
        <v>0</v>
      </c>
      <c r="AD89" s="174">
        <f t="shared" si="105"/>
        <v>0</v>
      </c>
      <c r="AE89" s="174"/>
      <c r="AF89" s="174">
        <f t="shared" ref="AF89:AF111" si="106">AF4*$B$86</f>
        <v>0</v>
      </c>
      <c r="AG89" s="174">
        <f>SUM(V89:AF89)</f>
        <v>0</v>
      </c>
      <c r="AH89" s="174">
        <f t="shared" ref="AH89:AH111" si="107">H89+R89+AG89</f>
        <v>6027.8894732839053</v>
      </c>
      <c r="AI89" s="191">
        <f>AH89/'Collections and ACP'!E106</f>
        <v>1.1308279082646698E-2</v>
      </c>
      <c r="AL89" s="172">
        <f>H89+J89+K89+M89+Q89+V89+W89+X89+Y89+Z89+AA89+AC89+AD89+AF89+O89+P89+AE89</f>
        <v>3618.8894732839058</v>
      </c>
      <c r="AM89" s="172">
        <f>I89+L89+AB89+N89</f>
        <v>2409</v>
      </c>
      <c r="AN89" s="105">
        <f>AL89/(AL89+AM89)</f>
        <v>0.60035763583972757</v>
      </c>
      <c r="AO89" s="105">
        <f>1-AN89</f>
        <v>0.39964236416027243</v>
      </c>
    </row>
    <row r="90" spans="1:41" x14ac:dyDescent="0.25">
      <c r="A90" s="177" t="s">
        <v>18</v>
      </c>
      <c r="B90" s="178" t="str">
        <f>'ABP Under Contract'!B93</f>
        <v xml:space="preserve"> -   </v>
      </c>
      <c r="C90" s="178">
        <f>'ABP Under Contract'!C93</f>
        <v>3127</v>
      </c>
      <c r="D90" s="178">
        <f>'ABP Under Contract'!D93</f>
        <v>0</v>
      </c>
      <c r="E90" s="178">
        <f>'ABP Under Contract'!E93</f>
        <v>0</v>
      </c>
      <c r="F90" s="178">
        <f>'ABP Under Contract'!F93</f>
        <v>0</v>
      </c>
      <c r="G90" s="178">
        <f>'ABP Under Contract'!G93</f>
        <v>0</v>
      </c>
      <c r="H90" s="174">
        <f t="shared" ref="H90:H111" si="108">SUM(B90:G90)</f>
        <v>3127</v>
      </c>
      <c r="I90" s="178"/>
      <c r="J90" s="178"/>
      <c r="K90" s="178">
        <v>449</v>
      </c>
      <c r="L90" s="178">
        <v>6816</v>
      </c>
      <c r="M90" s="178">
        <v>6586.2923000000001</v>
      </c>
      <c r="N90" s="178"/>
      <c r="O90" s="178"/>
      <c r="P90" s="178"/>
      <c r="Q90" s="178">
        <f t="shared" si="101"/>
        <v>326.17520147568746</v>
      </c>
      <c r="R90" s="174">
        <f t="shared" si="102"/>
        <v>14177.467501475689</v>
      </c>
      <c r="S90" s="174">
        <f t="shared" ref="S90:S112" si="109">H90+J90+K90+M90+O90+P90+Q90</f>
        <v>10488.467501475689</v>
      </c>
      <c r="T90" s="174">
        <f t="shared" si="103"/>
        <v>6816</v>
      </c>
      <c r="U90" s="174">
        <f t="shared" si="104"/>
        <v>17304.467501475687</v>
      </c>
      <c r="V90" s="174">
        <f t="shared" ref="V90:AD90" si="110">$B$86*V5</f>
        <v>0</v>
      </c>
      <c r="W90" s="174">
        <f t="shared" si="110"/>
        <v>0</v>
      </c>
      <c r="X90" s="174">
        <f t="shared" si="110"/>
        <v>0</v>
      </c>
      <c r="Y90" s="174">
        <f t="shared" si="110"/>
        <v>0</v>
      </c>
      <c r="Z90" s="174">
        <f t="shared" si="110"/>
        <v>0</v>
      </c>
      <c r="AA90" s="174">
        <f t="shared" si="110"/>
        <v>0</v>
      </c>
      <c r="AB90" s="174">
        <f t="shared" si="110"/>
        <v>0</v>
      </c>
      <c r="AC90" s="174">
        <f t="shared" si="110"/>
        <v>0</v>
      </c>
      <c r="AD90" s="174">
        <f t="shared" si="110"/>
        <v>0</v>
      </c>
      <c r="AE90" s="174"/>
      <c r="AF90" s="174">
        <f t="shared" si="106"/>
        <v>0</v>
      </c>
      <c r="AG90" s="174">
        <f t="shared" ref="AG90:AG91" si="111">SUM(V90:AF90)</f>
        <v>0</v>
      </c>
      <c r="AH90" s="174">
        <f t="shared" si="107"/>
        <v>17304.467501475687</v>
      </c>
      <c r="AI90" s="191">
        <f>AH90/'Collections and ACP'!E107</f>
        <v>3.2617157979760232E-2</v>
      </c>
      <c r="AL90" s="172">
        <f t="shared" ref="AL90:AL112" si="112">H90+J90+K90+M90+Q90+V90+W90+X90+Y90+Z90+AA90+AC90+AD90+AF90+O90+P90+AE90</f>
        <v>10488.467501475689</v>
      </c>
      <c r="AM90" s="172">
        <f t="shared" ref="AM90:AM112" si="113">I90+L90+AB90+N90</f>
        <v>6816</v>
      </c>
      <c r="AN90" s="105">
        <f t="shared" ref="AN90:AN112" si="114">AL90/(AL90+AM90)</f>
        <v>0.60611327685068928</v>
      </c>
      <c r="AO90" s="105">
        <f t="shared" ref="AO90:AO112" si="115">1-AN90</f>
        <v>0.39388672314931072</v>
      </c>
    </row>
    <row r="91" spans="1:41" x14ac:dyDescent="0.25">
      <c r="A91" s="177" t="s">
        <v>19</v>
      </c>
      <c r="B91" s="178">
        <f>'ABP Under Contract'!B94</f>
        <v>266</v>
      </c>
      <c r="C91" s="178">
        <f>'ABP Under Contract'!C94</f>
        <v>3659</v>
      </c>
      <c r="D91" s="178">
        <f>'ABP Under Contract'!D94</f>
        <v>0</v>
      </c>
      <c r="E91" s="178">
        <f>'ABP Under Contract'!E94</f>
        <v>0</v>
      </c>
      <c r="F91" s="178">
        <f>'ABP Under Contract'!F94</f>
        <v>0</v>
      </c>
      <c r="G91" s="178">
        <f>'ABP Under Contract'!G94</f>
        <v>0</v>
      </c>
      <c r="H91" s="174">
        <f t="shared" si="108"/>
        <v>3925</v>
      </c>
      <c r="I91" s="178"/>
      <c r="J91" s="178"/>
      <c r="K91" s="178"/>
      <c r="L91" s="178">
        <v>6816</v>
      </c>
      <c r="M91" s="178">
        <v>6586.2923000000001</v>
      </c>
      <c r="N91" s="178"/>
      <c r="O91" s="178"/>
      <c r="P91" s="178"/>
      <c r="Q91" s="178">
        <f t="shared" si="101"/>
        <v>324.54432546830901</v>
      </c>
      <c r="R91" s="174">
        <f t="shared" si="102"/>
        <v>13726.83662546831</v>
      </c>
      <c r="S91" s="174">
        <f t="shared" si="109"/>
        <v>10835.83662546831</v>
      </c>
      <c r="T91" s="174">
        <f t="shared" si="103"/>
        <v>6816</v>
      </c>
      <c r="U91" s="174">
        <f t="shared" si="104"/>
        <v>17651.83662546831</v>
      </c>
      <c r="V91" s="174">
        <f t="shared" ref="V91:AD91" si="116">$B$86*V6</f>
        <v>0</v>
      </c>
      <c r="W91" s="174">
        <f t="shared" si="116"/>
        <v>0</v>
      </c>
      <c r="X91" s="174">
        <f t="shared" si="116"/>
        <v>0</v>
      </c>
      <c r="Y91" s="174">
        <f t="shared" si="116"/>
        <v>0</v>
      </c>
      <c r="Z91" s="174">
        <f t="shared" si="116"/>
        <v>0</v>
      </c>
      <c r="AA91" s="174">
        <f t="shared" si="116"/>
        <v>0</v>
      </c>
      <c r="AB91" s="174">
        <f t="shared" si="116"/>
        <v>0</v>
      </c>
      <c r="AC91" s="174">
        <f t="shared" si="116"/>
        <v>0</v>
      </c>
      <c r="AD91" s="174">
        <f t="shared" si="116"/>
        <v>0</v>
      </c>
      <c r="AE91" s="174"/>
      <c r="AF91" s="174">
        <f t="shared" si="106"/>
        <v>0</v>
      </c>
      <c r="AG91" s="174">
        <f t="shared" si="111"/>
        <v>0</v>
      </c>
      <c r="AH91" s="174">
        <f t="shared" si="107"/>
        <v>17651.83662546831</v>
      </c>
      <c r="AI91" s="191">
        <f>AH91/'Collections and ACP'!E108</f>
        <v>3.3498592007989388E-2</v>
      </c>
      <c r="AJ91" s="172"/>
      <c r="AK91" s="172"/>
      <c r="AL91" s="172">
        <f t="shared" si="112"/>
        <v>10835.83662546831</v>
      </c>
      <c r="AM91" s="172">
        <f t="shared" si="113"/>
        <v>6816</v>
      </c>
      <c r="AN91" s="105">
        <f t="shared" si="114"/>
        <v>0.61386454312828942</v>
      </c>
      <c r="AO91" s="105">
        <f t="shared" si="115"/>
        <v>0.38613545687171058</v>
      </c>
    </row>
    <row r="92" spans="1:41" x14ac:dyDescent="0.25">
      <c r="A92" s="177" t="s">
        <v>20</v>
      </c>
      <c r="B92" s="178">
        <f>'ABP Under Contract'!B95</f>
        <v>4328</v>
      </c>
      <c r="C92" s="178">
        <f>'ABP Under Contract'!C95</f>
        <v>10289</v>
      </c>
      <c r="D92" s="178">
        <f>'ABP Under Contract'!D95</f>
        <v>0</v>
      </c>
      <c r="E92" s="178">
        <f>'ABP Under Contract'!E95</f>
        <v>0</v>
      </c>
      <c r="F92" s="178">
        <f>'ABP Under Contract'!F95</f>
        <v>0</v>
      </c>
      <c r="G92" s="178">
        <f>'ABP Under Contract'!G95</f>
        <v>0</v>
      </c>
      <c r="H92" s="174">
        <f t="shared" si="108"/>
        <v>14617</v>
      </c>
      <c r="I92" s="178"/>
      <c r="J92" s="178"/>
      <c r="K92" s="30"/>
      <c r="L92" s="178">
        <v>6816</v>
      </c>
      <c r="M92" s="178">
        <v>6586.2923000000001</v>
      </c>
      <c r="N92" s="178"/>
      <c r="O92" s="178"/>
      <c r="P92" s="178"/>
      <c r="Q92" s="178">
        <f t="shared" si="101"/>
        <v>322.92160384096746</v>
      </c>
      <c r="R92" s="174">
        <f t="shared" si="102"/>
        <v>13725.213903840968</v>
      </c>
      <c r="S92" s="174">
        <f t="shared" si="109"/>
        <v>21526.21390384097</v>
      </c>
      <c r="T92" s="174">
        <f t="shared" si="103"/>
        <v>6816</v>
      </c>
      <c r="U92" s="174">
        <f t="shared" si="104"/>
        <v>28342.213903840966</v>
      </c>
      <c r="V92" s="174">
        <f t="shared" ref="V92:AD92" si="117">$B$86*V7</f>
        <v>0</v>
      </c>
      <c r="W92" s="174">
        <f t="shared" si="117"/>
        <v>0</v>
      </c>
      <c r="X92" s="174">
        <f t="shared" si="117"/>
        <v>0</v>
      </c>
      <c r="Y92" s="174">
        <f t="shared" si="117"/>
        <v>0</v>
      </c>
      <c r="Z92" s="174">
        <f t="shared" si="117"/>
        <v>0</v>
      </c>
      <c r="AA92" s="174">
        <f t="shared" si="117"/>
        <v>0</v>
      </c>
      <c r="AB92" s="174">
        <f t="shared" si="117"/>
        <v>0</v>
      </c>
      <c r="AC92" s="174">
        <f t="shared" si="117"/>
        <v>0</v>
      </c>
      <c r="AD92" s="174">
        <f t="shared" si="117"/>
        <v>0</v>
      </c>
      <c r="AE92" s="174"/>
      <c r="AF92" s="174">
        <f t="shared" si="106"/>
        <v>235.192909484956</v>
      </c>
      <c r="AG92" s="174">
        <f>SUM(V92:AF92)</f>
        <v>235.192909484956</v>
      </c>
      <c r="AH92" s="174">
        <f t="shared" si="107"/>
        <v>28577.406813325921</v>
      </c>
      <c r="AI92" s="191">
        <f>AH92/'Collections and ACP'!E109</f>
        <v>5.4083129424982293E-2</v>
      </c>
      <c r="AJ92" s="172"/>
      <c r="AK92" s="172"/>
      <c r="AL92" s="172">
        <f t="shared" si="112"/>
        <v>21761.406813325924</v>
      </c>
      <c r="AM92" s="172">
        <f t="shared" si="113"/>
        <v>6816</v>
      </c>
      <c r="AN92" s="105">
        <f t="shared" si="114"/>
        <v>0.76148990548639872</v>
      </c>
      <c r="AO92" s="105">
        <f t="shared" si="115"/>
        <v>0.23851009451360128</v>
      </c>
    </row>
    <row r="93" spans="1:41" x14ac:dyDescent="0.25">
      <c r="A93" s="177" t="s">
        <v>22</v>
      </c>
      <c r="B93" s="178">
        <f>'ABP Under Contract'!B96</f>
        <v>6716</v>
      </c>
      <c r="C93" s="178">
        <f>'ABP Under Contract'!C96</f>
        <v>14382</v>
      </c>
      <c r="D93" s="178">
        <f>'ABP Under Contract'!D96</f>
        <v>0</v>
      </c>
      <c r="E93" s="178">
        <f>'ABP Under Contract'!E96</f>
        <v>0</v>
      </c>
      <c r="F93" s="178">
        <f>'ABP Under Contract'!F96</f>
        <v>0</v>
      </c>
      <c r="G93" s="178">
        <f>'ABP Under Contract'!G96</f>
        <v>0</v>
      </c>
      <c r="H93" s="174">
        <f t="shared" si="108"/>
        <v>21098</v>
      </c>
      <c r="I93" s="178"/>
      <c r="J93" s="178"/>
      <c r="K93" s="30"/>
      <c r="L93" s="178">
        <v>6816</v>
      </c>
      <c r="M93" s="178">
        <v>6586.2923000000001</v>
      </c>
      <c r="N93" s="178">
        <f t="shared" ref="N93:P112" si="118">N8*$B$86</f>
        <v>0</v>
      </c>
      <c r="O93" s="178">
        <f t="shared" si="118"/>
        <v>0</v>
      </c>
      <c r="P93" s="178">
        <f t="shared" si="118"/>
        <v>0</v>
      </c>
      <c r="Q93" s="178">
        <f t="shared" si="101"/>
        <v>321.30699582176265</v>
      </c>
      <c r="R93" s="174">
        <f t="shared" si="102"/>
        <v>13723.599295821763</v>
      </c>
      <c r="S93" s="174">
        <f t="shared" si="109"/>
        <v>28005.599295821765</v>
      </c>
      <c r="T93" s="174">
        <f t="shared" si="103"/>
        <v>6816</v>
      </c>
      <c r="U93" s="174">
        <f t="shared" si="104"/>
        <v>34821.599295821761</v>
      </c>
      <c r="V93" s="174">
        <f t="shared" ref="V93:AD93" si="119">$B$86*V8</f>
        <v>0</v>
      </c>
      <c r="W93" s="174">
        <f t="shared" si="119"/>
        <v>0</v>
      </c>
      <c r="X93" s="174">
        <f t="shared" si="119"/>
        <v>0</v>
      </c>
      <c r="Y93" s="174">
        <f t="shared" si="119"/>
        <v>0</v>
      </c>
      <c r="Z93" s="174">
        <f t="shared" si="119"/>
        <v>0</v>
      </c>
      <c r="AA93" s="174">
        <f t="shared" si="119"/>
        <v>0</v>
      </c>
      <c r="AB93" s="174">
        <f t="shared" si="119"/>
        <v>0</v>
      </c>
      <c r="AC93" s="174">
        <f t="shared" si="119"/>
        <v>0</v>
      </c>
      <c r="AD93" s="174">
        <f t="shared" si="119"/>
        <v>0</v>
      </c>
      <c r="AE93" s="174"/>
      <c r="AF93" s="174">
        <f t="shared" si="106"/>
        <v>468.03388987506241</v>
      </c>
      <c r="AG93" s="174">
        <f>SUM(V93:AF93)</f>
        <v>468.03388987506241</v>
      </c>
      <c r="AH93" s="174">
        <f t="shared" si="107"/>
        <v>35289.633185696825</v>
      </c>
      <c r="AI93" s="191">
        <f>AH93/'Collections and ACP'!E110</f>
        <v>6.6828876100214651E-2</v>
      </c>
      <c r="AJ93" s="172"/>
      <c r="AK93" s="172"/>
      <c r="AL93" s="172">
        <f t="shared" si="112"/>
        <v>28473.633185696828</v>
      </c>
      <c r="AM93" s="172">
        <f t="shared" si="113"/>
        <v>6816</v>
      </c>
      <c r="AN93" s="105">
        <f t="shared" si="114"/>
        <v>0.8068554591051238</v>
      </c>
      <c r="AO93" s="105">
        <f t="shared" si="115"/>
        <v>0.1931445408948762</v>
      </c>
    </row>
    <row r="94" spans="1:41" x14ac:dyDescent="0.25">
      <c r="A94" s="177" t="s">
        <v>23</v>
      </c>
      <c r="B94" s="178">
        <f>'ABP Under Contract'!B97</f>
        <v>7966</v>
      </c>
      <c r="C94" s="178">
        <f>'ABP Under Contract'!C97</f>
        <v>16663</v>
      </c>
      <c r="D94" s="178">
        <f>'ABP Under Contract'!D97</f>
        <v>0</v>
      </c>
      <c r="E94" s="178">
        <f>'ABP Under Contract'!E97</f>
        <v>0</v>
      </c>
      <c r="F94" s="178">
        <f>'ABP Under Contract'!F97</f>
        <v>0</v>
      </c>
      <c r="G94" s="178">
        <f>'ABP Under Contract'!G97</f>
        <v>0</v>
      </c>
      <c r="H94" s="174">
        <f t="shared" si="108"/>
        <v>24629</v>
      </c>
      <c r="I94" s="178"/>
      <c r="J94" s="178"/>
      <c r="K94" s="30"/>
      <c r="L94" s="178">
        <v>6816</v>
      </c>
      <c r="M94" s="178">
        <v>6586.2923000000001</v>
      </c>
      <c r="N94" s="178">
        <f t="shared" si="118"/>
        <v>0</v>
      </c>
      <c r="O94" s="178">
        <f t="shared" si="118"/>
        <v>9465.3686668487971</v>
      </c>
      <c r="P94" s="178">
        <f t="shared" si="118"/>
        <v>0</v>
      </c>
      <c r="Q94" s="178">
        <f t="shared" si="101"/>
        <v>319.70046084265385</v>
      </c>
      <c r="R94" s="174">
        <f t="shared" si="102"/>
        <v>23187.361427691452</v>
      </c>
      <c r="S94" s="174">
        <f t="shared" si="109"/>
        <v>41000.361427691445</v>
      </c>
      <c r="T94" s="174">
        <f t="shared" si="103"/>
        <v>6816</v>
      </c>
      <c r="U94" s="174">
        <f t="shared" si="104"/>
        <v>47816.361427691452</v>
      </c>
      <c r="V94" s="174">
        <f t="shared" ref="V94:AD94" si="120">$B$86*V9</f>
        <v>730.13316882943502</v>
      </c>
      <c r="W94" s="174">
        <f t="shared" si="120"/>
        <v>777.34929462945809</v>
      </c>
      <c r="X94" s="174">
        <f t="shared" si="120"/>
        <v>0</v>
      </c>
      <c r="Y94" s="174">
        <f t="shared" si="120"/>
        <v>642.63771795786124</v>
      </c>
      <c r="Z94" s="174">
        <f t="shared" si="120"/>
        <v>0</v>
      </c>
      <c r="AA94" s="174">
        <f t="shared" si="120"/>
        <v>863.72143847717552</v>
      </c>
      <c r="AB94" s="174">
        <f t="shared" si="120"/>
        <v>0</v>
      </c>
      <c r="AC94" s="174">
        <f t="shared" si="120"/>
        <v>0</v>
      </c>
      <c r="AD94" s="174">
        <f t="shared" si="120"/>
        <v>0</v>
      </c>
      <c r="AE94" s="174"/>
      <c r="AF94" s="174">
        <f t="shared" si="106"/>
        <v>702.05083481259362</v>
      </c>
      <c r="AG94" s="174">
        <f t="shared" ref="AG94:AG111" si="121">SUM(V94:AF94)</f>
        <v>3715.8924547065235</v>
      </c>
      <c r="AH94" s="174">
        <f t="shared" si="107"/>
        <v>51532.253882397978</v>
      </c>
      <c r="AI94" s="191">
        <f>AH94/'Collections and ACP'!E111</f>
        <v>9.725814704902952E-2</v>
      </c>
      <c r="AJ94" s="172"/>
      <c r="AK94" s="172"/>
      <c r="AL94" s="172">
        <f t="shared" si="112"/>
        <v>44716.25388239797</v>
      </c>
      <c r="AM94" s="172">
        <f t="shared" si="113"/>
        <v>6816</v>
      </c>
      <c r="AN94" s="105">
        <f t="shared" si="114"/>
        <v>0.86773332259918556</v>
      </c>
      <c r="AO94" s="105">
        <f t="shared" si="115"/>
        <v>0.13226667740081444</v>
      </c>
    </row>
    <row r="95" spans="1:41" x14ac:dyDescent="0.25">
      <c r="A95" s="177" t="s">
        <v>24</v>
      </c>
      <c r="B95" s="178">
        <f>'ABP Under Contract'!B98</f>
        <v>7925</v>
      </c>
      <c r="C95" s="178">
        <f>'ABP Under Contract'!C98</f>
        <v>16579</v>
      </c>
      <c r="D95" s="178">
        <f>'ABP Under Contract'!D98</f>
        <v>0</v>
      </c>
      <c r="E95" s="178">
        <f>'ABP Under Contract'!E98</f>
        <v>0</v>
      </c>
      <c r="F95" s="178">
        <f>'ABP Under Contract'!F98</f>
        <v>0</v>
      </c>
      <c r="G95" s="178">
        <f>'ABP Under Contract'!G98</f>
        <v>0</v>
      </c>
      <c r="H95" s="174">
        <f t="shared" si="108"/>
        <v>24504</v>
      </c>
      <c r="I95" s="178"/>
      <c r="J95" s="178"/>
      <c r="K95" s="30"/>
      <c r="L95" s="178">
        <v>6816</v>
      </c>
      <c r="M95" s="178">
        <v>6586.2923000000001</v>
      </c>
      <c r="N95" s="178">
        <f t="shared" si="118"/>
        <v>0</v>
      </c>
      <c r="O95" s="178">
        <f t="shared" si="118"/>
        <v>20682.320989342465</v>
      </c>
      <c r="P95" s="178">
        <f t="shared" si="118"/>
        <v>0</v>
      </c>
      <c r="Q95" s="178">
        <f t="shared" si="101"/>
        <v>318.10195853844056</v>
      </c>
      <c r="R95" s="174">
        <f t="shared" si="102"/>
        <v>34402.715247880908</v>
      </c>
      <c r="S95" s="174">
        <f t="shared" si="109"/>
        <v>52090.715247880908</v>
      </c>
      <c r="T95" s="174">
        <f t="shared" si="103"/>
        <v>6816</v>
      </c>
      <c r="U95" s="174">
        <f t="shared" si="104"/>
        <v>58906.715247880908</v>
      </c>
      <c r="V95" s="174">
        <f t="shared" ref="V95:AD95" si="122">$B$86*V10</f>
        <v>1456.6156718147229</v>
      </c>
      <c r="W95" s="174">
        <f t="shared" si="122"/>
        <v>1550.8118427857687</v>
      </c>
      <c r="X95" s="174">
        <f t="shared" si="122"/>
        <v>1334.709106527866</v>
      </c>
      <c r="Y95" s="174">
        <f t="shared" si="122"/>
        <v>1282.0622473259332</v>
      </c>
      <c r="Z95" s="174">
        <f t="shared" si="122"/>
        <v>197.73468244857273</v>
      </c>
      <c r="AA95" s="174">
        <f t="shared" si="122"/>
        <v>1723.1242697619655</v>
      </c>
      <c r="AB95" s="174">
        <f t="shared" si="122"/>
        <v>0</v>
      </c>
      <c r="AC95" s="174">
        <f t="shared" si="122"/>
        <v>0</v>
      </c>
      <c r="AD95" s="174">
        <f t="shared" si="122"/>
        <v>0</v>
      </c>
      <c r="AE95" s="174"/>
      <c r="AF95" s="174">
        <f t="shared" si="106"/>
        <v>936.06777975012483</v>
      </c>
      <c r="AG95" s="174">
        <f t="shared" si="121"/>
        <v>8481.1256004149545</v>
      </c>
      <c r="AH95" s="174">
        <f t="shared" si="107"/>
        <v>67387.840848295862</v>
      </c>
      <c r="AI95" s="191">
        <f>AH95/'Collections and ACP'!E112</f>
        <v>0.12704398681964554</v>
      </c>
      <c r="AJ95" s="172"/>
      <c r="AK95" s="172"/>
      <c r="AL95" s="172">
        <f t="shared" si="112"/>
        <v>60571.840848295869</v>
      </c>
      <c r="AM95" s="172">
        <f t="shared" si="113"/>
        <v>6816</v>
      </c>
      <c r="AN95" s="105">
        <f t="shared" si="114"/>
        <v>0.89885415656298828</v>
      </c>
      <c r="AO95" s="105">
        <f t="shared" si="115"/>
        <v>0.10114584343701172</v>
      </c>
    </row>
    <row r="96" spans="1:41" x14ac:dyDescent="0.25">
      <c r="A96" s="177" t="s">
        <v>25</v>
      </c>
      <c r="B96" s="178">
        <f>'ABP Under Contract'!B99</f>
        <v>7885</v>
      </c>
      <c r="C96" s="178">
        <f>'ABP Under Contract'!C99</f>
        <v>16497</v>
      </c>
      <c r="D96" s="178">
        <f>'ABP Under Contract'!D99</f>
        <v>0</v>
      </c>
      <c r="E96" s="178">
        <f>'ABP Under Contract'!E99</f>
        <v>0</v>
      </c>
      <c r="F96" s="178">
        <f>'ABP Under Contract'!F99</f>
        <v>0</v>
      </c>
      <c r="G96" s="178">
        <f>'ABP Under Contract'!G99</f>
        <v>0</v>
      </c>
      <c r="H96" s="174">
        <f t="shared" si="108"/>
        <v>24382</v>
      </c>
      <c r="I96" s="178"/>
      <c r="J96" s="178"/>
      <c r="K96" s="30"/>
      <c r="L96" s="178">
        <v>6816</v>
      </c>
      <c r="M96" s="178">
        <v>6586.2923000000001</v>
      </c>
      <c r="N96" s="178">
        <f t="shared" si="118"/>
        <v>5939.771908520278</v>
      </c>
      <c r="O96" s="178">
        <f t="shared" si="118"/>
        <v>24873.52690748659</v>
      </c>
      <c r="P96" s="178">
        <f t="shared" si="118"/>
        <v>370.30372982737754</v>
      </c>
      <c r="Q96" s="178">
        <f t="shared" si="101"/>
        <v>316.5114487457484</v>
      </c>
      <c r="R96" s="174">
        <f t="shared" si="102"/>
        <v>44902.406294579989</v>
      </c>
      <c r="S96" s="174">
        <f t="shared" si="109"/>
        <v>56528.634386059719</v>
      </c>
      <c r="T96" s="174">
        <f t="shared" si="103"/>
        <v>12755.771908520277</v>
      </c>
      <c r="U96" s="174">
        <f t="shared" si="104"/>
        <v>69284.406294579996</v>
      </c>
      <c r="V96" s="174">
        <f t="shared" ref="V96:AD96" si="123">$B$86*V11</f>
        <v>2179.4657622850841</v>
      </c>
      <c r="W96" s="174">
        <f t="shared" si="123"/>
        <v>2320.4070782012982</v>
      </c>
      <c r="X96" s="174">
        <f t="shared" si="123"/>
        <v>2662.7446675230926</v>
      </c>
      <c r="Y96" s="174">
        <f t="shared" si="123"/>
        <v>1918.289654047165</v>
      </c>
      <c r="Z96" s="174">
        <f t="shared" si="123"/>
        <v>394.48069148490254</v>
      </c>
      <c r="AA96" s="174">
        <f t="shared" si="123"/>
        <v>2578.2300868903308</v>
      </c>
      <c r="AB96" s="174">
        <f t="shared" si="123"/>
        <v>0</v>
      </c>
      <c r="AC96" s="174">
        <f t="shared" si="123"/>
        <v>0</v>
      </c>
      <c r="AD96" s="174">
        <f t="shared" si="123"/>
        <v>0</v>
      </c>
      <c r="AE96" s="174"/>
      <c r="AF96" s="174">
        <f t="shared" si="106"/>
        <v>1170.084724687656</v>
      </c>
      <c r="AG96" s="174">
        <f t="shared" si="121"/>
        <v>13223.70266511953</v>
      </c>
      <c r="AH96" s="174">
        <f t="shared" si="107"/>
        <v>82508.10895969953</v>
      </c>
      <c r="AI96" s="191">
        <f>AH96/'Collections and ACP'!E113</f>
        <v>0.1552756496699253</v>
      </c>
      <c r="AJ96" s="172"/>
      <c r="AK96" s="172"/>
      <c r="AL96" s="172">
        <f t="shared" si="112"/>
        <v>69752.33705117926</v>
      </c>
      <c r="AM96" s="172">
        <f t="shared" si="113"/>
        <v>12755.771908520277</v>
      </c>
      <c r="AN96" s="105">
        <f t="shared" si="114"/>
        <v>0.84539977864780846</v>
      </c>
      <c r="AO96" s="105">
        <f t="shared" si="115"/>
        <v>0.15460022135219154</v>
      </c>
    </row>
    <row r="97" spans="1:41" x14ac:dyDescent="0.25">
      <c r="A97" s="177" t="s">
        <v>26</v>
      </c>
      <c r="B97" s="178">
        <f>'ABP Under Contract'!B100</f>
        <v>7849</v>
      </c>
      <c r="C97" s="178">
        <f>'ABP Under Contract'!C100</f>
        <v>16417</v>
      </c>
      <c r="D97" s="178">
        <f>'ABP Under Contract'!D100</f>
        <v>0</v>
      </c>
      <c r="E97" s="178">
        <f>'ABP Under Contract'!E100</f>
        <v>0</v>
      </c>
      <c r="F97" s="178">
        <f>'ABP Under Contract'!F100</f>
        <v>0</v>
      </c>
      <c r="G97" s="178">
        <f>'ABP Under Contract'!G100</f>
        <v>0</v>
      </c>
      <c r="H97" s="174">
        <f t="shared" si="108"/>
        <v>24266</v>
      </c>
      <c r="I97" s="178"/>
      <c r="J97" s="178"/>
      <c r="K97" s="30"/>
      <c r="L97" s="178">
        <v>6816</v>
      </c>
      <c r="M97" s="178">
        <v>6586.2923000000001</v>
      </c>
      <c r="N97" s="178">
        <f t="shared" si="118"/>
        <v>5939.771908520278</v>
      </c>
      <c r="O97" s="178">
        <f t="shared" si="118"/>
        <v>24749.15927294916</v>
      </c>
      <c r="P97" s="178">
        <f t="shared" si="118"/>
        <v>793.80109003401208</v>
      </c>
      <c r="Q97" s="178">
        <f t="shared" si="101"/>
        <v>314.92889150201967</v>
      </c>
      <c r="R97" s="174">
        <f t="shared" si="102"/>
        <v>45199.95346300547</v>
      </c>
      <c r="S97" s="174">
        <f t="shared" si="109"/>
        <v>56710.181554485192</v>
      </c>
      <c r="T97" s="174">
        <f t="shared" si="103"/>
        <v>12755.771908520277</v>
      </c>
      <c r="U97" s="174">
        <f t="shared" si="104"/>
        <v>69465.95346300547</v>
      </c>
      <c r="V97" s="174">
        <f t="shared" ref="V97:AD97" si="124">$B$86*V12</f>
        <v>2898.7016023030933</v>
      </c>
      <c r="W97" s="174">
        <f t="shared" si="124"/>
        <v>3086.1543374397497</v>
      </c>
      <c r="X97" s="174">
        <f t="shared" si="124"/>
        <v>3984.140050713343</v>
      </c>
      <c r="Y97" s="174">
        <f t="shared" si="124"/>
        <v>2551.3359237347904</v>
      </c>
      <c r="Z97" s="174">
        <f t="shared" si="124"/>
        <v>590.24297047605069</v>
      </c>
      <c r="AA97" s="174">
        <f t="shared" si="124"/>
        <v>3429.0603749330548</v>
      </c>
      <c r="AB97" s="174">
        <f t="shared" si="124"/>
        <v>12510.261142816807</v>
      </c>
      <c r="AC97" s="174">
        <f t="shared" si="124"/>
        <v>7506.1566856900854</v>
      </c>
      <c r="AD97" s="174">
        <f t="shared" si="124"/>
        <v>425.34887885577149</v>
      </c>
      <c r="AE97" s="174"/>
      <c r="AF97" s="174">
        <f t="shared" si="106"/>
        <v>1404.1016696251872</v>
      </c>
      <c r="AG97" s="174">
        <f t="shared" si="121"/>
        <v>38385.503636587935</v>
      </c>
      <c r="AH97" s="174">
        <f t="shared" si="107"/>
        <v>107851.4570995934</v>
      </c>
      <c r="AI97" s="191">
        <f>AH97/'Collections and ACP'!E114</f>
        <v>0.20290814209553437</v>
      </c>
      <c r="AJ97" s="172"/>
      <c r="AK97" s="172"/>
      <c r="AL97" s="172">
        <f t="shared" si="112"/>
        <v>82585.424048256333</v>
      </c>
      <c r="AM97" s="172">
        <f t="shared" si="113"/>
        <v>25266.033051337086</v>
      </c>
      <c r="AN97" s="105">
        <f t="shared" si="114"/>
        <v>0.76573303939690274</v>
      </c>
      <c r="AO97" s="105">
        <f t="shared" si="115"/>
        <v>0.23426696060309726</v>
      </c>
    </row>
    <row r="98" spans="1:41" x14ac:dyDescent="0.25">
      <c r="A98" s="177" t="s">
        <v>27</v>
      </c>
      <c r="B98" s="178">
        <f>'ABP Under Contract'!B101</f>
        <v>7816</v>
      </c>
      <c r="C98" s="178">
        <f>'ABP Under Contract'!C101</f>
        <v>16331</v>
      </c>
      <c r="D98" s="178">
        <f>'ABP Under Contract'!D101</f>
        <v>0</v>
      </c>
      <c r="E98" s="178">
        <f>'ABP Under Contract'!E101</f>
        <v>0</v>
      </c>
      <c r="F98" s="178">
        <f>'ABP Under Contract'!F101</f>
        <v>0</v>
      </c>
      <c r="G98" s="178">
        <f>'ABP Under Contract'!G101</f>
        <v>0</v>
      </c>
      <c r="H98" s="174">
        <f t="shared" si="108"/>
        <v>24147</v>
      </c>
      <c r="I98" s="178"/>
      <c r="J98" s="178"/>
      <c r="K98" s="30"/>
      <c r="L98" s="178">
        <v>6816</v>
      </c>
      <c r="M98" s="178">
        <v>6586.2923000000001</v>
      </c>
      <c r="N98" s="178">
        <f t="shared" si="118"/>
        <v>5939.771908520278</v>
      </c>
      <c r="O98" s="178">
        <f t="shared" si="118"/>
        <v>24625.41347658441</v>
      </c>
      <c r="P98" s="178">
        <f t="shared" si="118"/>
        <v>1215.1809634396136</v>
      </c>
      <c r="Q98" s="178">
        <f t="shared" si="101"/>
        <v>313.35424704450958</v>
      </c>
      <c r="R98" s="174">
        <f t="shared" si="102"/>
        <v>45496.012895588814</v>
      </c>
      <c r="S98" s="174">
        <f t="shared" si="109"/>
        <v>56887.24098706853</v>
      </c>
      <c r="T98" s="174">
        <f t="shared" si="103"/>
        <v>12755.771908520277</v>
      </c>
      <c r="U98" s="174">
        <f t="shared" si="104"/>
        <v>69643.012895588821</v>
      </c>
      <c r="V98" s="174">
        <f t="shared" ref="V98:AD98" si="125">$B$86*V13</f>
        <v>3614.3412631210135</v>
      </c>
      <c r="W98" s="174">
        <f t="shared" si="125"/>
        <v>3848.0728603820089</v>
      </c>
      <c r="X98" s="174">
        <f t="shared" si="125"/>
        <v>5298.9284569876418</v>
      </c>
      <c r="Y98" s="174">
        <f t="shared" si="125"/>
        <v>3181.2169620739778</v>
      </c>
      <c r="Z98" s="174">
        <f t="shared" si="125"/>
        <v>785.02643807224331</v>
      </c>
      <c r="AA98" s="174">
        <f t="shared" si="125"/>
        <v>4275.6365115355657</v>
      </c>
      <c r="AB98" s="174">
        <f t="shared" si="125"/>
        <v>25020.522285633615</v>
      </c>
      <c r="AC98" s="174">
        <f t="shared" si="125"/>
        <v>14974.782587951719</v>
      </c>
      <c r="AD98" s="174">
        <f t="shared" si="125"/>
        <v>848.57101331726415</v>
      </c>
      <c r="AE98" s="174"/>
      <c r="AF98" s="174">
        <f t="shared" si="106"/>
        <v>1580.0542598037821</v>
      </c>
      <c r="AG98" s="174">
        <f t="shared" si="121"/>
        <v>63427.152638878826</v>
      </c>
      <c r="AH98" s="174">
        <f t="shared" si="107"/>
        <v>133070.16553446764</v>
      </c>
      <c r="AI98" s="191">
        <f>AH98/'Collections and ACP'!E115</f>
        <v>0.24993184179700959</v>
      </c>
      <c r="AJ98" s="172"/>
      <c r="AK98" s="172"/>
      <c r="AL98" s="172">
        <f t="shared" si="112"/>
        <v>95293.871340313766</v>
      </c>
      <c r="AM98" s="172">
        <f t="shared" si="113"/>
        <v>37776.294194153896</v>
      </c>
      <c r="AN98" s="105">
        <f t="shared" si="114"/>
        <v>0.71611747800547276</v>
      </c>
      <c r="AO98" s="105">
        <f t="shared" si="115"/>
        <v>0.28388252199452724</v>
      </c>
    </row>
    <row r="99" spans="1:41" x14ac:dyDescent="0.25">
      <c r="A99" s="177" t="s">
        <v>28</v>
      </c>
      <c r="B99" s="178">
        <f>'ABP Under Contract'!B102</f>
        <v>7772</v>
      </c>
      <c r="C99" s="178">
        <f>'ABP Under Contract'!C102</f>
        <v>16247</v>
      </c>
      <c r="D99" s="178">
        <f>'ABP Under Contract'!D102</f>
        <v>0</v>
      </c>
      <c r="E99" s="178">
        <f>'ABP Under Contract'!E102</f>
        <v>0</v>
      </c>
      <c r="F99" s="178">
        <f>'ABP Under Contract'!F102</f>
        <v>0</v>
      </c>
      <c r="G99" s="178">
        <f>'ABP Under Contract'!G102</f>
        <v>0</v>
      </c>
      <c r="H99" s="174">
        <f t="shared" si="108"/>
        <v>24019</v>
      </c>
      <c r="I99" s="178"/>
      <c r="J99" s="178"/>
      <c r="K99" s="30"/>
      <c r="L99" s="178">
        <v>6816</v>
      </c>
      <c r="M99" s="178">
        <v>6586.2923000000001</v>
      </c>
      <c r="N99" s="178">
        <f t="shared" si="118"/>
        <v>5939.771908520278</v>
      </c>
      <c r="O99" s="178">
        <f t="shared" si="118"/>
        <v>24502.28640920149</v>
      </c>
      <c r="P99" s="178">
        <f t="shared" si="118"/>
        <v>1209.1050586224153</v>
      </c>
      <c r="Q99" s="178">
        <f t="shared" si="101"/>
        <v>311.787475809287</v>
      </c>
      <c r="R99" s="174">
        <f t="shared" si="102"/>
        <v>45365.243152153467</v>
      </c>
      <c r="S99" s="174">
        <f t="shared" si="109"/>
        <v>56628.471243633197</v>
      </c>
      <c r="T99" s="174">
        <f t="shared" si="103"/>
        <v>12755.771908520277</v>
      </c>
      <c r="U99" s="174">
        <f t="shared" si="104"/>
        <v>69384.243152153475</v>
      </c>
      <c r="V99" s="174">
        <f t="shared" ref="V99:AD99" si="126">$B$86*V14</f>
        <v>4326.4027256348436</v>
      </c>
      <c r="W99" s="174">
        <f t="shared" si="126"/>
        <v>4606.1817907095574</v>
      </c>
      <c r="X99" s="174">
        <f t="shared" si="126"/>
        <v>6607.1429212305702</v>
      </c>
      <c r="Y99" s="174">
        <f t="shared" si="126"/>
        <v>3807.9485952214686</v>
      </c>
      <c r="Z99" s="174">
        <f t="shared" si="126"/>
        <v>978.83598833045471</v>
      </c>
      <c r="AA99" s="174">
        <f t="shared" si="126"/>
        <v>5117.9797674550637</v>
      </c>
      <c r="AB99" s="174">
        <f t="shared" si="126"/>
        <v>37530.783428450428</v>
      </c>
      <c r="AC99" s="174">
        <f t="shared" si="126"/>
        <v>22406.065360702047</v>
      </c>
      <c r="AD99" s="174">
        <f t="shared" si="126"/>
        <v>1269.6770371064492</v>
      </c>
      <c r="AE99" s="174"/>
      <c r="AF99" s="174">
        <f t="shared" si="106"/>
        <v>1756.0068499823769</v>
      </c>
      <c r="AG99" s="174">
        <f t="shared" si="121"/>
        <v>88407.024464823262</v>
      </c>
      <c r="AH99" s="174">
        <f t="shared" si="107"/>
        <v>157791.26761697675</v>
      </c>
      <c r="AI99" s="191">
        <f>AH99/'Collections and ACP'!E116</f>
        <v>0.2960406882863742</v>
      </c>
      <c r="AJ99" s="172"/>
      <c r="AK99" s="172"/>
      <c r="AL99" s="172">
        <f t="shared" si="112"/>
        <v>107504.71228000603</v>
      </c>
      <c r="AM99" s="172">
        <f t="shared" si="113"/>
        <v>50286.555336970705</v>
      </c>
      <c r="AN99" s="105">
        <f t="shared" si="114"/>
        <v>0.68130964345228195</v>
      </c>
      <c r="AO99" s="105">
        <f t="shared" si="115"/>
        <v>0.31869035654771805</v>
      </c>
    </row>
    <row r="100" spans="1:41" x14ac:dyDescent="0.25">
      <c r="A100" s="177" t="s">
        <v>29</v>
      </c>
      <c r="B100" s="178">
        <f>'ABP Under Contract'!B103</f>
        <v>7738</v>
      </c>
      <c r="C100" s="178">
        <f>'ABP Under Contract'!C103</f>
        <v>16172</v>
      </c>
      <c r="D100" s="178">
        <f>'ABP Under Contract'!D103</f>
        <v>0</v>
      </c>
      <c r="E100" s="178">
        <f>'ABP Under Contract'!E103</f>
        <v>0</v>
      </c>
      <c r="F100" s="178">
        <f>'ABP Under Contract'!F103</f>
        <v>0</v>
      </c>
      <c r="G100" s="178">
        <f>'ABP Under Contract'!G103</f>
        <v>0</v>
      </c>
      <c r="H100" s="174">
        <f t="shared" si="108"/>
        <v>23910</v>
      </c>
      <c r="I100" s="178"/>
      <c r="J100" s="178"/>
      <c r="K100" s="30"/>
      <c r="L100" s="178">
        <v>6816</v>
      </c>
      <c r="M100" s="178">
        <v>6586.2923000000001</v>
      </c>
      <c r="N100" s="178">
        <f t="shared" si="118"/>
        <v>5939.771908520278</v>
      </c>
      <c r="O100" s="178">
        <f t="shared" si="118"/>
        <v>24379.774977155481</v>
      </c>
      <c r="P100" s="178">
        <f t="shared" si="118"/>
        <v>1203.0595333293033</v>
      </c>
      <c r="Q100" s="178">
        <f t="shared" si="101"/>
        <v>310.22853843024058</v>
      </c>
      <c r="R100" s="174">
        <f t="shared" si="102"/>
        <v>45235.127257435299</v>
      </c>
      <c r="S100" s="174">
        <f t="shared" si="109"/>
        <v>56389.355348915022</v>
      </c>
      <c r="T100" s="174">
        <f t="shared" si="103"/>
        <v>12755.771908520277</v>
      </c>
      <c r="U100" s="174">
        <f t="shared" si="104"/>
        <v>69145.127257435292</v>
      </c>
      <c r="V100" s="174">
        <f t="shared" ref="V100:AD100" si="127">$B$86*V15</f>
        <v>5034.9038808361038</v>
      </c>
      <c r="W100" s="174">
        <f t="shared" si="127"/>
        <v>5360.5001763854671</v>
      </c>
      <c r="X100" s="174">
        <f t="shared" si="127"/>
        <v>7908.8163131522833</v>
      </c>
      <c r="Y100" s="174">
        <f t="shared" si="127"/>
        <v>4431.5465702032225</v>
      </c>
      <c r="Z100" s="174">
        <f t="shared" si="127"/>
        <v>1171.6764908373752</v>
      </c>
      <c r="AA100" s="174">
        <f t="shared" si="127"/>
        <v>5956.1113070949632</v>
      </c>
      <c r="AB100" s="174">
        <f t="shared" si="127"/>
        <v>50041.04457126723</v>
      </c>
      <c r="AC100" s="174">
        <f t="shared" si="127"/>
        <v>27298.13949102526</v>
      </c>
      <c r="AD100" s="174">
        <f t="shared" si="127"/>
        <v>1688.6775307766886</v>
      </c>
      <c r="AE100" s="174"/>
      <c r="AF100" s="174">
        <f t="shared" si="106"/>
        <v>1931.9594401609713</v>
      </c>
      <c r="AG100" s="174">
        <f t="shared" si="121"/>
        <v>110823.37577173956</v>
      </c>
      <c r="AH100" s="174">
        <f t="shared" si="107"/>
        <v>179968.50302917487</v>
      </c>
      <c r="AI100" s="191">
        <f>AH100/'Collections and ACP'!E117</f>
        <v>0.33717449375474573</v>
      </c>
      <c r="AJ100" s="172"/>
      <c r="AK100" s="172"/>
      <c r="AL100" s="172">
        <f t="shared" si="112"/>
        <v>117171.68654938736</v>
      </c>
      <c r="AM100" s="172">
        <f t="shared" si="113"/>
        <v>62796.816479787507</v>
      </c>
      <c r="AN100" s="105">
        <f t="shared" si="114"/>
        <v>0.65106774006111812</v>
      </c>
      <c r="AO100" s="105">
        <f t="shared" si="115"/>
        <v>0.34893225993888188</v>
      </c>
    </row>
    <row r="101" spans="1:41" x14ac:dyDescent="0.25">
      <c r="A101" s="177" t="s">
        <v>30</v>
      </c>
      <c r="B101" s="178">
        <f>'ABP Under Contract'!B104</f>
        <v>7696</v>
      </c>
      <c r="C101" s="178">
        <f>'ABP Under Contract'!C104</f>
        <v>16090</v>
      </c>
      <c r="D101" s="178">
        <f>'ABP Under Contract'!D104</f>
        <v>0</v>
      </c>
      <c r="E101" s="178">
        <f>'ABP Under Contract'!E104</f>
        <v>0</v>
      </c>
      <c r="F101" s="178">
        <f>'ABP Under Contract'!F104</f>
        <v>0</v>
      </c>
      <c r="G101" s="178">
        <f>'ABP Under Contract'!G104</f>
        <v>0</v>
      </c>
      <c r="H101" s="174">
        <f t="shared" si="108"/>
        <v>23786</v>
      </c>
      <c r="I101" s="30"/>
      <c r="J101" s="30"/>
      <c r="K101" s="30"/>
      <c r="L101" s="178">
        <v>6816</v>
      </c>
      <c r="M101" s="178">
        <v>6586.2923000000001</v>
      </c>
      <c r="N101" s="178">
        <f t="shared" si="118"/>
        <v>5939.771908520278</v>
      </c>
      <c r="O101" s="178">
        <f t="shared" si="118"/>
        <v>24257.876102269704</v>
      </c>
      <c r="P101" s="178">
        <f t="shared" si="118"/>
        <v>1197.0442356626568</v>
      </c>
      <c r="Q101" s="178">
        <f t="shared" si="101"/>
        <v>308.67739573808939</v>
      </c>
      <c r="R101" s="174">
        <f t="shared" si="102"/>
        <v>45105.661942190731</v>
      </c>
      <c r="S101" s="174">
        <f t="shared" si="109"/>
        <v>56135.890033670446</v>
      </c>
      <c r="T101" s="174">
        <f t="shared" si="103"/>
        <v>12755.771908520277</v>
      </c>
      <c r="U101" s="174">
        <f t="shared" si="104"/>
        <v>68891.661942190723</v>
      </c>
      <c r="V101" s="174">
        <f t="shared" ref="V101:AD101" si="128">$B$86*V16</f>
        <v>5739.8625302613582</v>
      </c>
      <c r="W101" s="174">
        <f t="shared" si="128"/>
        <v>6111.0469701329966</v>
      </c>
      <c r="X101" s="174">
        <f t="shared" si="128"/>
        <v>9203.9813381143867</v>
      </c>
      <c r="Y101" s="174">
        <f t="shared" si="128"/>
        <v>5052.026555310068</v>
      </c>
      <c r="Z101" s="174">
        <f t="shared" si="128"/>
        <v>1363.5527908317613</v>
      </c>
      <c r="AA101" s="174">
        <f t="shared" si="128"/>
        <v>6790.0521890366645</v>
      </c>
      <c r="AB101" s="174">
        <f t="shared" si="128"/>
        <v>62551.305714084039</v>
      </c>
      <c r="AC101" s="174">
        <f t="shared" si="128"/>
        <v>32165.753250696856</v>
      </c>
      <c r="AD101" s="174">
        <f t="shared" si="128"/>
        <v>2105.5830219785767</v>
      </c>
      <c r="AE101" s="174"/>
      <c r="AF101" s="174">
        <f t="shared" si="106"/>
        <v>2107.9120303395662</v>
      </c>
      <c r="AG101" s="174">
        <f t="shared" si="121"/>
        <v>133191.07639078627</v>
      </c>
      <c r="AH101" s="174">
        <f t="shared" si="107"/>
        <v>202082.73833297699</v>
      </c>
      <c r="AI101" s="191">
        <f>AH101/'Collections and ACP'!E118</f>
        <v>0.37848331146680858</v>
      </c>
      <c r="AJ101" s="172"/>
      <c r="AK101" s="172"/>
      <c r="AL101" s="172">
        <f t="shared" si="112"/>
        <v>126775.66071037269</v>
      </c>
      <c r="AM101" s="172">
        <f t="shared" si="113"/>
        <v>75307.077622604324</v>
      </c>
      <c r="AN101" s="105">
        <f t="shared" si="114"/>
        <v>0.62734532279289057</v>
      </c>
      <c r="AO101" s="105">
        <f t="shared" si="115"/>
        <v>0.37265467720710943</v>
      </c>
    </row>
    <row r="102" spans="1:41" x14ac:dyDescent="0.25">
      <c r="A102" s="177" t="s">
        <v>31</v>
      </c>
      <c r="B102" s="178">
        <f>'ABP Under Contract'!B105</f>
        <v>7656</v>
      </c>
      <c r="C102" s="178">
        <f>'ABP Under Contract'!C105</f>
        <v>16011</v>
      </c>
      <c r="D102" s="178">
        <f>'ABP Under Contract'!D105</f>
        <v>0</v>
      </c>
      <c r="E102" s="178">
        <f>'ABP Under Contract'!E105</f>
        <v>0</v>
      </c>
      <c r="F102" s="178">
        <f>'ABP Under Contract'!F105</f>
        <v>0</v>
      </c>
      <c r="G102" s="178">
        <f>'ABP Under Contract'!G105</f>
        <v>0</v>
      </c>
      <c r="H102" s="174">
        <f t="shared" si="108"/>
        <v>23667</v>
      </c>
      <c r="I102" s="30"/>
      <c r="J102" s="30"/>
      <c r="K102" s="30"/>
      <c r="L102" s="178">
        <v>5397</v>
      </c>
      <c r="M102" s="178">
        <v>6586.2923000000001</v>
      </c>
      <c r="N102" s="178">
        <f t="shared" si="118"/>
        <v>5939.771908520278</v>
      </c>
      <c r="O102" s="178">
        <f t="shared" si="118"/>
        <v>24136.586721758351</v>
      </c>
      <c r="P102" s="178">
        <f t="shared" si="118"/>
        <v>1191.0590144843434</v>
      </c>
      <c r="Q102" s="178">
        <f t="shared" si="101"/>
        <v>307.13400875939891</v>
      </c>
      <c r="R102" s="174">
        <f t="shared" si="102"/>
        <v>43557.843953522373</v>
      </c>
      <c r="S102" s="174">
        <f t="shared" si="109"/>
        <v>55888.072045002096</v>
      </c>
      <c r="T102" s="174">
        <f t="shared" si="103"/>
        <v>11336.771908520277</v>
      </c>
      <c r="U102" s="174">
        <f t="shared" si="104"/>
        <v>67224.843953522373</v>
      </c>
      <c r="V102" s="174">
        <f t="shared" ref="V102:AD102" si="129">$B$86*V17</f>
        <v>6441.296386439486</v>
      </c>
      <c r="W102" s="174">
        <f t="shared" si="129"/>
        <v>6857.8410299117904</v>
      </c>
      <c r="X102" s="174">
        <f t="shared" si="129"/>
        <v>10492.670537951682</v>
      </c>
      <c r="Y102" s="174">
        <f t="shared" si="129"/>
        <v>5669.4041404913787</v>
      </c>
      <c r="Z102" s="174">
        <f t="shared" si="129"/>
        <v>1554.4697093261752</v>
      </c>
      <c r="AA102" s="174">
        <f t="shared" si="129"/>
        <v>7619.8233665686557</v>
      </c>
      <c r="AB102" s="174">
        <f t="shared" si="129"/>
        <v>67555.410171210766</v>
      </c>
      <c r="AC102" s="174">
        <f t="shared" si="129"/>
        <v>35758.002827288416</v>
      </c>
      <c r="AD102" s="174">
        <f t="shared" si="129"/>
        <v>2520.4039857244552</v>
      </c>
      <c r="AE102" s="174"/>
      <c r="AF102" s="174">
        <f t="shared" si="106"/>
        <v>2283.8646205181608</v>
      </c>
      <c r="AG102" s="174">
        <f t="shared" si="121"/>
        <v>146753.18677543098</v>
      </c>
      <c r="AH102" s="174">
        <f t="shared" si="107"/>
        <v>213978.03072895337</v>
      </c>
      <c r="AI102" s="191">
        <f>AH102/'Collections and ACP'!E119</f>
        <v>0.40048288709879154</v>
      </c>
      <c r="AJ102" s="172"/>
      <c r="AK102" s="172"/>
      <c r="AL102" s="172">
        <f t="shared" si="112"/>
        <v>135085.84864922229</v>
      </c>
      <c r="AM102" s="172">
        <f t="shared" si="113"/>
        <v>78892.18207973105</v>
      </c>
      <c r="AN102" s="105">
        <f t="shared" si="114"/>
        <v>0.63130709348538672</v>
      </c>
      <c r="AO102" s="105">
        <f t="shared" si="115"/>
        <v>0.36869290651461328</v>
      </c>
    </row>
    <row r="103" spans="1:41" x14ac:dyDescent="0.25">
      <c r="A103" s="177" t="s">
        <v>32</v>
      </c>
      <c r="B103" s="178">
        <f>'ABP Under Contract'!B106</f>
        <v>7621</v>
      </c>
      <c r="C103" s="178">
        <f>'ABP Under Contract'!C106</f>
        <v>15651</v>
      </c>
      <c r="D103" s="178">
        <f>'ABP Under Contract'!D106</f>
        <v>0</v>
      </c>
      <c r="E103" s="178">
        <f>'ABP Under Contract'!E106</f>
        <v>0</v>
      </c>
      <c r="F103" s="178">
        <f>'ABP Under Contract'!F106</f>
        <v>0</v>
      </c>
      <c r="G103" s="178">
        <f>'ABP Under Contract'!G106</f>
        <v>0</v>
      </c>
      <c r="H103" s="174">
        <f t="shared" si="108"/>
        <v>23272</v>
      </c>
      <c r="I103" s="30"/>
      <c r="J103" s="30"/>
      <c r="K103" s="30"/>
      <c r="L103" s="178">
        <v>5397</v>
      </c>
      <c r="M103" s="178">
        <v>6586.2923000000001</v>
      </c>
      <c r="N103" s="178">
        <f t="shared" si="118"/>
        <v>5939.771908520278</v>
      </c>
      <c r="O103" s="178">
        <f t="shared" si="118"/>
        <v>24015.903788149557</v>
      </c>
      <c r="P103" s="178">
        <f t="shared" si="118"/>
        <v>1185.1037194119217</v>
      </c>
      <c r="Q103" s="178">
        <f t="shared" si="101"/>
        <v>305.59833871560193</v>
      </c>
      <c r="R103" s="174">
        <f t="shared" si="102"/>
        <v>43429.670054797352</v>
      </c>
      <c r="S103" s="174">
        <f t="shared" si="109"/>
        <v>55364.898146277083</v>
      </c>
      <c r="T103" s="174">
        <f t="shared" si="103"/>
        <v>11336.771908520277</v>
      </c>
      <c r="U103" s="174">
        <f t="shared" si="104"/>
        <v>66701.670054797345</v>
      </c>
      <c r="V103" s="174">
        <f t="shared" ref="V103:AD103" si="130">$B$86*V18</f>
        <v>6774.1564889220062</v>
      </c>
      <c r="W103" s="174">
        <f t="shared" si="130"/>
        <v>7212.2264720769608</v>
      </c>
      <c r="X103" s="174">
        <f t="shared" si="130"/>
        <v>11774.916291789788</v>
      </c>
      <c r="Y103" s="174">
        <f t="shared" si="130"/>
        <v>5962.3759787678518</v>
      </c>
      <c r="Z103" s="174">
        <f t="shared" si="130"/>
        <v>1744.4320432281172</v>
      </c>
      <c r="AA103" s="174">
        <f t="shared" si="130"/>
        <v>8013.5849689744018</v>
      </c>
      <c r="AB103" s="174">
        <f t="shared" si="130"/>
        <v>72559.514628337492</v>
      </c>
      <c r="AC103" s="174">
        <f t="shared" si="130"/>
        <v>39332.291155997016</v>
      </c>
      <c r="AD103" s="174">
        <f t="shared" si="130"/>
        <v>2933.1508446516045</v>
      </c>
      <c r="AE103" s="174"/>
      <c r="AF103" s="174">
        <f t="shared" si="106"/>
        <v>2459.8172106967559</v>
      </c>
      <c r="AG103" s="174">
        <f t="shared" si="121"/>
        <v>158766.46608344198</v>
      </c>
      <c r="AH103" s="174">
        <f t="shared" si="107"/>
        <v>225468.13613823932</v>
      </c>
      <c r="AI103" s="191">
        <f>AH103/'Collections and ACP'!E120</f>
        <v>0.42171541181031835</v>
      </c>
      <c r="AJ103" s="172"/>
      <c r="AK103" s="172"/>
      <c r="AL103" s="172">
        <f t="shared" si="112"/>
        <v>141571.84960138157</v>
      </c>
      <c r="AM103" s="172">
        <f t="shared" si="113"/>
        <v>83896.286536857777</v>
      </c>
      <c r="AN103" s="105">
        <f t="shared" si="114"/>
        <v>0.62790180477910562</v>
      </c>
      <c r="AO103" s="105">
        <f t="shared" si="115"/>
        <v>0.37209819522089438</v>
      </c>
    </row>
    <row r="104" spans="1:41" x14ac:dyDescent="0.25">
      <c r="A104" s="177" t="s">
        <v>33</v>
      </c>
      <c r="B104" s="178">
        <f>'ABP Under Contract'!B107</f>
        <v>7576</v>
      </c>
      <c r="C104" s="178">
        <f>'ABP Under Contract'!C107</f>
        <v>15574</v>
      </c>
      <c r="D104" s="178">
        <f>'ABP Under Contract'!D107</f>
        <v>0</v>
      </c>
      <c r="E104" s="178">
        <f>'ABP Under Contract'!E107</f>
        <v>0</v>
      </c>
      <c r="F104" s="178">
        <f>'ABP Under Contract'!F107</f>
        <v>0</v>
      </c>
      <c r="G104" s="178">
        <f>'ABP Under Contract'!G107</f>
        <v>0</v>
      </c>
      <c r="H104" s="174">
        <f t="shared" si="108"/>
        <v>23150</v>
      </c>
      <c r="I104" s="30"/>
      <c r="J104" s="30"/>
      <c r="K104" s="30"/>
      <c r="L104" s="178">
        <v>4407</v>
      </c>
      <c r="M104" s="178"/>
      <c r="N104" s="178">
        <f t="shared" si="118"/>
        <v>5939.771908520278</v>
      </c>
      <c r="O104" s="178">
        <f t="shared" si="118"/>
        <v>23895.824269208813</v>
      </c>
      <c r="P104" s="178">
        <f t="shared" si="118"/>
        <v>1179.1782008148623</v>
      </c>
      <c r="Q104" s="178">
        <f t="shared" si="101"/>
        <v>304.0703470220239</v>
      </c>
      <c r="R104" s="174">
        <f t="shared" si="102"/>
        <v>35725.844725565985</v>
      </c>
      <c r="S104" s="174">
        <f t="shared" si="109"/>
        <v>48529.072817045701</v>
      </c>
      <c r="T104" s="174">
        <f t="shared" si="103"/>
        <v>10346.771908520277</v>
      </c>
      <c r="U104" s="174">
        <f t="shared" si="104"/>
        <v>58875.844725565985</v>
      </c>
      <c r="V104" s="174">
        <f t="shared" ref="V104:AD104" si="131">$B$86*V19</f>
        <v>7105.3522908921141</v>
      </c>
      <c r="W104" s="174">
        <f t="shared" si="131"/>
        <v>7564.8399870313051</v>
      </c>
      <c r="X104" s="174">
        <f t="shared" si="131"/>
        <v>12383.39626359477</v>
      </c>
      <c r="Y104" s="174">
        <f t="shared" si="131"/>
        <v>6253.882957852943</v>
      </c>
      <c r="Z104" s="174">
        <f t="shared" si="131"/>
        <v>1834.577224236263</v>
      </c>
      <c r="AA104" s="174">
        <f t="shared" si="131"/>
        <v>8405.3777633681166</v>
      </c>
      <c r="AB104" s="174">
        <f t="shared" si="131"/>
        <v>77563.619085464205</v>
      </c>
      <c r="AC104" s="174">
        <f t="shared" si="131"/>
        <v>42888.708043062084</v>
      </c>
      <c r="AD104" s="174">
        <f t="shared" si="131"/>
        <v>3343.8339692841178</v>
      </c>
      <c r="AE104" s="174"/>
      <c r="AF104" s="174">
        <f t="shared" si="106"/>
        <v>2635.7698008753505</v>
      </c>
      <c r="AG104" s="174">
        <f t="shared" si="121"/>
        <v>169979.35738566128</v>
      </c>
      <c r="AH104" s="174">
        <f t="shared" si="107"/>
        <v>228855.20211122726</v>
      </c>
      <c r="AI104" s="191">
        <f>AH104/'Collections and ACP'!E121</f>
        <v>0.42779532169417661</v>
      </c>
      <c r="AJ104" s="172"/>
      <c r="AK104" s="172"/>
      <c r="AL104" s="172">
        <f t="shared" si="112"/>
        <v>140944.81111724279</v>
      </c>
      <c r="AM104" s="172">
        <f t="shared" si="113"/>
        <v>87910.390993984489</v>
      </c>
      <c r="AN104" s="105">
        <f t="shared" si="114"/>
        <v>0.61586894165832151</v>
      </c>
      <c r="AO104" s="105">
        <f t="shared" si="115"/>
        <v>0.38413105834167849</v>
      </c>
    </row>
    <row r="105" spans="1:41" x14ac:dyDescent="0.25">
      <c r="A105" s="177" t="s">
        <v>34</v>
      </c>
      <c r="B105" s="178">
        <f>'ABP Under Contract'!B108</f>
        <v>7545</v>
      </c>
      <c r="C105" s="178">
        <f>'ABP Under Contract'!C108</f>
        <v>12868</v>
      </c>
      <c r="D105" s="178">
        <f>'ABP Under Contract'!D108</f>
        <v>0</v>
      </c>
      <c r="E105" s="178">
        <f>'ABP Under Contract'!E108</f>
        <v>0</v>
      </c>
      <c r="F105" s="178">
        <f>'ABP Under Contract'!F108</f>
        <v>0</v>
      </c>
      <c r="G105" s="178">
        <f>'ABP Under Contract'!G108</f>
        <v>0</v>
      </c>
      <c r="H105" s="174">
        <f t="shared" si="108"/>
        <v>20413</v>
      </c>
      <c r="I105" s="30"/>
      <c r="J105" s="30"/>
      <c r="K105" s="30"/>
      <c r="L105" s="178">
        <f t="shared" ref="L105:L112" si="132">L20*$B$86</f>
        <v>0</v>
      </c>
      <c r="M105" s="30"/>
      <c r="N105" s="178">
        <f t="shared" si="118"/>
        <v>5939.771908520278</v>
      </c>
      <c r="O105" s="178">
        <f t="shared" si="118"/>
        <v>23776.345147862772</v>
      </c>
      <c r="P105" s="178">
        <f t="shared" si="118"/>
        <v>1173.2823098107879</v>
      </c>
      <c r="Q105" s="178">
        <f t="shared" si="101"/>
        <v>302.54999528691383</v>
      </c>
      <c r="R105" s="174">
        <f t="shared" si="102"/>
        <v>31191.949361480751</v>
      </c>
      <c r="S105" s="174">
        <f t="shared" si="109"/>
        <v>45665.177452960474</v>
      </c>
      <c r="T105" s="174">
        <f t="shared" si="103"/>
        <v>5939.771908520278</v>
      </c>
      <c r="U105" s="174">
        <f t="shared" si="104"/>
        <v>51604.949361480751</v>
      </c>
      <c r="V105" s="174">
        <f t="shared" ref="V105:AD105" si="133">$B$86*V20</f>
        <v>7434.892113852371</v>
      </c>
      <c r="W105" s="174">
        <f t="shared" si="133"/>
        <v>7915.6904344108771</v>
      </c>
      <c r="X105" s="174">
        <f t="shared" si="133"/>
        <v>12988.83383554073</v>
      </c>
      <c r="Y105" s="174">
        <f t="shared" si="133"/>
        <v>6543.9324020426102</v>
      </c>
      <c r="Z105" s="174">
        <f t="shared" si="133"/>
        <v>1924.2716793393679</v>
      </c>
      <c r="AA105" s="174">
        <f t="shared" si="133"/>
        <v>8795.2115937898634</v>
      </c>
      <c r="AB105" s="174">
        <f t="shared" si="133"/>
        <v>82567.723542590931</v>
      </c>
      <c r="AC105" s="174">
        <f t="shared" si="133"/>
        <v>46427.342845691805</v>
      </c>
      <c r="AD105" s="174">
        <f t="shared" si="133"/>
        <v>3752.4636782934685</v>
      </c>
      <c r="AE105" s="174"/>
      <c r="AF105" s="174">
        <f t="shared" si="106"/>
        <v>2811.7223910539451</v>
      </c>
      <c r="AG105" s="174">
        <f t="shared" si="121"/>
        <v>181162.08451660597</v>
      </c>
      <c r="AH105" s="174">
        <f t="shared" si="107"/>
        <v>232767.03387808672</v>
      </c>
      <c r="AI105" s="191">
        <f>AH105/'Collections and ACP'!E122</f>
        <v>0.43486836704006282</v>
      </c>
      <c r="AJ105" s="172"/>
      <c r="AK105" s="172"/>
      <c r="AL105" s="172">
        <f t="shared" si="112"/>
        <v>144259.53842697552</v>
      </c>
      <c r="AM105" s="172">
        <f t="shared" si="113"/>
        <v>88507.495451111216</v>
      </c>
      <c r="AN105" s="105">
        <f t="shared" si="114"/>
        <v>0.61975931910758641</v>
      </c>
      <c r="AO105" s="105">
        <f t="shared" si="115"/>
        <v>0.38024068089241359</v>
      </c>
    </row>
    <row r="106" spans="1:41" x14ac:dyDescent="0.25">
      <c r="A106" s="177" t="s">
        <v>35</v>
      </c>
      <c r="B106" s="178">
        <f>'ABP Under Contract'!B109</f>
        <v>7254</v>
      </c>
      <c r="C106" s="178">
        <f>'ABP Under Contract'!C109</f>
        <v>12298</v>
      </c>
      <c r="D106" s="178">
        <f>'ABP Under Contract'!D109</f>
        <v>0</v>
      </c>
      <c r="E106" s="178">
        <f>'ABP Under Contract'!E109</f>
        <v>0</v>
      </c>
      <c r="F106" s="178">
        <f>'ABP Under Contract'!F109</f>
        <v>0</v>
      </c>
      <c r="G106" s="178">
        <f>'ABP Under Contract'!G109</f>
        <v>0</v>
      </c>
      <c r="H106" s="174">
        <f t="shared" si="108"/>
        <v>19552</v>
      </c>
      <c r="I106" s="30"/>
      <c r="J106" s="30"/>
      <c r="K106" s="30"/>
      <c r="L106" s="178">
        <f t="shared" si="132"/>
        <v>0</v>
      </c>
      <c r="M106" s="30"/>
      <c r="N106" s="178">
        <f t="shared" si="118"/>
        <v>5939.771908520278</v>
      </c>
      <c r="O106" s="178">
        <f t="shared" si="118"/>
        <v>23657.463422123456</v>
      </c>
      <c r="P106" s="178">
        <f t="shared" si="118"/>
        <v>1167.4158982617337</v>
      </c>
      <c r="Q106" s="178">
        <f t="shared" si="101"/>
        <v>301.03724531047925</v>
      </c>
      <c r="R106" s="174">
        <f t="shared" si="102"/>
        <v>31065.688474215945</v>
      </c>
      <c r="S106" s="174">
        <f t="shared" si="109"/>
        <v>44677.916565695676</v>
      </c>
      <c r="T106" s="174">
        <f t="shared" si="103"/>
        <v>5939.771908520278</v>
      </c>
      <c r="U106" s="174">
        <f t="shared" si="104"/>
        <v>50617.688474215945</v>
      </c>
      <c r="V106" s="174">
        <f t="shared" ref="V106:AD106" si="134">$B$86*V21</f>
        <v>7762.7842376978269</v>
      </c>
      <c r="W106" s="174">
        <f t="shared" si="134"/>
        <v>8264.7866295535532</v>
      </c>
      <c r="X106" s="174">
        <f t="shared" si="134"/>
        <v>13591.24421962696</v>
      </c>
      <c r="Y106" s="174">
        <f t="shared" si="134"/>
        <v>6832.5315990113268</v>
      </c>
      <c r="Z106" s="174">
        <f t="shared" si="134"/>
        <v>2013.5176621669573</v>
      </c>
      <c r="AA106" s="174">
        <f t="shared" si="134"/>
        <v>9183.0962550595013</v>
      </c>
      <c r="AB106" s="174">
        <f t="shared" si="134"/>
        <v>87571.827999717658</v>
      </c>
      <c r="AC106" s="174">
        <f t="shared" si="134"/>
        <v>49948.284474308399</v>
      </c>
      <c r="AD106" s="174">
        <f t="shared" si="134"/>
        <v>4159.0502387577726</v>
      </c>
      <c r="AE106" s="174"/>
      <c r="AF106" s="174">
        <f t="shared" si="106"/>
        <v>2987.6749812325402</v>
      </c>
      <c r="AG106" s="174">
        <f t="shared" si="121"/>
        <v>192314.79829713248</v>
      </c>
      <c r="AH106" s="174">
        <f t="shared" si="107"/>
        <v>242932.48677134843</v>
      </c>
      <c r="AI106" s="191">
        <f>AH106/'Collections and ACP'!E123</f>
        <v>0.45363085870708497</v>
      </c>
      <c r="AJ106" s="172"/>
      <c r="AK106" s="172"/>
      <c r="AL106" s="172">
        <f t="shared" si="112"/>
        <v>149420.88686311053</v>
      </c>
      <c r="AM106" s="172">
        <f t="shared" si="113"/>
        <v>93511.599908237942</v>
      </c>
      <c r="AN106" s="105">
        <f t="shared" si="114"/>
        <v>0.61507165570551137</v>
      </c>
      <c r="AO106" s="105">
        <f t="shared" si="115"/>
        <v>0.38492834429448863</v>
      </c>
    </row>
    <row r="107" spans="1:41" x14ac:dyDescent="0.25">
      <c r="A107" s="177" t="s">
        <v>36</v>
      </c>
      <c r="B107" s="178">
        <f>'ABP Under Contract'!B110</f>
        <v>3450</v>
      </c>
      <c r="C107" s="178">
        <f>'ABP Under Contract'!C110</f>
        <v>6073</v>
      </c>
      <c r="D107" s="178">
        <f>'ABP Under Contract'!D110</f>
        <v>0</v>
      </c>
      <c r="E107" s="178">
        <f>'ABP Under Contract'!E110</f>
        <v>0</v>
      </c>
      <c r="F107" s="178">
        <f>'ABP Under Contract'!F110</f>
        <v>0</v>
      </c>
      <c r="G107" s="178">
        <f>'ABP Under Contract'!G110</f>
        <v>0</v>
      </c>
      <c r="H107" s="174">
        <f t="shared" si="108"/>
        <v>9523</v>
      </c>
      <c r="I107" s="30"/>
      <c r="J107" s="30"/>
      <c r="K107" s="30"/>
      <c r="L107" s="178">
        <f t="shared" si="132"/>
        <v>0</v>
      </c>
      <c r="M107" s="30"/>
      <c r="N107" s="178">
        <f t="shared" si="118"/>
        <v>5939.771908520278</v>
      </c>
      <c r="O107" s="178">
        <f t="shared" si="118"/>
        <v>23539.176105012841</v>
      </c>
      <c r="P107" s="178">
        <f t="shared" si="118"/>
        <v>1161.5788187704252</v>
      </c>
      <c r="Q107" s="178">
        <f t="shared" si="101"/>
        <v>299.53205908392687</v>
      </c>
      <c r="R107" s="174">
        <f t="shared" si="102"/>
        <v>30940.058891387467</v>
      </c>
      <c r="S107" s="174">
        <f t="shared" si="109"/>
        <v>34523.28698286719</v>
      </c>
      <c r="T107" s="174">
        <f t="shared" si="103"/>
        <v>5939.771908520278</v>
      </c>
      <c r="U107" s="174">
        <f t="shared" si="104"/>
        <v>40463.058891387467</v>
      </c>
      <c r="V107" s="174">
        <f t="shared" ref="V107:AD107" si="135">$B$86*V22</f>
        <v>8089.036900924054</v>
      </c>
      <c r="W107" s="174">
        <f t="shared" si="135"/>
        <v>8612.1373437205111</v>
      </c>
      <c r="X107" s="174">
        <f t="shared" si="135"/>
        <v>14190.642551792758</v>
      </c>
      <c r="Y107" s="174">
        <f t="shared" si="135"/>
        <v>7119.6877999952021</v>
      </c>
      <c r="Z107" s="174">
        <f t="shared" si="135"/>
        <v>2102.3174150804093</v>
      </c>
      <c r="AA107" s="174">
        <f t="shared" si="135"/>
        <v>9569.0414930227926</v>
      </c>
      <c r="AB107" s="174">
        <f t="shared" si="135"/>
        <v>92575.932456844384</v>
      </c>
      <c r="AC107" s="174">
        <f t="shared" si="135"/>
        <v>53451.621394781898</v>
      </c>
      <c r="AD107" s="174">
        <f t="shared" si="135"/>
        <v>4563.6038664197549</v>
      </c>
      <c r="AE107" s="174"/>
      <c r="AF107" s="174">
        <f t="shared" si="106"/>
        <v>3163.6275714111343</v>
      </c>
      <c r="AG107" s="174">
        <f t="shared" si="121"/>
        <v>203437.64879399291</v>
      </c>
      <c r="AH107" s="174">
        <f t="shared" si="107"/>
        <v>243900.70768538036</v>
      </c>
      <c r="AI107" s="191">
        <f>AH107/'Collections and ACP'!E124</f>
        <v>0.45522846777070652</v>
      </c>
      <c r="AJ107" s="172"/>
      <c r="AK107" s="172"/>
      <c r="AL107" s="172">
        <f t="shared" si="112"/>
        <v>145385.00332001573</v>
      </c>
      <c r="AM107" s="172">
        <f t="shared" si="113"/>
        <v>98515.704365364669</v>
      </c>
      <c r="AN107" s="105">
        <f t="shared" si="114"/>
        <v>0.5960827448994328</v>
      </c>
      <c r="AO107" s="105">
        <f t="shared" si="115"/>
        <v>0.4039172551005672</v>
      </c>
    </row>
    <row r="108" spans="1:41" x14ac:dyDescent="0.25">
      <c r="A108" s="177" t="s">
        <v>37</v>
      </c>
      <c r="B108" s="178">
        <f>'ABP Under Contract'!B111</f>
        <v>1194</v>
      </c>
      <c r="C108" s="178">
        <f>'ABP Under Contract'!C111</f>
        <v>2196</v>
      </c>
      <c r="D108" s="178">
        <f>'ABP Under Contract'!D111</f>
        <v>0</v>
      </c>
      <c r="E108" s="178">
        <f>'ABP Under Contract'!E111</f>
        <v>0</v>
      </c>
      <c r="F108" s="178">
        <f>'ABP Under Contract'!F111</f>
        <v>0</v>
      </c>
      <c r="G108" s="178">
        <f>'ABP Under Contract'!G111</f>
        <v>0</v>
      </c>
      <c r="H108" s="174">
        <f t="shared" si="108"/>
        <v>3390</v>
      </c>
      <c r="I108" s="30"/>
      <c r="J108" s="30"/>
      <c r="K108" s="30"/>
      <c r="L108" s="178">
        <f t="shared" si="132"/>
        <v>0</v>
      </c>
      <c r="M108" s="30"/>
      <c r="N108" s="178">
        <f t="shared" si="118"/>
        <v>5939.771908520278</v>
      </c>
      <c r="O108" s="178">
        <f t="shared" si="118"/>
        <v>23421.480224487772</v>
      </c>
      <c r="P108" s="178">
        <f t="shared" si="118"/>
        <v>1155.770924676573</v>
      </c>
      <c r="Q108" s="178">
        <f t="shared" si="101"/>
        <v>298.03439878850725</v>
      </c>
      <c r="R108" s="174">
        <f t="shared" si="102"/>
        <v>30815.057456473129</v>
      </c>
      <c r="S108" s="174">
        <f t="shared" si="109"/>
        <v>28265.285547952852</v>
      </c>
      <c r="T108" s="174">
        <f t="shared" si="103"/>
        <v>5939.771908520278</v>
      </c>
      <c r="U108" s="174">
        <f t="shared" si="104"/>
        <v>34205.057456473129</v>
      </c>
      <c r="V108" s="174">
        <f t="shared" ref="V108:AD108" si="136">$B$86*V23</f>
        <v>8413.6583008341513</v>
      </c>
      <c r="W108" s="174">
        <f t="shared" si="136"/>
        <v>8957.7513043166382</v>
      </c>
      <c r="X108" s="174">
        <f t="shared" si="136"/>
        <v>14787.043892297725</v>
      </c>
      <c r="Y108" s="174">
        <f t="shared" si="136"/>
        <v>7405.4082199741561</v>
      </c>
      <c r="Z108" s="174">
        <f t="shared" si="136"/>
        <v>2190.6731692292933</v>
      </c>
      <c r="AA108" s="174">
        <f t="shared" si="136"/>
        <v>9953.0570047962665</v>
      </c>
      <c r="AB108" s="174">
        <f t="shared" si="136"/>
        <v>97580.036913971111</v>
      </c>
      <c r="AC108" s="174">
        <f t="shared" si="136"/>
        <v>56937.441630653018</v>
      </c>
      <c r="AD108" s="174">
        <f t="shared" si="136"/>
        <v>4966.1347259434278</v>
      </c>
      <c r="AE108" s="174"/>
      <c r="AF108" s="174">
        <f t="shared" si="106"/>
        <v>3339.5801615897294</v>
      </c>
      <c r="AG108" s="174">
        <f t="shared" si="121"/>
        <v>214530.78532360552</v>
      </c>
      <c r="AH108" s="174">
        <f t="shared" si="107"/>
        <v>248735.84278007864</v>
      </c>
      <c r="AI108" s="191">
        <f>AH108/'Collections and ACP'!E125</f>
        <v>0.46405762367232084</v>
      </c>
      <c r="AJ108" s="172"/>
      <c r="AK108" s="172"/>
      <c r="AL108" s="172">
        <f t="shared" si="112"/>
        <v>145216.03395758726</v>
      </c>
      <c r="AM108" s="172">
        <f t="shared" si="113"/>
        <v>103519.8088224914</v>
      </c>
      <c r="AN108" s="105">
        <f t="shared" si="114"/>
        <v>0.58381627808253167</v>
      </c>
      <c r="AO108" s="105">
        <f t="shared" si="115"/>
        <v>0.41618372191746833</v>
      </c>
    </row>
    <row r="109" spans="1:41" x14ac:dyDescent="0.25">
      <c r="A109" s="177" t="s">
        <v>38</v>
      </c>
      <c r="B109" s="178">
        <f>'ABP Under Contract'!B112</f>
        <v>0</v>
      </c>
      <c r="C109" s="178">
        <f>'ABP Under Contract'!C112</f>
        <v>0</v>
      </c>
      <c r="D109" s="178">
        <f>'ABP Under Contract'!D112</f>
        <v>0</v>
      </c>
      <c r="E109" s="178">
        <f>'ABP Under Contract'!E112</f>
        <v>0</v>
      </c>
      <c r="F109" s="178">
        <f>'ABP Under Contract'!F112</f>
        <v>0</v>
      </c>
      <c r="G109" s="178">
        <f>'ABP Under Contract'!G112</f>
        <v>0</v>
      </c>
      <c r="H109" s="174">
        <f t="shared" si="108"/>
        <v>0</v>
      </c>
      <c r="I109" s="30"/>
      <c r="J109" s="30"/>
      <c r="K109" s="30"/>
      <c r="L109" s="178">
        <f t="shared" si="132"/>
        <v>0</v>
      </c>
      <c r="M109" s="30"/>
      <c r="N109" s="178">
        <f t="shared" si="118"/>
        <v>5939.771908520278</v>
      </c>
      <c r="O109" s="178">
        <f t="shared" si="118"/>
        <v>23304.372823365335</v>
      </c>
      <c r="P109" s="178">
        <f t="shared" si="118"/>
        <v>1149.99207005319</v>
      </c>
      <c r="Q109" s="178">
        <f t="shared" si="101"/>
        <v>296.54422679456468</v>
      </c>
      <c r="R109" s="174">
        <f t="shared" si="102"/>
        <v>30690.681028733368</v>
      </c>
      <c r="S109" s="174">
        <f t="shared" si="109"/>
        <v>24750.909120213091</v>
      </c>
      <c r="T109" s="174">
        <f t="shared" si="103"/>
        <v>5939.771908520278</v>
      </c>
      <c r="U109" s="174">
        <f t="shared" si="104"/>
        <v>30690.681028733368</v>
      </c>
      <c r="V109" s="174">
        <f t="shared" ref="V109:AD109" si="137">$B$86*V24</f>
        <v>8059.4077232335221</v>
      </c>
      <c r="W109" s="174">
        <f t="shared" si="137"/>
        <v>8580.5921114786834</v>
      </c>
      <c r="X109" s="174">
        <f t="shared" si="137"/>
        <v>15380.46322610017</v>
      </c>
      <c r="Y109" s="174">
        <f t="shared" si="137"/>
        <v>7689.7000378532157</v>
      </c>
      <c r="Z109" s="174">
        <f t="shared" si="137"/>
        <v>2278.5871446074329</v>
      </c>
      <c r="AA109" s="174">
        <f t="shared" si="137"/>
        <v>9533.9912349763163</v>
      </c>
      <c r="AB109" s="174">
        <f t="shared" si="137"/>
        <v>102584.14137109782</v>
      </c>
      <c r="AC109" s="174">
        <f t="shared" si="137"/>
        <v>60405.8327653448</v>
      </c>
      <c r="AD109" s="174">
        <f t="shared" si="137"/>
        <v>5366.6529311694821</v>
      </c>
      <c r="AE109" s="174"/>
      <c r="AF109" s="174">
        <f t="shared" si="106"/>
        <v>3515.532751768324</v>
      </c>
      <c r="AG109" s="174">
        <f t="shared" si="121"/>
        <v>223394.90129762978</v>
      </c>
      <c r="AH109" s="174">
        <f t="shared" si="107"/>
        <v>254085.58232636316</v>
      </c>
      <c r="AI109" s="191">
        <f>AH109/'Collections and ACP'!E126</f>
        <v>0.47385747353127133</v>
      </c>
      <c r="AJ109" s="172"/>
      <c r="AK109" s="172"/>
      <c r="AL109" s="172">
        <f t="shared" si="112"/>
        <v>145561.669046745</v>
      </c>
      <c r="AM109" s="172">
        <f t="shared" si="113"/>
        <v>108523.91327961811</v>
      </c>
      <c r="AN109" s="105">
        <f t="shared" si="114"/>
        <v>0.57288441049668326</v>
      </c>
      <c r="AO109" s="105">
        <f t="shared" si="115"/>
        <v>0.42711558950331674</v>
      </c>
    </row>
    <row r="110" spans="1:41" x14ac:dyDescent="0.25">
      <c r="A110" s="177" t="s">
        <v>39</v>
      </c>
      <c r="B110" s="178">
        <f>'ABP Under Contract'!B113</f>
        <v>0</v>
      </c>
      <c r="C110" s="178">
        <f>'ABP Under Contract'!C113</f>
        <v>0</v>
      </c>
      <c r="D110" s="178">
        <f>'ABP Under Contract'!D113</f>
        <v>0</v>
      </c>
      <c r="E110" s="178">
        <f>'ABP Under Contract'!E113</f>
        <v>0</v>
      </c>
      <c r="F110" s="178">
        <f>'ABP Under Contract'!F113</f>
        <v>0</v>
      </c>
      <c r="G110" s="178">
        <f>'ABP Under Contract'!G113</f>
        <v>0</v>
      </c>
      <c r="H110" s="174">
        <f t="shared" si="108"/>
        <v>0</v>
      </c>
      <c r="I110" s="30"/>
      <c r="J110" s="30"/>
      <c r="K110" s="30"/>
      <c r="L110" s="178">
        <f t="shared" si="132"/>
        <v>0</v>
      </c>
      <c r="M110" s="30"/>
      <c r="N110" s="178">
        <f t="shared" si="118"/>
        <v>5939.771908520278</v>
      </c>
      <c r="O110" s="178">
        <f t="shared" si="118"/>
        <v>23187.850959248506</v>
      </c>
      <c r="P110" s="178">
        <f t="shared" si="118"/>
        <v>1144.2421097029242</v>
      </c>
      <c r="Q110" s="178">
        <f t="shared" si="101"/>
        <v>295.06150566059182</v>
      </c>
      <c r="R110" s="174">
        <f t="shared" si="102"/>
        <v>30566.926483132302</v>
      </c>
      <c r="S110" s="174">
        <f t="shared" si="109"/>
        <v>24627.154574612025</v>
      </c>
      <c r="T110" s="174">
        <f t="shared" si="103"/>
        <v>5939.771908520278</v>
      </c>
      <c r="U110" s="174">
        <f t="shared" si="104"/>
        <v>30566.926483132302</v>
      </c>
      <c r="V110" s="174">
        <f t="shared" ref="V110:AD110" si="138">$B$86*V25</f>
        <v>7706.9283985208949</v>
      </c>
      <c r="W110" s="174">
        <f t="shared" si="138"/>
        <v>8205.3187146049186</v>
      </c>
      <c r="X110" s="174">
        <f t="shared" si="138"/>
        <v>15970.915463233605</v>
      </c>
      <c r="Y110" s="174">
        <f t="shared" si="138"/>
        <v>7972.5703966428782</v>
      </c>
      <c r="Z110" s="174">
        <f t="shared" si="138"/>
        <v>2182.6489946102402</v>
      </c>
      <c r="AA110" s="174">
        <f t="shared" si="138"/>
        <v>9117.0207940054643</v>
      </c>
      <c r="AB110" s="174">
        <f t="shared" si="138"/>
        <v>107588.24582822455</v>
      </c>
      <c r="AC110" s="174">
        <f t="shared" si="138"/>
        <v>63856.881944363115</v>
      </c>
      <c r="AD110" s="174">
        <f t="shared" si="138"/>
        <v>5765.1685453694054</v>
      </c>
      <c r="AE110" s="174"/>
      <c r="AF110" s="174">
        <f t="shared" si="106"/>
        <v>3691.4853419469187</v>
      </c>
      <c r="AG110" s="174">
        <f t="shared" si="121"/>
        <v>232057.18442152199</v>
      </c>
      <c r="AH110" s="174">
        <f t="shared" si="107"/>
        <v>262624.11090465431</v>
      </c>
      <c r="AI110" s="191">
        <f>AH110/'Collections and ACP'!E127</f>
        <v>0.48961339408642707</v>
      </c>
      <c r="AJ110" s="172"/>
      <c r="AK110" s="172"/>
      <c r="AL110" s="172">
        <f t="shared" si="112"/>
        <v>149096.09316790945</v>
      </c>
      <c r="AM110" s="172">
        <f t="shared" si="113"/>
        <v>113528.01773674483</v>
      </c>
      <c r="AN110" s="105">
        <f t="shared" si="114"/>
        <v>0.56771669841859573</v>
      </c>
      <c r="AO110" s="105">
        <f t="shared" si="115"/>
        <v>0.43228330158140427</v>
      </c>
    </row>
    <row r="111" spans="1:41" x14ac:dyDescent="0.25">
      <c r="A111" s="177" t="s">
        <v>40</v>
      </c>
      <c r="B111" s="178">
        <f>'ABP Under Contract'!B114</f>
        <v>0</v>
      </c>
      <c r="C111" s="178">
        <f>'ABP Under Contract'!C114</f>
        <v>0</v>
      </c>
      <c r="D111" s="178">
        <f>'ABP Under Contract'!D114</f>
        <v>0</v>
      </c>
      <c r="E111" s="178">
        <f>'ABP Under Contract'!E114</f>
        <v>0</v>
      </c>
      <c r="F111" s="178">
        <f>'ABP Under Contract'!F114</f>
        <v>0</v>
      </c>
      <c r="G111" s="178">
        <f>'ABP Under Contract'!G114</f>
        <v>0</v>
      </c>
      <c r="H111" s="174">
        <f t="shared" si="108"/>
        <v>0</v>
      </c>
      <c r="I111" s="30"/>
      <c r="J111" s="30"/>
      <c r="K111" s="30"/>
      <c r="L111" s="178">
        <f t="shared" si="132"/>
        <v>0</v>
      </c>
      <c r="M111" s="30"/>
      <c r="N111" s="178">
        <f t="shared" si="118"/>
        <v>5939.771908520278</v>
      </c>
      <c r="O111" s="178">
        <f t="shared" si="118"/>
        <v>23071.911704452265</v>
      </c>
      <c r="P111" s="178">
        <f t="shared" si="118"/>
        <v>1138.5208991544096</v>
      </c>
      <c r="Q111" s="178">
        <f t="shared" si="101"/>
        <v>293.58619813228887</v>
      </c>
      <c r="R111" s="174">
        <f t="shared" si="102"/>
        <v>30443.79071025924</v>
      </c>
      <c r="S111" s="174">
        <f t="shared" si="109"/>
        <v>24504.018801738963</v>
      </c>
      <c r="T111" s="174">
        <f t="shared" si="103"/>
        <v>5939.771908520278</v>
      </c>
      <c r="U111" s="174">
        <f t="shared" si="104"/>
        <v>30443.79071025924</v>
      </c>
      <c r="V111" s="174">
        <f t="shared" ref="V111:AD111" si="139">$B$86*V26</f>
        <v>6991.1448860171122</v>
      </c>
      <c r="W111" s="174">
        <f t="shared" si="139"/>
        <v>7443.2470374007935</v>
      </c>
      <c r="X111" s="174">
        <f t="shared" si="139"/>
        <v>16558.415439181368</v>
      </c>
      <c r="Y111" s="174">
        <f t="shared" si="139"/>
        <v>7932.7075446596646</v>
      </c>
      <c r="Z111" s="174">
        <f t="shared" si="139"/>
        <v>2087.1905353630332</v>
      </c>
      <c r="AA111" s="174">
        <f t="shared" si="139"/>
        <v>8270.2744860008825</v>
      </c>
      <c r="AB111" s="174">
        <f t="shared" si="139"/>
        <v>112592.35028535128</v>
      </c>
      <c r="AC111" s="174">
        <f t="shared" si="139"/>
        <v>67290.675877486356</v>
      </c>
      <c r="AD111" s="174">
        <f t="shared" si="139"/>
        <v>6161.6915814983304</v>
      </c>
      <c r="AE111" s="174"/>
      <c r="AF111" s="174">
        <f t="shared" si="106"/>
        <v>3867.4379321255137</v>
      </c>
      <c r="AG111" s="174">
        <f t="shared" si="121"/>
        <v>239195.13560508436</v>
      </c>
      <c r="AH111" s="174">
        <f t="shared" si="107"/>
        <v>269638.92631534359</v>
      </c>
      <c r="AI111" s="191"/>
      <c r="AJ111" s="172"/>
      <c r="AK111" s="172"/>
      <c r="AL111" s="172">
        <f t="shared" si="112"/>
        <v>151106.80412147203</v>
      </c>
      <c r="AM111" s="172">
        <f t="shared" si="113"/>
        <v>118532.12219387156</v>
      </c>
      <c r="AN111" s="105">
        <f t="shared" si="114"/>
        <v>0.56040426427433598</v>
      </c>
      <c r="AO111" s="105">
        <f t="shared" si="115"/>
        <v>0.43959573572566402</v>
      </c>
    </row>
    <row r="112" spans="1:41" x14ac:dyDescent="0.25">
      <c r="A112" s="189" t="s">
        <v>172</v>
      </c>
      <c r="L112" s="178">
        <f t="shared" si="132"/>
        <v>0</v>
      </c>
      <c r="N112" s="178">
        <f t="shared" si="118"/>
        <v>5939.771908520278</v>
      </c>
      <c r="O112" s="178">
        <f t="shared" si="118"/>
        <v>23000.018169663541</v>
      </c>
      <c r="P112" s="178">
        <f t="shared" si="118"/>
        <v>1132.8282946586376</v>
      </c>
      <c r="S112" s="174">
        <f t="shared" si="109"/>
        <v>24132.846464322178</v>
      </c>
      <c r="T112" s="174">
        <f t="shared" si="103"/>
        <v>5939.771908520278</v>
      </c>
      <c r="U112" s="174">
        <f t="shared" si="104"/>
        <v>0</v>
      </c>
      <c r="AG112" s="174">
        <f t="shared" ref="AG112" si="140">SUM(V112:AF112)</f>
        <v>0</v>
      </c>
      <c r="AH112" s="174">
        <f t="shared" ref="AH112" si="141">H112+R112+AG112</f>
        <v>0</v>
      </c>
      <c r="AI112" s="191"/>
      <c r="AL112" s="172">
        <f t="shared" si="112"/>
        <v>24132.846464322178</v>
      </c>
      <c r="AM112" s="172">
        <f t="shared" si="113"/>
        <v>5939.771908520278</v>
      </c>
      <c r="AN112" s="105">
        <f t="shared" si="114"/>
        <v>0.80248570859781598</v>
      </c>
      <c r="AO112" s="105">
        <f t="shared" si="115"/>
        <v>0.19751429140218402</v>
      </c>
    </row>
    <row r="114" spans="8:13" x14ac:dyDescent="0.25">
      <c r="H114" s="172"/>
    </row>
    <row r="115" spans="8:13" x14ac:dyDescent="0.25">
      <c r="H115" s="172"/>
    </row>
    <row r="116" spans="8:13" x14ac:dyDescent="0.25">
      <c r="H116" s="172"/>
    </row>
    <row r="117" spans="8:13" x14ac:dyDescent="0.25">
      <c r="H117" s="172"/>
    </row>
    <row r="118" spans="8:13" x14ac:dyDescent="0.25">
      <c r="H118" s="172"/>
    </row>
    <row r="119" spans="8:13" x14ac:dyDescent="0.25">
      <c r="H119" s="172"/>
      <c r="L119" s="172"/>
      <c r="M119" s="172"/>
    </row>
    <row r="120" spans="8:13" x14ac:dyDescent="0.25">
      <c r="H120" s="172"/>
      <c r="L120" s="172"/>
      <c r="M120" s="172"/>
    </row>
    <row r="121" spans="8:13" x14ac:dyDescent="0.25">
      <c r="H121" s="172"/>
    </row>
    <row r="122" spans="8:13" x14ac:dyDescent="0.25">
      <c r="H122" s="172"/>
    </row>
    <row r="123" spans="8:13" x14ac:dyDescent="0.25">
      <c r="H123" s="172"/>
    </row>
    <row r="124" spans="8:13" x14ac:dyDescent="0.25">
      <c r="H124" s="172"/>
    </row>
    <row r="125" spans="8:13" x14ac:dyDescent="0.25">
      <c r="H125" s="172"/>
      <c r="M125" s="172"/>
    </row>
    <row r="126" spans="8:13" x14ac:dyDescent="0.25">
      <c r="H126" s="172"/>
      <c r="M126" s="172"/>
    </row>
    <row r="127" spans="8:13" x14ac:dyDescent="0.25">
      <c r="H127" s="172"/>
    </row>
    <row r="128" spans="8:13" x14ac:dyDescent="0.25">
      <c r="H128" s="172"/>
    </row>
    <row r="129" spans="8:8" x14ac:dyDescent="0.25">
      <c r="H129" s="172"/>
    </row>
    <row r="130" spans="8:8" x14ac:dyDescent="0.25">
      <c r="H130" s="172"/>
    </row>
    <row r="131" spans="8:8" x14ac:dyDescent="0.25">
      <c r="H131" s="172"/>
    </row>
    <row r="132" spans="8:8" x14ac:dyDescent="0.25">
      <c r="H132" s="172"/>
    </row>
    <row r="133" spans="8:8" x14ac:dyDescent="0.25">
      <c r="H133" s="172"/>
    </row>
    <row r="134" spans="8:8" x14ac:dyDescent="0.25">
      <c r="H134" s="172"/>
    </row>
    <row r="135" spans="8:8" x14ac:dyDescent="0.25">
      <c r="H135" s="172"/>
    </row>
    <row r="136" spans="8:8" x14ac:dyDescent="0.25">
      <c r="H136" s="172"/>
    </row>
    <row r="137" spans="8:8" x14ac:dyDescent="0.25">
      <c r="H137" s="172"/>
    </row>
    <row r="138" spans="8:8" x14ac:dyDescent="0.25">
      <c r="H138" s="172"/>
    </row>
    <row r="139" spans="8:8" x14ac:dyDescent="0.25">
      <c r="H139" s="172"/>
    </row>
    <row r="140" spans="8:8" x14ac:dyDescent="0.25">
      <c r="H140" s="172"/>
    </row>
    <row r="141" spans="8:8" x14ac:dyDescent="0.25">
      <c r="H141" s="172"/>
    </row>
    <row r="142" spans="8:8" x14ac:dyDescent="0.25">
      <c r="H142" s="172"/>
    </row>
    <row r="143" spans="8:8" x14ac:dyDescent="0.25">
      <c r="H143" s="172"/>
    </row>
    <row r="144" spans="8:8" x14ac:dyDescent="0.25">
      <c r="H144" s="172"/>
    </row>
    <row r="145" spans="8:8" x14ac:dyDescent="0.25">
      <c r="H145" s="172"/>
    </row>
    <row r="146" spans="8:8" x14ac:dyDescent="0.25">
      <c r="H146" s="172"/>
    </row>
  </sheetData>
  <mergeCells count="1">
    <mergeCell ref="AJ2:AK2"/>
  </mergeCells>
  <printOptions horizontalCentered="1" verticalCentered="1"/>
  <pageMargins left="0.7" right="0.7" top="0.75" bottom="0.75" header="0.3" footer="0.3"/>
  <pageSetup scale="17" orientation="landscape" r:id="rId1"/>
  <headerFooter>
    <oddHeader>&amp;A</oddHeader>
  </headerFooter>
  <rowBreaks count="1" manualBreakCount="1">
    <brk id="56" max="16383" man="1"/>
  </rowBreaks>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39381-FECD-4B00-8747-C237FDC59982}">
  <sheetPr>
    <pageSetUpPr fitToPage="1"/>
  </sheetPr>
  <dimension ref="A1:AJ108"/>
  <sheetViews>
    <sheetView zoomScale="90" zoomScaleNormal="90" workbookViewId="0">
      <pane xSplit="1" topLeftCell="V1" activePane="topRight" state="frozen"/>
      <selection activeCell="L3" sqref="L3"/>
      <selection pane="topRight" activeCell="AG23" sqref="AG23"/>
    </sheetView>
  </sheetViews>
  <sheetFormatPr defaultRowHeight="15" x14ac:dyDescent="0.25"/>
  <cols>
    <col min="1" max="1" width="17.42578125" bestFit="1" customWidth="1"/>
    <col min="2" max="2" width="21.140625" bestFit="1" customWidth="1"/>
    <col min="3" max="3" width="16.85546875" bestFit="1" customWidth="1"/>
    <col min="4" max="4" width="17.42578125" bestFit="1" customWidth="1"/>
    <col min="5" max="7" width="16.42578125" customWidth="1"/>
    <col min="8" max="8" width="16.140625" bestFit="1" customWidth="1"/>
    <col min="9" max="9" width="14.42578125" customWidth="1"/>
    <col min="10" max="10" width="17" bestFit="1" customWidth="1"/>
    <col min="11" max="11" width="17.42578125" customWidth="1"/>
    <col min="12" max="12" width="17.5703125" customWidth="1"/>
    <col min="13" max="13" width="16.140625" bestFit="1" customWidth="1"/>
    <col min="14" max="14" width="16.5703125" bestFit="1" customWidth="1"/>
    <col min="15" max="15" width="16.140625" bestFit="1" customWidth="1"/>
    <col min="16" max="16" width="17.42578125" bestFit="1" customWidth="1"/>
    <col min="17" max="17" width="17.5703125" bestFit="1" customWidth="1"/>
    <col min="18" max="18" width="24.140625" bestFit="1" customWidth="1"/>
    <col min="19" max="19" width="24.42578125" customWidth="1"/>
    <col min="20" max="20" width="15.42578125" customWidth="1"/>
    <col min="21" max="21" width="16" customWidth="1"/>
    <col min="22" max="22" width="18.5703125" customWidth="1"/>
    <col min="23" max="23" width="18.85546875" customWidth="1"/>
    <col min="24" max="24" width="17.42578125" bestFit="1" customWidth="1"/>
    <col min="25" max="25" width="17.140625" customWidth="1"/>
    <col min="26" max="26" width="19" customWidth="1"/>
    <col min="27" max="27" width="28" customWidth="1"/>
    <col min="28" max="28" width="17.42578125" bestFit="1" customWidth="1"/>
    <col min="29" max="29" width="20.85546875" bestFit="1" customWidth="1"/>
    <col min="30" max="30" width="17.42578125" bestFit="1" customWidth="1"/>
    <col min="31" max="31" width="18.85546875" bestFit="1" customWidth="1"/>
    <col min="32" max="32" width="22.42578125" bestFit="1" customWidth="1"/>
    <col min="33" max="34" width="18.85546875" bestFit="1" customWidth="1"/>
    <col min="35" max="35" width="11.5703125" bestFit="1" customWidth="1"/>
    <col min="36" max="36" width="19.7109375" bestFit="1" customWidth="1"/>
  </cols>
  <sheetData>
    <row r="1" spans="1:36" x14ac:dyDescent="0.25">
      <c r="A1" s="1" t="s">
        <v>0</v>
      </c>
      <c r="B1" t="s">
        <v>200</v>
      </c>
      <c r="Q1" s="190" t="s">
        <v>95</v>
      </c>
      <c r="R1" s="190"/>
      <c r="S1" s="190"/>
      <c r="T1" s="190"/>
      <c r="U1" s="190"/>
      <c r="V1" s="190"/>
      <c r="W1" s="190"/>
      <c r="X1" s="190"/>
      <c r="Y1" s="190"/>
      <c r="Z1" s="190"/>
    </row>
    <row r="2" spans="1:36" x14ac:dyDescent="0.25">
      <c r="A2" s="1"/>
      <c r="Q2" s="190"/>
      <c r="R2" s="190"/>
      <c r="S2" s="190"/>
      <c r="T2" s="190"/>
      <c r="U2" s="190"/>
      <c r="V2" s="190"/>
      <c r="W2" s="190"/>
      <c r="X2" s="190"/>
      <c r="Y2" s="190"/>
      <c r="Z2" s="190"/>
    </row>
    <row r="3" spans="1:36" ht="60" x14ac:dyDescent="0.25">
      <c r="A3" s="173" t="s">
        <v>1</v>
      </c>
      <c r="B3" s="173" t="s">
        <v>201</v>
      </c>
      <c r="C3" s="173" t="s">
        <v>202</v>
      </c>
      <c r="D3" s="173" t="s">
        <v>231</v>
      </c>
      <c r="E3" s="173" t="s">
        <v>158</v>
      </c>
      <c r="F3" s="173" t="s">
        <v>232</v>
      </c>
      <c r="G3" s="173" t="s">
        <v>233</v>
      </c>
      <c r="H3" s="173" t="s">
        <v>234</v>
      </c>
      <c r="I3" s="15" t="s">
        <v>235</v>
      </c>
      <c r="J3" s="15" t="s">
        <v>236</v>
      </c>
      <c r="K3" s="15" t="s">
        <v>237</v>
      </c>
      <c r="L3" s="15" t="s">
        <v>238</v>
      </c>
      <c r="M3" s="173" t="s">
        <v>239</v>
      </c>
      <c r="N3" s="173" t="s">
        <v>240</v>
      </c>
      <c r="O3" s="173" t="s">
        <v>219</v>
      </c>
      <c r="P3" s="15" t="s">
        <v>217</v>
      </c>
      <c r="Q3" s="197" t="s">
        <v>201</v>
      </c>
      <c r="R3" s="197" t="s">
        <v>202</v>
      </c>
      <c r="S3" s="197" t="s">
        <v>153</v>
      </c>
      <c r="T3" s="197" t="s">
        <v>158</v>
      </c>
      <c r="U3" s="197" t="s">
        <v>162</v>
      </c>
      <c r="V3" s="197" t="s">
        <v>165</v>
      </c>
      <c r="W3" s="309" t="s">
        <v>90</v>
      </c>
      <c r="X3" s="197" t="s">
        <v>91</v>
      </c>
      <c r="Y3" s="197" t="s">
        <v>86</v>
      </c>
      <c r="Z3" s="197" t="s">
        <v>241</v>
      </c>
      <c r="AA3" s="15" t="s">
        <v>242</v>
      </c>
      <c r="AB3" s="15" t="s">
        <v>243</v>
      </c>
      <c r="AC3" s="15" t="s">
        <v>244</v>
      </c>
      <c r="AD3" s="173" t="s">
        <v>179</v>
      </c>
      <c r="AE3" s="173" t="s">
        <v>245</v>
      </c>
      <c r="AF3" s="15" t="s">
        <v>246</v>
      </c>
      <c r="AG3" s="173" t="s">
        <v>247</v>
      </c>
      <c r="AH3" s="173" t="s">
        <v>248</v>
      </c>
    </row>
    <row r="4" spans="1:36" x14ac:dyDescent="0.25">
      <c r="A4" s="174" t="s">
        <v>17</v>
      </c>
      <c r="B4" s="16">
        <f>'ABP Under Contract'!K4</f>
        <v>137956495.56</v>
      </c>
      <c r="C4" s="16">
        <f>'ABP Under Contract'!L4</f>
        <v>48621594.350000001</v>
      </c>
      <c r="D4" s="16">
        <f>'ABP Under Contract'!M4</f>
        <v>29989057.579999998</v>
      </c>
      <c r="E4" s="16"/>
      <c r="F4" s="16"/>
      <c r="G4" s="16"/>
      <c r="H4" s="16">
        <v>30848359.600711424</v>
      </c>
      <c r="I4" s="16">
        <f>I31+I58+I85</f>
        <v>5397290.4699999997</v>
      </c>
      <c r="J4" s="16"/>
      <c r="K4" s="16"/>
      <c r="L4" s="16"/>
      <c r="M4" s="16">
        <f>AB4*0.03</f>
        <v>6757080.0219020871</v>
      </c>
      <c r="N4" s="16"/>
      <c r="O4" s="16">
        <v>11261800.036503479</v>
      </c>
      <c r="P4" s="16">
        <f>SUM(B4:O4)</f>
        <v>270831677.61911702</v>
      </c>
      <c r="Q4" s="245"/>
      <c r="R4" s="245"/>
      <c r="S4" s="245"/>
      <c r="T4" s="245"/>
      <c r="U4" s="245"/>
      <c r="V4" s="196"/>
      <c r="W4" s="300"/>
      <c r="X4" s="196"/>
      <c r="Y4" s="196"/>
      <c r="Z4" s="195">
        <f>SUM(Q4:Y4)</f>
        <v>0</v>
      </c>
      <c r="AA4" s="193">
        <f>AA31+AA58+AA85</f>
        <v>293790554.98094952</v>
      </c>
      <c r="AB4" s="193">
        <f>'Collections and ACP'!K7</f>
        <v>225236000.73006958</v>
      </c>
      <c r="AC4" s="193">
        <f>AA4+AB4</f>
        <v>519026555.7110191</v>
      </c>
      <c r="AD4" s="193">
        <f>P4+Z4</f>
        <v>270831677.61911702</v>
      </c>
      <c r="AE4" s="206">
        <f>AC4-AD4</f>
        <v>248194878.09190208</v>
      </c>
      <c r="AF4" s="205">
        <v>248194878.09590167</v>
      </c>
      <c r="AG4" s="207">
        <f>AE4-AF4</f>
        <v>-3.9995908737182617E-3</v>
      </c>
      <c r="AH4" s="182"/>
      <c r="AJ4" s="3"/>
    </row>
    <row r="5" spans="1:36" x14ac:dyDescent="0.25">
      <c r="A5" s="174" t="s">
        <v>18</v>
      </c>
      <c r="B5" s="16">
        <f>'ABP Under Contract'!K5</f>
        <v>61976246.75</v>
      </c>
      <c r="C5" s="16">
        <f>'ABP Under Contract'!L5</f>
        <v>60698120.020000003</v>
      </c>
      <c r="D5" s="16">
        <f>'ABP Under Contract'!M5</f>
        <v>84192311.930000007</v>
      </c>
      <c r="E5" s="16"/>
      <c r="F5" s="16"/>
      <c r="G5" s="16"/>
      <c r="H5" s="16">
        <v>24142255.383493654</v>
      </c>
      <c r="I5" s="16">
        <f t="shared" ref="I5:I27" si="0">I32+I59+I86</f>
        <v>19260591.157020841</v>
      </c>
      <c r="J5" s="16"/>
      <c r="K5" s="16"/>
      <c r="L5" s="16"/>
      <c r="M5" s="16">
        <f t="shared" ref="M5:M27" si="1">AB5*0.03</f>
        <v>13942135.092404015</v>
      </c>
      <c r="N5" s="16">
        <v>10000000</v>
      </c>
      <c r="O5" s="16">
        <v>50000000</v>
      </c>
      <c r="P5" s="16">
        <f t="shared" ref="P5:P27" si="2">SUM(B5:O5)</f>
        <v>324211660.33291852</v>
      </c>
      <c r="Q5" s="245"/>
      <c r="R5" s="245"/>
      <c r="S5" s="245"/>
      <c r="T5" s="245"/>
      <c r="U5" s="245"/>
      <c r="V5" s="196"/>
      <c r="W5" s="306"/>
      <c r="X5" s="196"/>
      <c r="Y5" s="196"/>
      <c r="Z5" s="195">
        <f t="shared" ref="Z5:Z8" si="3">SUM(Q5:Y5)</f>
        <v>0</v>
      </c>
      <c r="AA5" s="193">
        <f t="shared" ref="AA5:AA26" si="4">AE4</f>
        <v>248194878.09190208</v>
      </c>
      <c r="AB5" s="193">
        <f>'Collections and ACP'!K8</f>
        <v>464737836.41346717</v>
      </c>
      <c r="AC5" s="193">
        <f t="shared" ref="AC5:AC26" si="5">AA5+AB5</f>
        <v>712932714.50536919</v>
      </c>
      <c r="AD5" s="193">
        <f t="shared" ref="AD5:AD26" si="6">P5+Z5</f>
        <v>324211660.33291852</v>
      </c>
      <c r="AE5" s="206">
        <f t="shared" ref="AE5:AE26" si="7">AC5-AD5</f>
        <v>388721054.17245066</v>
      </c>
      <c r="AF5" s="205">
        <v>388721054.17845035</v>
      </c>
      <c r="AG5" s="207">
        <f t="shared" ref="AG5:AG27" si="8">AE5-AF5</f>
        <v>-5.9996843338012695E-3</v>
      </c>
      <c r="AH5" s="182"/>
      <c r="AJ5" s="3"/>
    </row>
    <row r="6" spans="1:36" x14ac:dyDescent="0.25">
      <c r="A6" s="174" t="s">
        <v>19</v>
      </c>
      <c r="B6" s="16">
        <f>'ABP Under Contract'!K6</f>
        <v>88771585.709999993</v>
      </c>
      <c r="C6" s="16">
        <f>'ABP Under Contract'!L6</f>
        <v>65368120.829999998</v>
      </c>
      <c r="D6" s="16">
        <f>'ABP Under Contract'!M6</f>
        <v>102137171.87</v>
      </c>
      <c r="E6" s="16"/>
      <c r="F6" s="16"/>
      <c r="G6" s="16"/>
      <c r="H6" s="16">
        <v>22062344.595163539</v>
      </c>
      <c r="I6" s="16">
        <f t="shared" si="0"/>
        <v>22975411.212579787</v>
      </c>
      <c r="J6" s="16"/>
      <c r="K6" s="16"/>
      <c r="L6" s="16"/>
      <c r="M6" s="16">
        <f t="shared" si="1"/>
        <v>17623889.800951708</v>
      </c>
      <c r="N6" s="16"/>
      <c r="O6" s="16">
        <v>50000000</v>
      </c>
      <c r="P6" s="16">
        <f t="shared" si="2"/>
        <v>368938524.01869506</v>
      </c>
      <c r="Q6" s="245"/>
      <c r="R6" s="245"/>
      <c r="S6" s="245"/>
      <c r="T6" s="245"/>
      <c r="U6" s="245"/>
      <c r="V6" s="196"/>
      <c r="W6" s="307" cm="1">
        <f t="array" ref="W6:W27">TRANSPOSE('Indexed REC Spend'!C80:X80)</f>
        <v>0</v>
      </c>
      <c r="X6" s="244" cm="1">
        <f t="array" ref="X6:X27">TRANSPOSE('Indexed REC Spend'!C81:X81)</f>
        <v>0</v>
      </c>
      <c r="Y6" s="244" cm="1">
        <f t="array" ref="Y6:Y27">TRANSPOSE('Indexed REC Spend'!C82:X82)</f>
        <v>0</v>
      </c>
      <c r="Z6" s="195">
        <f t="shared" si="3"/>
        <v>0</v>
      </c>
      <c r="AA6" s="193">
        <f t="shared" si="4"/>
        <v>388721054.17245066</v>
      </c>
      <c r="AB6" s="193">
        <f>'Collections and ACP'!K9</f>
        <v>587462993.36505699</v>
      </c>
      <c r="AC6" s="193">
        <f t="shared" si="5"/>
        <v>976184047.53750765</v>
      </c>
      <c r="AD6" s="193">
        <f t="shared" si="6"/>
        <v>368938524.01869506</v>
      </c>
      <c r="AE6" s="206">
        <f t="shared" si="7"/>
        <v>607245523.51881266</v>
      </c>
      <c r="AF6" s="205">
        <v>607245523.52481246</v>
      </c>
      <c r="AG6" s="207">
        <f t="shared" si="8"/>
        <v>-5.9998035430908203E-3</v>
      </c>
      <c r="AH6" s="182"/>
      <c r="AJ6" s="3"/>
    </row>
    <row r="7" spans="1:36" x14ac:dyDescent="0.25">
      <c r="A7" s="174" t="s">
        <v>20</v>
      </c>
      <c r="B7" s="16">
        <f>'ABP Under Contract'!K7</f>
        <v>272359734.05000001</v>
      </c>
      <c r="C7" s="16">
        <f>'ABP Under Contract'!L7</f>
        <v>84007146.200000003</v>
      </c>
      <c r="D7" s="16">
        <f>'ABP Under Contract'!M7</f>
        <v>118165987.31999999</v>
      </c>
      <c r="E7" s="16"/>
      <c r="F7" s="16"/>
      <c r="G7" s="16"/>
      <c r="H7" s="16">
        <v>17721007.415898785</v>
      </c>
      <c r="I7" s="16">
        <f t="shared" si="0"/>
        <v>22594914.147020839</v>
      </c>
      <c r="J7" s="16"/>
      <c r="K7" s="16"/>
      <c r="L7" s="16"/>
      <c r="M7" s="16">
        <f t="shared" si="1"/>
        <v>17322647.088471591</v>
      </c>
      <c r="N7" s="16"/>
      <c r="O7" s="16">
        <v>50000000</v>
      </c>
      <c r="P7" s="16">
        <f t="shared" si="2"/>
        <v>582171436.2213912</v>
      </c>
      <c r="Q7" s="245"/>
      <c r="R7" s="245"/>
      <c r="S7" s="245"/>
      <c r="T7" s="245"/>
      <c r="U7" s="245"/>
      <c r="V7" s="196"/>
      <c r="W7" s="308">
        <v>0</v>
      </c>
      <c r="X7" s="245">
        <v>0</v>
      </c>
      <c r="Y7" s="195">
        <v>0</v>
      </c>
      <c r="Z7" s="195">
        <f>SUM(Q7:Y7)</f>
        <v>0</v>
      </c>
      <c r="AA7" s="193">
        <f t="shared" si="4"/>
        <v>607245523.51881266</v>
      </c>
      <c r="AB7" s="193">
        <f>'Collections and ACP'!K10</f>
        <v>577421569.61571968</v>
      </c>
      <c r="AC7" s="193">
        <f t="shared" si="5"/>
        <v>1184667093.1345325</v>
      </c>
      <c r="AD7" s="193">
        <f t="shared" si="6"/>
        <v>582171436.2213912</v>
      </c>
      <c r="AE7" s="206">
        <f t="shared" si="7"/>
        <v>602495656.91314125</v>
      </c>
      <c r="AF7" s="205">
        <v>604656241.99530864</v>
      </c>
      <c r="AG7" s="207">
        <f t="shared" si="8"/>
        <v>-2160585.082167387</v>
      </c>
      <c r="AH7" s="182"/>
      <c r="AJ7" s="3"/>
    </row>
    <row r="8" spans="1:36" x14ac:dyDescent="0.25">
      <c r="A8" s="174" t="s">
        <v>22</v>
      </c>
      <c r="B8" s="16">
        <f>'ABP Under Contract'!K8</f>
        <v>94455148.140000001</v>
      </c>
      <c r="C8" s="16">
        <f>'ABP Under Contract'!L8</f>
        <v>94418603.790000007</v>
      </c>
      <c r="D8" s="16">
        <f>'ABP Under Contract'!M8</f>
        <v>138850842.08000001</v>
      </c>
      <c r="E8" s="16">
        <f>'ABP Under Contract'!N8</f>
        <v>109935.3</v>
      </c>
      <c r="F8" s="16">
        <f>'ABP Under Contract'!O8</f>
        <v>877546.86</v>
      </c>
      <c r="G8" s="16"/>
      <c r="H8" s="16">
        <v>17421541.685608782</v>
      </c>
      <c r="I8" s="16">
        <f t="shared" si="0"/>
        <v>22594914.147020839</v>
      </c>
      <c r="J8" s="16" cm="1">
        <f t="array" ref="J8:L26">TRANSPOSE('Indexed REC Spend'!F74:X76)</f>
        <v>0</v>
      </c>
      <c r="K8" s="16">
        <v>44006236.064999998</v>
      </c>
      <c r="L8" s="16">
        <v>3109644.45</v>
      </c>
      <c r="M8" s="16">
        <f t="shared" si="1"/>
        <v>17208829.557390258</v>
      </c>
      <c r="N8" s="16">
        <v>10000000</v>
      </c>
      <c r="O8" s="16">
        <v>50000000</v>
      </c>
      <c r="P8" s="16">
        <f t="shared" si="2"/>
        <v>493053242.0750199</v>
      </c>
      <c r="Q8" s="245" cm="1">
        <f t="array" ref="Q8:V26">TRANSPOSE('Projected ABP Spend'!C165:U170)</f>
        <v>160339848.81633624</v>
      </c>
      <c r="R8" s="245">
        <v>16741207.534772398</v>
      </c>
      <c r="S8" s="245">
        <v>0</v>
      </c>
      <c r="T8" s="245">
        <v>8601833.8951314129</v>
      </c>
      <c r="U8" s="245">
        <v>0</v>
      </c>
      <c r="V8" s="245">
        <v>18601341.705302659</v>
      </c>
      <c r="W8" s="308">
        <v>0</v>
      </c>
      <c r="X8" s="245">
        <v>0</v>
      </c>
      <c r="Y8" s="195">
        <v>0</v>
      </c>
      <c r="Z8" s="195">
        <f t="shared" si="3"/>
        <v>204284231.95154271</v>
      </c>
      <c r="AA8" s="193">
        <f t="shared" si="4"/>
        <v>602495656.91314125</v>
      </c>
      <c r="AB8" s="193">
        <f>'Collections and ACP'!K11</f>
        <v>573627651.91300857</v>
      </c>
      <c r="AC8" s="193">
        <f t="shared" si="5"/>
        <v>1176123308.8261499</v>
      </c>
      <c r="AD8" s="193">
        <f t="shared" si="6"/>
        <v>697337474.02656257</v>
      </c>
      <c r="AE8" s="206">
        <f t="shared" si="7"/>
        <v>478785834.79958737</v>
      </c>
      <c r="AF8" s="205">
        <v>468642630.45007873</v>
      </c>
      <c r="AG8" s="207">
        <f t="shared" si="8"/>
        <v>10143204.349508643</v>
      </c>
      <c r="AH8" s="182"/>
      <c r="AJ8" s="3"/>
    </row>
    <row r="9" spans="1:36" x14ac:dyDescent="0.25">
      <c r="A9" s="174" t="s">
        <v>23</v>
      </c>
      <c r="B9" s="16"/>
      <c r="C9" s="16">
        <f>'ABP Under Contract'!L9</f>
        <v>71133462.239999995</v>
      </c>
      <c r="D9" s="16">
        <f>'ABP Under Contract'!M9</f>
        <v>144127725.02000001</v>
      </c>
      <c r="E9" s="16">
        <f>'ABP Under Contract'!N9</f>
        <v>1469487.37</v>
      </c>
      <c r="F9" s="16">
        <f>'ABP Under Contract'!O9</f>
        <v>22448498.620000001</v>
      </c>
      <c r="G9" s="16"/>
      <c r="H9" s="16">
        <v>11401431.694168944</v>
      </c>
      <c r="I9" s="16">
        <f t="shared" si="0"/>
        <v>22594914.147020839</v>
      </c>
      <c r="J9" s="16">
        <v>0</v>
      </c>
      <c r="K9" s="16">
        <v>109853858.12827499</v>
      </c>
      <c r="L9" s="16">
        <v>8848335.0397499986</v>
      </c>
      <c r="M9" s="16">
        <f t="shared" si="1"/>
        <v>17147929.28927454</v>
      </c>
      <c r="N9" s="16"/>
      <c r="O9" s="16">
        <v>50000000</v>
      </c>
      <c r="P9" s="16">
        <f t="shared" si="2"/>
        <v>459025641.54848927</v>
      </c>
      <c r="Q9" s="245">
        <v>153926254.86368278</v>
      </c>
      <c r="R9" s="245">
        <v>31882699.682888769</v>
      </c>
      <c r="S9" s="245">
        <v>13809309.912177913</v>
      </c>
      <c r="T9" s="245">
        <v>16816585.264981911</v>
      </c>
      <c r="U9" s="245">
        <v>5636343.3831327278</v>
      </c>
      <c r="V9" s="245">
        <v>35425221.8698764</v>
      </c>
      <c r="W9" s="308">
        <v>0</v>
      </c>
      <c r="X9" s="245">
        <v>0</v>
      </c>
      <c r="Y9" s="195">
        <v>0</v>
      </c>
      <c r="Z9" s="195">
        <f>SUM(Q9:Y9)</f>
        <v>257496414.97674054</v>
      </c>
      <c r="AA9" s="193">
        <f>AE8</f>
        <v>478785834.79958737</v>
      </c>
      <c r="AB9" s="193">
        <f>'Collections and ACP'!K12</f>
        <v>571597642.97581804</v>
      </c>
      <c r="AC9" s="193">
        <f t="shared" si="5"/>
        <v>1050383477.7754054</v>
      </c>
      <c r="AD9" s="193">
        <f t="shared" si="6"/>
        <v>716522056.52522981</v>
      </c>
      <c r="AE9" s="206">
        <f t="shared" si="7"/>
        <v>333861421.2501756</v>
      </c>
      <c r="AF9" s="205">
        <v>333254583.3620677</v>
      </c>
      <c r="AG9" s="207">
        <f t="shared" si="8"/>
        <v>606837.88810789585</v>
      </c>
      <c r="AH9" s="182"/>
      <c r="AJ9" s="3"/>
    </row>
    <row r="10" spans="1:36" x14ac:dyDescent="0.25">
      <c r="A10" s="174" t="s">
        <v>24</v>
      </c>
      <c r="B10" s="16"/>
      <c r="C10" s="16">
        <f>'ABP Under Contract'!L10</f>
        <v>58365036.969999999</v>
      </c>
      <c r="D10" s="16">
        <f>'ABP Under Contract'!M10</f>
        <v>122862732.7</v>
      </c>
      <c r="E10" s="16">
        <f>'ABP Under Contract'!N10</f>
        <v>2428386.7400000002</v>
      </c>
      <c r="F10" s="16">
        <f>'ABP Under Contract'!O10</f>
        <v>25886449.5</v>
      </c>
      <c r="G10" s="16"/>
      <c r="H10" s="16">
        <v>8215431.7104763286</v>
      </c>
      <c r="I10" s="16">
        <f t="shared" si="0"/>
        <v>22594914.147020839</v>
      </c>
      <c r="J10" s="16">
        <v>27210851.99499999</v>
      </c>
      <c r="K10" s="16">
        <v>124695260.7728606</v>
      </c>
      <c r="L10" s="16">
        <v>12485819.190641249</v>
      </c>
      <c r="M10" s="16">
        <f t="shared" si="1"/>
        <v>16888811.399599317</v>
      </c>
      <c r="N10" s="16"/>
      <c r="O10" s="16">
        <v>50000000</v>
      </c>
      <c r="P10" s="16">
        <f t="shared" si="2"/>
        <v>471633695.12559831</v>
      </c>
      <c r="Q10" s="245">
        <v>147769204.66913545</v>
      </c>
      <c r="R10" s="245">
        <v>46418532.145080477</v>
      </c>
      <c r="S10" s="245">
        <v>26997200.878307819</v>
      </c>
      <c r="T10" s="245">
        <v>24659952.45641011</v>
      </c>
      <c r="U10" s="245">
        <v>10734102.842988327</v>
      </c>
      <c r="V10" s="245">
        <v>51576146.827867195</v>
      </c>
      <c r="W10" s="308">
        <v>0</v>
      </c>
      <c r="X10" s="245">
        <v>0</v>
      </c>
      <c r="Y10" s="195">
        <v>0</v>
      </c>
      <c r="Z10" s="195">
        <f t="shared" ref="Z10:Z27" si="9">SUM(Q10:Y10)</f>
        <v>308155139.81978941</v>
      </c>
      <c r="AA10" s="193">
        <f t="shared" si="4"/>
        <v>333861421.2501756</v>
      </c>
      <c r="AB10" s="193">
        <f>'Collections and ACP'!K13</f>
        <v>562960379.98664391</v>
      </c>
      <c r="AC10" s="193">
        <f t="shared" si="5"/>
        <v>896821801.23681951</v>
      </c>
      <c r="AD10" s="193">
        <f t="shared" si="6"/>
        <v>779788834.94538772</v>
      </c>
      <c r="AE10" s="206">
        <f t="shared" si="7"/>
        <v>117032966.29143178</v>
      </c>
      <c r="AF10" s="205">
        <v>203593725.46508837</v>
      </c>
      <c r="AG10" s="207">
        <f t="shared" si="8"/>
        <v>-86560759.173656583</v>
      </c>
      <c r="AH10" s="182"/>
      <c r="AJ10" s="3"/>
    </row>
    <row r="11" spans="1:36" x14ac:dyDescent="0.25">
      <c r="A11" s="174" t="s">
        <v>25</v>
      </c>
      <c r="B11" s="16"/>
      <c r="C11" s="16">
        <f>'ABP Under Contract'!L11</f>
        <v>53766377.479999997</v>
      </c>
      <c r="D11" s="16">
        <f>'ABP Under Contract'!M11</f>
        <v>102724305.86</v>
      </c>
      <c r="E11" s="16">
        <f>'ABP Under Contract'!N11</f>
        <v>2367645.9</v>
      </c>
      <c r="F11" s="16">
        <f>'ABP Under Contract'!O11</f>
        <v>25628724.75</v>
      </c>
      <c r="G11" s="16"/>
      <c r="H11" s="16">
        <v>4480482.7749063233</v>
      </c>
      <c r="I11" s="16">
        <f t="shared" si="0"/>
        <v>22594914.147020839</v>
      </c>
      <c r="J11" s="16">
        <v>24860631.594999999</v>
      </c>
      <c r="K11" s="16">
        <v>114279156.08158328</v>
      </c>
      <c r="L11" s="16">
        <v>11957445.631187867</v>
      </c>
      <c r="M11" s="16">
        <f t="shared" si="1"/>
        <v>16862404.659270328</v>
      </c>
      <c r="N11" s="16">
        <v>10000000</v>
      </c>
      <c r="O11" s="16">
        <v>50000000</v>
      </c>
      <c r="P11" s="16">
        <f t="shared" si="2"/>
        <v>439522088.87896866</v>
      </c>
      <c r="Q11" s="245">
        <v>141858436.48237002</v>
      </c>
      <c r="R11" s="245">
        <v>60372931.308784522</v>
      </c>
      <c r="S11" s="245">
        <v>39588874.888979442</v>
      </c>
      <c r="T11" s="245">
        <v>32147004.807171043</v>
      </c>
      <c r="U11" s="245">
        <v>15627951.924449705</v>
      </c>
      <c r="V11" s="245">
        <v>67081034.78753835</v>
      </c>
      <c r="W11" s="308">
        <v>0</v>
      </c>
      <c r="X11" s="245">
        <v>0</v>
      </c>
      <c r="Y11" s="195">
        <v>0</v>
      </c>
      <c r="Z11" s="195">
        <f t="shared" si="9"/>
        <v>356676234.19929302</v>
      </c>
      <c r="AA11" s="193">
        <f t="shared" si="4"/>
        <v>117032966.29143178</v>
      </c>
      <c r="AB11" s="193">
        <f>'Collections and ACP'!K14</f>
        <v>562080155.30901098</v>
      </c>
      <c r="AC11" s="193">
        <f t="shared" si="5"/>
        <v>679113121.60044277</v>
      </c>
      <c r="AD11" s="193">
        <f t="shared" si="6"/>
        <v>796198323.07826161</v>
      </c>
      <c r="AE11" s="206">
        <f t="shared" si="7"/>
        <v>-117085201.47781885</v>
      </c>
      <c r="AF11" s="205">
        <v>31891499.106424332</v>
      </c>
      <c r="AG11" s="207">
        <f t="shared" si="8"/>
        <v>-148976700.58424318</v>
      </c>
      <c r="AH11" s="182"/>
      <c r="AJ11" s="3"/>
    </row>
    <row r="12" spans="1:36" x14ac:dyDescent="0.25">
      <c r="A12" s="174" t="s">
        <v>26</v>
      </c>
      <c r="B12" s="16"/>
      <c r="C12" s="16">
        <f>'ABP Under Contract'!L12</f>
        <v>38822174.630000003</v>
      </c>
      <c r="D12" s="16">
        <f>'ABP Under Contract'!M12</f>
        <v>99624416.040000007</v>
      </c>
      <c r="E12" s="16">
        <f>'ABP Under Contract'!N12</f>
        <v>2360924.67</v>
      </c>
      <c r="F12" s="16">
        <f>'ABP Under Contract'!O12</f>
        <v>25628724.75</v>
      </c>
      <c r="G12" s="16"/>
      <c r="H12" s="16">
        <v>4478132.259204451</v>
      </c>
      <c r="I12" s="16">
        <f t="shared" si="0"/>
        <v>22594914.147020839</v>
      </c>
      <c r="J12" s="16">
        <v>23661781.794999998</v>
      </c>
      <c r="K12" s="16">
        <v>108737506.81737195</v>
      </c>
      <c r="L12" s="16">
        <v>11661168.055256929</v>
      </c>
      <c r="M12" s="16">
        <f t="shared" si="1"/>
        <v>16906426.967615873</v>
      </c>
      <c r="N12" s="16"/>
      <c r="O12" s="16">
        <v>50000000</v>
      </c>
      <c r="P12" s="16">
        <f t="shared" si="2"/>
        <v>404476170.13146996</v>
      </c>
      <c r="Q12" s="245">
        <v>136184099.02307522</v>
      </c>
      <c r="R12" s="245">
        <v>73769154.505940408</v>
      </c>
      <c r="S12" s="245">
        <v>51608524.12899518</v>
      </c>
      <c r="T12" s="245">
        <v>39292207.811656445</v>
      </c>
      <c r="U12" s="245">
        <v>20326047.042652629</v>
      </c>
      <c r="V12" s="245">
        <v>81965727.228822663</v>
      </c>
      <c r="W12" s="308">
        <v>21537500.000000004</v>
      </c>
      <c r="X12" s="245">
        <v>27667500</v>
      </c>
      <c r="Y12" s="195">
        <v>4157775</v>
      </c>
      <c r="Z12" s="195">
        <f t="shared" si="9"/>
        <v>456508534.74114251</v>
      </c>
      <c r="AA12" s="193">
        <f t="shared" si="4"/>
        <v>-117085201.47781885</v>
      </c>
      <c r="AB12" s="193">
        <f>'Collections and ACP'!K15</f>
        <v>563547565.58719575</v>
      </c>
      <c r="AC12" s="193">
        <f t="shared" si="5"/>
        <v>446462364.10937691</v>
      </c>
      <c r="AD12" s="193">
        <f t="shared" si="6"/>
        <v>860984704.87261248</v>
      </c>
      <c r="AE12" s="206">
        <f t="shared" si="7"/>
        <v>-414522340.76323557</v>
      </c>
      <c r="AF12" s="205">
        <v>-167344967.04357708</v>
      </c>
      <c r="AG12" s="207">
        <f t="shared" si="8"/>
        <v>-247177373.71965849</v>
      </c>
      <c r="AH12" s="182"/>
      <c r="AJ12" s="3"/>
    </row>
    <row r="13" spans="1:36" x14ac:dyDescent="0.25">
      <c r="A13" s="174" t="s">
        <v>27</v>
      </c>
      <c r="B13" s="16"/>
      <c r="C13" s="16">
        <f>'ABP Under Contract'!L13</f>
        <v>37628009.890000001</v>
      </c>
      <c r="D13" s="16">
        <f>'ABP Under Contract'!M13</f>
        <v>99283143.329999998</v>
      </c>
      <c r="E13" s="16">
        <f>'ABP Under Contract'!N13</f>
        <v>2354153.4300000002</v>
      </c>
      <c r="F13" s="16">
        <f>'ABP Under Contract'!O13</f>
        <v>25628724.75</v>
      </c>
      <c r="G13" s="16"/>
      <c r="H13" s="16">
        <v>4338008.6485485407</v>
      </c>
      <c r="I13" s="16">
        <f t="shared" si="0"/>
        <v>22594914.147020839</v>
      </c>
      <c r="J13" s="16">
        <v>21810092.994999994</v>
      </c>
      <c r="K13" s="16">
        <v>100555376.2559983</v>
      </c>
      <c r="L13" s="16">
        <v>11239416.355756529</v>
      </c>
      <c r="M13" s="16">
        <f t="shared" si="1"/>
        <v>16920397.12592769</v>
      </c>
      <c r="N13" s="16"/>
      <c r="O13" s="16">
        <v>50000000</v>
      </c>
      <c r="P13" s="16">
        <f t="shared" si="2"/>
        <v>392352236.92825192</v>
      </c>
      <c r="Q13" s="245">
        <v>130736735.06215221</v>
      </c>
      <c r="R13" s="245">
        <v>86629528.775210038</v>
      </c>
      <c r="S13" s="245">
        <v>63079371.378232419</v>
      </c>
      <c r="T13" s="245">
        <v>46109447.279978588</v>
      </c>
      <c r="U13" s="245">
        <v>24836218.35612743</v>
      </c>
      <c r="V13" s="245">
        <v>96255031.972455591</v>
      </c>
      <c r="W13" s="308">
        <v>38025000.000000022</v>
      </c>
      <c r="X13" s="245">
        <v>52174237.500000007</v>
      </c>
      <c r="Y13" s="195">
        <v>8123490.375</v>
      </c>
      <c r="Z13" s="195">
        <f t="shared" si="9"/>
        <v>545969060.69915628</v>
      </c>
      <c r="AA13" s="193">
        <f t="shared" si="4"/>
        <v>-414522340.76323557</v>
      </c>
      <c r="AB13" s="193">
        <f>'Collections and ACP'!K16</f>
        <v>564013237.53092301</v>
      </c>
      <c r="AC13" s="193">
        <f t="shared" si="5"/>
        <v>149490896.76768744</v>
      </c>
      <c r="AD13" s="193">
        <f t="shared" si="6"/>
        <v>938321297.62740827</v>
      </c>
      <c r="AE13" s="206">
        <f t="shared" si="7"/>
        <v>-788830400.85972083</v>
      </c>
      <c r="AF13" s="205">
        <v>-413828076.31385303</v>
      </c>
      <c r="AG13" s="207">
        <f t="shared" si="8"/>
        <v>-375002324.5458678</v>
      </c>
      <c r="AH13" s="182"/>
      <c r="AJ13" s="3"/>
    </row>
    <row r="14" spans="1:36" x14ac:dyDescent="0.25">
      <c r="A14" s="174" t="s">
        <v>28</v>
      </c>
      <c r="B14" s="16"/>
      <c r="C14" s="16">
        <f>'ABP Under Contract'!L14</f>
        <v>34715022.119999997</v>
      </c>
      <c r="D14" s="16">
        <f>'ABP Under Contract'!M14</f>
        <v>98944208.420000002</v>
      </c>
      <c r="E14" s="16">
        <f>'ABP Under Contract'!N14</f>
        <v>2347393.2000000002</v>
      </c>
      <c r="F14" s="16">
        <f>'ABP Under Contract'!O14</f>
        <v>25628724.75</v>
      </c>
      <c r="G14" s="16"/>
      <c r="H14" s="16">
        <v>4303453.6786395097</v>
      </c>
      <c r="I14" s="16">
        <f t="shared" si="0"/>
        <v>22594914.147020839</v>
      </c>
      <c r="J14" s="16">
        <v>20088971.99499999</v>
      </c>
      <c r="K14" s="16">
        <v>92988263.68393752</v>
      </c>
      <c r="L14" s="16">
        <v>10847090.098724162</v>
      </c>
      <c r="M14" s="16">
        <f t="shared" si="1"/>
        <v>17023386.929470729</v>
      </c>
      <c r="N14" s="16">
        <v>10000000</v>
      </c>
      <c r="O14" s="16">
        <v>50000000</v>
      </c>
      <c r="P14" s="16">
        <f t="shared" si="2"/>
        <v>389481429.0227927</v>
      </c>
      <c r="Q14" s="245">
        <v>125507265.65966612</v>
      </c>
      <c r="R14" s="245">
        <v>98975488.073708892</v>
      </c>
      <c r="S14" s="245">
        <v>74023708.796428174</v>
      </c>
      <c r="T14" s="245">
        <v>52612052.530663893</v>
      </c>
      <c r="U14" s="245">
        <v>29165982.817063238</v>
      </c>
      <c r="V14" s="245">
        <v>109972764.52634323</v>
      </c>
      <c r="W14" s="308">
        <v>45337500.000000015</v>
      </c>
      <c r="X14" s="245">
        <v>71080907.8125</v>
      </c>
      <c r="Y14" s="195">
        <v>11758983.608124999</v>
      </c>
      <c r="Z14" s="195">
        <f t="shared" si="9"/>
        <v>618434653.82449841</v>
      </c>
      <c r="AA14" s="193">
        <f t="shared" si="4"/>
        <v>-788830400.85972083</v>
      </c>
      <c r="AB14" s="193">
        <f>'Collections and ACP'!K17</f>
        <v>567446230.98235762</v>
      </c>
      <c r="AC14" s="193">
        <f t="shared" si="5"/>
        <v>-221384169.8773632</v>
      </c>
      <c r="AD14" s="193">
        <f t="shared" si="6"/>
        <v>1007916082.8472911</v>
      </c>
      <c r="AE14" s="206">
        <f t="shared" si="7"/>
        <v>-1229300252.7246542</v>
      </c>
      <c r="AF14" s="205">
        <v>-676206743.40501845</v>
      </c>
      <c r="AG14" s="207">
        <f t="shared" si="8"/>
        <v>-553093509.31963575</v>
      </c>
      <c r="AH14" s="182"/>
      <c r="AJ14" s="3"/>
    </row>
    <row r="15" spans="1:36" x14ac:dyDescent="0.25">
      <c r="A15" s="174" t="s">
        <v>29</v>
      </c>
      <c r="B15" s="16"/>
      <c r="C15" s="16"/>
      <c r="D15" s="16">
        <f>'ABP Under Contract'!M15</f>
        <v>98606583.030000001</v>
      </c>
      <c r="E15" s="16">
        <f>'ABP Under Contract'!N15</f>
        <v>2340702.5099999998</v>
      </c>
      <c r="F15" s="16"/>
      <c r="G15" s="16"/>
      <c r="H15" s="16">
        <v>4261079.6921323007</v>
      </c>
      <c r="I15" s="16">
        <f t="shared" si="0"/>
        <v>22594914.147020839</v>
      </c>
      <c r="J15" s="16">
        <v>20492545.194999997</v>
      </c>
      <c r="K15" s="16">
        <v>94171504.961511731</v>
      </c>
      <c r="L15" s="16">
        <v>10871277.062015567</v>
      </c>
      <c r="M15" s="16">
        <f t="shared" si="1"/>
        <v>17120451.256649822</v>
      </c>
      <c r="N15" s="16"/>
      <c r="O15" s="16">
        <v>50000000</v>
      </c>
      <c r="P15" s="16">
        <f t="shared" si="2"/>
        <v>320459057.85433024</v>
      </c>
      <c r="Q15" s="308">
        <v>120486975.03327948</v>
      </c>
      <c r="R15" s="245">
        <v>95016468.550760567</v>
      </c>
      <c r="S15" s="245">
        <v>84462935.156529486</v>
      </c>
      <c r="T15" s="245">
        <v>58812818.655612357</v>
      </c>
      <c r="U15" s="245">
        <v>33322556.699561618</v>
      </c>
      <c r="V15" s="245">
        <v>105573853.94528948</v>
      </c>
      <c r="W15" s="308">
        <v>45949999.999999985</v>
      </c>
      <c r="X15" s="245">
        <v>78690536.045312494</v>
      </c>
      <c r="Y15" s="195">
        <v>15150198.880490623</v>
      </c>
      <c r="Z15" s="195">
        <f t="shared" si="9"/>
        <v>637466342.96683609</v>
      </c>
      <c r="AA15" s="193">
        <f t="shared" si="4"/>
        <v>-1229300252.7246542</v>
      </c>
      <c r="AB15" s="193">
        <f>'Collections and ACP'!K18</f>
        <v>570681708.55499411</v>
      </c>
      <c r="AC15" s="193">
        <f t="shared" si="5"/>
        <v>-658618544.16966009</v>
      </c>
      <c r="AD15" s="193">
        <f t="shared" si="6"/>
        <v>957925400.82116628</v>
      </c>
      <c r="AE15" s="206">
        <f t="shared" si="7"/>
        <v>-1616543944.9908264</v>
      </c>
      <c r="AF15" s="205">
        <v>-933272625.60694325</v>
      </c>
      <c r="AG15" s="207">
        <f t="shared" si="8"/>
        <v>-683271319.38388312</v>
      </c>
      <c r="AH15" s="182"/>
      <c r="AJ15" s="3"/>
    </row>
    <row r="16" spans="1:36" x14ac:dyDescent="0.25">
      <c r="A16" s="174" t="s">
        <v>30</v>
      </c>
      <c r="B16" s="16"/>
      <c r="C16" s="16"/>
      <c r="D16" s="16">
        <f>'ABP Under Contract'!M16</f>
        <v>98270482.810000002</v>
      </c>
      <c r="E16" s="16">
        <f>'ABP Under Contract'!N16</f>
        <v>2243609</v>
      </c>
      <c r="F16" s="16"/>
      <c r="G16" s="16"/>
      <c r="H16" s="16"/>
      <c r="I16" s="16">
        <f t="shared" si="0"/>
        <v>22594914.147020839</v>
      </c>
      <c r="J16" s="16">
        <v>19531091.394999992</v>
      </c>
      <c r="K16" s="16">
        <v>89793727.544818059</v>
      </c>
      <c r="L16" s="16">
        <v>10631024.957911249</v>
      </c>
      <c r="M16" s="16">
        <f t="shared" si="1"/>
        <v>17234402.603198845</v>
      </c>
      <c r="N16" s="16"/>
      <c r="O16" s="16">
        <v>50000000</v>
      </c>
      <c r="P16" s="16">
        <f t="shared" si="2"/>
        <v>310299252.45794904</v>
      </c>
      <c r="Q16" s="308">
        <v>115667496.0319483</v>
      </c>
      <c r="R16" s="245">
        <v>91215809.80873014</v>
      </c>
      <c r="S16" s="245">
        <v>94417591.588666946</v>
      </c>
      <c r="T16" s="245">
        <v>64724027.894432008</v>
      </c>
      <c r="U16" s="245">
        <v>31989654.43157915</v>
      </c>
      <c r="V16" s="245">
        <v>101350899.7874779</v>
      </c>
      <c r="W16" s="308">
        <v>61687500.00000003</v>
      </c>
      <c r="X16" s="245">
        <v>94907560.546654686</v>
      </c>
      <c r="Y16" s="195">
        <v>19033585.093043737</v>
      </c>
      <c r="Z16" s="195">
        <f t="shared" si="9"/>
        <v>674994125.18253291</v>
      </c>
      <c r="AA16" s="193">
        <f t="shared" si="4"/>
        <v>-1616543944.9908264</v>
      </c>
      <c r="AB16" s="193">
        <f>'Collections and ACP'!K19</f>
        <v>574480086.77329481</v>
      </c>
      <c r="AC16" s="193">
        <f t="shared" si="5"/>
        <v>-1042063858.2175316</v>
      </c>
      <c r="AD16" s="193">
        <f t="shared" si="6"/>
        <v>985293377.64048195</v>
      </c>
      <c r="AE16" s="206">
        <f t="shared" si="7"/>
        <v>-2027357235.8580136</v>
      </c>
      <c r="AF16" s="205">
        <v>-1278286086.428921</v>
      </c>
      <c r="AG16" s="207">
        <f t="shared" si="8"/>
        <v>-749071149.42909265</v>
      </c>
      <c r="AH16" s="182"/>
      <c r="AJ16" s="3"/>
    </row>
    <row r="17" spans="1:36" x14ac:dyDescent="0.25">
      <c r="A17" s="174" t="s">
        <v>31</v>
      </c>
      <c r="B17" s="16"/>
      <c r="C17" s="16"/>
      <c r="D17" s="16">
        <f>'ABP Under Contract'!M17</f>
        <v>66500890.43</v>
      </c>
      <c r="E17" s="16">
        <f>'ABP Under Contract'!N17</f>
        <v>1319877.08</v>
      </c>
      <c r="F17" s="16"/>
      <c r="G17" s="16"/>
      <c r="H17" s="16"/>
      <c r="I17" s="16">
        <f t="shared" si="0"/>
        <v>20941094.263402294</v>
      </c>
      <c r="J17" s="16">
        <v>18249152.994999994</v>
      </c>
      <c r="K17" s="16">
        <v>84161578.517191753</v>
      </c>
      <c r="L17" s="16">
        <v>10331248.179521333</v>
      </c>
      <c r="M17" s="16">
        <f t="shared" si="1"/>
        <v>17289396.046359867</v>
      </c>
      <c r="N17" s="16"/>
      <c r="O17" s="16">
        <v>50000000</v>
      </c>
      <c r="P17" s="16">
        <f t="shared" si="2"/>
        <v>268793237.51147521</v>
      </c>
      <c r="Q17" s="308">
        <v>55520398.095335178</v>
      </c>
      <c r="R17" s="245">
        <v>81770249.741889507</v>
      </c>
      <c r="S17" s="245">
        <v>103907395.8943269</v>
      </c>
      <c r="T17" s="245">
        <v>67378938.954366744</v>
      </c>
      <c r="U17" s="245">
        <v>30710068.25431598</v>
      </c>
      <c r="V17" s="245">
        <v>90855833.046543881</v>
      </c>
      <c r="W17" s="308">
        <v>55687500</v>
      </c>
      <c r="X17" s="245">
        <v>99718727.642493963</v>
      </c>
      <c r="Y17" s="195">
        <v>22375421.621414293</v>
      </c>
      <c r="Z17" s="195">
        <f t="shared" si="9"/>
        <v>607924533.25068653</v>
      </c>
      <c r="AA17" s="193">
        <f t="shared" si="4"/>
        <v>-2027357235.8580136</v>
      </c>
      <c r="AB17" s="193">
        <f>'Collections and ACP'!K20</f>
        <v>576313201.54532886</v>
      </c>
      <c r="AC17" s="193">
        <f t="shared" si="5"/>
        <v>-1451044034.3126848</v>
      </c>
      <c r="AD17" s="193">
        <f t="shared" si="6"/>
        <v>876717770.76216173</v>
      </c>
      <c r="AE17" s="206">
        <f t="shared" si="7"/>
        <v>-2327761805.0748463</v>
      </c>
      <c r="AF17" s="205">
        <v>-1570910717.7168217</v>
      </c>
      <c r="AG17" s="207">
        <f t="shared" si="8"/>
        <v>-756851087.3580246</v>
      </c>
      <c r="AH17" s="182"/>
      <c r="AJ17" s="3"/>
    </row>
    <row r="18" spans="1:36" x14ac:dyDescent="0.25">
      <c r="A18" s="174" t="s">
        <v>32</v>
      </c>
      <c r="B18" s="16"/>
      <c r="C18" s="16"/>
      <c r="D18" s="16">
        <f>'ABP Under Contract'!M18</f>
        <v>66168272.43</v>
      </c>
      <c r="E18" s="16">
        <f>'ABP Under Contract'!N18</f>
        <v>1313186.3899999999</v>
      </c>
      <c r="F18" s="16"/>
      <c r="G18" s="16"/>
      <c r="H18" s="16"/>
      <c r="I18" s="16">
        <f t="shared" si="0"/>
        <v>20941094.263402294</v>
      </c>
      <c r="J18" s="16">
        <v>16682339.394999996</v>
      </c>
      <c r="K18" s="16">
        <v>77437447.361552492</v>
      </c>
      <c r="L18" s="16">
        <v>9979672.6054397356</v>
      </c>
      <c r="M18" s="16">
        <f t="shared" si="1"/>
        <v>17378693.799014561</v>
      </c>
      <c r="N18" s="16"/>
      <c r="O18" s="16">
        <v>50000000</v>
      </c>
      <c r="P18" s="16">
        <f t="shared" si="2"/>
        <v>259900706.24440908</v>
      </c>
      <c r="Q18" s="308">
        <v>53299582.171521768</v>
      </c>
      <c r="R18" s="245">
        <v>73024563.615194261</v>
      </c>
      <c r="S18" s="245">
        <v>108169567.20138487</v>
      </c>
      <c r="T18" s="245">
        <v>69901434.211025536</v>
      </c>
      <c r="U18" s="245">
        <v>27529985.82166345</v>
      </c>
      <c r="V18" s="245">
        <v>81138404.016882509</v>
      </c>
      <c r="W18" s="308">
        <v>44152500.000000022</v>
      </c>
      <c r="X18" s="245">
        <v>101197577.50305441</v>
      </c>
      <c r="Y18" s="195">
        <v>25406628.588729352</v>
      </c>
      <c r="Z18" s="195">
        <f t="shared" si="9"/>
        <v>583820243.12945616</v>
      </c>
      <c r="AA18" s="193">
        <f t="shared" si="4"/>
        <v>-2327761805.0748463</v>
      </c>
      <c r="AB18" s="193">
        <f>'Collections and ACP'!K21</f>
        <v>579289793.30048537</v>
      </c>
      <c r="AC18" s="193">
        <f t="shared" si="5"/>
        <v>-1748472011.7743609</v>
      </c>
      <c r="AD18" s="193">
        <f t="shared" si="6"/>
        <v>843720949.37386525</v>
      </c>
      <c r="AE18" s="206">
        <f>AC18-AD18</f>
        <v>-2592192961.1482263</v>
      </c>
      <c r="AF18" s="205">
        <v>-1812779719.217381</v>
      </c>
      <c r="AG18" s="207">
        <f t="shared" si="8"/>
        <v>-779413241.93084526</v>
      </c>
      <c r="AH18" s="182"/>
      <c r="AJ18" s="3"/>
    </row>
    <row r="19" spans="1:36" x14ac:dyDescent="0.25">
      <c r="A19" s="174" t="s">
        <v>33</v>
      </c>
      <c r="B19" s="16"/>
      <c r="C19" s="16"/>
      <c r="D19" s="16">
        <f>'ABP Under Contract'!M19</f>
        <v>65837667.57</v>
      </c>
      <c r="E19" s="16">
        <f>'ABP Under Contract'!N19</f>
        <v>1306613.25</v>
      </c>
      <c r="F19" s="16"/>
      <c r="G19" s="16"/>
      <c r="H19" s="16"/>
      <c r="I19" s="16">
        <f t="shared" si="0"/>
        <v>17493544.263402294</v>
      </c>
      <c r="J19" s="16">
        <v>15091786.195</v>
      </c>
      <c r="K19" s="16">
        <v>70683426.104571268</v>
      </c>
      <c r="L19" s="16">
        <v>9626832.9947351031</v>
      </c>
      <c r="M19" s="16">
        <f t="shared" si="1"/>
        <v>17444210.839039307</v>
      </c>
      <c r="N19" s="16"/>
      <c r="O19" s="16">
        <v>50000000</v>
      </c>
      <c r="P19" s="16">
        <f t="shared" si="2"/>
        <v>247484081.21674794</v>
      </c>
      <c r="Q19" s="245">
        <v>51167598.884660892</v>
      </c>
      <c r="R19" s="245">
        <v>64628704.933566831</v>
      </c>
      <c r="S19" s="245">
        <v>112219159.32044634</v>
      </c>
      <c r="T19" s="245">
        <v>72296941.393343821</v>
      </c>
      <c r="U19" s="245">
        <v>24585533.336454801</v>
      </c>
      <c r="V19" s="245">
        <v>71809672.148407564</v>
      </c>
      <c r="W19" s="308">
        <v>26737500.000000019</v>
      </c>
      <c r="X19" s="245">
        <v>99034507.709324628</v>
      </c>
      <c r="Y19" s="195">
        <v>28081872.343618508</v>
      </c>
      <c r="Z19" s="195">
        <f t="shared" si="9"/>
        <v>550561490.06982338</v>
      </c>
      <c r="AA19" s="193">
        <f t="shared" si="4"/>
        <v>-2592192961.1482263</v>
      </c>
      <c r="AB19" s="193">
        <f>'Collections and ACP'!K22</f>
        <v>581473694.63464355</v>
      </c>
      <c r="AC19" s="193">
        <f t="shared" si="5"/>
        <v>-2010719266.5135827</v>
      </c>
      <c r="AD19" s="193">
        <f t="shared" si="6"/>
        <v>798045571.28657126</v>
      </c>
      <c r="AE19" s="206">
        <f t="shared" si="7"/>
        <v>-2808764837.8001537</v>
      </c>
      <c r="AF19" s="205">
        <v>-1964677868.139348</v>
      </c>
      <c r="AG19" s="207">
        <f t="shared" si="8"/>
        <v>-844086969.6608057</v>
      </c>
      <c r="AH19" s="182"/>
      <c r="AJ19" s="3"/>
    </row>
    <row r="20" spans="1:36" x14ac:dyDescent="0.25">
      <c r="A20" s="174" t="s">
        <v>34</v>
      </c>
      <c r="B20" s="16"/>
      <c r="C20" s="16"/>
      <c r="D20" s="16">
        <f>'ABP Under Contract'!M20</f>
        <v>65508554.25</v>
      </c>
      <c r="E20" s="16">
        <f>'ABP Under Contract'!N20</f>
        <v>1300107.3400000001</v>
      </c>
      <c r="F20" s="16"/>
      <c r="G20" s="16"/>
      <c r="H20" s="16"/>
      <c r="I20" s="16">
        <f t="shared" si="0"/>
        <v>5880413.46</v>
      </c>
      <c r="J20" s="16">
        <v>13928545.794999994</v>
      </c>
      <c r="K20" s="16">
        <v>65696949.382204264</v>
      </c>
      <c r="L20" s="16">
        <v>9358252.5531865992</v>
      </c>
      <c r="M20" s="16">
        <f t="shared" si="1"/>
        <v>17522169.661825232</v>
      </c>
      <c r="N20" s="16"/>
      <c r="O20" s="16">
        <v>50000000</v>
      </c>
      <c r="P20" s="16">
        <f t="shared" si="2"/>
        <v>229194992.4422161</v>
      </c>
      <c r="Q20" s="245">
        <v>49120894.929274455</v>
      </c>
      <c r="R20" s="245">
        <v>56568680.599204481</v>
      </c>
      <c r="S20" s="245">
        <v>116064885.88070974</v>
      </c>
      <c r="T20" s="245">
        <v>74570670.465615571</v>
      </c>
      <c r="U20" s="245">
        <v>21758858.950654488</v>
      </c>
      <c r="V20" s="245">
        <v>62854089.554671638</v>
      </c>
      <c r="W20" s="308">
        <v>6352500.0000000857</v>
      </c>
      <c r="X20" s="245">
        <v>94773262.874902442</v>
      </c>
      <c r="Y20" s="195">
        <v>30508752.576885626</v>
      </c>
      <c r="Z20" s="195">
        <f t="shared" si="9"/>
        <v>512572595.83191854</v>
      </c>
      <c r="AA20" s="193">
        <f t="shared" si="4"/>
        <v>-2808764837.8001537</v>
      </c>
      <c r="AB20" s="193">
        <f>'Collections and ACP'!K23</f>
        <v>584072322.06084108</v>
      </c>
      <c r="AC20" s="193">
        <f t="shared" si="5"/>
        <v>-2224692515.7393126</v>
      </c>
      <c r="AD20" s="193">
        <f t="shared" si="6"/>
        <v>741767588.27413464</v>
      </c>
      <c r="AE20" s="206">
        <f t="shared" si="7"/>
        <v>-2966460104.0134473</v>
      </c>
      <c r="AF20" s="205">
        <v>-2038366983.1641808</v>
      </c>
      <c r="AG20" s="207">
        <f t="shared" si="8"/>
        <v>-928093120.84926653</v>
      </c>
      <c r="AH20" s="182"/>
      <c r="AJ20" s="3"/>
    </row>
    <row r="21" spans="1:36" x14ac:dyDescent="0.25">
      <c r="A21" s="174" t="s">
        <v>35</v>
      </c>
      <c r="B21" s="16"/>
      <c r="C21" s="16"/>
      <c r="D21" s="16">
        <f>'ABP Under Contract'!M21</f>
        <v>65180948.289999999</v>
      </c>
      <c r="E21" s="16">
        <f>'ABP Under Contract'!N21</f>
        <v>1293418.68</v>
      </c>
      <c r="F21" s="16"/>
      <c r="G21" s="16"/>
      <c r="H21" s="16"/>
      <c r="I21" s="16">
        <f t="shared" si="0"/>
        <v>0</v>
      </c>
      <c r="J21" s="16">
        <v>12432950.994999997</v>
      </c>
      <c r="K21" s="16">
        <v>59441457.686012633</v>
      </c>
      <c r="L21" s="16">
        <v>9029447.5180310123</v>
      </c>
      <c r="M21" s="16">
        <f t="shared" si="1"/>
        <v>17559698.762090176</v>
      </c>
      <c r="N21" s="16"/>
      <c r="O21" s="16">
        <v>50000000</v>
      </c>
      <c r="P21" s="16">
        <f t="shared" si="2"/>
        <v>214937921.93113381</v>
      </c>
      <c r="Q21" s="245">
        <v>47156059.132103473</v>
      </c>
      <c r="R21" s="245">
        <v>48831057.238216639</v>
      </c>
      <c r="S21" s="245">
        <v>119715110.91389725</v>
      </c>
      <c r="T21" s="245">
        <v>76727622.341356426</v>
      </c>
      <c r="U21" s="245">
        <v>19045251.540286195</v>
      </c>
      <c r="V21" s="245">
        <v>54256730.264685139</v>
      </c>
      <c r="W21" s="308">
        <v>-10412499.999999978</v>
      </c>
      <c r="X21" s="245">
        <v>92178812.6271635</v>
      </c>
      <c r="Y21" s="195">
        <v>32999928.587560959</v>
      </c>
      <c r="Z21" s="195">
        <f t="shared" si="9"/>
        <v>480498072.64526957</v>
      </c>
      <c r="AA21" s="193">
        <f t="shared" si="4"/>
        <v>-2966460104.0134473</v>
      </c>
      <c r="AB21" s="193">
        <f>'Collections and ACP'!K24</f>
        <v>585323292.06967258</v>
      </c>
      <c r="AC21" s="193">
        <f t="shared" si="5"/>
        <v>-2381136811.9437747</v>
      </c>
      <c r="AD21" s="193">
        <f t="shared" si="6"/>
        <v>695435994.57640338</v>
      </c>
      <c r="AE21" s="206">
        <f t="shared" si="7"/>
        <v>-3076572806.5201778</v>
      </c>
      <c r="AF21" s="205">
        <v>-2046321754.8185134</v>
      </c>
      <c r="AG21" s="207">
        <f t="shared" si="8"/>
        <v>-1030251051.7016644</v>
      </c>
      <c r="AH21" s="182"/>
      <c r="AJ21" s="3"/>
    </row>
    <row r="22" spans="1:36" x14ac:dyDescent="0.25">
      <c r="A22" s="174" t="s">
        <v>36</v>
      </c>
      <c r="B22" s="16"/>
      <c r="C22" s="16"/>
      <c r="D22" s="16">
        <f>'ABP Under Contract'!M22</f>
        <v>64854829.009999998</v>
      </c>
      <c r="E22" s="16">
        <f>'ABP Under Contract'!N22</f>
        <v>1287073.1299999999</v>
      </c>
      <c r="F22" s="16"/>
      <c r="G22" s="16"/>
      <c r="H22" s="16"/>
      <c r="I22" s="16">
        <f t="shared" si="0"/>
        <v>0</v>
      </c>
      <c r="J22" s="16">
        <v>11056054.194999993</v>
      </c>
      <c r="K22" s="16">
        <v>53714923.873090737</v>
      </c>
      <c r="L22" s="16">
        <v>8725966.7121137641</v>
      </c>
      <c r="M22" s="16">
        <f t="shared" si="1"/>
        <v>17642751.566603485</v>
      </c>
      <c r="N22" s="16"/>
      <c r="O22" s="16">
        <v>50000000</v>
      </c>
      <c r="P22" s="16">
        <f t="shared" si="2"/>
        <v>207281598.48680797</v>
      </c>
      <c r="Q22" s="245">
        <v>45269816.766819336</v>
      </c>
      <c r="R22" s="245">
        <v>41402938.811668307</v>
      </c>
      <c r="S22" s="245">
        <v>123177862.84341516</v>
      </c>
      <c r="T22" s="245">
        <v>78772597.248595804</v>
      </c>
      <c r="U22" s="245">
        <v>16440188.426332626</v>
      </c>
      <c r="V22" s="245">
        <v>46003265.346298099</v>
      </c>
      <c r="W22" s="308">
        <v>-34317499.99999994</v>
      </c>
      <c r="X22" s="245">
        <v>85185408.153559387</v>
      </c>
      <c r="Y22" s="195">
        <v>35060769.044227101</v>
      </c>
      <c r="Z22" s="195">
        <f t="shared" si="9"/>
        <v>436995346.64091593</v>
      </c>
      <c r="AA22" s="193">
        <f t="shared" si="4"/>
        <v>-3076572806.5201778</v>
      </c>
      <c r="AB22" s="193">
        <f>'Collections and ACP'!K25</f>
        <v>588091718.88678288</v>
      </c>
      <c r="AC22" s="193">
        <f t="shared" si="5"/>
        <v>-2488481087.6333952</v>
      </c>
      <c r="AD22" s="193">
        <f t="shared" si="6"/>
        <v>644276945.12772393</v>
      </c>
      <c r="AE22" s="206">
        <f t="shared" si="7"/>
        <v>-3132758032.7611189</v>
      </c>
      <c r="AF22" s="205">
        <v>-1988196866.708487</v>
      </c>
      <c r="AG22" s="207">
        <f t="shared" si="8"/>
        <v>-1144561166.0526319</v>
      </c>
      <c r="AH22" s="182"/>
      <c r="AJ22" s="3"/>
    </row>
    <row r="23" spans="1:36" x14ac:dyDescent="0.25">
      <c r="A23" s="174" t="s">
        <v>37</v>
      </c>
      <c r="B23" s="16"/>
      <c r="C23" s="16"/>
      <c r="D23" s="16">
        <f>'ABP Under Contract'!M23</f>
        <v>64530736.049999997</v>
      </c>
      <c r="E23" s="16">
        <f>'ABP Under Contract'!N23</f>
        <v>1280613.29</v>
      </c>
      <c r="F23" s="16"/>
      <c r="G23" s="16"/>
      <c r="H23" s="16"/>
      <c r="I23" s="16">
        <f t="shared" si="0"/>
        <v>0</v>
      </c>
      <c r="J23" s="16">
        <v>9774115.7949999943</v>
      </c>
      <c r="K23" s="16">
        <v>48416733.492329687</v>
      </c>
      <c r="L23" s="16">
        <v>8443022.0056874231</v>
      </c>
      <c r="M23" s="16">
        <f t="shared" si="1"/>
        <v>17710238.723197304</v>
      </c>
      <c r="N23" s="16"/>
      <c r="O23" s="16">
        <v>50000000</v>
      </c>
      <c r="P23" s="16">
        <f t="shared" si="2"/>
        <v>200155459.3562144</v>
      </c>
      <c r="Q23" s="245">
        <v>43459024.096146561</v>
      </c>
      <c r="R23" s="245">
        <v>34271945.122181907</v>
      </c>
      <c r="S23" s="245">
        <v>126460847.913922</v>
      </c>
      <c r="T23" s="245">
        <v>80710202.760541141</v>
      </c>
      <c r="U23" s="245">
        <v>13939327.836937206</v>
      </c>
      <c r="V23" s="245">
        <v>38079939.02464655</v>
      </c>
      <c r="W23" s="308">
        <v>-58792500.000000007</v>
      </c>
      <c r="X23" s="245">
        <v>77542079.314567327</v>
      </c>
      <c r="Y23" s="195">
        <v>37002091.951357454</v>
      </c>
      <c r="Z23" s="195">
        <f t="shared" si="9"/>
        <v>392672958.02030015</v>
      </c>
      <c r="AA23" s="193">
        <f t="shared" si="4"/>
        <v>-3132758032.7611189</v>
      </c>
      <c r="AB23" s="193">
        <f>'Collections and ACP'!K26</f>
        <v>590341290.77324343</v>
      </c>
      <c r="AC23" s="193">
        <f t="shared" si="5"/>
        <v>-2542416741.9878755</v>
      </c>
      <c r="AD23" s="193">
        <f t="shared" si="6"/>
        <v>592828417.37651455</v>
      </c>
      <c r="AE23" s="206">
        <f t="shared" si="7"/>
        <v>-3135245159.3643899</v>
      </c>
      <c r="AF23" s="205">
        <v>-1869002163.2465363</v>
      </c>
      <c r="AG23" s="207">
        <f t="shared" si="8"/>
        <v>-1266242996.1178536</v>
      </c>
      <c r="AH23" s="182"/>
      <c r="AJ23" s="3"/>
    </row>
    <row r="24" spans="1:36" x14ac:dyDescent="0.25">
      <c r="A24" s="174" t="s">
        <v>38</v>
      </c>
      <c r="B24" s="16"/>
      <c r="C24" s="16"/>
      <c r="D24" s="16">
        <f>'ABP Under Contract'!M24</f>
        <v>64207754.969999999</v>
      </c>
      <c r="E24" s="16">
        <f>'ABP Under Contract'!N24</f>
        <v>1274238.57</v>
      </c>
      <c r="F24" s="16"/>
      <c r="G24" s="16"/>
      <c r="H24" s="16"/>
      <c r="I24" s="16">
        <f t="shared" si="0"/>
        <v>0</v>
      </c>
      <c r="J24" s="16">
        <v>8409088.7949999962</v>
      </c>
      <c r="K24" s="16">
        <v>42845818.496185713</v>
      </c>
      <c r="L24" s="16">
        <v>8147255.0037361542</v>
      </c>
      <c r="M24" s="16">
        <f t="shared" si="1"/>
        <v>17790826.711418759</v>
      </c>
      <c r="N24" s="16"/>
      <c r="O24" s="16">
        <v>50000000</v>
      </c>
      <c r="P24" s="16">
        <f t="shared" si="2"/>
        <v>192674982.54634061</v>
      </c>
      <c r="Q24" s="245">
        <v>41720663.132300697</v>
      </c>
      <c r="R24" s="245">
        <v>32901067.317294631</v>
      </c>
      <c r="S24" s="245">
        <v>129571463.08368729</v>
      </c>
      <c r="T24" s="245">
        <v>82544861.504999235</v>
      </c>
      <c r="U24" s="245">
        <v>11538501.671117602</v>
      </c>
      <c r="V24" s="245">
        <v>36556741.463660687</v>
      </c>
      <c r="W24" s="308">
        <v>-83947499.999999985</v>
      </c>
      <c r="X24" s="245">
        <v>69228660.967674032</v>
      </c>
      <c r="Y24" s="195">
        <v>38828060.252873868</v>
      </c>
      <c r="Z24" s="195">
        <f t="shared" si="9"/>
        <v>358942519.39360809</v>
      </c>
      <c r="AA24" s="193">
        <f t="shared" si="4"/>
        <v>-3135245159.3643899</v>
      </c>
      <c r="AB24" s="193">
        <f>'Collections and ACP'!K27</f>
        <v>593027557.04729199</v>
      </c>
      <c r="AC24" s="193">
        <f t="shared" si="5"/>
        <v>-2542217602.3170977</v>
      </c>
      <c r="AD24" s="193">
        <f t="shared" si="6"/>
        <v>551617501.93994868</v>
      </c>
      <c r="AE24" s="206">
        <f t="shared" si="7"/>
        <v>-3093835104.2570462</v>
      </c>
      <c r="AF24" s="205">
        <v>-1698224950.725493</v>
      </c>
      <c r="AG24" s="207">
        <f t="shared" si="8"/>
        <v>-1395610153.5315533</v>
      </c>
      <c r="AH24" s="182"/>
      <c r="AJ24" s="3"/>
    </row>
    <row r="25" spans="1:36" x14ac:dyDescent="0.25">
      <c r="A25" s="174" t="s">
        <v>39</v>
      </c>
      <c r="B25" s="16"/>
      <c r="C25" s="16"/>
      <c r="D25" s="16">
        <f>'ABP Under Contract'!M25</f>
        <v>63887135.460000001</v>
      </c>
      <c r="E25" s="16">
        <f>'ABP Under Contract'!N25</f>
        <v>1267959.6100000001</v>
      </c>
      <c r="F25" s="16"/>
      <c r="G25" s="16"/>
      <c r="H25" s="16"/>
      <c r="I25" s="16">
        <f t="shared" si="0"/>
        <v>0</v>
      </c>
      <c r="J25" s="16">
        <v>7044061.7949999981</v>
      </c>
      <c r="K25" s="16">
        <v>37329402.231665865</v>
      </c>
      <c r="L25" s="16">
        <v>7854234.5962542556</v>
      </c>
      <c r="M25" s="16">
        <f t="shared" si="1"/>
        <v>17846294.061737649</v>
      </c>
      <c r="N25" s="16"/>
      <c r="O25" s="16">
        <v>50000000</v>
      </c>
      <c r="P25" s="16">
        <f t="shared" si="2"/>
        <v>185229087.75465778</v>
      </c>
      <c r="Q25" s="245">
        <v>0</v>
      </c>
      <c r="R25" s="245">
        <v>27403181.410101749</v>
      </c>
      <c r="S25" s="245">
        <v>132516808.40123044</v>
      </c>
      <c r="T25" s="245">
        <v>82132137.197474256</v>
      </c>
      <c r="U25" s="245">
        <v>11076961.604272896</v>
      </c>
      <c r="V25" s="245">
        <v>30447979.34455749</v>
      </c>
      <c r="W25" s="308">
        <v>-112767499.99999997</v>
      </c>
      <c r="X25" s="245">
        <v>58508731.427044742</v>
      </c>
      <c r="Y25" s="195">
        <v>40386443.78618066</v>
      </c>
      <c r="Z25" s="195">
        <f t="shared" si="9"/>
        <v>269704743.17086226</v>
      </c>
      <c r="AA25" s="193">
        <f t="shared" si="4"/>
        <v>-3093835104.2570462</v>
      </c>
      <c r="AB25" s="193">
        <f>'Collections and ACP'!K28</f>
        <v>594876468.72458827</v>
      </c>
      <c r="AC25" s="193">
        <f t="shared" si="5"/>
        <v>-2498958635.5324578</v>
      </c>
      <c r="AD25" s="193">
        <f t="shared" si="6"/>
        <v>454933830.92552006</v>
      </c>
      <c r="AE25" s="206">
        <f t="shared" si="7"/>
        <v>-2953892466.4579778</v>
      </c>
      <c r="AF25" s="205">
        <v>-1401526054.7433996</v>
      </c>
      <c r="AG25" s="207">
        <f t="shared" si="8"/>
        <v>-1552366411.7145782</v>
      </c>
      <c r="AH25" s="182"/>
      <c r="AJ25" s="3"/>
    </row>
    <row r="26" spans="1:36" x14ac:dyDescent="0.25">
      <c r="A26" s="174" t="s">
        <v>40</v>
      </c>
      <c r="B26" s="16"/>
      <c r="C26" s="16"/>
      <c r="D26" s="16">
        <f>'ABP Under Contract'!M26</f>
        <v>63567685.530000001</v>
      </c>
      <c r="E26" s="16">
        <f>'ABP Under Contract'!N26</f>
        <v>1261623.5</v>
      </c>
      <c r="F26" s="16"/>
      <c r="G26" s="16"/>
      <c r="H26" s="16"/>
      <c r="I26" s="16">
        <f t="shared" si="0"/>
        <v>0</v>
      </c>
      <c r="J26" s="16">
        <v>-8848935.8999999985</v>
      </c>
      <c r="K26" s="16">
        <v>-34264899.328918926</v>
      </c>
      <c r="L26" s="16">
        <v>-1629270.3736834493</v>
      </c>
      <c r="M26" s="16">
        <f t="shared" si="1"/>
        <v>17902792.457592066</v>
      </c>
      <c r="N26" s="16"/>
      <c r="O26" s="16">
        <v>50000000</v>
      </c>
      <c r="P26" s="16">
        <f t="shared" si="2"/>
        <v>87988995.884989694</v>
      </c>
      <c r="Q26" s="245">
        <v>0</v>
      </c>
      <c r="R26" s="245">
        <v>22357535.562224429</v>
      </c>
      <c r="S26" s="245">
        <v>131854224.35922427</v>
      </c>
      <c r="T26" s="245">
        <v>81721476.511486858</v>
      </c>
      <c r="U26" s="245">
        <v>9225961.7412187196</v>
      </c>
      <c r="V26" s="245">
        <v>24841706.180249352</v>
      </c>
      <c r="W26" s="308">
        <v>-143887499.99999994</v>
      </c>
      <c r="X26" s="245">
        <v>46190776.715297535</v>
      </c>
      <c r="Y26" s="195">
        <v>41748159.907648079</v>
      </c>
      <c r="Z26" s="195">
        <f t="shared" si="9"/>
        <v>214052340.97734928</v>
      </c>
      <c r="AA26" s="193">
        <f t="shared" si="4"/>
        <v>-2953892466.4579778</v>
      </c>
      <c r="AB26" s="193">
        <f>'Collections and ACP'!K29</f>
        <v>596759748.58640218</v>
      </c>
      <c r="AC26" s="193">
        <f t="shared" si="5"/>
        <v>-2357132717.8715754</v>
      </c>
      <c r="AD26" s="193">
        <f t="shared" si="6"/>
        <v>302041336.86233896</v>
      </c>
      <c r="AE26" s="206">
        <f t="shared" si="7"/>
        <v>-2659174054.7339144</v>
      </c>
      <c r="AF26" s="205">
        <v>-965568633.12917709</v>
      </c>
      <c r="AG26" s="207">
        <f t="shared" si="8"/>
        <v>-1693605421.6047373</v>
      </c>
      <c r="AH26" s="182"/>
      <c r="AJ26" s="3"/>
    </row>
    <row r="27" spans="1:36" x14ac:dyDescent="0.25">
      <c r="A27" s="174" t="s">
        <v>172</v>
      </c>
      <c r="B27" s="16"/>
      <c r="C27" s="16"/>
      <c r="D27" s="16">
        <f>'ABP Under Contract'!M27</f>
        <v>51244334.009999998</v>
      </c>
      <c r="E27" s="16">
        <f>'ABP Under Contract'!N27</f>
        <v>1255226.2</v>
      </c>
      <c r="F27" s="16"/>
      <c r="G27" s="16"/>
      <c r="H27" s="16"/>
      <c r="I27" s="16">
        <f t="shared" si="0"/>
        <v>0</v>
      </c>
      <c r="J27" s="16"/>
      <c r="K27" s="16"/>
      <c r="L27" s="16"/>
      <c r="M27" s="16">
        <f t="shared" si="1"/>
        <v>17902792.457592066</v>
      </c>
      <c r="N27" s="16"/>
      <c r="O27" s="16">
        <v>50000000</v>
      </c>
      <c r="P27" s="16">
        <f t="shared" si="2"/>
        <v>120402352.66759206</v>
      </c>
      <c r="Q27" s="245"/>
      <c r="R27" s="245"/>
      <c r="S27" s="245"/>
      <c r="T27" s="245"/>
      <c r="U27" s="245"/>
      <c r="V27" s="245"/>
      <c r="W27" s="308">
        <v>-175192499.99999997</v>
      </c>
      <c r="X27" s="245">
        <v>-105366070.64897533</v>
      </c>
      <c r="Y27" s="195">
        <v>-9767324.0031251647</v>
      </c>
      <c r="Z27" s="195">
        <f t="shared" si="9"/>
        <v>-290325894.6521005</v>
      </c>
      <c r="AA27" s="193">
        <f t="shared" ref="AA27" si="10">AE26</f>
        <v>-2659174054.7339144</v>
      </c>
      <c r="AB27" s="193">
        <f>AB26</f>
        <v>596759748.58640218</v>
      </c>
      <c r="AC27" s="193">
        <f t="shared" ref="AC27" si="11">AA27+AB27</f>
        <v>-2062414306.1475122</v>
      </c>
      <c r="AD27" s="193">
        <f t="shared" ref="AD27" si="12">P27+Z27</f>
        <v>-169923541.98450845</v>
      </c>
      <c r="AE27" s="206">
        <f t="shared" ref="AE27" si="13">AC27-AD27</f>
        <v>-1892490764.1630037</v>
      </c>
      <c r="AF27" s="205">
        <v>-58615401.276362479</v>
      </c>
      <c r="AG27" s="207">
        <f t="shared" si="8"/>
        <v>-1833875362.8866413</v>
      </c>
      <c r="AH27" s="182"/>
      <c r="AJ27" s="3"/>
    </row>
    <row r="28" spans="1:36" x14ac:dyDescent="0.25">
      <c r="AA28" s="21"/>
      <c r="AB28" s="19"/>
    </row>
    <row r="29" spans="1:36" x14ac:dyDescent="0.25">
      <c r="A29" s="177" t="s">
        <v>41</v>
      </c>
      <c r="B29" s="22">
        <v>0.2896143019416435</v>
      </c>
    </row>
    <row r="30" spans="1:36" ht="60" x14ac:dyDescent="0.25">
      <c r="A30" s="173" t="s">
        <v>1</v>
      </c>
      <c r="B30" s="173" t="s">
        <v>201</v>
      </c>
      <c r="C30" s="173" t="s">
        <v>202</v>
      </c>
      <c r="D30" s="173" t="s">
        <v>231</v>
      </c>
      <c r="E30" s="173" t="s">
        <v>158</v>
      </c>
      <c r="F30" s="173" t="s">
        <v>232</v>
      </c>
      <c r="G30" s="173" t="s">
        <v>233</v>
      </c>
      <c r="H30" s="173" t="s">
        <v>234</v>
      </c>
      <c r="I30" s="15" t="s">
        <v>235</v>
      </c>
      <c r="J30" s="15" t="s">
        <v>236</v>
      </c>
      <c r="K30" s="15" t="s">
        <v>237</v>
      </c>
      <c r="L30" s="15" t="s">
        <v>238</v>
      </c>
      <c r="M30" s="173" t="s">
        <v>239</v>
      </c>
      <c r="N30" s="173" t="s">
        <v>240</v>
      </c>
      <c r="O30" s="173" t="s">
        <v>219</v>
      </c>
      <c r="P30" s="15" t="s">
        <v>217</v>
      </c>
      <c r="Q30" s="197" t="s">
        <v>201</v>
      </c>
      <c r="R30" s="197" t="s">
        <v>202</v>
      </c>
      <c r="S30" s="197" t="s">
        <v>153</v>
      </c>
      <c r="T30" s="197" t="s">
        <v>158</v>
      </c>
      <c r="U30" s="197" t="s">
        <v>162</v>
      </c>
      <c r="V30" s="197" t="s">
        <v>165</v>
      </c>
      <c r="W30" s="197" t="s">
        <v>90</v>
      </c>
      <c r="X30" s="197" t="s">
        <v>91</v>
      </c>
      <c r="Y30" s="197" t="s">
        <v>86</v>
      </c>
      <c r="Z30" s="197" t="s">
        <v>241</v>
      </c>
      <c r="AA30" s="15" t="s">
        <v>242</v>
      </c>
      <c r="AB30" s="15" t="s">
        <v>243</v>
      </c>
      <c r="AC30" s="15" t="s">
        <v>244</v>
      </c>
      <c r="AD30" s="173" t="s">
        <v>179</v>
      </c>
      <c r="AE30" s="173" t="s">
        <v>245</v>
      </c>
    </row>
    <row r="31" spans="1:36" x14ac:dyDescent="0.25">
      <c r="A31" s="174" t="s">
        <v>17</v>
      </c>
      <c r="B31" s="16">
        <f t="shared" ref="B31:G40" si="14">B4*$B$29</f>
        <v>39954174.159924842</v>
      </c>
      <c r="C31" s="16">
        <f t="shared" si="14"/>
        <v>14081509.106965009</v>
      </c>
      <c r="D31" s="16">
        <f t="shared" si="14"/>
        <v>8685259.9769194517</v>
      </c>
      <c r="E31" s="16">
        <f t="shared" si="14"/>
        <v>0</v>
      </c>
      <c r="F31" s="16">
        <f t="shared" si="14"/>
        <v>0</v>
      </c>
      <c r="G31" s="16">
        <f t="shared" si="14"/>
        <v>0</v>
      </c>
      <c r="H31" s="17">
        <v>7753000</v>
      </c>
      <c r="I31" s="17">
        <v>1365128.2799999998</v>
      </c>
      <c r="J31" s="17">
        <f t="shared" ref="J31:L54" si="15">J4*$B$29</f>
        <v>0</v>
      </c>
      <c r="K31" s="17">
        <f t="shared" si="15"/>
        <v>0</v>
      </c>
      <c r="L31" s="17">
        <f t="shared" si="15"/>
        <v>0</v>
      </c>
      <c r="M31" s="17">
        <f t="shared" ref="M31:M54" si="16">$B$29*M4</f>
        <v>1956947.0137069982</v>
      </c>
      <c r="N31" s="17"/>
      <c r="O31" s="17">
        <f t="shared" ref="O31:O54" si="17">$B$29*O4</f>
        <v>3261578.3561783303</v>
      </c>
      <c r="P31" s="17">
        <f>SUM(B31:O31)</f>
        <v>77057596.893694639</v>
      </c>
      <c r="Q31" s="175">
        <f t="shared" ref="Q31:Y31" si="18">$B$29*Q4</f>
        <v>0</v>
      </c>
      <c r="R31" s="175">
        <f t="shared" si="18"/>
        <v>0</v>
      </c>
      <c r="S31" s="175">
        <f t="shared" si="18"/>
        <v>0</v>
      </c>
      <c r="T31" s="175">
        <f t="shared" si="18"/>
        <v>0</v>
      </c>
      <c r="U31" s="175">
        <f t="shared" si="18"/>
        <v>0</v>
      </c>
      <c r="V31" s="175">
        <f t="shared" si="18"/>
        <v>0</v>
      </c>
      <c r="W31" s="175">
        <f t="shared" si="18"/>
        <v>0</v>
      </c>
      <c r="X31" s="175">
        <f t="shared" si="18"/>
        <v>0</v>
      </c>
      <c r="Y31" s="175">
        <f t="shared" si="18"/>
        <v>0</v>
      </c>
      <c r="Z31" s="194"/>
      <c r="AA31" s="176">
        <f>'Collections and ACP'!B149+'Collections and ACP'!B141</f>
        <v>87829264.295962796</v>
      </c>
      <c r="AB31" s="176">
        <f>'Collections and ACP'!K39</f>
        <v>64309855.295962796</v>
      </c>
      <c r="AC31" s="176">
        <f t="shared" ref="AC31:AC54" si="19">AA31+AB31</f>
        <v>152139119.59192559</v>
      </c>
      <c r="AD31" s="176">
        <f>P31+Z31</f>
        <v>77057596.893694639</v>
      </c>
      <c r="AE31" s="18">
        <f t="shared" ref="AE31:AE54" si="20">AC31-AD31</f>
        <v>75081522.698230952</v>
      </c>
    </row>
    <row r="32" spans="1:36" x14ac:dyDescent="0.25">
      <c r="A32" s="174" t="s">
        <v>18</v>
      </c>
      <c r="B32" s="16">
        <f t="shared" si="14"/>
        <v>17949207.439464301</v>
      </c>
      <c r="C32" s="16">
        <f t="shared" si="14"/>
        <v>17579043.658762399</v>
      </c>
      <c r="D32" s="16">
        <f t="shared" si="14"/>
        <v>24383297.648460057</v>
      </c>
      <c r="E32" s="16">
        <f t="shared" si="14"/>
        <v>0</v>
      </c>
      <c r="F32" s="16">
        <f t="shared" si="14"/>
        <v>0</v>
      </c>
      <c r="G32" s="16">
        <f t="shared" si="14"/>
        <v>0</v>
      </c>
      <c r="H32" s="17">
        <v>5554000</v>
      </c>
      <c r="I32" s="17">
        <v>5431217.937169807</v>
      </c>
      <c r="J32" s="17">
        <f t="shared" si="15"/>
        <v>0</v>
      </c>
      <c r="K32" s="17">
        <f t="shared" si="15"/>
        <v>0</v>
      </c>
      <c r="L32" s="17">
        <f t="shared" si="15"/>
        <v>0</v>
      </c>
      <c r="M32" s="17">
        <f t="shared" si="16"/>
        <v>4037841.7223626804</v>
      </c>
      <c r="N32" s="17"/>
      <c r="O32" s="17">
        <f t="shared" si="17"/>
        <v>14480715.097082175</v>
      </c>
      <c r="P32" s="17">
        <f t="shared" ref="P32:P53" si="21">SUM(B32:O32)</f>
        <v>89415323.503301412</v>
      </c>
      <c r="Q32" s="175">
        <f t="shared" ref="Q32:Y32" si="22">$B$29*Q5</f>
        <v>0</v>
      </c>
      <c r="R32" s="175">
        <f t="shared" si="22"/>
        <v>0</v>
      </c>
      <c r="S32" s="175">
        <f t="shared" si="22"/>
        <v>0</v>
      </c>
      <c r="T32" s="175">
        <f t="shared" si="22"/>
        <v>0</v>
      </c>
      <c r="U32" s="175">
        <f t="shared" si="22"/>
        <v>0</v>
      </c>
      <c r="V32" s="175">
        <f t="shared" si="22"/>
        <v>0</v>
      </c>
      <c r="W32" s="175">
        <f t="shared" si="22"/>
        <v>0</v>
      </c>
      <c r="X32" s="175">
        <f t="shared" si="22"/>
        <v>0</v>
      </c>
      <c r="Y32" s="175">
        <f t="shared" si="22"/>
        <v>0</v>
      </c>
      <c r="Z32" s="194"/>
      <c r="AA32" s="176">
        <f t="shared" ref="AA32:AA54" si="23">AE31</f>
        <v>75081522.698230952</v>
      </c>
      <c r="AB32" s="176">
        <f>'Collections and ACP'!K40</f>
        <v>129499575.18679999</v>
      </c>
      <c r="AC32" s="176">
        <f t="shared" si="19"/>
        <v>204581097.88503093</v>
      </c>
      <c r="AD32" s="176">
        <f t="shared" ref="AD32:AD54" si="24">P32+Z32</f>
        <v>89415323.503301412</v>
      </c>
      <c r="AE32" s="18">
        <f t="shared" si="20"/>
        <v>115165774.38172951</v>
      </c>
    </row>
    <row r="33" spans="1:32" x14ac:dyDescent="0.25">
      <c r="A33" s="174" t="s">
        <v>19</v>
      </c>
      <c r="B33" s="16">
        <f t="shared" si="14"/>
        <v>25709520.827654425</v>
      </c>
      <c r="C33" s="16">
        <f t="shared" si="14"/>
        <v>18931542.683417454</v>
      </c>
      <c r="D33" s="16">
        <f t="shared" si="14"/>
        <v>29580385.733423717</v>
      </c>
      <c r="E33" s="16">
        <f t="shared" si="14"/>
        <v>0</v>
      </c>
      <c r="F33" s="16">
        <f t="shared" si="14"/>
        <v>0</v>
      </c>
      <c r="G33" s="16">
        <f t="shared" si="14"/>
        <v>0</v>
      </c>
      <c r="H33" s="17">
        <v>4842000</v>
      </c>
      <c r="I33" s="17">
        <v>6666673.3471698072</v>
      </c>
      <c r="J33" s="17">
        <f t="shared" si="15"/>
        <v>0</v>
      </c>
      <c r="K33" s="17">
        <f t="shared" si="15"/>
        <v>0</v>
      </c>
      <c r="L33" s="17">
        <f t="shared" si="15"/>
        <v>0</v>
      </c>
      <c r="M33" s="17">
        <f t="shared" si="16"/>
        <v>5104130.5421990799</v>
      </c>
      <c r="N33" s="17"/>
      <c r="O33" s="17">
        <f t="shared" si="17"/>
        <v>14480715.097082175</v>
      </c>
      <c r="P33" s="17">
        <f t="shared" si="21"/>
        <v>105314968.23094666</v>
      </c>
      <c r="Q33" s="175">
        <f t="shared" ref="Q33:Y33" si="25">$B$29*Q6</f>
        <v>0</v>
      </c>
      <c r="R33" s="175">
        <f t="shared" si="25"/>
        <v>0</v>
      </c>
      <c r="S33" s="175">
        <f t="shared" si="25"/>
        <v>0</v>
      </c>
      <c r="T33" s="175">
        <f t="shared" si="25"/>
        <v>0</v>
      </c>
      <c r="U33" s="175">
        <f t="shared" si="25"/>
        <v>0</v>
      </c>
      <c r="V33" s="175">
        <f t="shared" si="25"/>
        <v>0</v>
      </c>
      <c r="W33" s="175">
        <f t="shared" si="25"/>
        <v>0</v>
      </c>
      <c r="X33" s="175">
        <f t="shared" si="25"/>
        <v>0</v>
      </c>
      <c r="Y33" s="175">
        <f t="shared" si="25"/>
        <v>0</v>
      </c>
      <c r="Z33" s="195"/>
      <c r="AA33" s="176">
        <f t="shared" si="23"/>
        <v>115165774.38172951</v>
      </c>
      <c r="AB33" s="176">
        <f>'Collections and ACP'!K41</f>
        <v>160483342.72150001</v>
      </c>
      <c r="AC33" s="176">
        <f t="shared" si="19"/>
        <v>275649117.10322952</v>
      </c>
      <c r="AD33" s="176">
        <f t="shared" si="24"/>
        <v>105314968.23094666</v>
      </c>
      <c r="AE33" s="18">
        <f t="shared" si="20"/>
        <v>170334148.87228286</v>
      </c>
      <c r="AF33" s="19"/>
    </row>
    <row r="34" spans="1:32" x14ac:dyDescent="0.25">
      <c r="A34" s="174" t="s">
        <v>20</v>
      </c>
      <c r="B34" s="16">
        <f t="shared" si="14"/>
        <v>78879274.25390242</v>
      </c>
      <c r="C34" s="16">
        <f t="shared" si="14"/>
        <v>24329671.004822589</v>
      </c>
      <c r="D34" s="16">
        <f t="shared" si="14"/>
        <v>34222559.930926897</v>
      </c>
      <c r="E34" s="16">
        <f t="shared" si="14"/>
        <v>0</v>
      </c>
      <c r="F34" s="16">
        <f t="shared" si="14"/>
        <v>0</v>
      </c>
      <c r="G34" s="16">
        <f t="shared" si="14"/>
        <v>0</v>
      </c>
      <c r="H34" s="17">
        <v>3400999.9999999995</v>
      </c>
      <c r="I34" s="17">
        <v>6627071.8807588778</v>
      </c>
      <c r="J34" s="17">
        <f t="shared" si="15"/>
        <v>0</v>
      </c>
      <c r="K34" s="17">
        <f t="shared" si="15"/>
        <v>0</v>
      </c>
      <c r="L34" s="17">
        <f t="shared" si="15"/>
        <v>0</v>
      </c>
      <c r="M34" s="17">
        <f t="shared" si="16"/>
        <v>5016886.3443091428</v>
      </c>
      <c r="N34" s="17"/>
      <c r="O34" s="17">
        <f t="shared" si="17"/>
        <v>14480715.097082175</v>
      </c>
      <c r="P34" s="17">
        <f t="shared" si="21"/>
        <v>166957178.51180211</v>
      </c>
      <c r="Q34" s="175">
        <f t="shared" ref="Q34:Y34" si="26">$B$29*Q7</f>
        <v>0</v>
      </c>
      <c r="R34" s="175">
        <f t="shared" si="26"/>
        <v>0</v>
      </c>
      <c r="S34" s="175">
        <f t="shared" si="26"/>
        <v>0</v>
      </c>
      <c r="T34" s="175">
        <f t="shared" si="26"/>
        <v>0</v>
      </c>
      <c r="U34" s="175">
        <f t="shared" si="26"/>
        <v>0</v>
      </c>
      <c r="V34" s="175">
        <f t="shared" si="26"/>
        <v>0</v>
      </c>
      <c r="W34" s="175">
        <f t="shared" si="26"/>
        <v>0</v>
      </c>
      <c r="X34" s="175">
        <f t="shared" si="26"/>
        <v>0</v>
      </c>
      <c r="Y34" s="175">
        <f t="shared" si="26"/>
        <v>0</v>
      </c>
      <c r="Z34" s="195"/>
      <c r="AA34" s="176">
        <f t="shared" si="23"/>
        <v>170334148.87228286</v>
      </c>
      <c r="AB34" s="176">
        <f>'Collections and ACP'!K42</f>
        <v>156961599.53649759</v>
      </c>
      <c r="AC34" s="176">
        <f t="shared" si="19"/>
        <v>327295748.40878046</v>
      </c>
      <c r="AD34" s="176">
        <f t="shared" si="24"/>
        <v>166957178.51180211</v>
      </c>
      <c r="AE34" s="18">
        <f t="shared" si="20"/>
        <v>160338569.89697835</v>
      </c>
      <c r="AF34" s="19"/>
    </row>
    <row r="35" spans="1:32" x14ac:dyDescent="0.25">
      <c r="A35" s="174" t="s">
        <v>22</v>
      </c>
      <c r="B35" s="16">
        <f t="shared" si="14"/>
        <v>27355561.793360628</v>
      </c>
      <c r="C35" s="16">
        <f t="shared" si="14"/>
        <v>27344978.026945468</v>
      </c>
      <c r="D35" s="16">
        <f t="shared" si="14"/>
        <v>40213189.703008585</v>
      </c>
      <c r="E35" s="16">
        <f t="shared" si="14"/>
        <v>31838.835168245161</v>
      </c>
      <c r="F35" s="16">
        <f t="shared" si="14"/>
        <v>254150.12127998116</v>
      </c>
      <c r="G35" s="16">
        <f t="shared" si="14"/>
        <v>0</v>
      </c>
      <c r="H35" s="17">
        <v>3259000</v>
      </c>
      <c r="I35" s="17">
        <v>6627071.8807588778</v>
      </c>
      <c r="J35" s="17">
        <f t="shared" si="15"/>
        <v>0</v>
      </c>
      <c r="K35" s="17">
        <f t="shared" si="15"/>
        <v>12744835.339044152</v>
      </c>
      <c r="L35" s="17">
        <f t="shared" si="15"/>
        <v>900597.50667345605</v>
      </c>
      <c r="M35" s="17">
        <f t="shared" si="16"/>
        <v>4983923.1594963018</v>
      </c>
      <c r="N35" s="17"/>
      <c r="O35" s="17">
        <f t="shared" si="17"/>
        <v>14480715.097082175</v>
      </c>
      <c r="P35" s="17">
        <f t="shared" si="21"/>
        <v>138195861.46281788</v>
      </c>
      <c r="Q35" s="175">
        <f t="shared" ref="Q35:Y35" si="27">$B$29*Q8</f>
        <v>46436713.388371877</v>
      </c>
      <c r="R35" s="175">
        <f t="shared" si="27"/>
        <v>4848493.1338432906</v>
      </c>
      <c r="S35" s="175">
        <f t="shared" si="27"/>
        <v>0</v>
      </c>
      <c r="T35" s="175">
        <f t="shared" si="27"/>
        <v>2491214.1189564522</v>
      </c>
      <c r="U35" s="175">
        <f t="shared" si="27"/>
        <v>0</v>
      </c>
      <c r="V35" s="175">
        <f t="shared" si="27"/>
        <v>5387214.5931592099</v>
      </c>
      <c r="W35" s="175">
        <f t="shared" si="27"/>
        <v>0</v>
      </c>
      <c r="X35" s="175">
        <f t="shared" si="27"/>
        <v>0</v>
      </c>
      <c r="Y35" s="175">
        <f t="shared" si="27"/>
        <v>0</v>
      </c>
      <c r="Z35" s="195"/>
      <c r="AA35" s="176">
        <f t="shared" si="23"/>
        <v>160338569.89697835</v>
      </c>
      <c r="AB35" s="176">
        <f>'Collections and ACP'!K43</f>
        <v>155398917.17191386</v>
      </c>
      <c r="AC35" s="176">
        <f t="shared" si="19"/>
        <v>315737487.06889224</v>
      </c>
      <c r="AD35" s="176">
        <f t="shared" si="24"/>
        <v>138195861.46281788</v>
      </c>
      <c r="AE35" s="18">
        <f t="shared" si="20"/>
        <v>177541625.60607436</v>
      </c>
      <c r="AF35" s="19"/>
    </row>
    <row r="36" spans="1:32" x14ac:dyDescent="0.25">
      <c r="A36" s="174" t="s">
        <v>23</v>
      </c>
      <c r="B36" s="16">
        <f t="shared" si="14"/>
        <v>0</v>
      </c>
      <c r="C36" s="16">
        <f t="shared" si="14"/>
        <v>20601268.011329856</v>
      </c>
      <c r="D36" s="16">
        <f t="shared" si="14"/>
        <v>41741450.472104453</v>
      </c>
      <c r="E36" s="16">
        <f t="shared" si="14"/>
        <v>425584.55887461163</v>
      </c>
      <c r="F36" s="16">
        <f t="shared" si="14"/>
        <v>6501406.257469248</v>
      </c>
      <c r="G36" s="16">
        <f t="shared" si="14"/>
        <v>0</v>
      </c>
      <c r="H36" s="17">
        <v>1276000</v>
      </c>
      <c r="I36" s="17">
        <v>6627071.8807588778</v>
      </c>
      <c r="J36" s="17">
        <f t="shared" si="15"/>
        <v>0</v>
      </c>
      <c r="K36" s="17">
        <f t="shared" si="15"/>
        <v>31815248.437416703</v>
      </c>
      <c r="L36" s="17">
        <f t="shared" si="15"/>
        <v>2562604.3758829804</v>
      </c>
      <c r="M36" s="17">
        <f t="shared" si="16"/>
        <v>4966285.5708579086</v>
      </c>
      <c r="N36" s="17"/>
      <c r="O36" s="17">
        <f t="shared" si="17"/>
        <v>14480715.097082175</v>
      </c>
      <c r="P36" s="17">
        <f t="shared" si="21"/>
        <v>130997634.66177681</v>
      </c>
      <c r="Q36" s="175">
        <f t="shared" ref="Q36:Y36" si="28">$B$29*Q9</f>
        <v>44579244.852836996</v>
      </c>
      <c r="R36" s="175">
        <f t="shared" si="28"/>
        <v>9233685.8126748893</v>
      </c>
      <c r="S36" s="175">
        <f t="shared" si="28"/>
        <v>3999373.6505112248</v>
      </c>
      <c r="T36" s="175">
        <f t="shared" si="28"/>
        <v>4870323.6025598645</v>
      </c>
      <c r="U36" s="175">
        <f t="shared" si="28"/>
        <v>1632365.6544093862</v>
      </c>
      <c r="V36" s="175">
        <f t="shared" si="28"/>
        <v>10259650.902972097</v>
      </c>
      <c r="W36" s="175">
        <f t="shared" si="28"/>
        <v>0</v>
      </c>
      <c r="X36" s="175">
        <f t="shared" si="28"/>
        <v>0</v>
      </c>
      <c r="Y36" s="175">
        <f t="shared" si="28"/>
        <v>0</v>
      </c>
      <c r="Z36" s="195">
        <f>SUM(Q36:Y36)</f>
        <v>74574644.475964457</v>
      </c>
      <c r="AA36" s="176">
        <f t="shared" si="23"/>
        <v>177541625.60607436</v>
      </c>
      <c r="AB36" s="176">
        <f>'Collections and ACP'!K44</f>
        <v>158506895.51535216</v>
      </c>
      <c r="AC36" s="176">
        <f t="shared" si="19"/>
        <v>336048521.12142652</v>
      </c>
      <c r="AD36" s="176">
        <f t="shared" si="24"/>
        <v>205572279.13774127</v>
      </c>
      <c r="AE36" s="18">
        <f t="shared" si="20"/>
        <v>130476241.98368526</v>
      </c>
      <c r="AF36" s="19"/>
    </row>
    <row r="37" spans="1:32" x14ac:dyDescent="0.25">
      <c r="A37" s="174" t="s">
        <v>24</v>
      </c>
      <c r="B37" s="16">
        <f t="shared" si="14"/>
        <v>0</v>
      </c>
      <c r="C37" s="16">
        <f t="shared" si="14"/>
        <v>16903349.439864766</v>
      </c>
      <c r="D37" s="16">
        <f t="shared" si="14"/>
        <v>35582804.56555324</v>
      </c>
      <c r="E37" s="16">
        <f t="shared" si="14"/>
        <v>703295.53054944344</v>
      </c>
      <c r="F37" s="16">
        <f t="shared" si="14"/>
        <v>7497086.0016901065</v>
      </c>
      <c r="G37" s="16">
        <f t="shared" si="14"/>
        <v>0</v>
      </c>
      <c r="H37" s="17">
        <v>202999.99999999997</v>
      </c>
      <c r="I37" s="17">
        <v>6627071.8807588778</v>
      </c>
      <c r="J37" s="17">
        <f t="shared" si="15"/>
        <v>7880651.9057692997</v>
      </c>
      <c r="K37" s="17">
        <f t="shared" si="15"/>
        <v>36113530.904163226</v>
      </c>
      <c r="L37" s="17">
        <f t="shared" si="15"/>
        <v>3616071.8090671413</v>
      </c>
      <c r="M37" s="17">
        <f t="shared" si="16"/>
        <v>4891241.3241190277</v>
      </c>
      <c r="N37" s="17"/>
      <c r="O37" s="17">
        <f t="shared" si="17"/>
        <v>14480715.097082175</v>
      </c>
      <c r="P37" s="17">
        <f t="shared" si="21"/>
        <v>134498818.4586173</v>
      </c>
      <c r="Q37" s="175">
        <f t="shared" ref="Q37:Y37" si="29">$B$29*Q10</f>
        <v>42796075.058723509</v>
      </c>
      <c r="R37" s="175">
        <f t="shared" si="29"/>
        <v>13443470.784353223</v>
      </c>
      <c r="S37" s="175">
        <f t="shared" si="29"/>
        <v>7818775.4867494442</v>
      </c>
      <c r="T37" s="175">
        <f t="shared" si="29"/>
        <v>7141874.9165773308</v>
      </c>
      <c r="U37" s="175">
        <f t="shared" si="29"/>
        <v>3108749.7018418754</v>
      </c>
      <c r="V37" s="175">
        <f t="shared" si="29"/>
        <v>14937189.760392468</v>
      </c>
      <c r="W37" s="175">
        <f t="shared" si="29"/>
        <v>0</v>
      </c>
      <c r="X37" s="175">
        <f t="shared" si="29"/>
        <v>0</v>
      </c>
      <c r="Y37" s="175">
        <f t="shared" si="29"/>
        <v>0</v>
      </c>
      <c r="Z37" s="195">
        <f t="shared" ref="Z37:Z53" si="30">SUM(Q37:Y37)</f>
        <v>89246135.708637848</v>
      </c>
      <c r="AA37" s="176">
        <f>AE36</f>
        <v>130476241.98368526</v>
      </c>
      <c r="AB37" s="176">
        <f>'Collections and ACP'!K45</f>
        <v>151744178.01187399</v>
      </c>
      <c r="AC37" s="176">
        <f t="shared" si="19"/>
        <v>282220419.99555922</v>
      </c>
      <c r="AD37" s="176">
        <f t="shared" si="24"/>
        <v>223744954.16725516</v>
      </c>
      <c r="AE37" s="18">
        <f t="shared" si="20"/>
        <v>58475465.828304052</v>
      </c>
      <c r="AF37" s="19"/>
    </row>
    <row r="38" spans="1:32" x14ac:dyDescent="0.25">
      <c r="A38" s="174" t="s">
        <v>25</v>
      </c>
      <c r="B38" s="16">
        <f t="shared" si="14"/>
        <v>0</v>
      </c>
      <c r="C38" s="16">
        <f t="shared" si="14"/>
        <v>15571511.8818011</v>
      </c>
      <c r="D38" s="16">
        <f t="shared" si="14"/>
        <v>29750428.134083778</v>
      </c>
      <c r="E38" s="16">
        <f t="shared" si="14"/>
        <v>685704.1145734943</v>
      </c>
      <c r="F38" s="16">
        <f t="shared" si="14"/>
        <v>7422445.2281257715</v>
      </c>
      <c r="G38" s="16">
        <f t="shared" si="14"/>
        <v>0</v>
      </c>
      <c r="H38" s="17">
        <v>202999.99999999997</v>
      </c>
      <c r="I38" s="17">
        <v>6627071.8807588778</v>
      </c>
      <c r="J38" s="17">
        <f t="shared" si="15"/>
        <v>7199994.4652142916</v>
      </c>
      <c r="K38" s="17">
        <f t="shared" si="15"/>
        <v>33096878.015047863</v>
      </c>
      <c r="L38" s="17">
        <f t="shared" si="15"/>
        <v>3463047.2694816291</v>
      </c>
      <c r="M38" s="17">
        <f t="shared" si="16"/>
        <v>4883593.5544520933</v>
      </c>
      <c r="N38" s="17"/>
      <c r="O38" s="17">
        <f t="shared" si="17"/>
        <v>14480715.097082175</v>
      </c>
      <c r="P38" s="17">
        <f t="shared" si="21"/>
        <v>123384389.64062107</v>
      </c>
      <c r="Q38" s="175">
        <f t="shared" ref="Q38:Y38" si="31">$B$29*Q11</f>
        <v>41084232.056374565</v>
      </c>
      <c r="R38" s="175">
        <f t="shared" si="31"/>
        <v>17484864.357164424</v>
      </c>
      <c r="S38" s="175">
        <f t="shared" si="31"/>
        <v>11465504.36562684</v>
      </c>
      <c r="T38" s="175">
        <f t="shared" si="31"/>
        <v>9310232.3567434996</v>
      </c>
      <c r="U38" s="175">
        <f t="shared" si="31"/>
        <v>4526078.3873770656</v>
      </c>
      <c r="V38" s="175">
        <f t="shared" si="31"/>
        <v>19427627.063516025</v>
      </c>
      <c r="W38" s="175">
        <f t="shared" si="31"/>
        <v>0</v>
      </c>
      <c r="X38" s="175">
        <f t="shared" si="31"/>
        <v>0</v>
      </c>
      <c r="Y38" s="175">
        <f t="shared" si="31"/>
        <v>0</v>
      </c>
      <c r="Z38" s="195">
        <f t="shared" si="30"/>
        <v>103298538.58680242</v>
      </c>
      <c r="AA38" s="176">
        <f t="shared" si="23"/>
        <v>58475465.828304052</v>
      </c>
      <c r="AB38" s="176">
        <f>'Collections and ACP'!K46</f>
        <v>150699620.50638735</v>
      </c>
      <c r="AC38" s="176">
        <f t="shared" si="19"/>
        <v>209175086.33469141</v>
      </c>
      <c r="AD38" s="176">
        <f t="shared" si="24"/>
        <v>226682928.22742349</v>
      </c>
      <c r="AE38" s="18">
        <f t="shared" si="20"/>
        <v>-17507841.892732084</v>
      </c>
      <c r="AF38" s="19"/>
    </row>
    <row r="39" spans="1:32" x14ac:dyDescent="0.25">
      <c r="A39" s="174" t="s">
        <v>26</v>
      </c>
      <c r="B39" s="16">
        <f t="shared" si="14"/>
        <v>0</v>
      </c>
      <c r="C39" s="16">
        <f t="shared" si="14"/>
        <v>11243457.005324032</v>
      </c>
      <c r="D39" s="16">
        <f t="shared" si="14"/>
        <v>28852655.707768474</v>
      </c>
      <c r="E39" s="16">
        <f t="shared" si="14"/>
        <v>683757.55023885507</v>
      </c>
      <c r="F39" s="16">
        <f t="shared" si="14"/>
        <v>7422445.2281257715</v>
      </c>
      <c r="G39" s="16">
        <f t="shared" si="14"/>
        <v>0</v>
      </c>
      <c r="H39" s="17">
        <v>202999.99999999997</v>
      </c>
      <c r="I39" s="17">
        <v>6627071.8807588778</v>
      </c>
      <c r="J39" s="17">
        <f t="shared" si="15"/>
        <v>6852790.4172544125</v>
      </c>
      <c r="K39" s="17">
        <f t="shared" si="15"/>
        <v>31491937.131787878</v>
      </c>
      <c r="L39" s="17">
        <f t="shared" si="15"/>
        <v>3377241.046147428</v>
      </c>
      <c r="M39" s="17">
        <f t="shared" si="16"/>
        <v>4896343.0445534475</v>
      </c>
      <c r="N39" s="17"/>
      <c r="O39" s="17">
        <f t="shared" si="17"/>
        <v>14480715.097082175</v>
      </c>
      <c r="P39" s="17">
        <f t="shared" si="21"/>
        <v>116131414.10904133</v>
      </c>
      <c r="Q39" s="175">
        <f t="shared" ref="Q39:Y39" si="32">$B$29*Q12</f>
        <v>39440862.774119586</v>
      </c>
      <c r="R39" s="175">
        <f t="shared" si="32"/>
        <v>21364602.187063176</v>
      </c>
      <c r="S39" s="175">
        <f t="shared" si="32"/>
        <v>14946566.689857405</v>
      </c>
      <c r="T39" s="175">
        <f t="shared" si="32"/>
        <v>11379585.337118873</v>
      </c>
      <c r="U39" s="175">
        <f t="shared" si="32"/>
        <v>5886713.9254908487</v>
      </c>
      <c r="V39" s="175">
        <f t="shared" si="32"/>
        <v>23738446.874514636</v>
      </c>
      <c r="W39" s="175">
        <f t="shared" si="32"/>
        <v>6237568.0280681476</v>
      </c>
      <c r="X39" s="175">
        <f t="shared" si="32"/>
        <v>8012903.6989704212</v>
      </c>
      <c r="Y39" s="175">
        <f t="shared" si="32"/>
        <v>1204151.1042554169</v>
      </c>
      <c r="Z39" s="195">
        <f t="shared" si="30"/>
        <v>132211400.61945853</v>
      </c>
      <c r="AA39" s="176">
        <f t="shared" si="23"/>
        <v>-17507841.892732084</v>
      </c>
      <c r="AB39" s="176">
        <f>'Collections and ACP'!K47</f>
        <v>150699620.50638735</v>
      </c>
      <c r="AC39" s="176">
        <f t="shared" si="19"/>
        <v>133191778.61365527</v>
      </c>
      <c r="AD39" s="176">
        <f t="shared" si="24"/>
        <v>248342814.72849986</v>
      </c>
      <c r="AE39" s="18">
        <f t="shared" si="20"/>
        <v>-115151036.11484459</v>
      </c>
      <c r="AF39" s="19"/>
    </row>
    <row r="40" spans="1:32" x14ac:dyDescent="0.25">
      <c r="A40" s="174" t="s">
        <v>27</v>
      </c>
      <c r="B40" s="16">
        <f t="shared" si="14"/>
        <v>0</v>
      </c>
      <c r="C40" s="16">
        <f t="shared" si="14"/>
        <v>10897609.817745607</v>
      </c>
      <c r="D40" s="16">
        <f t="shared" si="14"/>
        <v>28753818.250090089</v>
      </c>
      <c r="E40" s="16">
        <f t="shared" si="14"/>
        <v>681796.50229297578</v>
      </c>
      <c r="F40" s="16">
        <f t="shared" si="14"/>
        <v>7422445.2281257715</v>
      </c>
      <c r="G40" s="16">
        <f t="shared" si="14"/>
        <v>0</v>
      </c>
      <c r="H40" s="17">
        <v>202999.99999999997</v>
      </c>
      <c r="I40" s="17">
        <v>6627071.8807588778</v>
      </c>
      <c r="J40" s="17">
        <f t="shared" si="15"/>
        <v>6316514.8580292519</v>
      </c>
      <c r="K40" s="17">
        <f t="shared" si="15"/>
        <v>29122275.10086026</v>
      </c>
      <c r="L40" s="17">
        <f t="shared" si="15"/>
        <v>3255095.722103918</v>
      </c>
      <c r="M40" s="17">
        <f t="shared" si="16"/>
        <v>4900389.0022009388</v>
      </c>
      <c r="N40" s="17"/>
      <c r="O40" s="17">
        <f t="shared" si="17"/>
        <v>14480715.097082175</v>
      </c>
      <c r="P40" s="17">
        <f t="shared" si="21"/>
        <v>112660731.45928988</v>
      </c>
      <c r="Q40" s="175">
        <f t="shared" ref="Q40:Y40" si="33">$B$29*Q13</f>
        <v>37863228.263154797</v>
      </c>
      <c r="R40" s="175">
        <f t="shared" si="33"/>
        <v>25089150.503765974</v>
      </c>
      <c r="S40" s="175">
        <f t="shared" si="33"/>
        <v>18268688.108624469</v>
      </c>
      <c r="T40" s="175">
        <f t="shared" si="33"/>
        <v>13353955.386906011</v>
      </c>
      <c r="U40" s="175">
        <f t="shared" si="33"/>
        <v>7192924.0420800783</v>
      </c>
      <c r="V40" s="175">
        <f t="shared" si="33"/>
        <v>27876833.893073302</v>
      </c>
      <c r="W40" s="175">
        <f t="shared" si="33"/>
        <v>11012583.831331002</v>
      </c>
      <c r="X40" s="175">
        <f t="shared" si="33"/>
        <v>15110405.372900022</v>
      </c>
      <c r="Y40" s="175">
        <f t="shared" si="33"/>
        <v>2352678.994285285</v>
      </c>
      <c r="Z40" s="195">
        <f t="shared" si="30"/>
        <v>158120448.39612094</v>
      </c>
      <c r="AA40" s="176">
        <f t="shared" si="23"/>
        <v>-115151036.11484459</v>
      </c>
      <c r="AB40" s="176">
        <f>'Collections and ACP'!K48</f>
        <v>150699620.50638735</v>
      </c>
      <c r="AC40" s="176">
        <f t="shared" si="19"/>
        <v>35548584.391542763</v>
      </c>
      <c r="AD40" s="176">
        <f t="shared" si="24"/>
        <v>270781179.85541081</v>
      </c>
      <c r="AE40" s="18">
        <f t="shared" si="20"/>
        <v>-235232595.46386805</v>
      </c>
      <c r="AF40" s="19"/>
    </row>
    <row r="41" spans="1:32" x14ac:dyDescent="0.25">
      <c r="A41" s="174" t="s">
        <v>28</v>
      </c>
      <c r="B41" s="16">
        <f t="shared" ref="B41:G50" si="34">B14*$B$29</f>
        <v>0</v>
      </c>
      <c r="C41" s="16">
        <f t="shared" si="34"/>
        <v>10053966.898172513</v>
      </c>
      <c r="D41" s="16">
        <f t="shared" si="34"/>
        <v>28655657.852726787</v>
      </c>
      <c r="E41" s="16">
        <f t="shared" si="34"/>
        <v>679838.64300056081</v>
      </c>
      <c r="F41" s="16">
        <f t="shared" si="34"/>
        <v>7422445.2281257715</v>
      </c>
      <c r="G41" s="16">
        <f t="shared" si="34"/>
        <v>0</v>
      </c>
      <c r="H41" s="17">
        <v>202999.99999999997</v>
      </c>
      <c r="I41" s="17">
        <v>6627071.8807588778</v>
      </c>
      <c r="J41" s="17">
        <f t="shared" si="15"/>
        <v>5818053.6010571476</v>
      </c>
      <c r="K41" s="17">
        <f t="shared" si="15"/>
        <v>26930731.075589046</v>
      </c>
      <c r="L41" s="17">
        <f t="shared" si="15"/>
        <v>3141472.4270401113</v>
      </c>
      <c r="M41" s="17">
        <f t="shared" si="16"/>
        <v>4930216.322261163</v>
      </c>
      <c r="N41" s="17"/>
      <c r="O41" s="17">
        <f t="shared" si="17"/>
        <v>14480715.097082175</v>
      </c>
      <c r="P41" s="17">
        <f t="shared" si="21"/>
        <v>108943169.02581415</v>
      </c>
      <c r="Q41" s="175">
        <f t="shared" ref="Q41:Y41" si="35">$B$29*Q14</f>
        <v>36348699.132628612</v>
      </c>
      <c r="R41" s="175">
        <f t="shared" si="35"/>
        <v>28664716.887800664</v>
      </c>
      <c r="S41" s="175">
        <f t="shared" si="35"/>
        <v>21438324.750209041</v>
      </c>
      <c r="T41" s="175">
        <f t="shared" si="35"/>
        <v>15237202.867385302</v>
      </c>
      <c r="U41" s="175">
        <f t="shared" si="35"/>
        <v>8446885.7540057395</v>
      </c>
      <c r="V41" s="175">
        <f t="shared" si="35"/>
        <v>31849685.430889629</v>
      </c>
      <c r="W41" s="175">
        <f t="shared" si="35"/>
        <v>13130388.414279267</v>
      </c>
      <c r="X41" s="175">
        <f t="shared" si="35"/>
        <v>20586047.497495502</v>
      </c>
      <c r="Y41" s="175">
        <f t="shared" si="35"/>
        <v>3405569.8292103503</v>
      </c>
      <c r="Z41" s="195">
        <f t="shared" si="30"/>
        <v>179107520.56390408</v>
      </c>
      <c r="AA41" s="176">
        <f t="shared" si="23"/>
        <v>-235232595.46386805</v>
      </c>
      <c r="AB41" s="176">
        <f>'Collections and ACP'!K49</f>
        <v>150699620.50638735</v>
      </c>
      <c r="AC41" s="176">
        <f t="shared" si="19"/>
        <v>-84532974.957480699</v>
      </c>
      <c r="AD41" s="176">
        <f t="shared" si="24"/>
        <v>288050689.58971822</v>
      </c>
      <c r="AE41" s="18">
        <f t="shared" si="20"/>
        <v>-372583664.54719889</v>
      </c>
      <c r="AF41" s="19"/>
    </row>
    <row r="42" spans="1:32" x14ac:dyDescent="0.25">
      <c r="A42" s="174" t="s">
        <v>29</v>
      </c>
      <c r="B42" s="16">
        <f t="shared" si="34"/>
        <v>0</v>
      </c>
      <c r="C42" s="16">
        <f t="shared" si="34"/>
        <v>0</v>
      </c>
      <c r="D42" s="16">
        <f t="shared" si="34"/>
        <v>28557876.711084161</v>
      </c>
      <c r="E42" s="16">
        <f t="shared" si="34"/>
        <v>677900.92348670273</v>
      </c>
      <c r="F42" s="16">
        <f t="shared" si="34"/>
        <v>0</v>
      </c>
      <c r="G42" s="16">
        <f t="shared" si="34"/>
        <v>0</v>
      </c>
      <c r="H42" s="17">
        <v>202999.99999999997</v>
      </c>
      <c r="I42" s="17">
        <v>6627071.8807588778</v>
      </c>
      <c r="J42" s="17">
        <f t="shared" si="15"/>
        <v>5934934.1716575045</v>
      </c>
      <c r="K42" s="17">
        <f t="shared" si="15"/>
        <v>27273414.672222238</v>
      </c>
      <c r="L42" s="17">
        <f t="shared" si="15"/>
        <v>3148477.3175298395</v>
      </c>
      <c r="M42" s="17">
        <f t="shared" si="16"/>
        <v>4958327.5396205718</v>
      </c>
      <c r="N42" s="17"/>
      <c r="O42" s="17">
        <f t="shared" si="17"/>
        <v>14480715.097082175</v>
      </c>
      <c r="P42" s="17">
        <f t="shared" si="21"/>
        <v>91861718.313442081</v>
      </c>
      <c r="Q42" s="175">
        <f t="shared" ref="Q42:Y42" si="36">$B$29*Q15</f>
        <v>34894751.167323463</v>
      </c>
      <c r="R42" s="175">
        <f t="shared" si="36"/>
        <v>27518128.212288644</v>
      </c>
      <c r="S42" s="175">
        <f t="shared" si="36"/>
        <v>24461674.005300585</v>
      </c>
      <c r="T42" s="175">
        <f t="shared" si="36"/>
        <v>17033033.420165639</v>
      </c>
      <c r="U42" s="175">
        <f t="shared" si="36"/>
        <v>9650688.997454375</v>
      </c>
      <c r="V42" s="175">
        <f t="shared" si="36"/>
        <v>30575698.013654038</v>
      </c>
      <c r="W42" s="175">
        <f t="shared" si="36"/>
        <v>13307777.174218515</v>
      </c>
      <c r="X42" s="175">
        <f t="shared" si="36"/>
        <v>22789904.666176915</v>
      </c>
      <c r="Y42" s="175">
        <f t="shared" si="36"/>
        <v>4387714.2730503604</v>
      </c>
      <c r="Z42" s="195">
        <f t="shared" si="30"/>
        <v>184619369.92963251</v>
      </c>
      <c r="AA42" s="176">
        <f t="shared" si="23"/>
        <v>-372583664.54719889</v>
      </c>
      <c r="AB42" s="176">
        <f>'Collections and ACP'!K50</f>
        <v>150699620.50638735</v>
      </c>
      <c r="AC42" s="176">
        <f t="shared" si="19"/>
        <v>-221884044.04081154</v>
      </c>
      <c r="AD42" s="176">
        <f t="shared" si="24"/>
        <v>276481088.2430746</v>
      </c>
      <c r="AE42" s="18">
        <f t="shared" si="20"/>
        <v>-498365132.28388613</v>
      </c>
      <c r="AF42" s="19"/>
    </row>
    <row r="43" spans="1:32" x14ac:dyDescent="0.25">
      <c r="A43" s="174" t="s">
        <v>30</v>
      </c>
      <c r="B43" s="16">
        <f t="shared" si="34"/>
        <v>0</v>
      </c>
      <c r="C43" s="16">
        <f t="shared" si="34"/>
        <v>0</v>
      </c>
      <c r="D43" s="16">
        <f t="shared" si="34"/>
        <v>28460537.280486427</v>
      </c>
      <c r="E43" s="16">
        <f t="shared" si="34"/>
        <v>649781.25436498888</v>
      </c>
      <c r="F43" s="16">
        <f t="shared" si="34"/>
        <v>0</v>
      </c>
      <c r="G43" s="16">
        <f t="shared" si="34"/>
        <v>0</v>
      </c>
      <c r="H43" s="17">
        <v>202999.99999999997</v>
      </c>
      <c r="I43" s="17">
        <v>6627071.8807588778</v>
      </c>
      <c r="J43" s="17">
        <f t="shared" si="15"/>
        <v>5656483.4005213631</v>
      </c>
      <c r="K43" s="17">
        <f t="shared" si="15"/>
        <v>26005547.721630607</v>
      </c>
      <c r="L43" s="17">
        <f t="shared" si="15"/>
        <v>3078896.8721096567</v>
      </c>
      <c r="M43" s="17">
        <f t="shared" si="16"/>
        <v>4991329.4793066774</v>
      </c>
      <c r="N43" s="17"/>
      <c r="O43" s="17">
        <f t="shared" si="17"/>
        <v>14480715.097082175</v>
      </c>
      <c r="P43" s="17">
        <f t="shared" si="21"/>
        <v>90153362.986260772</v>
      </c>
      <c r="Q43" s="175">
        <f t="shared" ref="Q43:Y43" si="37">$B$29*Q16</f>
        <v>33498961.120630525</v>
      </c>
      <c r="R43" s="175">
        <f t="shared" si="37"/>
        <v>26417403.083797097</v>
      </c>
      <c r="S43" s="175">
        <f t="shared" si="37"/>
        <v>27344684.878962968</v>
      </c>
      <c r="T43" s="175">
        <f t="shared" si="37"/>
        <v>18745004.157497387</v>
      </c>
      <c r="U43" s="175">
        <f t="shared" si="37"/>
        <v>9264661.4375561979</v>
      </c>
      <c r="V43" s="175">
        <f t="shared" si="37"/>
        <v>29352670.093107875</v>
      </c>
      <c r="W43" s="175">
        <f t="shared" si="37"/>
        <v>17865582.251025144</v>
      </c>
      <c r="X43" s="175">
        <f t="shared" si="37"/>
        <v>27486586.896703664</v>
      </c>
      <c r="Y43" s="175">
        <f t="shared" si="37"/>
        <v>5512398.4601687333</v>
      </c>
      <c r="Z43" s="195">
        <f t="shared" si="30"/>
        <v>195487952.37944958</v>
      </c>
      <c r="AA43" s="176">
        <f t="shared" si="23"/>
        <v>-498365132.28388613</v>
      </c>
      <c r="AB43" s="176">
        <f>'Collections and ACP'!K51</f>
        <v>150699620.50638735</v>
      </c>
      <c r="AC43" s="176">
        <f t="shared" si="19"/>
        <v>-347665511.77749878</v>
      </c>
      <c r="AD43" s="176">
        <f t="shared" si="24"/>
        <v>285641315.36571038</v>
      </c>
      <c r="AE43" s="18">
        <f t="shared" si="20"/>
        <v>-633306827.14320922</v>
      </c>
      <c r="AF43" s="19"/>
    </row>
    <row r="44" spans="1:32" x14ac:dyDescent="0.25">
      <c r="A44" s="174" t="s">
        <v>31</v>
      </c>
      <c r="B44" s="16">
        <f t="shared" si="34"/>
        <v>0</v>
      </c>
      <c r="C44" s="16">
        <f t="shared" si="34"/>
        <v>0</v>
      </c>
      <c r="D44" s="16">
        <f t="shared" si="34"/>
        <v>19259608.960382171</v>
      </c>
      <c r="E44" s="16">
        <f t="shared" si="34"/>
        <v>382255.27917297476</v>
      </c>
      <c r="F44" s="16">
        <f t="shared" si="34"/>
        <v>0</v>
      </c>
      <c r="G44" s="16">
        <f t="shared" si="34"/>
        <v>0</v>
      </c>
      <c r="H44" s="17">
        <v>202999.99999999997</v>
      </c>
      <c r="I44" s="17">
        <v>6142006.5088935578</v>
      </c>
      <c r="J44" s="17">
        <f t="shared" si="15"/>
        <v>5285215.7056731759</v>
      </c>
      <c r="K44" s="17">
        <f t="shared" si="15"/>
        <v>24374396.812563311</v>
      </c>
      <c r="L44" s="17">
        <f t="shared" si="15"/>
        <v>2992077.2296979465</v>
      </c>
      <c r="M44" s="17">
        <f t="shared" si="16"/>
        <v>5007256.3669591239</v>
      </c>
      <c r="N44" s="17"/>
      <c r="O44" s="17">
        <f t="shared" si="17"/>
        <v>14480715.097082175</v>
      </c>
      <c r="P44" s="17">
        <f t="shared" si="21"/>
        <v>78126531.960424423</v>
      </c>
      <c r="Q44" s="175">
        <f t="shared" ref="Q44:Y44" si="38">$B$29*Q17</f>
        <v>16079501.33790265</v>
      </c>
      <c r="R44" s="175">
        <f t="shared" si="38"/>
        <v>23681833.798591185</v>
      </c>
      <c r="S44" s="175">
        <f t="shared" si="38"/>
        <v>30093067.928509478</v>
      </c>
      <c r="T44" s="175">
        <f t="shared" si="38"/>
        <v>19513904.370837536</v>
      </c>
      <c r="U44" s="175">
        <f t="shared" si="38"/>
        <v>8894074.9800539482</v>
      </c>
      <c r="V44" s="175">
        <f t="shared" si="38"/>
        <v>26313148.665101312</v>
      </c>
      <c r="W44" s="175">
        <f t="shared" si="38"/>
        <v>16127896.439375272</v>
      </c>
      <c r="X44" s="175">
        <f t="shared" si="38"/>
        <v>28879969.696689758</v>
      </c>
      <c r="Y44" s="175">
        <f t="shared" si="38"/>
        <v>6480242.1135358578</v>
      </c>
      <c r="Z44" s="195">
        <f t="shared" si="30"/>
        <v>176063639.33059698</v>
      </c>
      <c r="AA44" s="176">
        <f t="shared" si="23"/>
        <v>-633306827.14320922</v>
      </c>
      <c r="AB44" s="176">
        <f>'Collections and ACP'!K52</f>
        <v>150699620.50638735</v>
      </c>
      <c r="AC44" s="176">
        <f t="shared" si="19"/>
        <v>-482607206.63682187</v>
      </c>
      <c r="AD44" s="176">
        <f t="shared" si="24"/>
        <v>254190171.29102141</v>
      </c>
      <c r="AE44" s="18">
        <f t="shared" si="20"/>
        <v>-736797377.92784333</v>
      </c>
      <c r="AF44" s="19"/>
    </row>
    <row r="45" spans="1:32" x14ac:dyDescent="0.25">
      <c r="A45" s="174" t="s">
        <v>32</v>
      </c>
      <c r="B45" s="16">
        <f t="shared" si="34"/>
        <v>0</v>
      </c>
      <c r="C45" s="16">
        <f t="shared" si="34"/>
        <v>0</v>
      </c>
      <c r="D45" s="16">
        <f t="shared" si="34"/>
        <v>19163278.030498944</v>
      </c>
      <c r="E45" s="16">
        <f t="shared" si="34"/>
        <v>380317.55965911679</v>
      </c>
      <c r="F45" s="16">
        <f t="shared" si="34"/>
        <v>0</v>
      </c>
      <c r="G45" s="16">
        <f t="shared" si="34"/>
        <v>0</v>
      </c>
      <c r="H45" s="17">
        <v>202999.99999999997</v>
      </c>
      <c r="I45" s="17">
        <v>6142006.5088935578</v>
      </c>
      <c r="J45" s="17">
        <f t="shared" si="15"/>
        <v>4831444.0786365028</v>
      </c>
      <c r="K45" s="17">
        <f t="shared" si="15"/>
        <v>22426992.261758789</v>
      </c>
      <c r="L45" s="17">
        <f t="shared" si="15"/>
        <v>2890255.9152305718</v>
      </c>
      <c r="M45" s="17">
        <f t="shared" si="16"/>
        <v>5033118.2732591704</v>
      </c>
      <c r="N45" s="17"/>
      <c r="O45" s="17">
        <f t="shared" si="17"/>
        <v>14480715.097082175</v>
      </c>
      <c r="P45" s="17">
        <f t="shared" si="21"/>
        <v>75551127.725018829</v>
      </c>
      <c r="Q45" s="175">
        <f t="shared" ref="Q45:Y45" si="39">$B$29*Q18</f>
        <v>15436321.284386544</v>
      </c>
      <c r="R45" s="175">
        <f t="shared" si="39"/>
        <v>21148958.016007625</v>
      </c>
      <c r="S45" s="175">
        <f t="shared" si="39"/>
        <v>31327453.696358778</v>
      </c>
      <c r="T45" s="175">
        <f t="shared" si="39"/>
        <v>20244455.07374588</v>
      </c>
      <c r="U45" s="175">
        <f t="shared" si="39"/>
        <v>7973077.6262044031</v>
      </c>
      <c r="V45" s="175">
        <f t="shared" si="39"/>
        <v>23498842.24000847</v>
      </c>
      <c r="W45" s="175">
        <f t="shared" si="39"/>
        <v>12787195.46647842</v>
      </c>
      <c r="X45" s="175">
        <f t="shared" si="39"/>
        <v>29308265.766732469</v>
      </c>
      <c r="Y45" s="175">
        <f t="shared" si="39"/>
        <v>7358123.0034154542</v>
      </c>
      <c r="Z45" s="195">
        <f t="shared" si="30"/>
        <v>169082692.17333806</v>
      </c>
      <c r="AA45" s="176">
        <f t="shared" si="23"/>
        <v>-736797377.92784333</v>
      </c>
      <c r="AB45" s="176">
        <f>'Collections and ACP'!K53</f>
        <v>150699620.50638735</v>
      </c>
      <c r="AC45" s="176">
        <f t="shared" si="19"/>
        <v>-586097757.42145598</v>
      </c>
      <c r="AD45" s="176">
        <f t="shared" si="24"/>
        <v>244633819.89835688</v>
      </c>
      <c r="AE45" s="18">
        <f t="shared" si="20"/>
        <v>-830731577.31981289</v>
      </c>
      <c r="AF45" s="19"/>
    </row>
    <row r="46" spans="1:32" x14ac:dyDescent="0.25">
      <c r="A46" s="174" t="s">
        <v>33</v>
      </c>
      <c r="B46" s="16">
        <f t="shared" si="34"/>
        <v>0</v>
      </c>
      <c r="C46" s="16">
        <f t="shared" si="34"/>
        <v>0</v>
      </c>
      <c r="D46" s="16">
        <f t="shared" si="34"/>
        <v>19067530.134751532</v>
      </c>
      <c r="E46" s="16">
        <f t="shared" si="34"/>
        <v>378413.88430645212</v>
      </c>
      <c r="F46" s="16">
        <f t="shared" si="34"/>
        <v>0</v>
      </c>
      <c r="G46" s="16">
        <f t="shared" si="34"/>
        <v>0</v>
      </c>
      <c r="H46" s="17">
        <v>202999.99999999997</v>
      </c>
      <c r="I46" s="17">
        <v>5130841.8801888945</v>
      </c>
      <c r="J46" s="17">
        <f t="shared" si="15"/>
        <v>4370797.1239174576</v>
      </c>
      <c r="K46" s="17">
        <f t="shared" si="15"/>
        <v>20470931.110119149</v>
      </c>
      <c r="L46" s="17">
        <f t="shared" si="15"/>
        <v>2788068.5176789882</v>
      </c>
      <c r="M46" s="17">
        <f t="shared" si="16"/>
        <v>5052092.9450712204</v>
      </c>
      <c r="N46" s="17"/>
      <c r="O46" s="17">
        <f t="shared" si="17"/>
        <v>14480715.097082175</v>
      </c>
      <c r="P46" s="17">
        <f t="shared" si="21"/>
        <v>71942390.69311586</v>
      </c>
      <c r="Q46" s="175">
        <f t="shared" ref="Q46:Y46" si="40">$B$29*Q19</f>
        <v>14818868.433011081</v>
      </c>
      <c r="R46" s="175">
        <f t="shared" si="40"/>
        <v>18717397.26472741</v>
      </c>
      <c r="S46" s="175">
        <f t="shared" si="40"/>
        <v>32500273.491069146</v>
      </c>
      <c r="T46" s="175">
        <f t="shared" si="40"/>
        <v>20938228.214149181</v>
      </c>
      <c r="U46" s="175">
        <f t="shared" si="40"/>
        <v>7120322.0751003632</v>
      </c>
      <c r="V46" s="175">
        <f t="shared" si="40"/>
        <v>20797108.071919337</v>
      </c>
      <c r="W46" s="175">
        <f t="shared" si="40"/>
        <v>7743562.3981646989</v>
      </c>
      <c r="X46" s="175">
        <f t="shared" si="40"/>
        <v>28681809.818370365</v>
      </c>
      <c r="Y46" s="175">
        <f t="shared" si="40"/>
        <v>8132911.8560114186</v>
      </c>
      <c r="Z46" s="195">
        <f t="shared" si="30"/>
        <v>159450481.62252301</v>
      </c>
      <c r="AA46" s="176">
        <f t="shared" si="23"/>
        <v>-830731577.31981289</v>
      </c>
      <c r="AB46" s="176">
        <f>'Collections and ACP'!K54</f>
        <v>150699620.50638735</v>
      </c>
      <c r="AC46" s="176">
        <f t="shared" si="19"/>
        <v>-680031956.81342554</v>
      </c>
      <c r="AD46" s="176">
        <f t="shared" si="24"/>
        <v>231392872.31563887</v>
      </c>
      <c r="AE46" s="18">
        <f t="shared" si="20"/>
        <v>-911424829.12906444</v>
      </c>
      <c r="AF46" s="19"/>
    </row>
    <row r="47" spans="1:32" x14ac:dyDescent="0.25">
      <c r="A47" s="174" t="s">
        <v>34</v>
      </c>
      <c r="B47" s="16">
        <f t="shared" si="34"/>
        <v>0</v>
      </c>
      <c r="C47" s="16">
        <f t="shared" si="34"/>
        <v>0</v>
      </c>
      <c r="D47" s="16">
        <f t="shared" si="34"/>
        <v>18972214.210320033</v>
      </c>
      <c r="E47" s="16">
        <f t="shared" si="34"/>
        <v>376529.67972330697</v>
      </c>
      <c r="F47" s="16">
        <f t="shared" si="34"/>
        <v>0</v>
      </c>
      <c r="G47" s="16">
        <f t="shared" si="34"/>
        <v>0</v>
      </c>
      <c r="H47" s="17">
        <v>202999.99999999997</v>
      </c>
      <c r="I47" s="17">
        <v>1724725.2635890711</v>
      </c>
      <c r="J47" s="17">
        <f t="shared" si="15"/>
        <v>4033906.0674811373</v>
      </c>
      <c r="K47" s="17">
        <f t="shared" si="15"/>
        <v>19026776.135022577</v>
      </c>
      <c r="L47" s="17">
        <f t="shared" si="15"/>
        <v>2710283.78058474</v>
      </c>
      <c r="M47" s="17">
        <f t="shared" si="16"/>
        <v>5074670.9351125583</v>
      </c>
      <c r="N47" s="17"/>
      <c r="O47" s="17">
        <f t="shared" si="17"/>
        <v>14480715.097082175</v>
      </c>
      <c r="P47" s="17">
        <f t="shared" si="21"/>
        <v>66602821.1689156</v>
      </c>
      <c r="Q47" s="175">
        <f t="shared" ref="Q47:Y47" si="41">$B$29*Q20</f>
        <v>14226113.695690637</v>
      </c>
      <c r="R47" s="175">
        <f t="shared" si="41"/>
        <v>16383098.943498397</v>
      </c>
      <c r="S47" s="175">
        <f t="shared" si="41"/>
        <v>33614050.904278263</v>
      </c>
      <c r="T47" s="175">
        <f t="shared" si="41"/>
        <v>21596732.672219586</v>
      </c>
      <c r="U47" s="175">
        <f t="shared" si="41"/>
        <v>6301676.7460404811</v>
      </c>
      <c r="V47" s="175">
        <f t="shared" si="41"/>
        <v>18203443.270553771</v>
      </c>
      <c r="W47" s="175">
        <f t="shared" si="41"/>
        <v>1839774.8530843151</v>
      </c>
      <c r="X47" s="175">
        <f t="shared" si="41"/>
        <v>27447692.370246749</v>
      </c>
      <c r="Y47" s="175">
        <f t="shared" si="41"/>
        <v>8835771.0806650482</v>
      </c>
      <c r="Z47" s="195">
        <f t="shared" si="30"/>
        <v>148448354.53627723</v>
      </c>
      <c r="AA47" s="176">
        <f t="shared" si="23"/>
        <v>-911424829.12906444</v>
      </c>
      <c r="AB47" s="176">
        <f>'Collections and ACP'!K55</f>
        <v>150699620.50638735</v>
      </c>
      <c r="AC47" s="176">
        <f t="shared" si="19"/>
        <v>-760725208.62267709</v>
      </c>
      <c r="AD47" s="176">
        <f t="shared" si="24"/>
        <v>215051175.70519283</v>
      </c>
      <c r="AE47" s="18">
        <f t="shared" si="20"/>
        <v>-975776384.32786989</v>
      </c>
      <c r="AF47" s="19"/>
    </row>
    <row r="48" spans="1:32" x14ac:dyDescent="0.25">
      <c r="A48" s="174" t="s">
        <v>35</v>
      </c>
      <c r="B48" s="16">
        <f t="shared" si="34"/>
        <v>0</v>
      </c>
      <c r="C48" s="16">
        <f t="shared" si="34"/>
        <v>0</v>
      </c>
      <c r="D48" s="16">
        <f t="shared" si="34"/>
        <v>18877334.838902712</v>
      </c>
      <c r="E48" s="16">
        <f t="shared" si="34"/>
        <v>374592.54812648194</v>
      </c>
      <c r="F48" s="16">
        <f t="shared" si="34"/>
        <v>0</v>
      </c>
      <c r="G48" s="16">
        <f t="shared" si="34"/>
        <v>0</v>
      </c>
      <c r="H48" s="17">
        <v>202999.99999999997</v>
      </c>
      <c r="I48" s="17"/>
      <c r="J48" s="17">
        <f t="shared" si="15"/>
        <v>3600760.4234915865</v>
      </c>
      <c r="K48" s="17">
        <f t="shared" si="15"/>
        <v>17215096.274128288</v>
      </c>
      <c r="L48" s="17">
        <f t="shared" si="15"/>
        <v>2615057.1398532572</v>
      </c>
      <c r="M48" s="17">
        <f t="shared" si="16"/>
        <v>5085539.8992882883</v>
      </c>
      <c r="N48" s="17"/>
      <c r="O48" s="17">
        <f t="shared" si="17"/>
        <v>14480715.097082175</v>
      </c>
      <c r="P48" s="17">
        <f t="shared" si="21"/>
        <v>62452096.22087279</v>
      </c>
      <c r="Q48" s="175">
        <f t="shared" ref="Q48:Y48" si="42">$B$29*Q21</f>
        <v>13657069.14786301</v>
      </c>
      <c r="R48" s="175">
        <f t="shared" si="42"/>
        <v>14142172.55511855</v>
      </c>
      <c r="S48" s="175">
        <f t="shared" si="42"/>
        <v>34671208.27919478</v>
      </c>
      <c r="T48" s="175">
        <f t="shared" si="42"/>
        <v>22221416.784033991</v>
      </c>
      <c r="U48" s="175">
        <f t="shared" si="42"/>
        <v>5515777.2301429966</v>
      </c>
      <c r="V48" s="175">
        <f t="shared" si="42"/>
        <v>15713525.06124283</v>
      </c>
      <c r="W48" s="175">
        <f t="shared" si="42"/>
        <v>-3015608.9189673564</v>
      </c>
      <c r="X48" s="175">
        <f t="shared" si="42"/>
        <v>26696302.472825512</v>
      </c>
      <c r="Y48" s="175">
        <f t="shared" si="42"/>
        <v>9557251.2820105534</v>
      </c>
      <c r="Z48" s="195">
        <f t="shared" si="30"/>
        <v>139159113.89346486</v>
      </c>
      <c r="AA48" s="176">
        <f t="shared" si="23"/>
        <v>-975776384.32786989</v>
      </c>
      <c r="AB48" s="176">
        <f>'Collections and ACP'!K56</f>
        <v>150699620.50638735</v>
      </c>
      <c r="AC48" s="176">
        <f t="shared" si="19"/>
        <v>-825076763.82148254</v>
      </c>
      <c r="AD48" s="176">
        <f t="shared" si="24"/>
        <v>201611210.11433765</v>
      </c>
      <c r="AE48" s="18">
        <f t="shared" si="20"/>
        <v>-1026687973.9358202</v>
      </c>
      <c r="AF48" s="19"/>
    </row>
    <row r="49" spans="1:32" x14ac:dyDescent="0.25">
      <c r="A49" s="174" t="s">
        <v>36</v>
      </c>
      <c r="B49" s="16">
        <f t="shared" si="34"/>
        <v>0</v>
      </c>
      <c r="C49" s="16">
        <f t="shared" si="34"/>
        <v>0</v>
      </c>
      <c r="D49" s="16">
        <f t="shared" si="34"/>
        <v>18782886.031275801</v>
      </c>
      <c r="E49" s="16">
        <f t="shared" si="34"/>
        <v>372754.78609279613</v>
      </c>
      <c r="F49" s="16">
        <f t="shared" si="34"/>
        <v>0</v>
      </c>
      <c r="G49" s="16">
        <f t="shared" si="34"/>
        <v>0</v>
      </c>
      <c r="H49" s="17">
        <v>202999.99999999997</v>
      </c>
      <c r="I49" s="17"/>
      <c r="J49" s="17">
        <f t="shared" si="15"/>
        <v>3201991.4179139021</v>
      </c>
      <c r="K49" s="17">
        <f t="shared" si="15"/>
        <v>15556610.181353696</v>
      </c>
      <c r="L49" s="17">
        <f t="shared" si="15"/>
        <v>2527164.7580948458</v>
      </c>
      <c r="M49" s="17">
        <f t="shared" si="16"/>
        <v>5109593.1792917056</v>
      </c>
      <c r="N49" s="17"/>
      <c r="O49" s="17">
        <f t="shared" si="17"/>
        <v>14480715.097082175</v>
      </c>
      <c r="P49" s="17">
        <f t="shared" si="21"/>
        <v>60234715.451104924</v>
      </c>
      <c r="Q49" s="175">
        <f t="shared" ref="Q49:Y49" si="43">$B$29*Q22</f>
        <v>13110786.381948492</v>
      </c>
      <c r="R49" s="175">
        <f t="shared" si="43"/>
        <v>11990883.222273896</v>
      </c>
      <c r="S49" s="175">
        <f t="shared" si="43"/>
        <v>35674070.762059189</v>
      </c>
      <c r="T49" s="175">
        <f t="shared" si="43"/>
        <v>22813670.764282301</v>
      </c>
      <c r="U49" s="175">
        <f t="shared" si="43"/>
        <v>4761313.6948814103</v>
      </c>
      <c r="V49" s="175">
        <f t="shared" si="43"/>
        <v>13323203.580304323</v>
      </c>
      <c r="W49" s="175">
        <f t="shared" si="43"/>
        <v>-9938838.806882333</v>
      </c>
      <c r="X49" s="175">
        <f t="shared" si="43"/>
        <v>24670912.518007088</v>
      </c>
      <c r="Y49" s="175">
        <f t="shared" si="43"/>
        <v>10154100.152281016</v>
      </c>
      <c r="Z49" s="195">
        <f t="shared" si="30"/>
        <v>126560102.26915538</v>
      </c>
      <c r="AA49" s="176">
        <f t="shared" si="23"/>
        <v>-1026687973.9358202</v>
      </c>
      <c r="AB49" s="176">
        <f>'Collections and ACP'!K57</f>
        <v>150699620.50638735</v>
      </c>
      <c r="AC49" s="176">
        <f t="shared" si="19"/>
        <v>-875988353.42943287</v>
      </c>
      <c r="AD49" s="176">
        <f t="shared" si="24"/>
        <v>186794817.72026032</v>
      </c>
      <c r="AE49" s="18">
        <f t="shared" si="20"/>
        <v>-1062783171.1496933</v>
      </c>
      <c r="AF49" s="19"/>
    </row>
    <row r="50" spans="1:32" x14ac:dyDescent="0.25">
      <c r="A50" s="174" t="s">
        <v>37</v>
      </c>
      <c r="B50" s="16">
        <f t="shared" si="34"/>
        <v>0</v>
      </c>
      <c r="C50" s="16">
        <f t="shared" si="34"/>
        <v>0</v>
      </c>
      <c r="D50" s="16">
        <f t="shared" si="34"/>
        <v>18689024.074901197</v>
      </c>
      <c r="E50" s="16">
        <f t="shared" si="34"/>
        <v>370883.92404054146</v>
      </c>
      <c r="F50" s="16">
        <f t="shared" si="34"/>
        <v>0</v>
      </c>
      <c r="G50" s="16">
        <f t="shared" si="34"/>
        <v>0</v>
      </c>
      <c r="H50" s="17">
        <v>202999.99999999997</v>
      </c>
      <c r="I50" s="17"/>
      <c r="J50" s="17">
        <f t="shared" si="15"/>
        <v>2830723.7230657153</v>
      </c>
      <c r="K50" s="17">
        <f t="shared" si="15"/>
        <v>14022178.472675653</v>
      </c>
      <c r="L50" s="17">
        <f t="shared" si="15"/>
        <v>2445219.9244550979</v>
      </c>
      <c r="M50" s="17">
        <f t="shared" si="16"/>
        <v>5129138.4250386506</v>
      </c>
      <c r="N50" s="17"/>
      <c r="O50" s="17">
        <f t="shared" si="17"/>
        <v>14480715.097082175</v>
      </c>
      <c r="P50" s="17">
        <f t="shared" si="21"/>
        <v>58170883.64125903</v>
      </c>
      <c r="Q50" s="175">
        <f t="shared" ref="Q50:Y50" si="44">$B$29*Q23</f>
        <v>12586354.926670551</v>
      </c>
      <c r="R50" s="175">
        <f t="shared" si="44"/>
        <v>9925645.4627430271</v>
      </c>
      <c r="S50" s="175">
        <f t="shared" si="44"/>
        <v>36624870.191538863</v>
      </c>
      <c r="T50" s="175">
        <f t="shared" si="44"/>
        <v>23374829.032062631</v>
      </c>
      <c r="U50" s="175">
        <f t="shared" si="44"/>
        <v>4037028.7010302884</v>
      </c>
      <c r="V50" s="175">
        <f t="shared" si="44"/>
        <v>11028494.95860336</v>
      </c>
      <c r="W50" s="175">
        <f t="shared" si="44"/>
        <v>-17027148.846904077</v>
      </c>
      <c r="X50" s="175">
        <f t="shared" si="44"/>
        <v>22457295.171791971</v>
      </c>
      <c r="Y50" s="175">
        <f t="shared" si="44"/>
        <v>10716335.030872894</v>
      </c>
      <c r="Z50" s="195">
        <f t="shared" si="30"/>
        <v>113723704.62840952</v>
      </c>
      <c r="AA50" s="176">
        <f t="shared" si="23"/>
        <v>-1062783171.1496933</v>
      </c>
      <c r="AB50" s="176">
        <f>'Collections and ACP'!K58</f>
        <v>150699620.50638735</v>
      </c>
      <c r="AC50" s="176">
        <f t="shared" si="19"/>
        <v>-912083550.6433059</v>
      </c>
      <c r="AD50" s="176">
        <f t="shared" si="24"/>
        <v>171894588.26966855</v>
      </c>
      <c r="AE50" s="18">
        <f t="shared" si="20"/>
        <v>-1083978138.9129744</v>
      </c>
      <c r="AF50" s="19"/>
    </row>
    <row r="51" spans="1:32" x14ac:dyDescent="0.25">
      <c r="A51" s="174" t="s">
        <v>38</v>
      </c>
      <c r="B51" s="16">
        <f t="shared" ref="B51:G54" si="45">B24*$B$29</f>
        <v>0</v>
      </c>
      <c r="C51" s="16">
        <f t="shared" si="45"/>
        <v>0</v>
      </c>
      <c r="D51" s="16">
        <f t="shared" si="45"/>
        <v>18595484.134876642</v>
      </c>
      <c r="E51" s="16">
        <f t="shared" si="45"/>
        <v>369037.71395766805</v>
      </c>
      <c r="F51" s="16">
        <f t="shared" si="45"/>
        <v>0</v>
      </c>
      <c r="G51" s="16">
        <f t="shared" si="45"/>
        <v>0</v>
      </c>
      <c r="H51" s="17">
        <v>202999.99999999997</v>
      </c>
      <c r="I51" s="17"/>
      <c r="J51" s="17">
        <f t="shared" si="15"/>
        <v>2435392.3813292203</v>
      </c>
      <c r="K51" s="17">
        <f t="shared" si="15"/>
        <v>12408761.814891184</v>
      </c>
      <c r="L51" s="17">
        <f t="shared" si="15"/>
        <v>2359561.5706476085</v>
      </c>
      <c r="M51" s="17">
        <f t="shared" si="16"/>
        <v>5152477.8589922888</v>
      </c>
      <c r="N51" s="17"/>
      <c r="O51" s="17">
        <f t="shared" si="17"/>
        <v>14480715.097082175</v>
      </c>
      <c r="P51" s="17">
        <f t="shared" si="21"/>
        <v>56004430.571776778</v>
      </c>
      <c r="Q51" s="175">
        <f t="shared" ref="Q51:Y51" si="46">$B$29*Q24</f>
        <v>12082900.729603728</v>
      </c>
      <c r="R51" s="175">
        <f t="shared" si="46"/>
        <v>9528619.6442333069</v>
      </c>
      <c r="S51" s="175">
        <f t="shared" si="46"/>
        <v>37525748.832539529</v>
      </c>
      <c r="T51" s="175">
        <f t="shared" si="46"/>
        <v>23906172.443639994</v>
      </c>
      <c r="U51" s="175">
        <f t="shared" si="46"/>
        <v>3341715.1069332114</v>
      </c>
      <c r="V51" s="175">
        <f t="shared" si="46"/>
        <v>10587355.160259224</v>
      </c>
      <c r="W51" s="175">
        <f t="shared" si="46"/>
        <v>-24312396.612246115</v>
      </c>
      <c r="X51" s="175">
        <f t="shared" si="46"/>
        <v>20049610.320507616</v>
      </c>
      <c r="Y51" s="175">
        <f t="shared" si="46"/>
        <v>11245161.565884139</v>
      </c>
      <c r="Z51" s="195">
        <f t="shared" si="30"/>
        <v>103954887.19135465</v>
      </c>
      <c r="AA51" s="176">
        <f t="shared" si="23"/>
        <v>-1083978138.9129744</v>
      </c>
      <c r="AB51" s="176">
        <f>'Collections and ACP'!K59</f>
        <v>150699620.50638735</v>
      </c>
      <c r="AC51" s="176">
        <f t="shared" si="19"/>
        <v>-933278518.406587</v>
      </c>
      <c r="AD51" s="176">
        <f t="shared" si="24"/>
        <v>159959317.76313144</v>
      </c>
      <c r="AE51" s="18">
        <f t="shared" si="20"/>
        <v>-1093237836.1697185</v>
      </c>
      <c r="AF51" s="19"/>
    </row>
    <row r="52" spans="1:32" x14ac:dyDescent="0.25">
      <c r="A52" s="174" t="s">
        <v>39</v>
      </c>
      <c r="B52" s="16">
        <f t="shared" si="45"/>
        <v>0</v>
      </c>
      <c r="C52" s="16">
        <f t="shared" si="45"/>
        <v>0</v>
      </c>
      <c r="D52" s="16">
        <f t="shared" si="45"/>
        <v>18502628.139299121</v>
      </c>
      <c r="E52" s="16">
        <f t="shared" si="45"/>
        <v>367219.2373403486</v>
      </c>
      <c r="F52" s="16">
        <f t="shared" si="45"/>
        <v>0</v>
      </c>
      <c r="G52" s="16">
        <f t="shared" si="45"/>
        <v>0</v>
      </c>
      <c r="H52" s="17">
        <v>202999.99999999997</v>
      </c>
      <c r="I52" s="20"/>
      <c r="J52" s="17">
        <f t="shared" si="15"/>
        <v>2040061.0395927248</v>
      </c>
      <c r="K52" s="17">
        <f t="shared" si="15"/>
        <v>10811128.769222738</v>
      </c>
      <c r="L52" s="17">
        <f t="shared" si="15"/>
        <v>2274698.6698800824</v>
      </c>
      <c r="M52" s="17">
        <f t="shared" si="16"/>
        <v>5168541.9969354467</v>
      </c>
      <c r="N52" s="17"/>
      <c r="O52" s="17">
        <f t="shared" si="17"/>
        <v>14480715.097082175</v>
      </c>
      <c r="P52" s="17">
        <f t="shared" si="21"/>
        <v>53847992.949352644</v>
      </c>
      <c r="Q52" s="175">
        <f t="shared" ref="Q52:Y52" si="47">$B$29*Q25</f>
        <v>0</v>
      </c>
      <c r="R52" s="175">
        <f t="shared" si="47"/>
        <v>7936353.25506684</v>
      </c>
      <c r="S52" s="175">
        <f t="shared" si="47"/>
        <v>38378762.960656874</v>
      </c>
      <c r="T52" s="175">
        <f t="shared" si="47"/>
        <v>23786641.5814218</v>
      </c>
      <c r="U52" s="175">
        <f t="shared" si="47"/>
        <v>3208046.5026558824</v>
      </c>
      <c r="V52" s="175">
        <f t="shared" si="47"/>
        <v>8818170.2834075969</v>
      </c>
      <c r="W52" s="175">
        <f t="shared" si="47"/>
        <v>-32659080.794204276</v>
      </c>
      <c r="X52" s="175">
        <f t="shared" si="47"/>
        <v>16944965.409734663</v>
      </c>
      <c r="Y52" s="175">
        <f t="shared" si="47"/>
        <v>11696491.725040138</v>
      </c>
      <c r="Z52" s="195">
        <f t="shared" si="30"/>
        <v>78110350.923779517</v>
      </c>
      <c r="AA52" s="176">
        <f t="shared" si="23"/>
        <v>-1093237836.1697185</v>
      </c>
      <c r="AB52" s="176">
        <f>'Collections and ACP'!K60</f>
        <v>150699620.50638735</v>
      </c>
      <c r="AC52" s="176">
        <f t="shared" si="19"/>
        <v>-942538215.66333115</v>
      </c>
      <c r="AD52" s="176">
        <f t="shared" si="24"/>
        <v>131958343.87313217</v>
      </c>
      <c r="AE52" s="18">
        <f t="shared" si="20"/>
        <v>-1074496559.5364633</v>
      </c>
    </row>
    <row r="53" spans="1:32" x14ac:dyDescent="0.25">
      <c r="A53" s="174" t="s">
        <v>40</v>
      </c>
      <c r="B53" s="16">
        <f t="shared" si="45"/>
        <v>0</v>
      </c>
      <c r="C53" s="16">
        <f t="shared" si="45"/>
        <v>0</v>
      </c>
      <c r="D53" s="16">
        <f t="shared" si="45"/>
        <v>18410110.870816864</v>
      </c>
      <c r="E53" s="16">
        <f t="shared" si="45"/>
        <v>365384.20926567307</v>
      </c>
      <c r="F53" s="16">
        <f t="shared" si="45"/>
        <v>0</v>
      </c>
      <c r="G53" s="16">
        <f t="shared" si="45"/>
        <v>0</v>
      </c>
      <c r="H53" s="17">
        <v>202999.99999999997</v>
      </c>
      <c r="I53" s="20"/>
      <c r="J53" s="17">
        <f t="shared" si="15"/>
        <v>-2562778.3936048485</v>
      </c>
      <c r="K53" s="17">
        <f t="shared" si="15"/>
        <v>-9923604.9002455436</v>
      </c>
      <c r="L53" s="17">
        <f t="shared" si="15"/>
        <v>-471860.00194853282</v>
      </c>
      <c r="M53" s="17">
        <f t="shared" si="16"/>
        <v>5184904.7404116467</v>
      </c>
      <c r="N53" s="17"/>
      <c r="O53" s="17">
        <f t="shared" si="17"/>
        <v>14480715.097082175</v>
      </c>
      <c r="P53" s="17">
        <f t="shared" si="21"/>
        <v>25685871.621777434</v>
      </c>
      <c r="Q53" s="175">
        <f t="shared" ref="Q53:Y53" si="48">$B$29*Q26</f>
        <v>0</v>
      </c>
      <c r="R53" s="175">
        <f t="shared" si="48"/>
        <v>6475062.0549890986</v>
      </c>
      <c r="S53" s="175">
        <f t="shared" si="48"/>
        <v>38186869.145853586</v>
      </c>
      <c r="T53" s="175">
        <f t="shared" si="48"/>
        <v>23667708.373514682</v>
      </c>
      <c r="U53" s="175">
        <f t="shared" si="48"/>
        <v>2671970.4694233695</v>
      </c>
      <c r="V53" s="175">
        <f t="shared" si="48"/>
        <v>7194513.3944323277</v>
      </c>
      <c r="W53" s="175">
        <f t="shared" si="48"/>
        <v>-41671877.870628215</v>
      </c>
      <c r="X53" s="175">
        <f t="shared" si="48"/>
        <v>13377509.554543216</v>
      </c>
      <c r="Y53" s="175">
        <f t="shared" si="48"/>
        <v>12090864.189001607</v>
      </c>
      <c r="Z53" s="195">
        <f t="shared" si="30"/>
        <v>61992619.311129659</v>
      </c>
      <c r="AA53" s="176">
        <f t="shared" si="23"/>
        <v>-1074496559.5364633</v>
      </c>
      <c r="AB53" s="176">
        <f>'Collections and ACP'!K61</f>
        <v>150699620.50638735</v>
      </c>
      <c r="AC53" s="176">
        <f t="shared" si="19"/>
        <v>-923796939.03007591</v>
      </c>
      <c r="AD53" s="176">
        <f t="shared" si="24"/>
        <v>87678490.93290709</v>
      </c>
      <c r="AE53" s="18">
        <f t="shared" si="20"/>
        <v>-1011475429.962983</v>
      </c>
    </row>
    <row r="54" spans="1:32" x14ac:dyDescent="0.25">
      <c r="A54" s="174" t="s">
        <v>172</v>
      </c>
      <c r="B54" s="16">
        <f t="shared" si="45"/>
        <v>0</v>
      </c>
      <c r="C54" s="16">
        <f t="shared" si="45"/>
        <v>0</v>
      </c>
      <c r="D54" s="16">
        <f t="shared" si="45"/>
        <v>14841092.022770571</v>
      </c>
      <c r="E54" s="16">
        <f t="shared" si="45"/>
        <v>363531.45969186176</v>
      </c>
      <c r="F54" s="16">
        <f t="shared" si="45"/>
        <v>0</v>
      </c>
      <c r="G54" s="16">
        <f t="shared" si="45"/>
        <v>0</v>
      </c>
      <c r="H54" s="17">
        <v>203001</v>
      </c>
      <c r="I54" s="20"/>
      <c r="J54" s="17">
        <f t="shared" si="15"/>
        <v>0</v>
      </c>
      <c r="K54" s="17">
        <f t="shared" si="15"/>
        <v>0</v>
      </c>
      <c r="L54" s="17">
        <f t="shared" si="15"/>
        <v>0</v>
      </c>
      <c r="M54" s="17">
        <f t="shared" si="16"/>
        <v>5184904.7404116467</v>
      </c>
      <c r="N54" s="17"/>
      <c r="O54" s="17">
        <f t="shared" si="17"/>
        <v>14480715.097082175</v>
      </c>
      <c r="P54" s="17">
        <f t="shared" ref="P54" si="49">SUM(B54:O54)</f>
        <v>35073244.319956258</v>
      </c>
      <c r="Q54" s="175">
        <f t="shared" ref="Q54:Y54" si="50">$B$29*Q27</f>
        <v>0</v>
      </c>
      <c r="R54" s="175">
        <f t="shared" si="50"/>
        <v>0</v>
      </c>
      <c r="S54" s="175">
        <f t="shared" si="50"/>
        <v>0</v>
      </c>
      <c r="T54" s="175">
        <f t="shared" si="50"/>
        <v>0</v>
      </c>
      <c r="U54" s="175">
        <f t="shared" si="50"/>
        <v>0</v>
      </c>
      <c r="V54" s="175">
        <f t="shared" si="50"/>
        <v>0</v>
      </c>
      <c r="W54" s="175">
        <f t="shared" si="50"/>
        <v>-50738253.59291137</v>
      </c>
      <c r="X54" s="175">
        <f t="shared" si="50"/>
        <v>-30515520.999336883</v>
      </c>
      <c r="Y54" s="175">
        <f t="shared" si="50"/>
        <v>-2828756.7230029535</v>
      </c>
      <c r="Z54" s="195">
        <f t="shared" ref="Z54" si="51">SUM(Q54:Y54)</f>
        <v>-84082531.315251216</v>
      </c>
      <c r="AA54" s="176">
        <f t="shared" si="23"/>
        <v>-1011475429.962983</v>
      </c>
      <c r="AB54" s="176">
        <f>AB53</f>
        <v>150699620.50638735</v>
      </c>
      <c r="AC54" s="176">
        <f t="shared" si="19"/>
        <v>-860775809.45659566</v>
      </c>
      <c r="AD54" s="176">
        <f t="shared" si="24"/>
        <v>-49009286.995294958</v>
      </c>
      <c r="AE54" s="18">
        <f t="shared" si="20"/>
        <v>-811766522.46130073</v>
      </c>
    </row>
    <row r="56" spans="1:32" x14ac:dyDescent="0.25">
      <c r="A56" s="177" t="s">
        <v>44</v>
      </c>
      <c r="B56" s="22">
        <v>0.70538159360122976</v>
      </c>
    </row>
    <row r="57" spans="1:32" ht="60" x14ac:dyDescent="0.25">
      <c r="A57" s="173" t="s">
        <v>1</v>
      </c>
      <c r="B57" s="173" t="s">
        <v>201</v>
      </c>
      <c r="C57" s="173" t="s">
        <v>202</v>
      </c>
      <c r="D57" s="173" t="s">
        <v>231</v>
      </c>
      <c r="E57" s="173" t="s">
        <v>158</v>
      </c>
      <c r="F57" s="173" t="s">
        <v>232</v>
      </c>
      <c r="G57" s="173" t="s">
        <v>233</v>
      </c>
      <c r="H57" s="173" t="s">
        <v>234</v>
      </c>
      <c r="I57" s="15" t="s">
        <v>235</v>
      </c>
      <c r="J57" s="15" t="s">
        <v>236</v>
      </c>
      <c r="K57" s="15" t="s">
        <v>237</v>
      </c>
      <c r="L57" s="15" t="s">
        <v>238</v>
      </c>
      <c r="M57" s="173" t="s">
        <v>239</v>
      </c>
      <c r="N57" s="173" t="s">
        <v>240</v>
      </c>
      <c r="O57" s="173" t="s">
        <v>219</v>
      </c>
      <c r="P57" s="15" t="s">
        <v>217</v>
      </c>
      <c r="Q57" s="197" t="s">
        <v>201</v>
      </c>
      <c r="R57" s="197" t="s">
        <v>202</v>
      </c>
      <c r="S57" s="197" t="s">
        <v>153</v>
      </c>
      <c r="T57" s="197" t="s">
        <v>158</v>
      </c>
      <c r="U57" s="197" t="s">
        <v>162</v>
      </c>
      <c r="V57" s="197" t="s">
        <v>165</v>
      </c>
      <c r="W57" s="197" t="s">
        <v>90</v>
      </c>
      <c r="X57" s="197" t="s">
        <v>91</v>
      </c>
      <c r="Y57" s="197" t="s">
        <v>86</v>
      </c>
      <c r="Z57" s="197" t="s">
        <v>241</v>
      </c>
      <c r="AA57" s="15" t="s">
        <v>242</v>
      </c>
      <c r="AB57" s="15" t="s">
        <v>243</v>
      </c>
      <c r="AC57" s="15" t="s">
        <v>244</v>
      </c>
      <c r="AD57" s="173" t="s">
        <v>179</v>
      </c>
      <c r="AE57" s="173" t="s">
        <v>245</v>
      </c>
    </row>
    <row r="58" spans="1:32" x14ac:dyDescent="0.25">
      <c r="A58" s="174" t="s">
        <v>17</v>
      </c>
      <c r="B58" s="16">
        <f t="shared" ref="B58:G67" si="52">B4*$B$56</f>
        <v>97311972.685753778</v>
      </c>
      <c r="C58" s="16">
        <f t="shared" si="52"/>
        <v>34296777.706035547</v>
      </c>
      <c r="D58" s="16">
        <f t="shared" si="52"/>
        <v>21153729.226379439</v>
      </c>
      <c r="E58" s="16">
        <f t="shared" si="52"/>
        <v>0</v>
      </c>
      <c r="F58" s="16">
        <f t="shared" si="52"/>
        <v>0</v>
      </c>
      <c r="G58" s="16">
        <f t="shared" si="52"/>
        <v>0</v>
      </c>
      <c r="H58" s="17">
        <v>23095359.600711424</v>
      </c>
      <c r="I58" s="17">
        <v>4022753.2299999995</v>
      </c>
      <c r="J58" s="16">
        <f t="shared" ref="J58:L81" si="53">J4*$B$56</f>
        <v>0</v>
      </c>
      <c r="K58" s="16">
        <f t="shared" si="53"/>
        <v>0</v>
      </c>
      <c r="L58" s="16">
        <f t="shared" si="53"/>
        <v>0</v>
      </c>
      <c r="M58" s="17">
        <f t="shared" ref="M58:M81" si="54">$B$56*M4</f>
        <v>4766319.8739403263</v>
      </c>
      <c r="N58" s="17"/>
      <c r="O58" s="17">
        <f t="shared" ref="O58:O81" si="55">$B$56*O4</f>
        <v>7943866.4565672111</v>
      </c>
      <c r="P58" s="17">
        <f>SUM(B58:O58)</f>
        <v>192590778.77938771</v>
      </c>
      <c r="Q58" s="175">
        <f t="shared" ref="Q58:Y58" si="56">$B$56*Q4</f>
        <v>0</v>
      </c>
      <c r="R58" s="175">
        <f t="shared" si="56"/>
        <v>0</v>
      </c>
      <c r="S58" s="175">
        <f t="shared" si="56"/>
        <v>0</v>
      </c>
      <c r="T58" s="175">
        <f t="shared" si="56"/>
        <v>0</v>
      </c>
      <c r="U58" s="175">
        <f t="shared" si="56"/>
        <v>0</v>
      </c>
      <c r="V58" s="175">
        <f t="shared" si="56"/>
        <v>0</v>
      </c>
      <c r="W58" s="175">
        <f t="shared" si="56"/>
        <v>0</v>
      </c>
      <c r="X58" s="175">
        <f t="shared" si="56"/>
        <v>0</v>
      </c>
      <c r="Y58" s="175">
        <f t="shared" si="56"/>
        <v>0</v>
      </c>
      <c r="Z58" s="195">
        <f>SUM(Q58:Y58)</f>
        <v>0</v>
      </c>
      <c r="AA58" s="176">
        <f>'Collections and ACP'!C149+'Collections and ACP'!C141</f>
        <v>204555086.45917991</v>
      </c>
      <c r="AB58" s="176">
        <f>'Collections and ACP'!K72</f>
        <v>160340838.45917991</v>
      </c>
      <c r="AC58" s="176">
        <f t="shared" ref="AC58:AC81" si="57">AA58+AB58</f>
        <v>364895924.91835982</v>
      </c>
      <c r="AD58" s="176">
        <f>P58+Z58</f>
        <v>192590778.77938771</v>
      </c>
      <c r="AE58" s="18">
        <f t="shared" ref="AE58:AE81" si="58">AC58-AD58</f>
        <v>172305146.1389721</v>
      </c>
    </row>
    <row r="59" spans="1:32" x14ac:dyDescent="0.25">
      <c r="A59" s="174" t="s">
        <v>18</v>
      </c>
      <c r="B59" s="16">
        <f t="shared" si="52"/>
        <v>43716903.69793804</v>
      </c>
      <c r="C59" s="16">
        <f t="shared" si="52"/>
        <v>42815336.628306307</v>
      </c>
      <c r="D59" s="16">
        <f t="shared" si="52"/>
        <v>59387707.158155233</v>
      </c>
      <c r="E59" s="16">
        <f t="shared" si="52"/>
        <v>0</v>
      </c>
      <c r="F59" s="16">
        <f t="shared" si="52"/>
        <v>0</v>
      </c>
      <c r="G59" s="16">
        <f t="shared" si="52"/>
        <v>0</v>
      </c>
      <c r="H59" s="17">
        <v>18588255.383493654</v>
      </c>
      <c r="I59" s="17">
        <v>13774212.278173922</v>
      </c>
      <c r="J59" s="16">
        <f t="shared" si="53"/>
        <v>0</v>
      </c>
      <c r="K59" s="16">
        <f t="shared" si="53"/>
        <v>0</v>
      </c>
      <c r="L59" s="16">
        <f t="shared" si="53"/>
        <v>0</v>
      </c>
      <c r="M59" s="17">
        <f t="shared" si="54"/>
        <v>9834525.4696835726</v>
      </c>
      <c r="N59" s="17">
        <v>10000000</v>
      </c>
      <c r="O59" s="17">
        <f t="shared" si="55"/>
        <v>35269079.680061489</v>
      </c>
      <c r="P59" s="17">
        <f t="shared" ref="P59:P81" si="59">SUM(B59:O59)</f>
        <v>233386020.29581222</v>
      </c>
      <c r="Q59" s="175">
        <f t="shared" ref="Q59:Y59" si="60">$B$56*Q5</f>
        <v>0</v>
      </c>
      <c r="R59" s="175">
        <f t="shared" si="60"/>
        <v>0</v>
      </c>
      <c r="S59" s="175">
        <f t="shared" si="60"/>
        <v>0</v>
      </c>
      <c r="T59" s="175">
        <f t="shared" si="60"/>
        <v>0</v>
      </c>
      <c r="U59" s="175">
        <f t="shared" si="60"/>
        <v>0</v>
      </c>
      <c r="V59" s="175">
        <f t="shared" si="60"/>
        <v>0</v>
      </c>
      <c r="W59" s="175">
        <f t="shared" si="60"/>
        <v>0</v>
      </c>
      <c r="X59" s="175">
        <f t="shared" si="60"/>
        <v>0</v>
      </c>
      <c r="Y59" s="175">
        <f t="shared" si="60"/>
        <v>0</v>
      </c>
      <c r="Z59" s="195">
        <f t="shared" ref="Z59:Z81" si="61">SUM(Q59:Y59)</f>
        <v>0</v>
      </c>
      <c r="AA59" s="176">
        <f t="shared" ref="AA59:AA81" si="62">AE58</f>
        <v>172305146.1389721</v>
      </c>
      <c r="AB59" s="176">
        <f>'Collections and ACP'!K73</f>
        <v>334084827.7045005</v>
      </c>
      <c r="AC59" s="176">
        <f t="shared" si="57"/>
        <v>506389973.8434726</v>
      </c>
      <c r="AD59" s="176">
        <f t="shared" ref="AD59:AD81" si="63">P59+Z59</f>
        <v>233386020.29581222</v>
      </c>
      <c r="AE59" s="18">
        <f t="shared" si="58"/>
        <v>273003953.54766035</v>
      </c>
    </row>
    <row r="60" spans="1:32" x14ac:dyDescent="0.25">
      <c r="A60" s="174" t="s">
        <v>19</v>
      </c>
      <c r="B60" s="16">
        <f t="shared" si="52"/>
        <v>62617842.594627954</v>
      </c>
      <c r="C60" s="16">
        <f t="shared" si="52"/>
        <v>46109469.241783142</v>
      </c>
      <c r="D60" s="16">
        <f t="shared" si="52"/>
        <v>72045681.059583306</v>
      </c>
      <c r="E60" s="16">
        <f t="shared" si="52"/>
        <v>0</v>
      </c>
      <c r="F60" s="16">
        <f t="shared" si="52"/>
        <v>0</v>
      </c>
      <c r="G60" s="16">
        <f t="shared" si="52"/>
        <v>0</v>
      </c>
      <c r="H60" s="17">
        <v>17220344.595163539</v>
      </c>
      <c r="I60" s="17">
        <v>16234169.923732867</v>
      </c>
      <c r="J60" s="16">
        <f t="shared" si="53"/>
        <v>0</v>
      </c>
      <c r="K60" s="16">
        <f t="shared" si="53"/>
        <v>0</v>
      </c>
      <c r="L60" s="16">
        <f t="shared" si="53"/>
        <v>0</v>
      </c>
      <c r="M60" s="17">
        <f t="shared" si="54"/>
        <v>12431567.473247776</v>
      </c>
      <c r="N60" s="17"/>
      <c r="O60" s="17">
        <f t="shared" si="55"/>
        <v>35269079.680061489</v>
      </c>
      <c r="P60" s="17">
        <f t="shared" si="59"/>
        <v>261928154.56820008</v>
      </c>
      <c r="Q60" s="175">
        <f t="shared" ref="Q60:Y60" si="64">$B$56*Q6</f>
        <v>0</v>
      </c>
      <c r="R60" s="175">
        <f t="shared" si="64"/>
        <v>0</v>
      </c>
      <c r="S60" s="175">
        <f t="shared" si="64"/>
        <v>0</v>
      </c>
      <c r="T60" s="175">
        <f t="shared" si="64"/>
        <v>0</v>
      </c>
      <c r="U60" s="175">
        <f t="shared" si="64"/>
        <v>0</v>
      </c>
      <c r="V60" s="175">
        <f t="shared" si="64"/>
        <v>0</v>
      </c>
      <c r="W60" s="175">
        <f t="shared" si="64"/>
        <v>0</v>
      </c>
      <c r="X60" s="175">
        <f t="shared" si="64"/>
        <v>0</v>
      </c>
      <c r="Y60" s="175">
        <f t="shared" si="64"/>
        <v>0</v>
      </c>
      <c r="Z60" s="195">
        <f t="shared" si="61"/>
        <v>0</v>
      </c>
      <c r="AA60" s="176">
        <f t="shared" si="62"/>
        <v>273003953.54766035</v>
      </c>
      <c r="AB60" s="176">
        <f>'Collections and ACP'!K74</f>
        <v>425587002.41775018</v>
      </c>
      <c r="AC60" s="176">
        <f t="shared" si="57"/>
        <v>698590955.96541047</v>
      </c>
      <c r="AD60" s="176">
        <f t="shared" si="63"/>
        <v>261928154.56820008</v>
      </c>
      <c r="AE60" s="18">
        <f t="shared" si="58"/>
        <v>436662801.39721036</v>
      </c>
      <c r="AF60" s="19"/>
    </row>
    <row r="61" spans="1:32" x14ac:dyDescent="0.25">
      <c r="A61" s="174" t="s">
        <v>20</v>
      </c>
      <c r="B61" s="16">
        <f t="shared" si="52"/>
        <v>192117543.23699611</v>
      </c>
      <c r="C61" s="16">
        <f t="shared" si="52"/>
        <v>59257094.660447493</v>
      </c>
      <c r="D61" s="16">
        <f t="shared" si="52"/>
        <v>83352112.445244297</v>
      </c>
      <c r="E61" s="16">
        <f t="shared" si="52"/>
        <v>0</v>
      </c>
      <c r="F61" s="16">
        <f t="shared" si="52"/>
        <v>0</v>
      </c>
      <c r="G61" s="16">
        <f t="shared" si="52"/>
        <v>0</v>
      </c>
      <c r="H61" s="17">
        <v>14320007.415898787</v>
      </c>
      <c r="I61" s="17">
        <v>15893275.783732867</v>
      </c>
      <c r="J61" s="16">
        <f t="shared" si="53"/>
        <v>0</v>
      </c>
      <c r="K61" s="16">
        <f t="shared" si="53"/>
        <v>0</v>
      </c>
      <c r="L61" s="16">
        <f t="shared" si="53"/>
        <v>0</v>
      </c>
      <c r="M61" s="17">
        <f t="shared" si="54"/>
        <v>12219076.408657795</v>
      </c>
      <c r="N61" s="17"/>
      <c r="O61" s="17">
        <f t="shared" si="55"/>
        <v>35269079.680061489</v>
      </c>
      <c r="P61" s="17">
        <f t="shared" si="59"/>
        <v>412428189.6310389</v>
      </c>
      <c r="Q61" s="175">
        <f t="shared" ref="Q61:Y61" si="65">$B$56*Q7</f>
        <v>0</v>
      </c>
      <c r="R61" s="175">
        <f t="shared" si="65"/>
        <v>0</v>
      </c>
      <c r="S61" s="175">
        <f t="shared" si="65"/>
        <v>0</v>
      </c>
      <c r="T61" s="175">
        <f t="shared" si="65"/>
        <v>0</v>
      </c>
      <c r="U61" s="175">
        <f t="shared" si="65"/>
        <v>0</v>
      </c>
      <c r="V61" s="175">
        <f t="shared" si="65"/>
        <v>0</v>
      </c>
      <c r="W61" s="175">
        <f t="shared" si="65"/>
        <v>0</v>
      </c>
      <c r="X61" s="175">
        <f t="shared" si="65"/>
        <v>0</v>
      </c>
      <c r="Y61" s="175">
        <f t="shared" si="65"/>
        <v>0</v>
      </c>
      <c r="Z61" s="195">
        <f t="shared" si="61"/>
        <v>0</v>
      </c>
      <c r="AA61" s="176">
        <f>AE60</f>
        <v>436662801.39721036</v>
      </c>
      <c r="AB61" s="176">
        <f>'Collections and ACP'!K75</f>
        <v>419076745.64009327</v>
      </c>
      <c r="AC61" s="176">
        <f t="shared" si="57"/>
        <v>855739547.03730369</v>
      </c>
      <c r="AD61" s="176">
        <f t="shared" si="63"/>
        <v>412428189.6310389</v>
      </c>
      <c r="AE61" s="18">
        <f t="shared" si="58"/>
        <v>443311357.40626478</v>
      </c>
      <c r="AF61" s="19"/>
    </row>
    <row r="62" spans="1:32" x14ac:dyDescent="0.25">
      <c r="A62" s="174" t="s">
        <v>22</v>
      </c>
      <c r="B62" s="16">
        <f t="shared" si="52"/>
        <v>66626922.918833435</v>
      </c>
      <c r="C62" s="16">
        <f t="shared" si="52"/>
        <v>66601145.206993319</v>
      </c>
      <c r="D62" s="16">
        <f t="shared" si="52"/>
        <v>97942828.259263098</v>
      </c>
      <c r="E62" s="16">
        <f t="shared" si="52"/>
        <v>77546.337107029278</v>
      </c>
      <c r="F62" s="16">
        <f t="shared" si="52"/>
        <v>619005.40256655531</v>
      </c>
      <c r="G62" s="16">
        <f t="shared" si="52"/>
        <v>0</v>
      </c>
      <c r="H62" s="17">
        <v>14162541.685608782</v>
      </c>
      <c r="I62" s="17">
        <v>15893275.783732867</v>
      </c>
      <c r="J62" s="16">
        <f t="shared" si="53"/>
        <v>0</v>
      </c>
      <c r="K62" s="16">
        <f t="shared" si="53"/>
        <v>31041188.923921607</v>
      </c>
      <c r="L62" s="16">
        <f t="shared" si="53"/>
        <v>2193485.9576742197</v>
      </c>
      <c r="M62" s="17">
        <f t="shared" si="54"/>
        <v>12138791.617203886</v>
      </c>
      <c r="N62" s="17">
        <v>10000000</v>
      </c>
      <c r="O62" s="17">
        <f t="shared" si="55"/>
        <v>35269079.680061489</v>
      </c>
      <c r="P62" s="17">
        <f t="shared" si="59"/>
        <v>352565811.77296627</v>
      </c>
      <c r="Q62" s="175">
        <f t="shared" ref="Q62:Y62" si="66">$B$56*Q8</f>
        <v>113100778.07584751</v>
      </c>
      <c r="R62" s="175">
        <f t="shared" si="66"/>
        <v>11808939.64968667</v>
      </c>
      <c r="S62" s="175">
        <f t="shared" si="66"/>
        <v>0</v>
      </c>
      <c r="T62" s="175">
        <f t="shared" si="66"/>
        <v>6067575.3008408695</v>
      </c>
      <c r="U62" s="175">
        <f t="shared" si="66"/>
        <v>0</v>
      </c>
      <c r="V62" s="175">
        <f t="shared" si="66"/>
        <v>13121044.055207407</v>
      </c>
      <c r="W62" s="175">
        <f t="shared" si="66"/>
        <v>0</v>
      </c>
      <c r="X62" s="175">
        <f t="shared" si="66"/>
        <v>0</v>
      </c>
      <c r="Y62" s="175">
        <f t="shared" si="66"/>
        <v>0</v>
      </c>
      <c r="Z62" s="195">
        <f t="shared" si="61"/>
        <v>144098337.08158246</v>
      </c>
      <c r="AA62" s="176">
        <f t="shared" si="62"/>
        <v>443311357.40626478</v>
      </c>
      <c r="AB62" s="176">
        <f>'Collections and ACP'!K76</f>
        <v>416841690.5059967</v>
      </c>
      <c r="AC62" s="176">
        <f t="shared" si="57"/>
        <v>860153047.91226149</v>
      </c>
      <c r="AD62" s="176">
        <f t="shared" si="63"/>
        <v>496664148.85454869</v>
      </c>
      <c r="AE62" s="18">
        <f t="shared" si="58"/>
        <v>363488899.05771279</v>
      </c>
      <c r="AF62" s="19"/>
    </row>
    <row r="63" spans="1:32" x14ac:dyDescent="0.25">
      <c r="A63" s="174" t="s">
        <v>23</v>
      </c>
      <c r="B63" s="16">
        <f t="shared" si="52"/>
        <v>0</v>
      </c>
      <c r="C63" s="16">
        <f t="shared" si="52"/>
        <v>50176234.9532241</v>
      </c>
      <c r="D63" s="16">
        <f t="shared" si="52"/>
        <v>101665044.35672744</v>
      </c>
      <c r="E63" s="16">
        <f t="shared" si="52"/>
        <v>1036549.3428274801</v>
      </c>
      <c r="F63" s="16">
        <f t="shared" si="52"/>
        <v>15834757.730530608</v>
      </c>
      <c r="G63" s="16">
        <f t="shared" si="52"/>
        <v>0</v>
      </c>
      <c r="H63" s="17">
        <v>10125431.694168944</v>
      </c>
      <c r="I63" s="17">
        <v>15893275.783732867</v>
      </c>
      <c r="J63" s="16">
        <f t="shared" si="53"/>
        <v>0</v>
      </c>
      <c r="K63" s="16">
        <f t="shared" si="53"/>
        <v>77488889.509766027</v>
      </c>
      <c r="L63" s="16">
        <f t="shared" si="53"/>
        <v>6241452.671056455</v>
      </c>
      <c r="M63" s="17">
        <f t="shared" si="54"/>
        <v>12095833.689029679</v>
      </c>
      <c r="N63" s="17"/>
      <c r="O63" s="17">
        <f t="shared" si="55"/>
        <v>35269079.680061489</v>
      </c>
      <c r="P63" s="17">
        <f t="shared" si="59"/>
        <v>325826549.41112506</v>
      </c>
      <c r="Q63" s="175">
        <f t="shared" ref="Q63:Y63" si="67">$B$56*Q9</f>
        <v>108576746.9528136</v>
      </c>
      <c r="R63" s="175">
        <f t="shared" si="67"/>
        <v>22489469.510625504</v>
      </c>
      <c r="S63" s="175">
        <f t="shared" si="67"/>
        <v>9740833.0323853139</v>
      </c>
      <c r="T63" s="175">
        <f t="shared" si="67"/>
        <v>11862109.713143898</v>
      </c>
      <c r="U63" s="175">
        <f t="shared" si="67"/>
        <v>3975772.8776779105</v>
      </c>
      <c r="V63" s="175">
        <f t="shared" si="67"/>
        <v>24988299.456250552</v>
      </c>
      <c r="W63" s="175">
        <f t="shared" si="67"/>
        <v>0</v>
      </c>
      <c r="X63" s="175">
        <f t="shared" si="67"/>
        <v>0</v>
      </c>
      <c r="Y63" s="175">
        <f t="shared" si="67"/>
        <v>0</v>
      </c>
      <c r="Z63" s="195">
        <f t="shared" si="61"/>
        <v>181633231.54289678</v>
      </c>
      <c r="AA63" s="176">
        <f t="shared" si="62"/>
        <v>363488899.05771279</v>
      </c>
      <c r="AB63" s="176">
        <f>'Collections and ACP'!K77</f>
        <v>411704590.86891198</v>
      </c>
      <c r="AC63" s="176">
        <f t="shared" si="57"/>
        <v>775193489.92662477</v>
      </c>
      <c r="AD63" s="176">
        <f t="shared" si="63"/>
        <v>507459780.95402181</v>
      </c>
      <c r="AE63" s="18">
        <f t="shared" si="58"/>
        <v>267733708.97260296</v>
      </c>
      <c r="AF63" s="19"/>
    </row>
    <row r="64" spans="1:32" x14ac:dyDescent="0.25">
      <c r="A64" s="174" t="s">
        <v>24</v>
      </c>
      <c r="B64" s="16">
        <f t="shared" si="52"/>
        <v>0</v>
      </c>
      <c r="C64" s="16">
        <f t="shared" si="52"/>
        <v>41169622.788493291</v>
      </c>
      <c r="D64" s="16">
        <f t="shared" si="52"/>
        <v>86665110.186127931</v>
      </c>
      <c r="E64" s="16">
        <f t="shared" si="52"/>
        <v>1712939.3085412954</v>
      </c>
      <c r="F64" s="16">
        <f t="shared" si="52"/>
        <v>18259825.000987757</v>
      </c>
      <c r="G64" s="16">
        <f t="shared" si="52"/>
        <v>0</v>
      </c>
      <c r="H64" s="17">
        <v>8012431.7104763286</v>
      </c>
      <c r="I64" s="17">
        <v>15893275.783732867</v>
      </c>
      <c r="J64" s="16">
        <f t="shared" si="53"/>
        <v>19194034.143480293</v>
      </c>
      <c r="K64" s="16">
        <f t="shared" si="53"/>
        <v>87957741.758481324</v>
      </c>
      <c r="L64" s="16">
        <f t="shared" si="53"/>
        <v>8807267.0381113403</v>
      </c>
      <c r="M64" s="17">
        <f t="shared" si="54"/>
        <v>11913056.699079983</v>
      </c>
      <c r="N64" s="17"/>
      <c r="O64" s="17">
        <f t="shared" si="55"/>
        <v>35269079.680061489</v>
      </c>
      <c r="P64" s="17">
        <f t="shared" si="59"/>
        <v>334854384.09757388</v>
      </c>
      <c r="Q64" s="175">
        <f t="shared" ref="Q64:Y64" si="68">$B$56*Q10</f>
        <v>104233677.07470104</v>
      </c>
      <c r="R64" s="175">
        <f t="shared" si="68"/>
        <v>32742778.177126776</v>
      </c>
      <c r="S64" s="175">
        <f t="shared" si="68"/>
        <v>19043328.578313291</v>
      </c>
      <c r="T64" s="175">
        <f t="shared" si="68"/>
        <v>17394676.561833125</v>
      </c>
      <c r="U64" s="175">
        <f t="shared" si="68"/>
        <v>7571638.5692665968</v>
      </c>
      <c r="V64" s="175">
        <f t="shared" si="68"/>
        <v>36380864.641251974</v>
      </c>
      <c r="W64" s="175">
        <f t="shared" si="68"/>
        <v>0</v>
      </c>
      <c r="X64" s="175">
        <f t="shared" si="68"/>
        <v>0</v>
      </c>
      <c r="Y64" s="175">
        <f t="shared" si="68"/>
        <v>0</v>
      </c>
      <c r="Z64" s="195">
        <f t="shared" si="61"/>
        <v>217366963.60249278</v>
      </c>
      <c r="AA64" s="176">
        <f t="shared" si="62"/>
        <v>267733708.97260296</v>
      </c>
      <c r="AB64" s="176">
        <f>'Collections and ACP'!K78</f>
        <v>409825345.05896723</v>
      </c>
      <c r="AC64" s="176">
        <f t="shared" si="57"/>
        <v>677559054.0315702</v>
      </c>
      <c r="AD64" s="176">
        <f t="shared" si="63"/>
        <v>552221347.70006669</v>
      </c>
      <c r="AE64" s="18">
        <f t="shared" si="58"/>
        <v>125337706.33150351</v>
      </c>
      <c r="AF64" s="19"/>
    </row>
    <row r="65" spans="1:32" x14ac:dyDescent="0.25">
      <c r="A65" s="174" t="s">
        <v>25</v>
      </c>
      <c r="B65" s="16">
        <f t="shared" si="52"/>
        <v>0</v>
      </c>
      <c r="C65" s="16">
        <f t="shared" si="52"/>
        <v>37925813.029007673</v>
      </c>
      <c r="D65" s="16">
        <f t="shared" si="52"/>
        <v>72459834.569106951</v>
      </c>
      <c r="E65" s="16">
        <f t="shared" si="52"/>
        <v>1670093.8380254179</v>
      </c>
      <c r="F65" s="16">
        <f t="shared" si="52"/>
        <v>18078030.706122279</v>
      </c>
      <c r="G65" s="16">
        <f t="shared" si="52"/>
        <v>0</v>
      </c>
      <c r="H65" s="17">
        <v>4480482.7749063233</v>
      </c>
      <c r="I65" s="17">
        <v>15893275.783732867</v>
      </c>
      <c r="J65" s="16">
        <f t="shared" si="53"/>
        <v>17536231.932414182</v>
      </c>
      <c r="K65" s="16">
        <f t="shared" si="53"/>
        <v>80610413.232230872</v>
      </c>
      <c r="L65" s="16">
        <f t="shared" si="53"/>
        <v>8434562.0547273606</v>
      </c>
      <c r="M65" s="17">
        <f t="shared" si="54"/>
        <v>11894429.870504905</v>
      </c>
      <c r="N65" s="17">
        <v>10000000</v>
      </c>
      <c r="O65" s="17">
        <f t="shared" si="55"/>
        <v>35269079.680061489</v>
      </c>
      <c r="P65" s="17">
        <f t="shared" si="59"/>
        <v>314252247.47084033</v>
      </c>
      <c r="Q65" s="175">
        <f t="shared" ref="Q65:Y65" si="69">$B$56*Q11</f>
        <v>100064329.99171299</v>
      </c>
      <c r="R65" s="175">
        <f t="shared" si="69"/>
        <v>42585954.496968001</v>
      </c>
      <c r="S65" s="175">
        <f t="shared" si="69"/>
        <v>27925263.658068027</v>
      </c>
      <c r="T65" s="175">
        <f t="shared" si="69"/>
        <v>22675905.480388705</v>
      </c>
      <c r="U65" s="175">
        <f t="shared" si="69"/>
        <v>11023669.633191738</v>
      </c>
      <c r="V65" s="175">
        <f t="shared" si="69"/>
        <v>47317727.218853332</v>
      </c>
      <c r="W65" s="175">
        <f t="shared" si="69"/>
        <v>0</v>
      </c>
      <c r="X65" s="175">
        <f t="shared" si="69"/>
        <v>0</v>
      </c>
      <c r="Y65" s="175">
        <f t="shared" si="69"/>
        <v>0</v>
      </c>
      <c r="Z65" s="195">
        <f t="shared" si="61"/>
        <v>251592850.47918278</v>
      </c>
      <c r="AA65" s="176">
        <f t="shared" si="62"/>
        <v>125337706.33150351</v>
      </c>
      <c r="AB65" s="176">
        <f>'Collections and ACP'!K79</f>
        <v>409988158.14116162</v>
      </c>
      <c r="AC65" s="176">
        <f t="shared" si="57"/>
        <v>535325864.47266513</v>
      </c>
      <c r="AD65" s="176">
        <f t="shared" si="63"/>
        <v>565845097.95002317</v>
      </c>
      <c r="AE65" s="18">
        <f t="shared" si="58"/>
        <v>-30519233.477358043</v>
      </c>
      <c r="AF65" s="19"/>
    </row>
    <row r="66" spans="1:32" x14ac:dyDescent="0.25">
      <c r="A66" s="174" t="s">
        <v>26</v>
      </c>
      <c r="B66" s="16">
        <f t="shared" si="52"/>
        <v>0</v>
      </c>
      <c r="C66" s="16">
        <f t="shared" si="52"/>
        <v>27384447.407574635</v>
      </c>
      <c r="D66" s="16">
        <f t="shared" si="52"/>
        <v>70273229.347887114</v>
      </c>
      <c r="E66" s="16">
        <f t="shared" si="52"/>
        <v>1665352.8060970574</v>
      </c>
      <c r="F66" s="16">
        <f t="shared" si="52"/>
        <v>18078030.706122279</v>
      </c>
      <c r="G66" s="16">
        <f t="shared" si="52"/>
        <v>0</v>
      </c>
      <c r="H66" s="17">
        <v>4478132.259204451</v>
      </c>
      <c r="I66" s="17">
        <v>15893275.783732867</v>
      </c>
      <c r="J66" s="16">
        <f t="shared" si="53"/>
        <v>16690585.350001665</v>
      </c>
      <c r="K66" s="16">
        <f t="shared" si="53"/>
        <v>76701435.843062416</v>
      </c>
      <c r="L66" s="16">
        <f t="shared" si="53"/>
        <v>8225573.3060688861</v>
      </c>
      <c r="M66" s="17">
        <f t="shared" si="54"/>
        <v>11925482.396519691</v>
      </c>
      <c r="N66" s="17"/>
      <c r="O66" s="17">
        <f t="shared" si="55"/>
        <v>35269079.680061489</v>
      </c>
      <c r="P66" s="17">
        <f t="shared" si="59"/>
        <v>286584624.88633257</v>
      </c>
      <c r="Q66" s="175">
        <f t="shared" ref="Q66:Y66" si="70">$B$56*Q12</f>
        <v>96061756.792044476</v>
      </c>
      <c r="R66" s="175">
        <f t="shared" si="70"/>
        <v>52035403.764015585</v>
      </c>
      <c r="S66" s="175">
        <f t="shared" si="70"/>
        <v>36403702.993518136</v>
      </c>
      <c r="T66" s="175">
        <f t="shared" si="70"/>
        <v>27716000.162296914</v>
      </c>
      <c r="U66" s="175">
        <f t="shared" si="70"/>
        <v>14337619.454559876</v>
      </c>
      <c r="V66" s="175">
        <f t="shared" si="70"/>
        <v>57817115.293350637</v>
      </c>
      <c r="W66" s="175">
        <f t="shared" si="70"/>
        <v>15192156.072186489</v>
      </c>
      <c r="X66" s="175">
        <f t="shared" si="70"/>
        <v>19516145.240962025</v>
      </c>
      <c r="Y66" s="175">
        <f t="shared" si="70"/>
        <v>2932817.955335353</v>
      </c>
      <c r="Z66" s="195">
        <f t="shared" si="61"/>
        <v>322012717.72826952</v>
      </c>
      <c r="AA66" s="176">
        <f t="shared" si="62"/>
        <v>-30519233.477358043</v>
      </c>
      <c r="AB66" s="176">
        <f>'Collections and ACP'!K80</f>
        <v>411453110.88446397</v>
      </c>
      <c r="AC66" s="176">
        <f>AA66+AB66</f>
        <v>380933877.40710592</v>
      </c>
      <c r="AD66" s="176">
        <f t="shared" si="63"/>
        <v>608597342.61460209</v>
      </c>
      <c r="AE66" s="18">
        <f t="shared" si="58"/>
        <v>-227663465.20749617</v>
      </c>
      <c r="AF66" s="19"/>
    </row>
    <row r="67" spans="1:32" x14ac:dyDescent="0.25">
      <c r="A67" s="174" t="s">
        <v>27</v>
      </c>
      <c r="B67" s="16">
        <f t="shared" si="52"/>
        <v>0</v>
      </c>
      <c r="C67" s="16">
        <f t="shared" si="52"/>
        <v>26542105.580251034</v>
      </c>
      <c r="D67" s="16">
        <f t="shared" si="52"/>
        <v>70032501.859854698</v>
      </c>
      <c r="E67" s="16">
        <f t="shared" si="52"/>
        <v>1660576.4980352011</v>
      </c>
      <c r="F67" s="16">
        <f t="shared" si="52"/>
        <v>18078030.706122279</v>
      </c>
      <c r="G67" s="16">
        <f t="shared" si="52"/>
        <v>0</v>
      </c>
      <c r="H67" s="17">
        <v>4338008.6485485407</v>
      </c>
      <c r="I67" s="17">
        <v>15893275.783732867</v>
      </c>
      <c r="J67" s="16">
        <f t="shared" si="53"/>
        <v>15384438.153404113</v>
      </c>
      <c r="K67" s="16">
        <f t="shared" si="53"/>
        <v>70929911.548627347</v>
      </c>
      <c r="L67" s="16">
        <f t="shared" si="53"/>
        <v>7928077.4201712664</v>
      </c>
      <c r="M67" s="17">
        <f t="shared" si="54"/>
        <v>11935336.689052543</v>
      </c>
      <c r="N67" s="17"/>
      <c r="O67" s="17">
        <f t="shared" si="55"/>
        <v>35269079.680061489</v>
      </c>
      <c r="P67" s="17">
        <f t="shared" si="59"/>
        <v>277991342.56786144</v>
      </c>
      <c r="Q67" s="175">
        <f t="shared" ref="Q67:Y67" si="71">$B$56*Q13</f>
        <v>92219286.52036269</v>
      </c>
      <c r="R67" s="175">
        <f t="shared" si="71"/>
        <v>61106875.060381249</v>
      </c>
      <c r="S67" s="175">
        <f t="shared" si="71"/>
        <v>44495027.506141387</v>
      </c>
      <c r="T67" s="175">
        <f t="shared" si="71"/>
        <v>32524755.402423184</v>
      </c>
      <c r="U67" s="175">
        <f t="shared" si="71"/>
        <v>17519011.28307328</v>
      </c>
      <c r="V67" s="175">
        <f t="shared" si="71"/>
        <v>67896527.844868049</v>
      </c>
      <c r="W67" s="175">
        <f t="shared" si="71"/>
        <v>26822135.096686777</v>
      </c>
      <c r="X67" s="175">
        <f t="shared" si="71"/>
        <v>36802746.792679049</v>
      </c>
      <c r="Y67" s="175">
        <f t="shared" si="71"/>
        <v>5730160.5863217516</v>
      </c>
      <c r="Z67" s="195">
        <f t="shared" si="61"/>
        <v>385116526.09293747</v>
      </c>
      <c r="AA67" s="176">
        <f t="shared" si="62"/>
        <v>-227663465.20749617</v>
      </c>
      <c r="AB67" s="176">
        <f>'Collections and ACP'!K81</f>
        <v>411918354.75480801</v>
      </c>
      <c r="AC67" s="176">
        <f t="shared" si="57"/>
        <v>184254889.54731184</v>
      </c>
      <c r="AD67" s="176">
        <f t="shared" si="63"/>
        <v>663107868.66079891</v>
      </c>
      <c r="AE67" s="18">
        <f t="shared" si="58"/>
        <v>-478852979.11348706</v>
      </c>
      <c r="AF67" s="19"/>
    </row>
    <row r="68" spans="1:32" x14ac:dyDescent="0.25">
      <c r="A68" s="174" t="s">
        <v>28</v>
      </c>
      <c r="B68" s="16">
        <f t="shared" ref="B68:G77" si="72">B14*$B$56</f>
        <v>0</v>
      </c>
      <c r="C68" s="16">
        <f t="shared" si="72"/>
        <v>24487337.624907538</v>
      </c>
      <c r="D68" s="16">
        <f t="shared" si="72"/>
        <v>69793423.412911817</v>
      </c>
      <c r="E68" s="16">
        <f t="shared" si="72"/>
        <v>1655807.9562246904</v>
      </c>
      <c r="F68" s="16">
        <f t="shared" si="72"/>
        <v>18078030.706122279</v>
      </c>
      <c r="G68" s="16">
        <f t="shared" si="72"/>
        <v>0</v>
      </c>
      <c r="H68" s="17">
        <v>4303453.6786395097</v>
      </c>
      <c r="I68" s="17">
        <v>15893275.783732867</v>
      </c>
      <c r="J68" s="16">
        <f t="shared" si="53"/>
        <v>14170391.079643568</v>
      </c>
      <c r="K68" s="16">
        <f t="shared" si="53"/>
        <v>65592209.623587206</v>
      </c>
      <c r="L68" s="16">
        <f t="shared" si="53"/>
        <v>7651337.6997741703</v>
      </c>
      <c r="M68" s="17">
        <f t="shared" si="54"/>
        <v>12007983.800800409</v>
      </c>
      <c r="N68" s="17">
        <v>10000000</v>
      </c>
      <c r="O68" s="17">
        <f t="shared" si="55"/>
        <v>35269079.680061489</v>
      </c>
      <c r="P68" s="17">
        <f t="shared" si="59"/>
        <v>278902331.04640555</v>
      </c>
      <c r="Q68" s="175">
        <f t="shared" ref="Q68:Y68" si="73">$B$56*Q14</f>
        <v>88530515.059548184</v>
      </c>
      <c r="R68" s="175">
        <f t="shared" si="73"/>
        <v>69815487.50489229</v>
      </c>
      <c r="S68" s="175">
        <f t="shared" si="73"/>
        <v>52214961.675097875</v>
      </c>
      <c r="T68" s="175">
        <f t="shared" si="73"/>
        <v>37111573.456711307</v>
      </c>
      <c r="U68" s="175">
        <f t="shared" si="73"/>
        <v>20573147.438446153</v>
      </c>
      <c r="V68" s="175">
        <f t="shared" si="73"/>
        <v>77572763.89432478</v>
      </c>
      <c r="W68" s="175">
        <f t="shared" si="73"/>
        <v>31980237.999895766</v>
      </c>
      <c r="X68" s="175">
        <f t="shared" si="73"/>
        <v>50139164.027403355</v>
      </c>
      <c r="Y68" s="175">
        <f t="shared" si="73"/>
        <v>8294570.5966299502</v>
      </c>
      <c r="Z68" s="195">
        <f t="shared" si="61"/>
        <v>436232421.65294969</v>
      </c>
      <c r="AA68" s="176">
        <f t="shared" si="62"/>
        <v>-478852979.11348706</v>
      </c>
      <c r="AB68" s="176">
        <f>'Collections and ACP'!K82</f>
        <v>415348992.70139438</v>
      </c>
      <c r="AC68" s="176">
        <f t="shared" si="57"/>
        <v>-63503986.412092686</v>
      </c>
      <c r="AD68" s="176">
        <f t="shared" si="63"/>
        <v>715134752.69935524</v>
      </c>
      <c r="AE68" s="18">
        <f t="shared" si="58"/>
        <v>-778638739.11144793</v>
      </c>
      <c r="AF68" s="19"/>
    </row>
    <row r="69" spans="1:32" x14ac:dyDescent="0.25">
      <c r="A69" s="174" t="s">
        <v>29</v>
      </c>
      <c r="B69" s="16">
        <f t="shared" si="72"/>
        <v>0</v>
      </c>
      <c r="C69" s="16">
        <f t="shared" si="72"/>
        <v>0</v>
      </c>
      <c r="D69" s="16">
        <f t="shared" si="72"/>
        <v>69555268.677273378</v>
      </c>
      <c r="E69" s="16">
        <f t="shared" si="72"/>
        <v>1651088.4666501982</v>
      </c>
      <c r="F69" s="16">
        <f t="shared" si="72"/>
        <v>0</v>
      </c>
      <c r="G69" s="16">
        <f t="shared" si="72"/>
        <v>0</v>
      </c>
      <c r="H69" s="17">
        <v>4261079.6921323007</v>
      </c>
      <c r="I69" s="17">
        <v>15893275.783732867</v>
      </c>
      <c r="J69" s="16">
        <f t="shared" si="53"/>
        <v>14455064.18659432</v>
      </c>
      <c r="K69" s="16">
        <f t="shared" si="53"/>
        <v>66426846.24157726</v>
      </c>
      <c r="L69" s="16">
        <f t="shared" si="53"/>
        <v>7668398.7384850355</v>
      </c>
      <c r="M69" s="17">
        <f t="shared" si="54"/>
        <v>12076451.190587828</v>
      </c>
      <c r="N69" s="17"/>
      <c r="O69" s="17">
        <f t="shared" si="55"/>
        <v>35269079.680061489</v>
      </c>
      <c r="P69" s="17">
        <f t="shared" si="59"/>
        <v>227256552.65709466</v>
      </c>
      <c r="Q69" s="175">
        <f t="shared" ref="Q69:Y69" si="74">$B$56*Q15</f>
        <v>84989294.457166255</v>
      </c>
      <c r="R69" s="175">
        <f t="shared" si="74"/>
        <v>67022868.004696622</v>
      </c>
      <c r="S69" s="175">
        <f t="shared" si="74"/>
        <v>59578599.800950103</v>
      </c>
      <c r="T69" s="175">
        <f t="shared" si="74"/>
        <v>41485479.747475982</v>
      </c>
      <c r="U69" s="175">
        <f t="shared" si="74"/>
        <v>23505118.147604108</v>
      </c>
      <c r="V69" s="175">
        <f t="shared" si="74"/>
        <v>74469853.338551775</v>
      </c>
      <c r="W69" s="175">
        <f t="shared" si="74"/>
        <v>32412284.225976497</v>
      </c>
      <c r="X69" s="175">
        <f t="shared" si="74"/>
        <v>55506855.716977537</v>
      </c>
      <c r="Y69" s="175">
        <f t="shared" si="74"/>
        <v>10686671.429696044</v>
      </c>
      <c r="Z69" s="195">
        <f t="shared" si="61"/>
        <v>449657024.86909485</v>
      </c>
      <c r="AA69" s="176">
        <f t="shared" si="62"/>
        <v>-778638739.11144793</v>
      </c>
      <c r="AB69" s="176">
        <f>'Collections and ACP'!K83</f>
        <v>418582949.03196639</v>
      </c>
      <c r="AC69" s="176">
        <f t="shared" si="57"/>
        <v>-360055790.07948154</v>
      </c>
      <c r="AD69" s="176">
        <f t="shared" si="63"/>
        <v>676913577.52618957</v>
      </c>
      <c r="AE69" s="18">
        <f t="shared" si="58"/>
        <v>-1036969367.6056712</v>
      </c>
      <c r="AF69" s="19"/>
    </row>
    <row r="70" spans="1:32" x14ac:dyDescent="0.25">
      <c r="A70" s="174" t="s">
        <v>30</v>
      </c>
      <c r="B70" s="16">
        <f t="shared" si="72"/>
        <v>0</v>
      </c>
      <c r="C70" s="16">
        <f t="shared" si="72"/>
        <v>0</v>
      </c>
      <c r="D70" s="16">
        <f t="shared" si="72"/>
        <v>69318189.768480062</v>
      </c>
      <c r="E70" s="16">
        <f t="shared" si="72"/>
        <v>1582600.4918380615</v>
      </c>
      <c r="F70" s="16">
        <f t="shared" si="72"/>
        <v>0</v>
      </c>
      <c r="G70" s="16">
        <f t="shared" si="72"/>
        <v>0</v>
      </c>
      <c r="H70" s="17">
        <v>4261079.6921323007</v>
      </c>
      <c r="I70" s="17">
        <v>15893275.783732867</v>
      </c>
      <c r="J70" s="16">
        <f t="shared" si="53"/>
        <v>13776872.372976361</v>
      </c>
      <c r="K70" s="16">
        <f t="shared" si="53"/>
        <v>63338842.630958401</v>
      </c>
      <c r="L70" s="16">
        <f t="shared" si="53"/>
        <v>7498929.3264258839</v>
      </c>
      <c r="M70" s="17">
        <f t="shared" si="54"/>
        <v>12156830.373009583</v>
      </c>
      <c r="N70" s="17"/>
      <c r="O70" s="17">
        <f t="shared" si="55"/>
        <v>35269079.680061489</v>
      </c>
      <c r="P70" s="17">
        <f t="shared" si="59"/>
        <v>223095700.11961502</v>
      </c>
      <c r="Q70" s="175">
        <f t="shared" ref="Q70:Y70" si="75">$B$56*Q16</f>
        <v>81589722.678879604</v>
      </c>
      <c r="R70" s="175">
        <f t="shared" si="75"/>
        <v>64341953.28450875</v>
      </c>
      <c r="S70" s="175">
        <f t="shared" si="75"/>
        <v>66600431.218803957</v>
      </c>
      <c r="T70" s="175">
        <f t="shared" si="75"/>
        <v>45655137.940464899</v>
      </c>
      <c r="U70" s="175">
        <f t="shared" si="75"/>
        <v>22564913.421699941</v>
      </c>
      <c r="V70" s="175">
        <f t="shared" si="75"/>
        <v>71491059.205009699</v>
      </c>
      <c r="W70" s="175">
        <f t="shared" si="75"/>
        <v>43513227.05527588</v>
      </c>
      <c r="X70" s="175">
        <f t="shared" si="75"/>
        <v>66946046.303204484</v>
      </c>
      <c r="Y70" s="175">
        <f t="shared" si="75"/>
        <v>13425940.584875802</v>
      </c>
      <c r="Z70" s="195">
        <f t="shared" si="61"/>
        <v>476128431.69272304</v>
      </c>
      <c r="AA70" s="176">
        <f t="shared" si="62"/>
        <v>-1036969367.6056712</v>
      </c>
      <c r="AB70" s="176">
        <f>'Collections and ACP'!K84</f>
        <v>422379359.92819607</v>
      </c>
      <c r="AC70" s="176">
        <f t="shared" si="57"/>
        <v>-614590007.67747509</v>
      </c>
      <c r="AD70" s="176">
        <f>P70+Z70</f>
        <v>699224131.81233811</v>
      </c>
      <c r="AE70" s="18">
        <f t="shared" si="58"/>
        <v>-1313814139.4898133</v>
      </c>
      <c r="AF70" s="19"/>
    </row>
    <row r="71" spans="1:32" x14ac:dyDescent="0.25">
      <c r="A71" s="174" t="s">
        <v>31</v>
      </c>
      <c r="B71" s="16">
        <f t="shared" si="72"/>
        <v>0</v>
      </c>
      <c r="C71" s="16">
        <f t="shared" si="72"/>
        <v>0</v>
      </c>
      <c r="D71" s="16">
        <f t="shared" si="72"/>
        <v>46908504.067414172</v>
      </c>
      <c r="E71" s="16">
        <f t="shared" si="72"/>
        <v>931016.99804813787</v>
      </c>
      <c r="F71" s="16">
        <f t="shared" si="72"/>
        <v>0</v>
      </c>
      <c r="G71" s="16">
        <f t="shared" si="72"/>
        <v>0</v>
      </c>
      <c r="H71" s="17">
        <v>4261079.6921323007</v>
      </c>
      <c r="I71" s="17">
        <v>14729978.877595581</v>
      </c>
      <c r="J71" s="16">
        <f t="shared" si="53"/>
        <v>12872616.621485751</v>
      </c>
      <c r="K71" s="16">
        <f t="shared" si="53"/>
        <v>59366028.374451742</v>
      </c>
      <c r="L71" s="16">
        <f t="shared" si="53"/>
        <v>7287472.3047605623</v>
      </c>
      <c r="M71" s="17">
        <f t="shared" si="54"/>
        <v>12195621.735584125</v>
      </c>
      <c r="N71" s="17"/>
      <c r="O71" s="17">
        <f t="shared" si="55"/>
        <v>35269079.680061489</v>
      </c>
      <c r="P71" s="17">
        <f t="shared" si="59"/>
        <v>193821398.35153386</v>
      </c>
      <c r="Q71" s="175">
        <f t="shared" ref="Q71:Y71" si="76">$B$56*Q17</f>
        <v>39163066.885862209</v>
      </c>
      <c r="R71" s="175">
        <f t="shared" si="76"/>
        <v>57679229.072104566</v>
      </c>
      <c r="S71" s="175">
        <f t="shared" si="76"/>
        <v>73294364.502894178</v>
      </c>
      <c r="T71" s="175">
        <f t="shared" si="76"/>
        <v>47527863.334791191</v>
      </c>
      <c r="U71" s="175">
        <f t="shared" si="76"/>
        <v>21662316.884831943</v>
      </c>
      <c r="V71" s="175">
        <f t="shared" si="76"/>
        <v>64088032.302338399</v>
      </c>
      <c r="W71" s="175">
        <f t="shared" si="76"/>
        <v>39280937.493668482</v>
      </c>
      <c r="X71" s="175">
        <f t="shared" si="76"/>
        <v>70339755.01634939</v>
      </c>
      <c r="Y71" s="175">
        <f t="shared" si="76"/>
        <v>15783210.560812626</v>
      </c>
      <c r="Z71" s="195">
        <f t="shared" si="61"/>
        <v>428818776.053653</v>
      </c>
      <c r="AA71" s="176">
        <f t="shared" si="62"/>
        <v>-1313814139.4898133</v>
      </c>
      <c r="AB71" s="176">
        <f>'Collections and ACP'!K85</f>
        <v>424212020.72689438</v>
      </c>
      <c r="AC71" s="176">
        <f t="shared" si="57"/>
        <v>-889602118.76291895</v>
      </c>
      <c r="AD71" s="176">
        <f t="shared" si="63"/>
        <v>622640174.40518689</v>
      </c>
      <c r="AE71" s="18">
        <f t="shared" si="58"/>
        <v>-1512242293.1681058</v>
      </c>
      <c r="AF71" s="19"/>
    </row>
    <row r="72" spans="1:32" x14ac:dyDescent="0.25">
      <c r="A72" s="174" t="s">
        <v>32</v>
      </c>
      <c r="B72" s="16">
        <f t="shared" si="72"/>
        <v>0</v>
      </c>
      <c r="C72" s="16">
        <f t="shared" si="72"/>
        <v>0</v>
      </c>
      <c r="D72" s="16">
        <f t="shared" si="72"/>
        <v>46673881.452513717</v>
      </c>
      <c r="E72" s="16">
        <f t="shared" si="72"/>
        <v>926297.5084736459</v>
      </c>
      <c r="F72" s="16">
        <f t="shared" si="72"/>
        <v>0</v>
      </c>
      <c r="G72" s="16">
        <f t="shared" si="72"/>
        <v>0</v>
      </c>
      <c r="H72" s="17">
        <v>4261079.6921323007</v>
      </c>
      <c r="I72" s="17">
        <v>14729978.877595581</v>
      </c>
      <c r="J72" s="16">
        <f t="shared" si="53"/>
        <v>11767415.147441672</v>
      </c>
      <c r="K72" s="16">
        <f t="shared" si="53"/>
        <v>54622950.024303243</v>
      </c>
      <c r="L72" s="16">
        <f t="shared" si="53"/>
        <v>7039477.366043617</v>
      </c>
      <c r="M72" s="17">
        <f t="shared" si="54"/>
        <v>12258610.726656701</v>
      </c>
      <c r="N72" s="17"/>
      <c r="O72" s="17">
        <f t="shared" si="55"/>
        <v>35269079.680061489</v>
      </c>
      <c r="P72" s="17">
        <f t="shared" si="59"/>
        <v>187548770.47522196</v>
      </c>
      <c r="Q72" s="175">
        <f t="shared" ref="Q72:Y72" si="77">$B$56*Q18</f>
        <v>37596544.210427716</v>
      </c>
      <c r="R72" s="175">
        <f t="shared" si="77"/>
        <v>51510183.054920107</v>
      </c>
      <c r="S72" s="175">
        <f t="shared" si="77"/>
        <v>76300821.691668183</v>
      </c>
      <c r="T72" s="175">
        <f t="shared" si="77"/>
        <v>49307185.058784716</v>
      </c>
      <c r="U72" s="175">
        <f t="shared" si="77"/>
        <v>19419145.270704225</v>
      </c>
      <c r="V72" s="175">
        <f t="shared" si="77"/>
        <v>57233536.727689005</v>
      </c>
      <c r="W72" s="175">
        <f t="shared" si="77"/>
        <v>31144360.811478313</v>
      </c>
      <c r="X72" s="175">
        <f t="shared" si="77"/>
        <v>71382908.487688482</v>
      </c>
      <c r="Y72" s="175">
        <f t="shared" si="77"/>
        <v>17921368.161952473</v>
      </c>
      <c r="Z72" s="195">
        <f t="shared" si="61"/>
        <v>411816053.47531325</v>
      </c>
      <c r="AA72" s="176">
        <f t="shared" si="62"/>
        <v>-1512242293.1681058</v>
      </c>
      <c r="AB72" s="176">
        <f>'Collections and ACP'!K86</f>
        <v>427187635.13579118</v>
      </c>
      <c r="AC72" s="176">
        <f t="shared" si="57"/>
        <v>-1085054658.0323148</v>
      </c>
      <c r="AD72" s="176">
        <f t="shared" si="63"/>
        <v>599364823.95053518</v>
      </c>
      <c r="AE72" s="18">
        <f t="shared" si="58"/>
        <v>-1684419481.9828501</v>
      </c>
      <c r="AF72" s="19"/>
    </row>
    <row r="73" spans="1:32" x14ac:dyDescent="0.25">
      <c r="A73" s="174" t="s">
        <v>33</v>
      </c>
      <c r="B73" s="16">
        <f t="shared" si="72"/>
        <v>0</v>
      </c>
      <c r="C73" s="16">
        <f t="shared" si="72"/>
        <v>0</v>
      </c>
      <c r="D73" s="16">
        <f t="shared" si="72"/>
        <v>46440678.869514607</v>
      </c>
      <c r="E73" s="16">
        <f t="shared" si="72"/>
        <v>921660.93650548207</v>
      </c>
      <c r="F73" s="16">
        <f t="shared" si="72"/>
        <v>0</v>
      </c>
      <c r="G73" s="16">
        <f t="shared" si="72"/>
        <v>0</v>
      </c>
      <c r="H73" s="17">
        <v>4261079.6921323007</v>
      </c>
      <c r="I73" s="17">
        <v>12304968.635004908</v>
      </c>
      <c r="J73" s="16">
        <f t="shared" si="53"/>
        <v>10645468.19651814</v>
      </c>
      <c r="K73" s="16">
        <f t="shared" si="53"/>
        <v>49858787.746837243</v>
      </c>
      <c r="L73" s="16">
        <f t="shared" si="53"/>
        <v>6790590.7991591459</v>
      </c>
      <c r="M73" s="17">
        <f t="shared" si="54"/>
        <v>12304825.240757391</v>
      </c>
      <c r="N73" s="17"/>
      <c r="O73" s="17">
        <f t="shared" si="55"/>
        <v>35269079.680061489</v>
      </c>
      <c r="P73" s="17">
        <f t="shared" si="59"/>
        <v>178797139.7964907</v>
      </c>
      <c r="Q73" s="175">
        <f t="shared" ref="Q73:Y73" si="78">$B$56*Q19</f>
        <v>36092682.442010604</v>
      </c>
      <c r="R73" s="175">
        <f t="shared" si="78"/>
        <v>45587898.878423028</v>
      </c>
      <c r="S73" s="175">
        <f t="shared" si="78"/>
        <v>79157329.43404673</v>
      </c>
      <c r="T73" s="175">
        <f t="shared" si="78"/>
        <v>50996931.732531577</v>
      </c>
      <c r="U73" s="175">
        <f t="shared" si="78"/>
        <v>17342182.684404649</v>
      </c>
      <c r="V73" s="175">
        <f t="shared" si="78"/>
        <v>50653220.976025574</v>
      </c>
      <c r="W73" s="175">
        <f t="shared" si="78"/>
        <v>18860140.358912893</v>
      </c>
      <c r="X73" s="175">
        <f t="shared" si="78"/>
        <v>69857118.869516686</v>
      </c>
      <c r="Y73" s="175">
        <f t="shared" si="78"/>
        <v>19808435.865047924</v>
      </c>
      <c r="Z73" s="195">
        <f t="shared" si="61"/>
        <v>388355941.24091965</v>
      </c>
      <c r="AA73" s="176">
        <f t="shared" si="62"/>
        <v>-1684419481.9828501</v>
      </c>
      <c r="AB73" s="176">
        <f>'Collections and ACP'!K87</f>
        <v>429370630.38209999</v>
      </c>
      <c r="AC73" s="176">
        <f t="shared" si="57"/>
        <v>-1255048851.60075</v>
      </c>
      <c r="AD73" s="176">
        <f t="shared" si="63"/>
        <v>567153081.03741038</v>
      </c>
      <c r="AE73" s="18">
        <f t="shared" si="58"/>
        <v>-1822201932.6381602</v>
      </c>
      <c r="AF73" s="19"/>
    </row>
    <row r="74" spans="1:32" x14ac:dyDescent="0.25">
      <c r="A74" s="174" t="s">
        <v>34</v>
      </c>
      <c r="B74" s="16">
        <f t="shared" si="72"/>
        <v>0</v>
      </c>
      <c r="C74" s="16">
        <f t="shared" si="72"/>
        <v>0</v>
      </c>
      <c r="D74" s="16">
        <f t="shared" si="72"/>
        <v>46208528.391377613</v>
      </c>
      <c r="E74" s="16">
        <f t="shared" si="72"/>
        <v>917071.78734185593</v>
      </c>
      <c r="F74" s="16">
        <f t="shared" si="72"/>
        <v>0</v>
      </c>
      <c r="G74" s="16">
        <f t="shared" si="72"/>
        <v>0</v>
      </c>
      <c r="H74" s="17">
        <v>4261079.6921323007</v>
      </c>
      <c r="I74" s="17">
        <v>4136282.6555589437</v>
      </c>
      <c r="J74" s="16">
        <f t="shared" si="53"/>
        <v>9824939.8294248041</v>
      </c>
      <c r="K74" s="16">
        <f t="shared" si="53"/>
        <v>46341418.849958569</v>
      </c>
      <c r="L74" s="16">
        <f t="shared" si="53"/>
        <v>6601139.0992895402</v>
      </c>
      <c r="M74" s="17">
        <f t="shared" si="54"/>
        <v>12359815.959409403</v>
      </c>
      <c r="N74" s="17"/>
      <c r="O74" s="17">
        <f t="shared" si="55"/>
        <v>35269079.680061489</v>
      </c>
      <c r="P74" s="17">
        <f t="shared" si="59"/>
        <v>165919355.94455451</v>
      </c>
      <c r="Q74" s="175">
        <f t="shared" ref="Q74:Y74" si="79">$B$56*Q20</f>
        <v>34648975.144330181</v>
      </c>
      <c r="R74" s="175">
        <f t="shared" si="79"/>
        <v>39902506.068985827</v>
      </c>
      <c r="S74" s="175">
        <f t="shared" si="79"/>
        <v>81870034.163679913</v>
      </c>
      <c r="T74" s="175">
        <f t="shared" si="79"/>
        <v>52600778.368948072</v>
      </c>
      <c r="U74" s="175">
        <f t="shared" si="79"/>
        <v>15348298.601557044</v>
      </c>
      <c r="V74" s="175">
        <f t="shared" si="79"/>
        <v>44336117.854428686</v>
      </c>
      <c r="W74" s="175">
        <f t="shared" si="79"/>
        <v>4480936.5733518722</v>
      </c>
      <c r="X74" s="175">
        <f t="shared" si="79"/>
        <v>66851315.197486952</v>
      </c>
      <c r="Y74" s="175">
        <f t="shared" si="79"/>
        <v>21520312.511469208</v>
      </c>
      <c r="Z74" s="195">
        <f t="shared" si="61"/>
        <v>361559274.48423773</v>
      </c>
      <c r="AA74" s="176">
        <f t="shared" si="62"/>
        <v>-1822201932.6381602</v>
      </c>
      <c r="AB74" s="176">
        <f>'Collections and ACP'!K88</f>
        <v>431968420.40625679</v>
      </c>
      <c r="AC74" s="176">
        <f t="shared" si="57"/>
        <v>-1390233512.2319036</v>
      </c>
      <c r="AD74" s="176">
        <f t="shared" si="63"/>
        <v>527478630.42879224</v>
      </c>
      <c r="AE74" s="18">
        <f t="shared" si="58"/>
        <v>-1917712142.6606958</v>
      </c>
      <c r="AF74" s="19"/>
    </row>
    <row r="75" spans="1:32" x14ac:dyDescent="0.25">
      <c r="A75" s="174" t="s">
        <v>35</v>
      </c>
      <c r="B75" s="16">
        <f t="shared" si="72"/>
        <v>0</v>
      </c>
      <c r="C75" s="16">
        <f t="shared" si="72"/>
        <v>0</v>
      </c>
      <c r="D75" s="16">
        <f t="shared" si="72"/>
        <v>45977441.177239552</v>
      </c>
      <c r="E75" s="16">
        <f t="shared" si="72"/>
        <v>912353.72969199903</v>
      </c>
      <c r="F75" s="16">
        <f t="shared" si="72"/>
        <v>0</v>
      </c>
      <c r="G75" s="16">
        <f t="shared" si="72"/>
        <v>0</v>
      </c>
      <c r="H75" s="17">
        <v>4261079.6921323007</v>
      </c>
      <c r="I75" s="17"/>
      <c r="J75" s="16">
        <f t="shared" si="53"/>
        <v>8769974.7860190924</v>
      </c>
      <c r="K75" s="16">
        <f t="shared" si="53"/>
        <v>41928910.148539655</v>
      </c>
      <c r="L75" s="16">
        <f t="shared" si="53"/>
        <v>6369206.0796073843</v>
      </c>
      <c r="M75" s="17">
        <f t="shared" si="54"/>
        <v>12386288.295960709</v>
      </c>
      <c r="N75" s="17"/>
      <c r="O75" s="17">
        <f t="shared" si="55"/>
        <v>35269079.680061489</v>
      </c>
      <c r="P75" s="17">
        <f t="shared" si="59"/>
        <v>155874333.58925217</v>
      </c>
      <c r="Q75" s="175">
        <f t="shared" ref="Q75:Y75" si="80">$B$56*Q21</f>
        <v>33263016.138556972</v>
      </c>
      <c r="R75" s="175">
        <f t="shared" si="80"/>
        <v>34444528.971926115</v>
      </c>
      <c r="S75" s="175">
        <f t="shared" si="80"/>
        <v>84444835.714592814</v>
      </c>
      <c r="T75" s="175">
        <f t="shared" si="80"/>
        <v>54122252.520379312</v>
      </c>
      <c r="U75" s="175">
        <f t="shared" si="80"/>
        <v>13434169.882023351</v>
      </c>
      <c r="V75" s="175">
        <f t="shared" si="80"/>
        <v>38271698.857695676</v>
      </c>
      <c r="W75" s="175">
        <f t="shared" si="80"/>
        <v>-7344785.8433727892</v>
      </c>
      <c r="X75" s="175">
        <f t="shared" si="80"/>
        <v>65021237.747217752</v>
      </c>
      <c r="Y75" s="175">
        <f t="shared" si="80"/>
        <v>23277542.215820529</v>
      </c>
      <c r="Z75" s="195">
        <f t="shared" si="61"/>
        <v>338934496.20483977</v>
      </c>
      <c r="AA75" s="176">
        <f t="shared" si="62"/>
        <v>-1917712142.6606958</v>
      </c>
      <c r="AB75" s="176">
        <f>'Collections and ACP'!K89</f>
        <v>433218617.73495358</v>
      </c>
      <c r="AC75" s="176">
        <f t="shared" si="57"/>
        <v>-1484493524.9257421</v>
      </c>
      <c r="AD75" s="176">
        <f t="shared" si="63"/>
        <v>494808829.79409194</v>
      </c>
      <c r="AE75" s="18">
        <f t="shared" si="58"/>
        <v>-1979302354.7198341</v>
      </c>
      <c r="AF75" s="19"/>
    </row>
    <row r="76" spans="1:32" x14ac:dyDescent="0.25">
      <c r="A76" s="174" t="s">
        <v>36</v>
      </c>
      <c r="B76" s="16">
        <f t="shared" si="72"/>
        <v>0</v>
      </c>
      <c r="C76" s="16">
        <f t="shared" si="72"/>
        <v>0</v>
      </c>
      <c r="D76" s="16">
        <f t="shared" si="72"/>
        <v>45747402.639809065</v>
      </c>
      <c r="E76" s="16">
        <f t="shared" si="72"/>
        <v>907877.69552072266</v>
      </c>
      <c r="F76" s="16">
        <f t="shared" si="72"/>
        <v>0</v>
      </c>
      <c r="G76" s="16">
        <f t="shared" si="72"/>
        <v>0</v>
      </c>
      <c r="H76" s="17">
        <v>4261079.6921323007</v>
      </c>
      <c r="I76" s="17"/>
      <c r="J76" s="16">
        <f t="shared" si="53"/>
        <v>7798737.1270106565</v>
      </c>
      <c r="K76" s="16">
        <f t="shared" si="53"/>
        <v>37889518.601769485</v>
      </c>
      <c r="L76" s="16">
        <f t="shared" si="53"/>
        <v>6155136.3051020904</v>
      </c>
      <c r="M76" s="17">
        <f t="shared" si="54"/>
        <v>12444872.21556136</v>
      </c>
      <c r="N76" s="17"/>
      <c r="O76" s="17">
        <f t="shared" si="55"/>
        <v>35269079.680061489</v>
      </c>
      <c r="P76" s="17">
        <f t="shared" si="59"/>
        <v>150473703.95696718</v>
      </c>
      <c r="Q76" s="175">
        <f t="shared" ref="Q76:Y76" si="81">$B$56*Q22</f>
        <v>31932495.493014693</v>
      </c>
      <c r="R76" s="175">
        <f t="shared" si="81"/>
        <v>29204870.958748795</v>
      </c>
      <c r="S76" s="175">
        <f t="shared" si="81"/>
        <v>86887397.188881889</v>
      </c>
      <c r="T76" s="175">
        <f t="shared" si="81"/>
        <v>55564740.179322354</v>
      </c>
      <c r="U76" s="175">
        <f t="shared" si="81"/>
        <v>11596606.311271003</v>
      </c>
      <c r="V76" s="175">
        <f t="shared" si="81"/>
        <v>32449856.620831981</v>
      </c>
      <c r="W76" s="175">
        <f t="shared" si="81"/>
        <v>-24206932.838410161</v>
      </c>
      <c r="X76" s="175">
        <f t="shared" si="81"/>
        <v>60088218.954928912</v>
      </c>
      <c r="Y76" s="175">
        <f t="shared" si="81"/>
        <v>24731221.141301576</v>
      </c>
      <c r="Z76" s="195">
        <f t="shared" si="61"/>
        <v>308248474.00989103</v>
      </c>
      <c r="AA76" s="176">
        <f t="shared" si="62"/>
        <v>-1979302354.7198341</v>
      </c>
      <c r="AB76" s="176">
        <f>'Collections and ACP'!K90</f>
        <v>435986334.71697921</v>
      </c>
      <c r="AC76" s="176">
        <f t="shared" si="57"/>
        <v>-1543316020.0028548</v>
      </c>
      <c r="AD76" s="176">
        <f t="shared" si="63"/>
        <v>458722177.96685821</v>
      </c>
      <c r="AE76" s="18">
        <f t="shared" si="58"/>
        <v>-2002038197.969713</v>
      </c>
      <c r="AF76" s="19"/>
    </row>
    <row r="77" spans="1:32" x14ac:dyDescent="0.25">
      <c r="A77" s="174" t="s">
        <v>37</v>
      </c>
      <c r="B77" s="16">
        <f t="shared" si="72"/>
        <v>0</v>
      </c>
      <c r="C77" s="16">
        <f t="shared" si="72"/>
        <v>0</v>
      </c>
      <c r="D77" s="16">
        <f t="shared" si="72"/>
        <v>45518793.431209326</v>
      </c>
      <c r="E77" s="16">
        <f t="shared" si="72"/>
        <v>903321.04328711377</v>
      </c>
      <c r="F77" s="16">
        <f t="shared" si="72"/>
        <v>0</v>
      </c>
      <c r="G77" s="16">
        <f t="shared" si="72"/>
        <v>0</v>
      </c>
      <c r="H77" s="17">
        <v>4261079.6921323007</v>
      </c>
      <c r="I77" s="17"/>
      <c r="J77" s="16">
        <f t="shared" si="53"/>
        <v>6894481.3755200468</v>
      </c>
      <c r="K77" s="16">
        <f t="shared" si="53"/>
        <v>34152272.627785549</v>
      </c>
      <c r="L77" s="16">
        <f t="shared" si="53"/>
        <v>5955552.3171820454</v>
      </c>
      <c r="M77" s="17">
        <f t="shared" si="54"/>
        <v>12492476.413627123</v>
      </c>
      <c r="N77" s="17"/>
      <c r="O77" s="17">
        <f t="shared" si="55"/>
        <v>35269079.680061489</v>
      </c>
      <c r="P77" s="17">
        <f t="shared" si="59"/>
        <v>145447056.580805</v>
      </c>
      <c r="Q77" s="175">
        <f t="shared" ref="Q77:Y77" si="82">$B$56*Q23</f>
        <v>30655195.673294105</v>
      </c>
      <c r="R77" s="175">
        <f t="shared" si="82"/>
        <v>24174799.266098566</v>
      </c>
      <c r="S77" s="175">
        <f t="shared" si="82"/>
        <v>89203154.429685056</v>
      </c>
      <c r="T77" s="175">
        <f t="shared" si="82"/>
        <v>56931491.443108886</v>
      </c>
      <c r="U77" s="175">
        <f t="shared" si="82"/>
        <v>9832545.2833487485</v>
      </c>
      <c r="V77" s="175">
        <f t="shared" si="82"/>
        <v>26860888.073442843</v>
      </c>
      <c r="W77" s="175">
        <f t="shared" si="82"/>
        <v>-41471147.34180031</v>
      </c>
      <c r="X77" s="175">
        <f t="shared" si="82"/>
        <v>54696755.478062458</v>
      </c>
      <c r="Y77" s="175">
        <f t="shared" si="82"/>
        <v>26100594.587227758</v>
      </c>
      <c r="Z77" s="195">
        <f t="shared" si="61"/>
        <v>276984276.89246809</v>
      </c>
      <c r="AA77" s="176">
        <f t="shared" si="62"/>
        <v>-2002038197.969713</v>
      </c>
      <c r="AB77" s="176">
        <f>'Collections and ACP'!K91</f>
        <v>438235256.99747199</v>
      </c>
      <c r="AC77" s="176">
        <f t="shared" si="57"/>
        <v>-1563802940.9722409</v>
      </c>
      <c r="AD77" s="176">
        <f t="shared" si="63"/>
        <v>422431333.4732731</v>
      </c>
      <c r="AE77" s="18">
        <f t="shared" si="58"/>
        <v>-1986234274.445514</v>
      </c>
      <c r="AF77" s="19"/>
    </row>
    <row r="78" spans="1:32" x14ac:dyDescent="0.25">
      <c r="A78" s="174" t="s">
        <v>38</v>
      </c>
      <c r="B78" s="16">
        <f t="shared" ref="B78:G81" si="83">B24*$B$56</f>
        <v>0</v>
      </c>
      <c r="C78" s="16">
        <f t="shared" si="83"/>
        <v>0</v>
      </c>
      <c r="D78" s="16">
        <f t="shared" si="83"/>
        <v>45290968.522295877</v>
      </c>
      <c r="E78" s="16">
        <f t="shared" si="83"/>
        <v>898824.43313475221</v>
      </c>
      <c r="F78" s="16">
        <f t="shared" si="83"/>
        <v>0</v>
      </c>
      <c r="G78" s="16">
        <f t="shared" si="83"/>
        <v>0</v>
      </c>
      <c r="H78" s="17">
        <v>4261079.6921323007</v>
      </c>
      <c r="I78" s="17"/>
      <c r="J78" s="16">
        <f t="shared" si="53"/>
        <v>5931616.4549513422</v>
      </c>
      <c r="K78" s="16">
        <f t="shared" si="53"/>
        <v>30222651.729988523</v>
      </c>
      <c r="L78" s="16">
        <f t="shared" si="53"/>
        <v>5746923.7180110011</v>
      </c>
      <c r="M78" s="17">
        <f t="shared" si="54"/>
        <v>12549321.69718389</v>
      </c>
      <c r="N78" s="17"/>
      <c r="O78" s="17">
        <f t="shared" si="55"/>
        <v>35269079.680061489</v>
      </c>
      <c r="P78" s="17">
        <f t="shared" si="59"/>
        <v>140170465.92775917</v>
      </c>
      <c r="Q78" s="175">
        <f t="shared" ref="Q78:Y78" si="84">$B$56*Q24</f>
        <v>29428987.846362341</v>
      </c>
      <c r="R78" s="175">
        <f t="shared" si="84"/>
        <v>23207807.295454625</v>
      </c>
      <c r="S78" s="175">
        <f t="shared" si="84"/>
        <v>91397325.115214258</v>
      </c>
      <c r="T78" s="175">
        <f t="shared" si="84"/>
        <v>58225625.951989166</v>
      </c>
      <c r="U78" s="175">
        <f t="shared" si="84"/>
        <v>8139046.6965433871</v>
      </c>
      <c r="V78" s="175">
        <f t="shared" si="84"/>
        <v>25786452.550505128</v>
      </c>
      <c r="W78" s="175">
        <f t="shared" si="84"/>
        <v>-59215021.328839228</v>
      </c>
      <c r="X78" s="175">
        <f t="shared" si="84"/>
        <v>48832623.196257159</v>
      </c>
      <c r="Y78" s="175">
        <f t="shared" si="84"/>
        <v>27388599.017616738</v>
      </c>
      <c r="Z78" s="195">
        <f t="shared" si="61"/>
        <v>253191446.34110361</v>
      </c>
      <c r="AA78" s="176">
        <f t="shared" si="62"/>
        <v>-1986234274.445514</v>
      </c>
      <c r="AB78" s="176">
        <f>'Collections and ACP'!K92</f>
        <v>440920931.13038957</v>
      </c>
      <c r="AC78" s="176">
        <f t="shared" si="57"/>
        <v>-1545313343.3151245</v>
      </c>
      <c r="AD78" s="176">
        <f t="shared" si="63"/>
        <v>393361912.26886278</v>
      </c>
      <c r="AE78" s="18">
        <f t="shared" si="58"/>
        <v>-1938675255.5839872</v>
      </c>
      <c r="AF78" s="19"/>
    </row>
    <row r="79" spans="1:32" x14ac:dyDescent="0.25">
      <c r="A79" s="174" t="s">
        <v>39</v>
      </c>
      <c r="B79" s="16">
        <f t="shared" si="83"/>
        <v>0</v>
      </c>
      <c r="C79" s="16">
        <f t="shared" si="83"/>
        <v>0</v>
      </c>
      <c r="D79" s="16">
        <f t="shared" si="83"/>
        <v>45064809.421392433</v>
      </c>
      <c r="E79" s="16">
        <f t="shared" si="83"/>
        <v>894395.37032379385</v>
      </c>
      <c r="F79" s="16">
        <f t="shared" si="83"/>
        <v>0</v>
      </c>
      <c r="G79" s="16">
        <f t="shared" si="83"/>
        <v>0</v>
      </c>
      <c r="H79" s="17">
        <v>4261079.6921323007</v>
      </c>
      <c r="I79" s="20"/>
      <c r="J79" s="16">
        <f t="shared" si="53"/>
        <v>4968751.5343826376</v>
      </c>
      <c r="K79" s="16">
        <f t="shared" si="53"/>
        <v>26331473.23435377</v>
      </c>
      <c r="L79" s="16">
        <f t="shared" si="53"/>
        <v>5540232.5160237383</v>
      </c>
      <c r="M79" s="17">
        <f t="shared" si="54"/>
        <v>12588447.345144667</v>
      </c>
      <c r="N79" s="17"/>
      <c r="O79" s="17">
        <f t="shared" si="55"/>
        <v>35269079.680061489</v>
      </c>
      <c r="P79" s="17">
        <f t="shared" si="59"/>
        <v>134918268.79381484</v>
      </c>
      <c r="Q79" s="175">
        <f t="shared" ref="Q79:Y79" si="85">$B$56*Q25</f>
        <v>0</v>
      </c>
      <c r="R79" s="175">
        <f t="shared" si="85"/>
        <v>19329699.772801165</v>
      </c>
      <c r="S79" s="175">
        <f t="shared" si="85"/>
        <v>93474917.489008754</v>
      </c>
      <c r="T79" s="175">
        <f t="shared" si="85"/>
        <v>57934497.822229229</v>
      </c>
      <c r="U79" s="175">
        <f t="shared" si="85"/>
        <v>7813484.8286816506</v>
      </c>
      <c r="V79" s="175">
        <f t="shared" si="85"/>
        <v>21477444.192001291</v>
      </c>
      <c r="W79" s="175">
        <f t="shared" si="85"/>
        <v>-79544118.856426656</v>
      </c>
      <c r="X79" s="175">
        <f t="shared" si="85"/>
        <v>41270982.213595174</v>
      </c>
      <c r="Y79" s="175">
        <f t="shared" si="85"/>
        <v>28487854.077782597</v>
      </c>
      <c r="Z79" s="195">
        <f t="shared" si="61"/>
        <v>190244761.53967321</v>
      </c>
      <c r="AA79" s="176">
        <f t="shared" si="62"/>
        <v>-1938675255.5839872</v>
      </c>
      <c r="AB79" s="176">
        <f>'Collections and ACP'!K93</f>
        <v>442769305.46354878</v>
      </c>
      <c r="AC79" s="176">
        <f t="shared" si="57"/>
        <v>-1495905950.1204386</v>
      </c>
      <c r="AD79" s="176">
        <f t="shared" si="63"/>
        <v>325163030.33348805</v>
      </c>
      <c r="AE79" s="18">
        <f t="shared" si="58"/>
        <v>-1821068980.4539266</v>
      </c>
      <c r="AF79" s="19"/>
    </row>
    <row r="80" spans="1:32" x14ac:dyDescent="0.25">
      <c r="A80" s="174" t="s">
        <v>40</v>
      </c>
      <c r="B80" s="16">
        <f t="shared" si="83"/>
        <v>0</v>
      </c>
      <c r="C80" s="16">
        <f t="shared" si="83"/>
        <v>0</v>
      </c>
      <c r="D80" s="16">
        <f t="shared" si="83"/>
        <v>44839475.320693232</v>
      </c>
      <c r="E80" s="16">
        <f t="shared" si="83"/>
        <v>889925.99495476112</v>
      </c>
      <c r="F80" s="16">
        <f t="shared" si="83"/>
        <v>0</v>
      </c>
      <c r="G80" s="16">
        <f t="shared" si="83"/>
        <v>0</v>
      </c>
      <c r="H80" s="17">
        <v>4261079.6921323007</v>
      </c>
      <c r="I80" s="20"/>
      <c r="J80" s="16">
        <f t="shared" si="53"/>
        <v>-6241876.5068171313</v>
      </c>
      <c r="K80" s="16">
        <f t="shared" si="53"/>
        <v>-24169829.293218542</v>
      </c>
      <c r="L80" s="16">
        <f t="shared" si="53"/>
        <v>-1149257.3325961027</v>
      </c>
      <c r="M80" s="17">
        <f t="shared" si="54"/>
        <v>12628300.273648368</v>
      </c>
      <c r="N80" s="17"/>
      <c r="O80" s="17">
        <f t="shared" si="55"/>
        <v>35269079.680061489</v>
      </c>
      <c r="P80" s="17">
        <f t="shared" si="59"/>
        <v>66326897.828858368</v>
      </c>
      <c r="Q80" s="175">
        <f t="shared" ref="Q80:Y80" si="86">$B$56*Q26</f>
        <v>0</v>
      </c>
      <c r="R80" s="175">
        <f t="shared" si="86"/>
        <v>15770594.063878033</v>
      </c>
      <c r="S80" s="175">
        <f t="shared" si="86"/>
        <v>93007542.901563704</v>
      </c>
      <c r="T80" s="175">
        <f t="shared" si="86"/>
        <v>57644825.333118066</v>
      </c>
      <c r="U80" s="175">
        <f t="shared" si="86"/>
        <v>6507823.5955248373</v>
      </c>
      <c r="V80" s="175">
        <f t="shared" si="86"/>
        <v>17522882.293197807</v>
      </c>
      <c r="W80" s="175">
        <f t="shared" si="86"/>
        <v>-101495594.0492969</v>
      </c>
      <c r="X80" s="175">
        <f t="shared" si="86"/>
        <v>32582123.689115152</v>
      </c>
      <c r="Y80" s="175">
        <f t="shared" si="86"/>
        <v>29448383.565575771</v>
      </c>
      <c r="Z80" s="195">
        <f t="shared" si="61"/>
        <v>150988581.39267647</v>
      </c>
      <c r="AA80" s="176">
        <f t="shared" si="62"/>
        <v>-1821068980.4539266</v>
      </c>
      <c r="AB80" s="176">
        <f>'Collections and ACP'!K94</f>
        <v>444652102.27955437</v>
      </c>
      <c r="AC80" s="176">
        <f t="shared" si="57"/>
        <v>-1376416878.1743722</v>
      </c>
      <c r="AD80" s="176">
        <f t="shared" si="63"/>
        <v>217315479.22153485</v>
      </c>
      <c r="AE80" s="18">
        <f t="shared" si="58"/>
        <v>-1593732357.3959069</v>
      </c>
      <c r="AF80" s="19"/>
    </row>
    <row r="81" spans="1:34" x14ac:dyDescent="0.25">
      <c r="A81" s="174" t="s">
        <v>172</v>
      </c>
      <c r="B81" s="16">
        <f t="shared" si="83"/>
        <v>0</v>
      </c>
      <c r="C81" s="16">
        <f t="shared" si="83"/>
        <v>0</v>
      </c>
      <c r="D81" s="16">
        <f t="shared" si="83"/>
        <v>36146809.987007499</v>
      </c>
      <c r="E81" s="16">
        <f t="shared" si="83"/>
        <v>885413.45728601597</v>
      </c>
      <c r="F81" s="16">
        <f t="shared" si="83"/>
        <v>0</v>
      </c>
      <c r="G81" s="16">
        <f t="shared" si="83"/>
        <v>0</v>
      </c>
      <c r="H81" s="17">
        <v>4261079.6921323007</v>
      </c>
      <c r="I81" s="20"/>
      <c r="J81" s="16">
        <f t="shared" si="53"/>
        <v>0</v>
      </c>
      <c r="K81" s="16">
        <f t="shared" si="53"/>
        <v>0</v>
      </c>
      <c r="L81" s="16">
        <f t="shared" si="53"/>
        <v>0</v>
      </c>
      <c r="M81" s="17">
        <f t="shared" si="54"/>
        <v>12628300.273648368</v>
      </c>
      <c r="N81" s="17"/>
      <c r="O81" s="17">
        <f t="shared" si="55"/>
        <v>35269079.680061489</v>
      </c>
      <c r="P81" s="17">
        <f t="shared" si="59"/>
        <v>89190683.090135664</v>
      </c>
      <c r="Q81" s="175">
        <f t="shared" ref="Q81:Y81" si="87">$B$56*Q27</f>
        <v>0</v>
      </c>
      <c r="R81" s="175">
        <f t="shared" si="87"/>
        <v>0</v>
      </c>
      <c r="S81" s="175">
        <f t="shared" si="87"/>
        <v>0</v>
      </c>
      <c r="T81" s="175">
        <f t="shared" si="87"/>
        <v>0</v>
      </c>
      <c r="U81" s="175">
        <f t="shared" si="87"/>
        <v>0</v>
      </c>
      <c r="V81" s="175">
        <f t="shared" si="87"/>
        <v>0</v>
      </c>
      <c r="W81" s="175">
        <f t="shared" si="87"/>
        <v>-123577564.83698343</v>
      </c>
      <c r="X81" s="175">
        <f t="shared" si="87"/>
        <v>-74323286.825873971</v>
      </c>
      <c r="Y81" s="175">
        <f t="shared" si="87"/>
        <v>-6889690.5705439718</v>
      </c>
      <c r="Z81" s="195">
        <f t="shared" si="61"/>
        <v>-204790542.23340139</v>
      </c>
      <c r="AA81" s="176">
        <f t="shared" si="62"/>
        <v>-1593732357.3959069</v>
      </c>
      <c r="AB81" s="176">
        <f>AB80</f>
        <v>444652102.27955437</v>
      </c>
      <c r="AC81" s="176">
        <f t="shared" si="57"/>
        <v>-1149080255.1163526</v>
      </c>
      <c r="AD81" s="176">
        <f t="shared" si="63"/>
        <v>-115599859.14326572</v>
      </c>
      <c r="AE81" s="18">
        <f t="shared" si="58"/>
        <v>-1033480395.9730868</v>
      </c>
      <c r="AF81" s="45"/>
      <c r="AG81" s="75">
        <f>AE81-AF81</f>
        <v>-1033480395.9730868</v>
      </c>
      <c r="AH81" s="181">
        <v>2556726061.8057499</v>
      </c>
    </row>
    <row r="83" spans="1:34" x14ac:dyDescent="0.25">
      <c r="A83" s="177" t="s">
        <v>230</v>
      </c>
      <c r="B83" s="22">
        <v>5.0041044571267233E-3</v>
      </c>
    </row>
    <row r="84" spans="1:34" ht="60" x14ac:dyDescent="0.25">
      <c r="A84" s="173" t="s">
        <v>1</v>
      </c>
      <c r="B84" s="173" t="s">
        <v>201</v>
      </c>
      <c r="C84" s="173" t="s">
        <v>202</v>
      </c>
      <c r="D84" s="173" t="s">
        <v>231</v>
      </c>
      <c r="E84" s="173" t="s">
        <v>158</v>
      </c>
      <c r="F84" s="173" t="s">
        <v>232</v>
      </c>
      <c r="G84" s="173" t="s">
        <v>233</v>
      </c>
      <c r="H84" s="173" t="s">
        <v>234</v>
      </c>
      <c r="I84" s="15" t="s">
        <v>235</v>
      </c>
      <c r="J84" s="15" t="s">
        <v>236</v>
      </c>
      <c r="K84" s="15" t="s">
        <v>237</v>
      </c>
      <c r="L84" s="15" t="s">
        <v>238</v>
      </c>
      <c r="M84" s="173" t="s">
        <v>239</v>
      </c>
      <c r="N84" s="173" t="s">
        <v>240</v>
      </c>
      <c r="O84" s="173" t="s">
        <v>219</v>
      </c>
      <c r="P84" s="15" t="s">
        <v>217</v>
      </c>
      <c r="Q84" s="197" t="s">
        <v>201</v>
      </c>
      <c r="R84" s="197" t="s">
        <v>202</v>
      </c>
      <c r="S84" s="197" t="s">
        <v>153</v>
      </c>
      <c r="T84" s="197" t="s">
        <v>158</v>
      </c>
      <c r="U84" s="197" t="s">
        <v>162</v>
      </c>
      <c r="V84" s="197" t="s">
        <v>165</v>
      </c>
      <c r="W84" s="197" t="s">
        <v>90</v>
      </c>
      <c r="X84" s="197" t="s">
        <v>91</v>
      </c>
      <c r="Y84" s="197" t="s">
        <v>86</v>
      </c>
      <c r="Z84" s="197" t="s">
        <v>241</v>
      </c>
      <c r="AA84" s="15" t="s">
        <v>242</v>
      </c>
      <c r="AB84" s="15" t="s">
        <v>243</v>
      </c>
      <c r="AC84" s="15" t="s">
        <v>244</v>
      </c>
      <c r="AD84" s="173" t="s">
        <v>179</v>
      </c>
      <c r="AE84" s="173" t="s">
        <v>245</v>
      </c>
    </row>
    <row r="85" spans="1:34" x14ac:dyDescent="0.25">
      <c r="A85" s="174" t="s">
        <v>17</v>
      </c>
      <c r="B85" s="17">
        <f t="shared" ref="B85:G94" si="88">B4*$B$83</f>
        <v>690348.71432137897</v>
      </c>
      <c r="C85" s="17">
        <f t="shared" si="88"/>
        <v>243307.53699944253</v>
      </c>
      <c r="D85" s="17">
        <f t="shared" si="88"/>
        <v>150068.37670110795</v>
      </c>
      <c r="E85" s="17">
        <f t="shared" si="88"/>
        <v>0</v>
      </c>
      <c r="F85" s="17">
        <f t="shared" si="88"/>
        <v>0</v>
      </c>
      <c r="G85" s="17">
        <f t="shared" si="88"/>
        <v>0</v>
      </c>
      <c r="H85" s="17"/>
      <c r="I85" s="17">
        <v>9408.9599999999991</v>
      </c>
      <c r="J85" s="17">
        <f t="shared" ref="J85:L108" si="89">J4*$B$83</f>
        <v>0</v>
      </c>
      <c r="K85" s="17">
        <f t="shared" si="89"/>
        <v>0</v>
      </c>
      <c r="L85" s="17">
        <f t="shared" si="89"/>
        <v>0</v>
      </c>
      <c r="M85" s="17">
        <f t="shared" ref="M85:M108" si="90">$B$83*M4</f>
        <v>33813.134254762168</v>
      </c>
      <c r="N85" s="17"/>
      <c r="O85" s="17">
        <f t="shared" ref="O85:O108" si="91">$B$83*O4</f>
        <v>56355.223757936954</v>
      </c>
      <c r="P85" s="17">
        <f t="shared" ref="P85:P108" si="92">SUM(B85:O85)</f>
        <v>1183301.9460346284</v>
      </c>
      <c r="Q85" s="175">
        <f t="shared" ref="Q85:Y85" si="93">$B$83*Q4</f>
        <v>0</v>
      </c>
      <c r="R85" s="175">
        <f t="shared" si="93"/>
        <v>0</v>
      </c>
      <c r="S85" s="175">
        <f t="shared" si="93"/>
        <v>0</v>
      </c>
      <c r="T85" s="175">
        <f t="shared" si="93"/>
        <v>0</v>
      </c>
      <c r="U85" s="175">
        <f t="shared" si="93"/>
        <v>0</v>
      </c>
      <c r="V85" s="175">
        <f t="shared" si="93"/>
        <v>0</v>
      </c>
      <c r="W85" s="175">
        <f t="shared" si="93"/>
        <v>0</v>
      </c>
      <c r="X85" s="175">
        <f t="shared" si="93"/>
        <v>0</v>
      </c>
      <c r="Y85" s="175">
        <f t="shared" si="93"/>
        <v>0</v>
      </c>
      <c r="Z85" s="195">
        <f t="shared" ref="Z85:Z108" si="94">SUM(Q85:Y85)</f>
        <v>0</v>
      </c>
      <c r="AA85" s="176">
        <f>'Collections and ACP'!D149++'Collections and ACP'!D141</f>
        <v>1406204.2258068149</v>
      </c>
      <c r="AB85" s="176">
        <f>'Collections and ACP'!K105</f>
        <v>585306.97492689674</v>
      </c>
      <c r="AC85" s="176">
        <f t="shared" ref="AC85:AC105" si="95">AA85+AB85</f>
        <v>1991511.2007337115</v>
      </c>
      <c r="AD85" s="176">
        <f t="shared" ref="AD85:AD104" si="96">P85+Z85</f>
        <v>1183301.9460346284</v>
      </c>
      <c r="AE85" s="18">
        <f t="shared" ref="AE85:AE104" si="97">AC85-AD85</f>
        <v>808209.25469908305</v>
      </c>
    </row>
    <row r="86" spans="1:34" x14ac:dyDescent="0.25">
      <c r="A86" s="174" t="s">
        <v>18</v>
      </c>
      <c r="B86" s="17">
        <f t="shared" si="88"/>
        <v>310135.61259766063</v>
      </c>
      <c r="C86" s="17">
        <f t="shared" si="88"/>
        <v>303739.73293129483</v>
      </c>
      <c r="D86" s="17">
        <f t="shared" si="88"/>
        <v>421307.12338471645</v>
      </c>
      <c r="E86" s="17">
        <f t="shared" si="88"/>
        <v>0</v>
      </c>
      <c r="F86" s="17">
        <f t="shared" si="88"/>
        <v>0</v>
      </c>
      <c r="G86" s="17">
        <f t="shared" si="88"/>
        <v>0</v>
      </c>
      <c r="H86" s="17"/>
      <c r="I86" s="17">
        <v>55160.941677111034</v>
      </c>
      <c r="J86" s="17">
        <f t="shared" si="89"/>
        <v>0</v>
      </c>
      <c r="K86" s="17">
        <f t="shared" si="89"/>
        <v>0</v>
      </c>
      <c r="L86" s="17">
        <f t="shared" si="89"/>
        <v>0</v>
      </c>
      <c r="M86" s="17">
        <f t="shared" si="90"/>
        <v>69767.900357761828</v>
      </c>
      <c r="N86" s="17"/>
      <c r="O86" s="17">
        <f t="shared" si="91"/>
        <v>250205.22285633616</v>
      </c>
      <c r="P86" s="17">
        <f t="shared" si="92"/>
        <v>1410316.5338048809</v>
      </c>
      <c r="Q86" s="175">
        <f t="shared" ref="Q86:Y86" si="98">$B$83*Q5</f>
        <v>0</v>
      </c>
      <c r="R86" s="175">
        <f t="shared" si="98"/>
        <v>0</v>
      </c>
      <c r="S86" s="175">
        <f t="shared" si="98"/>
        <v>0</v>
      </c>
      <c r="T86" s="175">
        <f t="shared" si="98"/>
        <v>0</v>
      </c>
      <c r="U86" s="175">
        <f t="shared" si="98"/>
        <v>0</v>
      </c>
      <c r="V86" s="175">
        <f t="shared" si="98"/>
        <v>0</v>
      </c>
      <c r="W86" s="175">
        <f t="shared" si="98"/>
        <v>0</v>
      </c>
      <c r="X86" s="175">
        <f t="shared" si="98"/>
        <v>0</v>
      </c>
      <c r="Y86" s="175">
        <f t="shared" si="98"/>
        <v>0</v>
      </c>
      <c r="Z86" s="195">
        <f t="shared" si="94"/>
        <v>0</v>
      </c>
      <c r="AA86" s="176">
        <f t="shared" ref="AA86:AA106" si="99">AE85</f>
        <v>808209.25469908305</v>
      </c>
      <c r="AB86" s="176">
        <f>'Collections and ACP'!K106</f>
        <v>1153433.5221666666</v>
      </c>
      <c r="AC86" s="176">
        <f t="shared" si="95"/>
        <v>1961642.7768657496</v>
      </c>
      <c r="AD86" s="176">
        <f t="shared" si="96"/>
        <v>1410316.5338048809</v>
      </c>
      <c r="AE86" s="18">
        <f t="shared" si="97"/>
        <v>551326.2430608687</v>
      </c>
      <c r="AF86" s="19"/>
    </row>
    <row r="87" spans="1:34" x14ac:dyDescent="0.25">
      <c r="A87" s="174" t="s">
        <v>19</v>
      </c>
      <c r="B87" s="17">
        <f t="shared" si="88"/>
        <v>444222.28771761793</v>
      </c>
      <c r="C87" s="17">
        <f t="shared" si="88"/>
        <v>327108.90479940118</v>
      </c>
      <c r="D87" s="17">
        <f t="shared" si="88"/>
        <v>511105.07699298521</v>
      </c>
      <c r="E87" s="17">
        <f t="shared" si="88"/>
        <v>0</v>
      </c>
      <c r="F87" s="17">
        <f t="shared" si="88"/>
        <v>0</v>
      </c>
      <c r="G87" s="17">
        <f t="shared" si="88"/>
        <v>0</v>
      </c>
      <c r="H87" s="17"/>
      <c r="I87" s="17">
        <v>74567.941677111041</v>
      </c>
      <c r="J87" s="17">
        <f t="shared" si="89"/>
        <v>0</v>
      </c>
      <c r="K87" s="17">
        <f t="shared" si="89"/>
        <v>0</v>
      </c>
      <c r="L87" s="17">
        <f t="shared" si="89"/>
        <v>0</v>
      </c>
      <c r="M87" s="17">
        <f t="shared" si="90"/>
        <v>88191.78550485264</v>
      </c>
      <c r="N87" s="17"/>
      <c r="O87" s="17">
        <f t="shared" si="91"/>
        <v>250205.22285633616</v>
      </c>
      <c r="P87" s="17">
        <f t="shared" si="92"/>
        <v>1695401.2195483041</v>
      </c>
      <c r="Q87" s="175">
        <f t="shared" ref="Q87:Y87" si="100">$B$83*Q6</f>
        <v>0</v>
      </c>
      <c r="R87" s="175">
        <f t="shared" si="100"/>
        <v>0</v>
      </c>
      <c r="S87" s="175">
        <f t="shared" si="100"/>
        <v>0</v>
      </c>
      <c r="T87" s="175">
        <f t="shared" si="100"/>
        <v>0</v>
      </c>
      <c r="U87" s="175">
        <f t="shared" si="100"/>
        <v>0</v>
      </c>
      <c r="V87" s="175">
        <f t="shared" si="100"/>
        <v>0</v>
      </c>
      <c r="W87" s="175">
        <f t="shared" si="100"/>
        <v>0</v>
      </c>
      <c r="X87" s="175">
        <f t="shared" si="100"/>
        <v>0</v>
      </c>
      <c r="Y87" s="175">
        <f t="shared" si="100"/>
        <v>0</v>
      </c>
      <c r="Z87" s="195">
        <f t="shared" si="94"/>
        <v>0</v>
      </c>
      <c r="AA87" s="176">
        <f t="shared" si="99"/>
        <v>551326.2430608687</v>
      </c>
      <c r="AB87" s="176">
        <f>'Collections and ACP'!K107</f>
        <v>1392648.2258068149</v>
      </c>
      <c r="AC87" s="176">
        <f t="shared" si="95"/>
        <v>1943974.4688676836</v>
      </c>
      <c r="AD87" s="176">
        <f t="shared" si="96"/>
        <v>1695401.2195483041</v>
      </c>
      <c r="AE87" s="18">
        <f t="shared" si="97"/>
        <v>248573.24931937945</v>
      </c>
      <c r="AF87" s="19"/>
    </row>
    <row r="88" spans="1:34" x14ac:dyDescent="0.25">
      <c r="A88" s="174" t="s">
        <v>20</v>
      </c>
      <c r="B88" s="17">
        <f t="shared" si="88"/>
        <v>1362916.559101454</v>
      </c>
      <c r="C88" s="17">
        <f t="shared" si="88"/>
        <v>420380.53472991631</v>
      </c>
      <c r="D88" s="17">
        <f t="shared" si="88"/>
        <v>591314.94382879185</v>
      </c>
      <c r="E88" s="17">
        <f t="shared" si="88"/>
        <v>0</v>
      </c>
      <c r="F88" s="17">
        <f t="shared" si="88"/>
        <v>0</v>
      </c>
      <c r="G88" s="17">
        <f t="shared" si="88"/>
        <v>0</v>
      </c>
      <c r="H88" s="17"/>
      <c r="I88" s="17">
        <v>74566.48252909616</v>
      </c>
      <c r="J88" s="17">
        <f t="shared" si="89"/>
        <v>0</v>
      </c>
      <c r="K88" s="17">
        <f t="shared" si="89"/>
        <v>0</v>
      </c>
      <c r="L88" s="17">
        <f t="shared" si="89"/>
        <v>0</v>
      </c>
      <c r="M88" s="17">
        <f t="shared" si="90"/>
        <v>86684.335504653951</v>
      </c>
      <c r="N88" s="17"/>
      <c r="O88" s="17">
        <f t="shared" si="91"/>
        <v>250205.22285633616</v>
      </c>
      <c r="P88" s="17">
        <f t="shared" si="92"/>
        <v>2786068.0785502484</v>
      </c>
      <c r="Q88" s="175">
        <f t="shared" ref="Q88:Y88" si="101">$B$83*Q7</f>
        <v>0</v>
      </c>
      <c r="R88" s="175">
        <f t="shared" si="101"/>
        <v>0</v>
      </c>
      <c r="S88" s="175">
        <f t="shared" si="101"/>
        <v>0</v>
      </c>
      <c r="T88" s="175">
        <f t="shared" si="101"/>
        <v>0</v>
      </c>
      <c r="U88" s="175">
        <f t="shared" si="101"/>
        <v>0</v>
      </c>
      <c r="V88" s="175">
        <f t="shared" si="101"/>
        <v>0</v>
      </c>
      <c r="W88" s="175">
        <f t="shared" si="101"/>
        <v>0</v>
      </c>
      <c r="X88" s="175">
        <f t="shared" si="101"/>
        <v>0</v>
      </c>
      <c r="Y88" s="175">
        <f t="shared" si="101"/>
        <v>0</v>
      </c>
      <c r="Z88" s="195">
        <f t="shared" si="94"/>
        <v>0</v>
      </c>
      <c r="AA88" s="176">
        <f t="shared" si="99"/>
        <v>248573.24931937945</v>
      </c>
      <c r="AB88" s="176">
        <f>'Collections and ACP'!K108</f>
        <v>1383224.4391287609</v>
      </c>
      <c r="AC88" s="176">
        <f t="shared" si="95"/>
        <v>1631797.6884481404</v>
      </c>
      <c r="AD88" s="176">
        <f t="shared" si="96"/>
        <v>2786068.0785502484</v>
      </c>
      <c r="AE88" s="18">
        <f t="shared" si="97"/>
        <v>-1154270.390102108</v>
      </c>
      <c r="AF88" s="19"/>
    </row>
    <row r="89" spans="1:34" x14ac:dyDescent="0.25">
      <c r="A89" s="174" t="s">
        <v>22</v>
      </c>
      <c r="B89" s="17">
        <f t="shared" si="88"/>
        <v>472663.42780593893</v>
      </c>
      <c r="C89" s="17">
        <f t="shared" si="88"/>
        <v>472480.55606122117</v>
      </c>
      <c r="D89" s="17">
        <f t="shared" si="88"/>
        <v>694824.11772832682</v>
      </c>
      <c r="E89" s="17">
        <f t="shared" si="88"/>
        <v>550.12772472556344</v>
      </c>
      <c r="F89" s="17">
        <f t="shared" si="88"/>
        <v>4391.3361534635605</v>
      </c>
      <c r="G89" s="17">
        <f t="shared" si="88"/>
        <v>0</v>
      </c>
      <c r="H89" s="17"/>
      <c r="I89" s="17">
        <v>74566.48252909616</v>
      </c>
      <c r="J89" s="17">
        <f t="shared" si="89"/>
        <v>0</v>
      </c>
      <c r="K89" s="17">
        <f t="shared" si="89"/>
        <v>220211.80203423725</v>
      </c>
      <c r="L89" s="17">
        <f t="shared" si="89"/>
        <v>15560.98565232438</v>
      </c>
      <c r="M89" s="17">
        <f t="shared" si="90"/>
        <v>86114.780690070693</v>
      </c>
      <c r="N89" s="17"/>
      <c r="O89" s="17">
        <f t="shared" si="91"/>
        <v>250205.22285633616</v>
      </c>
      <c r="P89" s="17">
        <f t="shared" si="92"/>
        <v>2291568.8392357402</v>
      </c>
      <c r="Q89" s="175">
        <f t="shared" ref="Q89:Y89" si="102">$B$83*Q8</f>
        <v>802357.35211685312</v>
      </c>
      <c r="R89" s="175">
        <f t="shared" si="102"/>
        <v>83774.75124243804</v>
      </c>
      <c r="S89" s="175">
        <f t="shared" si="102"/>
        <v>0</v>
      </c>
      <c r="T89" s="175">
        <f t="shared" si="102"/>
        <v>43044.475334090828</v>
      </c>
      <c r="U89" s="175">
        <f t="shared" si="102"/>
        <v>0</v>
      </c>
      <c r="V89" s="175">
        <f t="shared" si="102"/>
        <v>93083.056936042238</v>
      </c>
      <c r="W89" s="175">
        <f t="shared" si="102"/>
        <v>0</v>
      </c>
      <c r="X89" s="175">
        <f t="shared" si="102"/>
        <v>0</v>
      </c>
      <c r="Y89" s="175">
        <f t="shared" si="102"/>
        <v>0</v>
      </c>
      <c r="Z89" s="195">
        <f t="shared" si="94"/>
        <v>1022259.6356294242</v>
      </c>
      <c r="AA89" s="176">
        <f t="shared" si="99"/>
        <v>-1154270.390102108</v>
      </c>
      <c r="AB89" s="176">
        <f>'Collections and ACP'!K109</f>
        <v>1387044.2350979969</v>
      </c>
      <c r="AC89" s="176">
        <f t="shared" si="95"/>
        <v>232773.84499588888</v>
      </c>
      <c r="AD89" s="176">
        <f t="shared" si="96"/>
        <v>3313828.4748651646</v>
      </c>
      <c r="AE89" s="18">
        <f t="shared" si="97"/>
        <v>-3081054.6298692757</v>
      </c>
      <c r="AF89" s="19"/>
    </row>
    <row r="90" spans="1:34" x14ac:dyDescent="0.25">
      <c r="A90" s="174" t="s">
        <v>23</v>
      </c>
      <c r="B90" s="17">
        <f t="shared" si="88"/>
        <v>0</v>
      </c>
      <c r="C90" s="17">
        <f t="shared" si="88"/>
        <v>355959.27544603945</v>
      </c>
      <c r="D90" s="17">
        <f t="shared" si="88"/>
        <v>721230.19116811675</v>
      </c>
      <c r="E90" s="17">
        <f t="shared" si="88"/>
        <v>7353.4682979084273</v>
      </c>
      <c r="F90" s="17">
        <f t="shared" si="88"/>
        <v>112334.63200014511</v>
      </c>
      <c r="G90" s="17">
        <f t="shared" si="88"/>
        <v>0</v>
      </c>
      <c r="H90" s="17"/>
      <c r="I90" s="17">
        <v>74566.48252909616</v>
      </c>
      <c r="J90" s="17">
        <f t="shared" si="89"/>
        <v>0</v>
      </c>
      <c r="K90" s="17">
        <f t="shared" si="89"/>
        <v>549720.18109226762</v>
      </c>
      <c r="L90" s="17">
        <f t="shared" si="89"/>
        <v>44277.992810563534</v>
      </c>
      <c r="M90" s="17">
        <f t="shared" si="90"/>
        <v>85810.029386952607</v>
      </c>
      <c r="N90" s="17"/>
      <c r="O90" s="17">
        <f t="shared" si="91"/>
        <v>250205.22285633616</v>
      </c>
      <c r="P90" s="17">
        <f t="shared" si="92"/>
        <v>2201457.4755874258</v>
      </c>
      <c r="Q90" s="175">
        <f t="shared" ref="Q90:Y90" si="103">$B$83*Q9</f>
        <v>770263.0580321789</v>
      </c>
      <c r="R90" s="175">
        <f t="shared" si="103"/>
        <v>159544.35958837645</v>
      </c>
      <c r="S90" s="175">
        <f t="shared" si="103"/>
        <v>69103.229281373729</v>
      </c>
      <c r="T90" s="175">
        <f t="shared" si="103"/>
        <v>84151.949278147556</v>
      </c>
      <c r="U90" s="175">
        <f t="shared" si="103"/>
        <v>28204.851045431198</v>
      </c>
      <c r="V90" s="175">
        <f t="shared" si="103"/>
        <v>177271.51065375155</v>
      </c>
      <c r="W90" s="175">
        <f t="shared" si="103"/>
        <v>0</v>
      </c>
      <c r="X90" s="175">
        <f t="shared" si="103"/>
        <v>0</v>
      </c>
      <c r="Y90" s="175">
        <f t="shared" si="103"/>
        <v>0</v>
      </c>
      <c r="Z90" s="195">
        <f t="shared" si="94"/>
        <v>1288538.9578792593</v>
      </c>
      <c r="AA90" s="176">
        <f t="shared" si="99"/>
        <v>-3081054.6298692757</v>
      </c>
      <c r="AB90" s="176">
        <f>'Collections and ACP'!K110</f>
        <v>1386156.5915539409</v>
      </c>
      <c r="AC90" s="176">
        <f t="shared" si="95"/>
        <v>-1694898.0383153348</v>
      </c>
      <c r="AD90" s="176">
        <f t="shared" si="96"/>
        <v>3489996.433466685</v>
      </c>
      <c r="AE90" s="18">
        <f t="shared" si="97"/>
        <v>-5184894.4717820194</v>
      </c>
      <c r="AF90" s="19"/>
    </row>
    <row r="91" spans="1:34" x14ac:dyDescent="0.25">
      <c r="A91" s="174" t="s">
        <v>24</v>
      </c>
      <c r="B91" s="17">
        <f t="shared" si="88"/>
        <v>0</v>
      </c>
      <c r="C91" s="17">
        <f t="shared" si="88"/>
        <v>292064.74164194299</v>
      </c>
      <c r="D91" s="17">
        <f t="shared" si="88"/>
        <v>614817.94831883919</v>
      </c>
      <c r="E91" s="17">
        <f t="shared" si="88"/>
        <v>12151.900909261434</v>
      </c>
      <c r="F91" s="17">
        <f t="shared" si="88"/>
        <v>129538.49732213584</v>
      </c>
      <c r="G91" s="17">
        <f t="shared" si="88"/>
        <v>0</v>
      </c>
      <c r="H91" s="17"/>
      <c r="I91" s="17">
        <v>74566.48252909616</v>
      </c>
      <c r="J91" s="17">
        <f t="shared" si="89"/>
        <v>136165.94575039504</v>
      </c>
      <c r="K91" s="17">
        <f t="shared" si="89"/>
        <v>623988.11021605076</v>
      </c>
      <c r="L91" s="17">
        <f t="shared" si="89"/>
        <v>62480.34346276625</v>
      </c>
      <c r="M91" s="17">
        <f t="shared" si="90"/>
        <v>84513.376400307563</v>
      </c>
      <c r="N91" s="17"/>
      <c r="O91" s="17">
        <f t="shared" si="91"/>
        <v>250205.22285633616</v>
      </c>
      <c r="P91" s="17">
        <f t="shared" si="92"/>
        <v>2280492.5694071311</v>
      </c>
      <c r="Q91" s="175">
        <f t="shared" ref="Q91:Y91" si="104">$B$83*Q10</f>
        <v>739452.53571089171</v>
      </c>
      <c r="R91" s="175">
        <f t="shared" si="104"/>
        <v>232283.18360047729</v>
      </c>
      <c r="S91" s="175">
        <f t="shared" si="104"/>
        <v>135096.81324508565</v>
      </c>
      <c r="T91" s="175">
        <f t="shared" si="104"/>
        <v>123400.97799965492</v>
      </c>
      <c r="U91" s="175">
        <f t="shared" si="104"/>
        <v>53714.57187985452</v>
      </c>
      <c r="V91" s="175">
        <f t="shared" si="104"/>
        <v>258092.42622275255</v>
      </c>
      <c r="W91" s="175">
        <f t="shared" si="104"/>
        <v>0</v>
      </c>
      <c r="X91" s="175">
        <f t="shared" si="104"/>
        <v>0</v>
      </c>
      <c r="Y91" s="175">
        <f t="shared" si="104"/>
        <v>0</v>
      </c>
      <c r="Z91" s="195">
        <f t="shared" si="94"/>
        <v>1542040.5086587165</v>
      </c>
      <c r="AA91" s="176">
        <f t="shared" si="99"/>
        <v>-5184894.4717820194</v>
      </c>
      <c r="AB91" s="176">
        <f>'Collections and ACP'!K111</f>
        <v>1390856.9158026592</v>
      </c>
      <c r="AC91" s="176">
        <f t="shared" si="95"/>
        <v>-3794037.5559793599</v>
      </c>
      <c r="AD91" s="176">
        <f t="shared" si="96"/>
        <v>3822533.0780658475</v>
      </c>
      <c r="AE91" s="18">
        <f t="shared" si="97"/>
        <v>-7616570.6340452079</v>
      </c>
      <c r="AF91" s="19"/>
    </row>
    <row r="92" spans="1:34" x14ac:dyDescent="0.25">
      <c r="A92" s="174" t="s">
        <v>25</v>
      </c>
      <c r="B92" s="17">
        <f t="shared" si="88"/>
        <v>0</v>
      </c>
      <c r="C92" s="17">
        <f t="shared" si="88"/>
        <v>269052.56919122586</v>
      </c>
      <c r="D92" s="17">
        <f t="shared" si="88"/>
        <v>514043.15680927481</v>
      </c>
      <c r="E92" s="17">
        <f t="shared" si="88"/>
        <v>11847.947401087811</v>
      </c>
      <c r="F92" s="17">
        <f t="shared" si="88"/>
        <v>128248.81575194896</v>
      </c>
      <c r="G92" s="17">
        <f t="shared" si="88"/>
        <v>0</v>
      </c>
      <c r="H92" s="17"/>
      <c r="I92" s="17">
        <v>74566.48252909616</v>
      </c>
      <c r="J92" s="17">
        <f t="shared" si="89"/>
        <v>124405.19737152493</v>
      </c>
      <c r="K92" s="17">
        <f t="shared" si="89"/>
        <v>571864.83430453134</v>
      </c>
      <c r="L92" s="17">
        <f t="shared" si="89"/>
        <v>59836.30697887767</v>
      </c>
      <c r="M92" s="17">
        <f t="shared" si="90"/>
        <v>84381.234313329071</v>
      </c>
      <c r="N92" s="17"/>
      <c r="O92" s="17">
        <f t="shared" si="91"/>
        <v>250205.22285633616</v>
      </c>
      <c r="P92" s="17">
        <f t="shared" si="92"/>
        <v>2088451.7675072327</v>
      </c>
      <c r="Q92" s="175">
        <f t="shared" ref="Q92:Y92" si="105">$B$83*Q11</f>
        <v>709874.43428245594</v>
      </c>
      <c r="R92" s="175">
        <f t="shared" si="105"/>
        <v>302112.45465209411</v>
      </c>
      <c r="S92" s="175">
        <f t="shared" si="105"/>
        <v>198106.86528457425</v>
      </c>
      <c r="T92" s="175">
        <f t="shared" si="105"/>
        <v>160866.97003883883</v>
      </c>
      <c r="U92" s="175">
        <f t="shared" si="105"/>
        <v>78203.903880900922</v>
      </c>
      <c r="V92" s="175">
        <f t="shared" si="105"/>
        <v>335680.50516899343</v>
      </c>
      <c r="W92" s="175">
        <f t="shared" si="105"/>
        <v>0</v>
      </c>
      <c r="X92" s="175">
        <f t="shared" si="105"/>
        <v>0</v>
      </c>
      <c r="Y92" s="175">
        <f t="shared" si="105"/>
        <v>0</v>
      </c>
      <c r="Z92" s="195">
        <f t="shared" si="94"/>
        <v>1784845.1333078577</v>
      </c>
      <c r="AA92" s="176">
        <f t="shared" si="99"/>
        <v>-7616570.6340452079</v>
      </c>
      <c r="AB92" s="176">
        <f>'Collections and ACP'!K112</f>
        <v>1392376.6614621279</v>
      </c>
      <c r="AC92" s="176">
        <f t="shared" si="95"/>
        <v>-6224193.9725830797</v>
      </c>
      <c r="AD92" s="176">
        <f t="shared" si="96"/>
        <v>3873296.9008150902</v>
      </c>
      <c r="AE92" s="18">
        <f t="shared" si="97"/>
        <v>-10097490.87339817</v>
      </c>
      <c r="AF92" s="19"/>
    </row>
    <row r="93" spans="1:34" x14ac:dyDescent="0.25">
      <c r="A93" s="174" t="s">
        <v>26</v>
      </c>
      <c r="B93" s="17">
        <f t="shared" si="88"/>
        <v>0</v>
      </c>
      <c r="C93" s="17">
        <f t="shared" si="88"/>
        <v>194270.217101335</v>
      </c>
      <c r="D93" s="17">
        <f t="shared" si="88"/>
        <v>498530.98434441106</v>
      </c>
      <c r="E93" s="17">
        <f t="shared" si="88"/>
        <v>11814.313664087438</v>
      </c>
      <c r="F93" s="17">
        <f t="shared" si="88"/>
        <v>128248.81575194896</v>
      </c>
      <c r="G93" s="17">
        <f t="shared" si="88"/>
        <v>0</v>
      </c>
      <c r="H93" s="17"/>
      <c r="I93" s="17">
        <v>74566.48252909616</v>
      </c>
      <c r="J93" s="17">
        <f t="shared" si="89"/>
        <v>118406.02774391945</v>
      </c>
      <c r="K93" s="17">
        <f t="shared" si="89"/>
        <v>544133.8425216584</v>
      </c>
      <c r="L93" s="17">
        <f t="shared" si="89"/>
        <v>58353.703040614964</v>
      </c>
      <c r="M93" s="17">
        <f t="shared" si="90"/>
        <v>84601.52654273402</v>
      </c>
      <c r="N93" s="17"/>
      <c r="O93" s="17">
        <f t="shared" si="91"/>
        <v>250205.22285633616</v>
      </c>
      <c r="P93" s="17">
        <f t="shared" si="92"/>
        <v>1963131.1360961418</v>
      </c>
      <c r="Q93" s="175">
        <f t="shared" ref="Q93:Y93" si="106">$B$83*Q12</f>
        <v>681479.45691115782</v>
      </c>
      <c r="R93" s="175">
        <f t="shared" si="106"/>
        <v>369148.55486164632</v>
      </c>
      <c r="S93" s="175">
        <f t="shared" si="106"/>
        <v>258254.44561963683</v>
      </c>
      <c r="T93" s="175">
        <f t="shared" si="106"/>
        <v>196622.31224065946</v>
      </c>
      <c r="U93" s="175">
        <f t="shared" si="106"/>
        <v>101713.66260190548</v>
      </c>
      <c r="V93" s="175">
        <f t="shared" si="106"/>
        <v>410165.0609573847</v>
      </c>
      <c r="W93" s="175">
        <f t="shared" si="106"/>
        <v>107775.89974536683</v>
      </c>
      <c r="X93" s="175">
        <f t="shared" si="106"/>
        <v>138451.06006755363</v>
      </c>
      <c r="Y93" s="175">
        <f t="shared" si="106"/>
        <v>20805.940409230061</v>
      </c>
      <c r="Z93" s="195">
        <f t="shared" si="94"/>
        <v>2284416.3934145411</v>
      </c>
      <c r="AA93" s="176">
        <f t="shared" si="99"/>
        <v>-10097490.87339817</v>
      </c>
      <c r="AB93" s="176">
        <f>'Collections and ACP'!K113</f>
        <v>1394834.1963444413</v>
      </c>
      <c r="AC93" s="176">
        <f t="shared" si="95"/>
        <v>-8702656.6770537291</v>
      </c>
      <c r="AD93" s="176">
        <f t="shared" si="96"/>
        <v>4247547.5295106824</v>
      </c>
      <c r="AE93" s="18">
        <f t="shared" si="97"/>
        <v>-12950204.206564412</v>
      </c>
      <c r="AF93" s="19"/>
    </row>
    <row r="94" spans="1:34" x14ac:dyDescent="0.25">
      <c r="A94" s="174" t="s">
        <v>27</v>
      </c>
      <c r="B94" s="17">
        <f t="shared" si="88"/>
        <v>0</v>
      </c>
      <c r="C94" s="17">
        <f t="shared" si="88"/>
        <v>188294.49200335742</v>
      </c>
      <c r="D94" s="17">
        <f t="shared" si="88"/>
        <v>496823.22005520429</v>
      </c>
      <c r="E94" s="17">
        <f t="shared" si="88"/>
        <v>11780.429671823165</v>
      </c>
      <c r="F94" s="17">
        <f t="shared" si="88"/>
        <v>128248.81575194896</v>
      </c>
      <c r="G94" s="17">
        <f t="shared" si="88"/>
        <v>0</v>
      </c>
      <c r="H94" s="17"/>
      <c r="I94" s="17">
        <v>74566.48252909616</v>
      </c>
      <c r="J94" s="17">
        <f t="shared" si="89"/>
        <v>109139.98356662779</v>
      </c>
      <c r="K94" s="17">
        <f t="shared" si="89"/>
        <v>503189.60651069577</v>
      </c>
      <c r="L94" s="17">
        <f t="shared" si="89"/>
        <v>56243.213481344239</v>
      </c>
      <c r="M94" s="17">
        <f t="shared" si="90"/>
        <v>84671.434674208955</v>
      </c>
      <c r="N94" s="17"/>
      <c r="O94" s="17">
        <f t="shared" si="91"/>
        <v>250205.22285633616</v>
      </c>
      <c r="P94" s="17">
        <f t="shared" si="92"/>
        <v>1903162.901100643</v>
      </c>
      <c r="Q94" s="175">
        <f t="shared" ref="Q94:Y94" si="107">$B$83*Q13</f>
        <v>654220.2786347114</v>
      </c>
      <c r="R94" s="175">
        <f t="shared" si="107"/>
        <v>433503.21106281626</v>
      </c>
      <c r="S94" s="175">
        <f t="shared" si="107"/>
        <v>315655.76346656471</v>
      </c>
      <c r="T94" s="175">
        <f t="shared" si="107"/>
        <v>230736.49064939053</v>
      </c>
      <c r="U94" s="175">
        <f t="shared" si="107"/>
        <v>124283.03097406981</v>
      </c>
      <c r="V94" s="175">
        <f t="shared" si="107"/>
        <v>481670.23451424029</v>
      </c>
      <c r="W94" s="175">
        <f t="shared" si="107"/>
        <v>190281.07198224377</v>
      </c>
      <c r="X94" s="175">
        <f t="shared" si="107"/>
        <v>261085.33442093828</v>
      </c>
      <c r="Y94" s="175">
        <f t="shared" si="107"/>
        <v>40650.794392963537</v>
      </c>
      <c r="Z94" s="195">
        <f t="shared" si="94"/>
        <v>2732086.2100979383</v>
      </c>
      <c r="AA94" s="176">
        <f t="shared" si="99"/>
        <v>-12950204.206564412</v>
      </c>
      <c r="AB94" s="176">
        <f>'Collections and ACP'!K114</f>
        <v>1395262.2697276347</v>
      </c>
      <c r="AC94" s="176">
        <f t="shared" si="95"/>
        <v>-11554941.936836777</v>
      </c>
      <c r="AD94" s="176">
        <f t="shared" si="96"/>
        <v>4635249.1111985818</v>
      </c>
      <c r="AE94" s="18">
        <f t="shared" si="97"/>
        <v>-16190191.048035359</v>
      </c>
      <c r="AF94" s="19"/>
    </row>
    <row r="95" spans="1:34" x14ac:dyDescent="0.25">
      <c r="A95" s="174" t="s">
        <v>28</v>
      </c>
      <c r="B95" s="17">
        <f t="shared" ref="B95:G104" si="108">B14*$B$83</f>
        <v>0</v>
      </c>
      <c r="C95" s="17">
        <f t="shared" si="108"/>
        <v>173717.59691994477</v>
      </c>
      <c r="D95" s="17">
        <f t="shared" si="108"/>
        <v>495127.15436139749</v>
      </c>
      <c r="E95" s="17">
        <f t="shared" si="108"/>
        <v>11746.600774748962</v>
      </c>
      <c r="F95" s="17">
        <f t="shared" si="108"/>
        <v>128248.81575194896</v>
      </c>
      <c r="G95" s="17">
        <f t="shared" si="108"/>
        <v>0</v>
      </c>
      <c r="H95" s="17"/>
      <c r="I95" s="17">
        <v>74566.48252909616</v>
      </c>
      <c r="J95" s="17">
        <f t="shared" si="89"/>
        <v>100527.31429927338</v>
      </c>
      <c r="K95" s="17">
        <f t="shared" si="89"/>
        <v>465322.98476126674</v>
      </c>
      <c r="L95" s="17">
        <f t="shared" si="89"/>
        <v>54279.971909880733</v>
      </c>
      <c r="M95" s="17">
        <f t="shared" si="90"/>
        <v>85186.806409157274</v>
      </c>
      <c r="N95" s="17"/>
      <c r="O95" s="17">
        <f t="shared" si="91"/>
        <v>250205.22285633616</v>
      </c>
      <c r="P95" s="17">
        <f t="shared" si="92"/>
        <v>1838928.9505730509</v>
      </c>
      <c r="Q95" s="175">
        <f t="shared" ref="Q95:Y95" si="109">$B$83*Q14</f>
        <v>628051.467489323</v>
      </c>
      <c r="R95" s="175">
        <f t="shared" si="109"/>
        <v>495283.68101593951</v>
      </c>
      <c r="S95" s="175">
        <f t="shared" si="109"/>
        <v>370422.37112125685</v>
      </c>
      <c r="T95" s="175">
        <f t="shared" si="109"/>
        <v>263276.20656728046</v>
      </c>
      <c r="U95" s="175">
        <f t="shared" si="109"/>
        <v>145949.62461134756</v>
      </c>
      <c r="V95" s="175">
        <f t="shared" si="109"/>
        <v>550315.2011288217</v>
      </c>
      <c r="W95" s="175">
        <f t="shared" si="109"/>
        <v>226873.5858249829</v>
      </c>
      <c r="X95" s="175">
        <f t="shared" si="109"/>
        <v>355696.28760114498</v>
      </c>
      <c r="Y95" s="175">
        <f t="shared" si="109"/>
        <v>58843.182284698385</v>
      </c>
      <c r="Z95" s="195">
        <f t="shared" si="94"/>
        <v>3094711.6076447954</v>
      </c>
      <c r="AA95" s="176">
        <f t="shared" si="99"/>
        <v>-16190191.048035359</v>
      </c>
      <c r="AB95" s="176">
        <f>'Collections and ACP'!K115</f>
        <v>1397617.7745758404</v>
      </c>
      <c r="AC95" s="176">
        <f t="shared" si="95"/>
        <v>-14792573.273459518</v>
      </c>
      <c r="AD95" s="176">
        <f t="shared" si="96"/>
        <v>4933640.5582178459</v>
      </c>
      <c r="AE95" s="18">
        <f t="shared" si="97"/>
        <v>-19726213.831677362</v>
      </c>
      <c r="AF95" s="19"/>
    </row>
    <row r="96" spans="1:34" x14ac:dyDescent="0.25">
      <c r="A96" s="174" t="s">
        <v>29</v>
      </c>
      <c r="B96" s="17">
        <f t="shared" si="108"/>
        <v>0</v>
      </c>
      <c r="C96" s="17">
        <f t="shared" si="108"/>
        <v>0</v>
      </c>
      <c r="D96" s="17">
        <f t="shared" si="108"/>
        <v>493437.64164245932</v>
      </c>
      <c r="E96" s="17">
        <f t="shared" si="108"/>
        <v>11713.119863098707</v>
      </c>
      <c r="F96" s="17">
        <f t="shared" si="108"/>
        <v>0</v>
      </c>
      <c r="G96" s="17">
        <f t="shared" si="108"/>
        <v>0</v>
      </c>
      <c r="H96" s="17"/>
      <c r="I96" s="17">
        <v>74566.48252909616</v>
      </c>
      <c r="J96" s="17">
        <f t="shared" si="89"/>
        <v>102546.8367481703</v>
      </c>
      <c r="K96" s="17">
        <f t="shared" si="89"/>
        <v>471244.04771223222</v>
      </c>
      <c r="L96" s="17">
        <f t="shared" si="89"/>
        <v>54401.00600069161</v>
      </c>
      <c r="M96" s="17">
        <f t="shared" si="90"/>
        <v>85672.526441422189</v>
      </c>
      <c r="N96" s="17"/>
      <c r="O96" s="17">
        <f t="shared" si="91"/>
        <v>250205.22285633616</v>
      </c>
      <c r="P96" s="17">
        <f t="shared" si="92"/>
        <v>1543786.8837935068</v>
      </c>
      <c r="Q96" s="175">
        <f t="shared" ref="Q96:Y96" si="110">$B$83*Q15</f>
        <v>602929.40878975007</v>
      </c>
      <c r="R96" s="175">
        <f t="shared" si="110"/>
        <v>475472.3337753021</v>
      </c>
      <c r="S96" s="175">
        <f t="shared" si="110"/>
        <v>422661.35027879459</v>
      </c>
      <c r="T96" s="175">
        <f t="shared" si="110"/>
        <v>294305.48797073547</v>
      </c>
      <c r="U96" s="175">
        <f t="shared" si="110"/>
        <v>166749.55450313425</v>
      </c>
      <c r="V96" s="175">
        <f t="shared" si="110"/>
        <v>528302.59308366873</v>
      </c>
      <c r="W96" s="175">
        <f t="shared" si="110"/>
        <v>229938.59980497285</v>
      </c>
      <c r="X96" s="175">
        <f t="shared" si="110"/>
        <v>393775.66215803934</v>
      </c>
      <c r="Y96" s="175">
        <f t="shared" si="110"/>
        <v>75813.177744219429</v>
      </c>
      <c r="Z96" s="195">
        <f t="shared" si="94"/>
        <v>3189948.168108617</v>
      </c>
      <c r="AA96" s="176">
        <f t="shared" si="99"/>
        <v>-19726213.831677362</v>
      </c>
      <c r="AB96" s="176">
        <f>'Collections and ACP'!K116</f>
        <v>1399139.0166404648</v>
      </c>
      <c r="AC96" s="176">
        <f t="shared" si="95"/>
        <v>-18327074.815036897</v>
      </c>
      <c r="AD96" s="176">
        <f t="shared" si="96"/>
        <v>4733735.0519021237</v>
      </c>
      <c r="AE96" s="18">
        <f t="shared" si="97"/>
        <v>-23060809.866939019</v>
      </c>
      <c r="AF96" s="19"/>
    </row>
    <row r="97" spans="1:34" x14ac:dyDescent="0.25">
      <c r="A97" s="174" t="s">
        <v>30</v>
      </c>
      <c r="B97" s="17">
        <f t="shared" si="108"/>
        <v>0</v>
      </c>
      <c r="C97" s="17">
        <f t="shared" si="108"/>
        <v>0</v>
      </c>
      <c r="D97" s="17">
        <f t="shared" si="108"/>
        <v>491755.76103351603</v>
      </c>
      <c r="E97" s="17">
        <f t="shared" si="108"/>
        <v>11227.25379694963</v>
      </c>
      <c r="F97" s="17">
        <f t="shared" si="108"/>
        <v>0</v>
      </c>
      <c r="G97" s="17">
        <f t="shared" si="108"/>
        <v>0</v>
      </c>
      <c r="H97" s="17"/>
      <c r="I97" s="17">
        <v>74566.48252909616</v>
      </c>
      <c r="J97" s="17">
        <f t="shared" si="89"/>
        <v>97735.621502268856</v>
      </c>
      <c r="K97" s="17">
        <f t="shared" si="89"/>
        <v>449337.19222904666</v>
      </c>
      <c r="L97" s="17">
        <f t="shared" si="89"/>
        <v>53198.759375709116</v>
      </c>
      <c r="M97" s="17">
        <f t="shared" si="90"/>
        <v>86242.750882583743</v>
      </c>
      <c r="N97" s="17"/>
      <c r="O97" s="17">
        <f t="shared" si="91"/>
        <v>250205.22285633616</v>
      </c>
      <c r="P97" s="17">
        <f t="shared" si="92"/>
        <v>1514269.0442055063</v>
      </c>
      <c r="Q97" s="175">
        <f t="shared" ref="Q97:Y97" si="111">$B$83*Q16</f>
        <v>578812.23243816011</v>
      </c>
      <c r="R97" s="175">
        <f t="shared" si="111"/>
        <v>456453.44042428996</v>
      </c>
      <c r="S97" s="175">
        <f t="shared" si="111"/>
        <v>472475.49090001889</v>
      </c>
      <c r="T97" s="175">
        <f t="shared" si="111"/>
        <v>323885.79646972159</v>
      </c>
      <c r="U97" s="175">
        <f t="shared" si="111"/>
        <v>160079.57232300885</v>
      </c>
      <c r="V97" s="175">
        <f t="shared" si="111"/>
        <v>507170.48936032201</v>
      </c>
      <c r="W97" s="175">
        <f t="shared" si="111"/>
        <v>308690.69369900489</v>
      </c>
      <c r="X97" s="175">
        <f t="shared" si="111"/>
        <v>474927.34674653906</v>
      </c>
      <c r="Y97" s="175">
        <f t="shared" si="111"/>
        <v>95246.04799920092</v>
      </c>
      <c r="Z97" s="195">
        <f t="shared" si="94"/>
        <v>3377741.1103602666</v>
      </c>
      <c r="AA97" s="176">
        <f t="shared" si="99"/>
        <v>-23060809.866939019</v>
      </c>
      <c r="AB97" s="176">
        <f>'Collections and ACP'!K117</f>
        <v>1401106.3387114073</v>
      </c>
      <c r="AC97" s="176">
        <f t="shared" si="95"/>
        <v>-21659703.528227612</v>
      </c>
      <c r="AD97" s="176">
        <f t="shared" si="96"/>
        <v>4892010.154565773</v>
      </c>
      <c r="AE97" s="18">
        <f t="shared" si="97"/>
        <v>-26551713.682793386</v>
      </c>
      <c r="AF97" s="19"/>
    </row>
    <row r="98" spans="1:34" x14ac:dyDescent="0.25">
      <c r="A98" s="174" t="s">
        <v>31</v>
      </c>
      <c r="B98" s="17">
        <f t="shared" si="108"/>
        <v>0</v>
      </c>
      <c r="C98" s="17">
        <f t="shared" si="108"/>
        <v>0</v>
      </c>
      <c r="D98" s="17">
        <f t="shared" si="108"/>
        <v>332777.40220365883</v>
      </c>
      <c r="E98" s="17">
        <f t="shared" si="108"/>
        <v>6604.8027788874051</v>
      </c>
      <c r="F98" s="17">
        <f t="shared" si="108"/>
        <v>0</v>
      </c>
      <c r="G98" s="17">
        <f t="shared" si="108"/>
        <v>0</v>
      </c>
      <c r="H98" s="17"/>
      <c r="I98" s="17">
        <v>69108.876913154963</v>
      </c>
      <c r="J98" s="17">
        <f t="shared" si="89"/>
        <v>91320.667841066956</v>
      </c>
      <c r="K98" s="17">
        <f t="shared" si="89"/>
        <v>421153.33017669991</v>
      </c>
      <c r="L98" s="17">
        <f t="shared" si="89"/>
        <v>51698.645062825053</v>
      </c>
      <c r="M98" s="17">
        <f t="shared" si="90"/>
        <v>86517.943816618557</v>
      </c>
      <c r="N98" s="17"/>
      <c r="O98" s="17">
        <f t="shared" si="91"/>
        <v>250205.22285633616</v>
      </c>
      <c r="P98" s="17">
        <f t="shared" si="92"/>
        <v>1309386.8916492481</v>
      </c>
      <c r="Q98" s="175">
        <f t="shared" ref="Q98:Y98" si="112">$B$83*Q17</f>
        <v>277829.87157031678</v>
      </c>
      <c r="R98" s="175">
        <f t="shared" si="112"/>
        <v>409186.8711937546</v>
      </c>
      <c r="S98" s="175">
        <f t="shared" si="112"/>
        <v>519963.46292323223</v>
      </c>
      <c r="T98" s="175">
        <f t="shared" si="112"/>
        <v>337171.248738016</v>
      </c>
      <c r="U98" s="175">
        <f t="shared" si="112"/>
        <v>153676.38943008849</v>
      </c>
      <c r="V98" s="175">
        <f t="shared" si="112"/>
        <v>454652.07910417166</v>
      </c>
      <c r="W98" s="175">
        <f t="shared" si="112"/>
        <v>278666.06695624441</v>
      </c>
      <c r="X98" s="175">
        <f t="shared" si="112"/>
        <v>499002.92945480981</v>
      </c>
      <c r="Y98" s="175">
        <f t="shared" si="112"/>
        <v>111968.94706580891</v>
      </c>
      <c r="Z98" s="195">
        <f t="shared" si="94"/>
        <v>3042117.8664364428</v>
      </c>
      <c r="AA98" s="176">
        <f t="shared" si="99"/>
        <v>-26551713.682793386</v>
      </c>
      <c r="AB98" s="176">
        <f>'Collections and ACP'!K118</f>
        <v>1401560.3120471651</v>
      </c>
      <c r="AC98" s="176">
        <f t="shared" si="95"/>
        <v>-25150153.370746221</v>
      </c>
      <c r="AD98" s="176">
        <f t="shared" si="96"/>
        <v>4351504.7580856904</v>
      </c>
      <c r="AE98" s="18">
        <f t="shared" si="97"/>
        <v>-29501658.128831912</v>
      </c>
      <c r="AF98" s="19"/>
    </row>
    <row r="99" spans="1:34" x14ac:dyDescent="0.25">
      <c r="A99" s="174" t="s">
        <v>32</v>
      </c>
      <c r="B99" s="17">
        <f t="shared" si="108"/>
        <v>0</v>
      </c>
      <c r="C99" s="17">
        <f t="shared" si="108"/>
        <v>0</v>
      </c>
      <c r="D99" s="17">
        <f t="shared" si="108"/>
        <v>331112.94698733831</v>
      </c>
      <c r="E99" s="17">
        <f t="shared" si="108"/>
        <v>6571.3218672371513</v>
      </c>
      <c r="F99" s="17">
        <f t="shared" si="108"/>
        <v>0</v>
      </c>
      <c r="G99" s="17">
        <f t="shared" si="108"/>
        <v>0</v>
      </c>
      <c r="H99" s="17"/>
      <c r="I99" s="17">
        <v>69108.876913154963</v>
      </c>
      <c r="J99" s="17">
        <f t="shared" si="89"/>
        <v>83480.168921820208</v>
      </c>
      <c r="K99" s="17">
        <f t="shared" si="89"/>
        <v>387505.07549046085</v>
      </c>
      <c r="L99" s="17">
        <f t="shared" si="89"/>
        <v>49939.324165546437</v>
      </c>
      <c r="M99" s="17">
        <f t="shared" si="90"/>
        <v>86964.799098689313</v>
      </c>
      <c r="N99" s="17"/>
      <c r="O99" s="17">
        <f t="shared" si="91"/>
        <v>250205.22285633616</v>
      </c>
      <c r="P99" s="17">
        <f t="shared" si="92"/>
        <v>1264887.7363005835</v>
      </c>
      <c r="Q99" s="175">
        <f t="shared" ref="Q99:Y99" si="113">$B$83*Q18</f>
        <v>266716.67670750414</v>
      </c>
      <c r="R99" s="175">
        <f t="shared" si="113"/>
        <v>365422.54426652758</v>
      </c>
      <c r="S99" s="175">
        <f t="shared" si="113"/>
        <v>541291.81335791864</v>
      </c>
      <c r="T99" s="175">
        <f t="shared" si="113"/>
        <v>349794.07849494333</v>
      </c>
      <c r="U99" s="175">
        <f t="shared" si="113"/>
        <v>137762.92475482158</v>
      </c>
      <c r="V99" s="175">
        <f t="shared" si="113"/>
        <v>406025.04918503057</v>
      </c>
      <c r="W99" s="175">
        <f t="shared" si="113"/>
        <v>220943.72204328777</v>
      </c>
      <c r="X99" s="175">
        <f t="shared" si="113"/>
        <v>506403.2486334616</v>
      </c>
      <c r="Y99" s="175">
        <f t="shared" si="113"/>
        <v>127137.42336142377</v>
      </c>
      <c r="Z99" s="195">
        <f t="shared" si="94"/>
        <v>2921497.4808049193</v>
      </c>
      <c r="AA99" s="176">
        <f t="shared" si="99"/>
        <v>-29501658.128831912</v>
      </c>
      <c r="AB99" s="176">
        <f>'Collections and ACP'!K119</f>
        <v>1402537.6583068424</v>
      </c>
      <c r="AC99" s="176">
        <f t="shared" si="95"/>
        <v>-28099120.470525071</v>
      </c>
      <c r="AD99" s="176">
        <f t="shared" si="96"/>
        <v>4186385.2171055027</v>
      </c>
      <c r="AE99" s="18">
        <f t="shared" si="97"/>
        <v>-32285505.687630575</v>
      </c>
      <c r="AF99" s="19"/>
    </row>
    <row r="100" spans="1:34" x14ac:dyDescent="0.25">
      <c r="A100" s="174" t="s">
        <v>33</v>
      </c>
      <c r="B100" s="17">
        <f t="shared" si="108"/>
        <v>0</v>
      </c>
      <c r="C100" s="17">
        <f t="shared" si="108"/>
        <v>0</v>
      </c>
      <c r="D100" s="17">
        <f t="shared" si="108"/>
        <v>329458.56573386455</v>
      </c>
      <c r="E100" s="17">
        <f t="shared" si="108"/>
        <v>6538.4291880658338</v>
      </c>
      <c r="F100" s="17">
        <f t="shared" si="108"/>
        <v>0</v>
      </c>
      <c r="G100" s="17">
        <f t="shared" si="108"/>
        <v>0</v>
      </c>
      <c r="H100" s="17"/>
      <c r="I100" s="17">
        <v>57733.748208491743</v>
      </c>
      <c r="J100" s="17">
        <f t="shared" si="89"/>
        <v>75520.874564403057</v>
      </c>
      <c r="K100" s="17">
        <f t="shared" si="89"/>
        <v>353707.24761487247</v>
      </c>
      <c r="L100" s="17">
        <f t="shared" si="89"/>
        <v>48173.677896968533</v>
      </c>
      <c r="M100" s="17">
        <f t="shared" si="90"/>
        <v>87292.653210694887</v>
      </c>
      <c r="N100" s="17"/>
      <c r="O100" s="17">
        <f t="shared" si="91"/>
        <v>250205.22285633616</v>
      </c>
      <c r="P100" s="17">
        <f t="shared" si="92"/>
        <v>1208630.4192736973</v>
      </c>
      <c r="Q100" s="175">
        <f t="shared" ref="Q100:Y100" si="114">$B$83*Q19</f>
        <v>256048.00963920393</v>
      </c>
      <c r="R100" s="175">
        <f t="shared" si="114"/>
        <v>323408.79041638965</v>
      </c>
      <c r="S100" s="175">
        <f t="shared" si="114"/>
        <v>561556.39533045946</v>
      </c>
      <c r="T100" s="175">
        <f t="shared" si="114"/>
        <v>361781.44666306133</v>
      </c>
      <c r="U100" s="175">
        <f t="shared" si="114"/>
        <v>123028.57694979111</v>
      </c>
      <c r="V100" s="175">
        <f t="shared" si="114"/>
        <v>359343.10046265501</v>
      </c>
      <c r="W100" s="175">
        <f t="shared" si="114"/>
        <v>133797.24292242585</v>
      </c>
      <c r="X100" s="175">
        <f t="shared" si="114"/>
        <v>495579.02143758221</v>
      </c>
      <c r="Y100" s="175">
        <f t="shared" si="114"/>
        <v>140524.62255916503</v>
      </c>
      <c r="Z100" s="195">
        <f t="shared" si="94"/>
        <v>2755067.2063807338</v>
      </c>
      <c r="AA100" s="176">
        <f t="shared" si="99"/>
        <v>-32285505.687630575</v>
      </c>
      <c r="AB100" s="176">
        <f>'Collections and ACP'!K120</f>
        <v>1403443.746156201</v>
      </c>
      <c r="AC100" s="176">
        <f t="shared" si="95"/>
        <v>-30882061.941474374</v>
      </c>
      <c r="AD100" s="176">
        <f t="shared" si="96"/>
        <v>3963697.6256544311</v>
      </c>
      <c r="AE100" s="18">
        <f t="shared" si="97"/>
        <v>-34845759.567128807</v>
      </c>
      <c r="AF100" s="19"/>
    </row>
    <row r="101" spans="1:34" x14ac:dyDescent="0.25">
      <c r="A101" s="174" t="s">
        <v>34</v>
      </c>
      <c r="B101" s="17">
        <f t="shared" si="108"/>
        <v>0</v>
      </c>
      <c r="C101" s="17">
        <f t="shared" si="108"/>
        <v>0</v>
      </c>
      <c r="D101" s="17">
        <f t="shared" si="108"/>
        <v>327811.64830235275</v>
      </c>
      <c r="E101" s="17">
        <f t="shared" si="108"/>
        <v>6505.8729348371689</v>
      </c>
      <c r="F101" s="17">
        <f t="shared" si="108"/>
        <v>0</v>
      </c>
      <c r="G101" s="17">
        <f t="shared" si="108"/>
        <v>0</v>
      </c>
      <c r="H101" s="17"/>
      <c r="I101" s="17">
        <v>19405.540851985119</v>
      </c>
      <c r="J101" s="17">
        <f t="shared" si="89"/>
        <v>69699.898094053147</v>
      </c>
      <c r="K101" s="17">
        <f t="shared" si="89"/>
        <v>328754.39722311706</v>
      </c>
      <c r="L101" s="17">
        <f t="shared" si="89"/>
        <v>46829.673312318599</v>
      </c>
      <c r="M101" s="17">
        <f t="shared" si="90"/>
        <v>87682.767303270288</v>
      </c>
      <c r="N101" s="17"/>
      <c r="O101" s="17">
        <f t="shared" si="91"/>
        <v>250205.22285633616</v>
      </c>
      <c r="P101" s="17">
        <f t="shared" si="92"/>
        <v>1136895.0208782703</v>
      </c>
      <c r="Q101" s="175">
        <f t="shared" ref="Q101:Y101" si="115">$B$83*Q20</f>
        <v>245806.08925363576</v>
      </c>
      <c r="R101" s="175">
        <f t="shared" si="115"/>
        <v>283075.58672025712</v>
      </c>
      <c r="S101" s="175">
        <f t="shared" si="115"/>
        <v>580800.81275156408</v>
      </c>
      <c r="T101" s="175">
        <f t="shared" si="115"/>
        <v>373159.42444791499</v>
      </c>
      <c r="U101" s="175">
        <f t="shared" si="115"/>
        <v>108883.60305696182</v>
      </c>
      <c r="V101" s="175">
        <f t="shared" si="115"/>
        <v>314528.42968917458</v>
      </c>
      <c r="W101" s="175">
        <f t="shared" si="115"/>
        <v>31788.573563897939</v>
      </c>
      <c r="X101" s="175">
        <f t="shared" si="115"/>
        <v>474255.30716874194</v>
      </c>
      <c r="Y101" s="175">
        <f t="shared" si="115"/>
        <v>152668.98475136978</v>
      </c>
      <c r="Z101" s="195">
        <f t="shared" si="94"/>
        <v>2564966.8114035181</v>
      </c>
      <c r="AA101" s="176">
        <f t="shared" si="99"/>
        <v>-34845759.567128807</v>
      </c>
      <c r="AB101" s="176">
        <f>'Collections and ACP'!K121</f>
        <v>1404281.1481969259</v>
      </c>
      <c r="AC101" s="176">
        <f t="shared" si="95"/>
        <v>-33441478.418931883</v>
      </c>
      <c r="AD101" s="176">
        <f t="shared" si="96"/>
        <v>3701861.8322817883</v>
      </c>
      <c r="AE101" s="18">
        <f t="shared" si="97"/>
        <v>-37143340.25121367</v>
      </c>
      <c r="AF101" s="19"/>
    </row>
    <row r="102" spans="1:34" x14ac:dyDescent="0.25">
      <c r="A102" s="174" t="s">
        <v>35</v>
      </c>
      <c r="B102" s="17">
        <f t="shared" si="108"/>
        <v>0</v>
      </c>
      <c r="C102" s="17">
        <f t="shared" si="108"/>
        <v>0</v>
      </c>
      <c r="D102" s="17">
        <f t="shared" si="108"/>
        <v>326172.27385773545</v>
      </c>
      <c r="E102" s="17">
        <f t="shared" si="108"/>
        <v>6472.4021815189626</v>
      </c>
      <c r="F102" s="17">
        <f t="shared" si="108"/>
        <v>0</v>
      </c>
      <c r="G102" s="17">
        <f t="shared" si="108"/>
        <v>0</v>
      </c>
      <c r="H102" s="17"/>
      <c r="I102" s="17"/>
      <c r="J102" s="17">
        <f t="shared" si="89"/>
        <v>62215.785489317619</v>
      </c>
      <c r="K102" s="17">
        <f t="shared" si="89"/>
        <v>297451.26334468531</v>
      </c>
      <c r="L102" s="17">
        <f t="shared" si="89"/>
        <v>45184.298570370818</v>
      </c>
      <c r="M102" s="17">
        <f t="shared" si="90"/>
        <v>87870.56684117805</v>
      </c>
      <c r="N102" s="17"/>
      <c r="O102" s="17">
        <f t="shared" si="91"/>
        <v>250205.22285633616</v>
      </c>
      <c r="P102" s="17">
        <f t="shared" si="92"/>
        <v>1075571.8131411425</v>
      </c>
      <c r="Q102" s="175">
        <f t="shared" ref="Q102:Y102" si="116">$B$83*Q21</f>
        <v>235973.8456834903</v>
      </c>
      <c r="R102" s="175">
        <f t="shared" si="116"/>
        <v>244355.71117197003</v>
      </c>
      <c r="S102" s="175">
        <f t="shared" si="116"/>
        <v>599066.92010965326</v>
      </c>
      <c r="T102" s="175">
        <f t="shared" si="116"/>
        <v>383953.03694311762</v>
      </c>
      <c r="U102" s="175">
        <f t="shared" si="116"/>
        <v>95304.428119845732</v>
      </c>
      <c r="V102" s="175">
        <f t="shared" si="116"/>
        <v>271506.34574663331</v>
      </c>
      <c r="W102" s="175">
        <f t="shared" si="116"/>
        <v>-52105.237659831895</v>
      </c>
      <c r="X102" s="175">
        <f t="shared" si="116"/>
        <v>461272.40712023794</v>
      </c>
      <c r="Y102" s="175">
        <f t="shared" si="116"/>
        <v>165135.08972987736</v>
      </c>
      <c r="Z102" s="195">
        <f t="shared" si="94"/>
        <v>2404462.5469649932</v>
      </c>
      <c r="AA102" s="176">
        <f t="shared" si="99"/>
        <v>-37143340.25121367</v>
      </c>
      <c r="AB102" s="176">
        <f>'Collections and ACP'!K122</f>
        <v>1405053.8283316598</v>
      </c>
      <c r="AC102" s="176">
        <f t="shared" si="95"/>
        <v>-35738286.422882013</v>
      </c>
      <c r="AD102" s="176">
        <f t="shared" si="96"/>
        <v>3480034.3601061357</v>
      </c>
      <c r="AE102" s="18">
        <f t="shared" si="97"/>
        <v>-39218320.782988146</v>
      </c>
      <c r="AF102" s="19"/>
    </row>
    <row r="103" spans="1:34" x14ac:dyDescent="0.25">
      <c r="A103" s="174" t="s">
        <v>36</v>
      </c>
      <c r="B103" s="17">
        <f t="shared" si="108"/>
        <v>0</v>
      </c>
      <c r="C103" s="17">
        <f t="shared" si="108"/>
        <v>0</v>
      </c>
      <c r="D103" s="17">
        <f t="shared" si="108"/>
        <v>324540.33891513251</v>
      </c>
      <c r="E103" s="17">
        <f t="shared" si="108"/>
        <v>6440.6483864810416</v>
      </c>
      <c r="F103" s="17">
        <f t="shared" si="108"/>
        <v>0</v>
      </c>
      <c r="G103" s="17">
        <f t="shared" si="108"/>
        <v>0</v>
      </c>
      <c r="H103" s="17"/>
      <c r="I103" s="17"/>
      <c r="J103" s="17">
        <f t="shared" si="89"/>
        <v>55325.650075434074</v>
      </c>
      <c r="K103" s="17">
        <f t="shared" si="89"/>
        <v>268795.08996755601</v>
      </c>
      <c r="L103" s="17">
        <f t="shared" si="89"/>
        <v>43665.648916827908</v>
      </c>
      <c r="M103" s="17">
        <f t="shared" si="90"/>
        <v>88286.171750419977</v>
      </c>
      <c r="N103" s="17"/>
      <c r="O103" s="17">
        <f t="shared" si="91"/>
        <v>250205.22285633616</v>
      </c>
      <c r="P103" s="17">
        <f t="shared" si="92"/>
        <v>1037258.7708681877</v>
      </c>
      <c r="Q103" s="175">
        <f t="shared" ref="Q103:Y103" si="117">$B$83*Q22</f>
        <v>226534.8918561507</v>
      </c>
      <c r="R103" s="175">
        <f t="shared" si="117"/>
        <v>207184.63064561438</v>
      </c>
      <c r="S103" s="175">
        <f t="shared" si="117"/>
        <v>616394.89247407799</v>
      </c>
      <c r="T103" s="175">
        <f t="shared" si="117"/>
        <v>394186.30499114655</v>
      </c>
      <c r="U103" s="175">
        <f t="shared" si="117"/>
        <v>82268.420180214263</v>
      </c>
      <c r="V103" s="175">
        <f t="shared" si="117"/>
        <v>230205.14516179365</v>
      </c>
      <c r="W103" s="175">
        <f t="shared" si="117"/>
        <v>-171728.35470744604</v>
      </c>
      <c r="X103" s="175">
        <f t="shared" si="117"/>
        <v>426276.68062338565</v>
      </c>
      <c r="Y103" s="175">
        <f t="shared" si="117"/>
        <v>175447.75064450747</v>
      </c>
      <c r="Z103" s="195">
        <f t="shared" si="94"/>
        <v>2186770.3618694446</v>
      </c>
      <c r="AA103" s="176">
        <f t="shared" si="99"/>
        <v>-39218320.782988146</v>
      </c>
      <c r="AB103" s="176">
        <f>'Collections and ACP'!K123</f>
        <v>1405763.6634163791</v>
      </c>
      <c r="AC103" s="176">
        <f t="shared" si="95"/>
        <v>-37812557.119571768</v>
      </c>
      <c r="AD103" s="176">
        <f t="shared" si="96"/>
        <v>3224029.1327376324</v>
      </c>
      <c r="AE103" s="18">
        <f t="shared" si="97"/>
        <v>-41036586.252309397</v>
      </c>
      <c r="AF103" s="19"/>
    </row>
    <row r="104" spans="1:34" x14ac:dyDescent="0.25">
      <c r="A104" s="174" t="s">
        <v>37</v>
      </c>
      <c r="B104" s="17">
        <f t="shared" si="108"/>
        <v>0</v>
      </c>
      <c r="C104" s="17">
        <f t="shared" si="108"/>
        <v>0</v>
      </c>
      <c r="D104" s="17">
        <f t="shared" si="108"/>
        <v>322918.54388947313</v>
      </c>
      <c r="E104" s="17">
        <f t="shared" si="108"/>
        <v>6408.3226723447169</v>
      </c>
      <c r="F104" s="17">
        <f t="shared" si="108"/>
        <v>0</v>
      </c>
      <c r="G104" s="17">
        <f t="shared" si="108"/>
        <v>0</v>
      </c>
      <c r="H104" s="17"/>
      <c r="I104" s="17"/>
      <c r="J104" s="17">
        <f t="shared" si="89"/>
        <v>48910.696414232181</v>
      </c>
      <c r="K104" s="17">
        <f t="shared" si="89"/>
        <v>242282.39186848368</v>
      </c>
      <c r="L104" s="17">
        <f t="shared" si="89"/>
        <v>42249.764050279438</v>
      </c>
      <c r="M104" s="17">
        <f t="shared" si="90"/>
        <v>88623.884531529911</v>
      </c>
      <c r="N104" s="17"/>
      <c r="O104" s="17">
        <f t="shared" si="91"/>
        <v>250205.22285633616</v>
      </c>
      <c r="P104" s="17">
        <f t="shared" si="92"/>
        <v>1001598.8262826792</v>
      </c>
      <c r="Q104" s="175">
        <f t="shared" ref="Q104:Y104" si="118">$B$83*Q23</f>
        <v>217473.49618190469</v>
      </c>
      <c r="R104" s="175">
        <f t="shared" si="118"/>
        <v>171500.39334031293</v>
      </c>
      <c r="S104" s="175">
        <f t="shared" si="118"/>
        <v>632823.2926980817</v>
      </c>
      <c r="T104" s="175">
        <f t="shared" si="118"/>
        <v>403882.28536962549</v>
      </c>
      <c r="U104" s="175">
        <f t="shared" si="118"/>
        <v>69753.852558168073</v>
      </c>
      <c r="V104" s="175">
        <f t="shared" si="118"/>
        <v>190555.99260034764</v>
      </c>
      <c r="W104" s="175">
        <f t="shared" si="118"/>
        <v>-294203.8112956229</v>
      </c>
      <c r="X104" s="175">
        <f t="shared" si="118"/>
        <v>388028.66471290024</v>
      </c>
      <c r="Y104" s="175">
        <f t="shared" si="118"/>
        <v>185162.33325680069</v>
      </c>
      <c r="Z104" s="195">
        <f t="shared" si="94"/>
        <v>1964976.4994225185</v>
      </c>
      <c r="AA104" s="176">
        <f t="shared" si="99"/>
        <v>-41036586.252309397</v>
      </c>
      <c r="AB104" s="176">
        <f>'Collections and ACP'!K124</f>
        <v>1406413.2693841213</v>
      </c>
      <c r="AC104" s="176">
        <f t="shared" si="95"/>
        <v>-39630172.982925273</v>
      </c>
      <c r="AD104" s="176">
        <f t="shared" si="96"/>
        <v>2966575.3257051976</v>
      </c>
      <c r="AE104" s="18">
        <f t="shared" si="97"/>
        <v>-42596748.308630474</v>
      </c>
      <c r="AF104" s="19"/>
    </row>
    <row r="105" spans="1:34" x14ac:dyDescent="0.25">
      <c r="A105" s="174" t="s">
        <v>38</v>
      </c>
      <c r="B105" s="17">
        <f t="shared" ref="B105:G108" si="119">B24*$B$83</f>
        <v>0</v>
      </c>
      <c r="C105" s="17">
        <f t="shared" si="119"/>
        <v>0</v>
      </c>
      <c r="D105" s="17">
        <f t="shared" si="119"/>
        <v>321302.31282747752</v>
      </c>
      <c r="E105" s="17">
        <f t="shared" si="119"/>
        <v>6376.4229075797821</v>
      </c>
      <c r="F105" s="17">
        <f t="shared" si="119"/>
        <v>0</v>
      </c>
      <c r="G105" s="17">
        <f t="shared" si="119"/>
        <v>0</v>
      </c>
      <c r="H105" s="17"/>
      <c r="I105" s="20"/>
      <c r="J105" s="17">
        <f t="shared" si="89"/>
        <v>42079.958719433867</v>
      </c>
      <c r="K105" s="17">
        <f t="shared" si="89"/>
        <v>214404.95130600553</v>
      </c>
      <c r="L105" s="17">
        <f t="shared" si="89"/>
        <v>40769.71507754409</v>
      </c>
      <c r="M105" s="17">
        <f t="shared" si="90"/>
        <v>89027.155242579771</v>
      </c>
      <c r="N105" s="17"/>
      <c r="O105" s="17">
        <f t="shared" si="91"/>
        <v>250205.22285633616</v>
      </c>
      <c r="P105" s="17">
        <f t="shared" si="92"/>
        <v>964165.73893695674</v>
      </c>
      <c r="Q105" s="175">
        <f t="shared" ref="Q105:Y105" si="120">$B$83*Q24</f>
        <v>208774.55633462849</v>
      </c>
      <c r="R105" s="175">
        <f t="shared" si="120"/>
        <v>164640.37760670044</v>
      </c>
      <c r="S105" s="175">
        <f t="shared" si="120"/>
        <v>648389.13593351026</v>
      </c>
      <c r="T105" s="175">
        <f t="shared" si="120"/>
        <v>413063.10937007476</v>
      </c>
      <c r="U105" s="175">
        <f t="shared" si="120"/>
        <v>57739.867641003737</v>
      </c>
      <c r="V105" s="175">
        <f t="shared" si="120"/>
        <v>182933.75289633375</v>
      </c>
      <c r="W105" s="175">
        <f t="shared" si="120"/>
        <v>-420082.05891464552</v>
      </c>
      <c r="X105" s="175">
        <f t="shared" si="120"/>
        <v>346427.45090925245</v>
      </c>
      <c r="Y105" s="175">
        <f t="shared" si="120"/>
        <v>194299.66937299108</v>
      </c>
      <c r="Z105" s="195">
        <f t="shared" si="94"/>
        <v>1796185.8611498494</v>
      </c>
      <c r="AA105" s="176">
        <f t="shared" si="99"/>
        <v>-42596748.308630474</v>
      </c>
      <c r="AB105" s="176">
        <f>'Collections and ACP'!K125</f>
        <v>1407005.4105150374</v>
      </c>
      <c r="AC105" s="176">
        <f t="shared" si="95"/>
        <v>-41189742.898115434</v>
      </c>
      <c r="AD105" s="176">
        <f>P105+Z105</f>
        <v>2760351.6000868063</v>
      </c>
      <c r="AE105" s="18">
        <f>AC105-AD105</f>
        <v>-43950094.498202242</v>
      </c>
      <c r="AF105" s="19"/>
    </row>
    <row r="106" spans="1:34" x14ac:dyDescent="0.25">
      <c r="A106" s="174" t="s">
        <v>39</v>
      </c>
      <c r="B106" s="17">
        <f t="shared" si="119"/>
        <v>0</v>
      </c>
      <c r="C106" s="17">
        <f t="shared" si="119"/>
        <v>0</v>
      </c>
      <c r="D106" s="17">
        <f t="shared" si="119"/>
        <v>319697.89930844476</v>
      </c>
      <c r="E106" s="17">
        <f t="shared" si="119"/>
        <v>6345.0023358576627</v>
      </c>
      <c r="F106" s="17">
        <f t="shared" si="119"/>
        <v>0</v>
      </c>
      <c r="G106" s="17">
        <f t="shared" si="119"/>
        <v>0</v>
      </c>
      <c r="H106" s="17"/>
      <c r="I106" s="20"/>
      <c r="J106" s="17">
        <f t="shared" si="89"/>
        <v>35249.221024635561</v>
      </c>
      <c r="K106" s="17">
        <f t="shared" si="89"/>
        <v>186800.2280893554</v>
      </c>
      <c r="L106" s="17">
        <f t="shared" si="89"/>
        <v>39303.410350434831</v>
      </c>
      <c r="M106" s="17">
        <f t="shared" si="90"/>
        <v>89304.719657535548</v>
      </c>
      <c r="N106" s="17"/>
      <c r="O106" s="17">
        <f t="shared" si="91"/>
        <v>250205.22285633616</v>
      </c>
      <c r="P106" s="17">
        <f t="shared" si="92"/>
        <v>926905.70362259995</v>
      </c>
      <c r="Q106" s="175">
        <f t="shared" ref="Q106:Y106" si="121">$B$83*Q25</f>
        <v>0</v>
      </c>
      <c r="R106" s="175">
        <f t="shared" si="121"/>
        <v>137128.38223374233</v>
      </c>
      <c r="S106" s="175">
        <f t="shared" si="121"/>
        <v>663127.95156480523</v>
      </c>
      <c r="T106" s="175">
        <f t="shared" si="121"/>
        <v>410997.79382322449</v>
      </c>
      <c r="U106" s="175">
        <f t="shared" si="121"/>
        <v>55430.27293536358</v>
      </c>
      <c r="V106" s="175">
        <f t="shared" si="121"/>
        <v>152364.86914860253</v>
      </c>
      <c r="W106" s="175">
        <f t="shared" si="121"/>
        <v>-564300.34936903766</v>
      </c>
      <c r="X106" s="175">
        <f t="shared" si="121"/>
        <v>292783.80371490499</v>
      </c>
      <c r="Y106" s="175">
        <f t="shared" si="121"/>
        <v>202097.9833579245</v>
      </c>
      <c r="Z106" s="195">
        <f t="shared" si="94"/>
        <v>1349630.7074095299</v>
      </c>
      <c r="AA106" s="176">
        <f t="shared" si="99"/>
        <v>-43950094.498202242</v>
      </c>
      <c r="AB106" s="176">
        <f>'Collections and ACP'!K126</f>
        <v>1407542.7546521276</v>
      </c>
      <c r="AC106" s="176">
        <f>AA106+AB106</f>
        <v>-42542551.743550114</v>
      </c>
      <c r="AD106" s="176">
        <f>P106+Z106</f>
        <v>2276536.41103213</v>
      </c>
      <c r="AE106" s="18">
        <f>AC106-AD106</f>
        <v>-44819088.154582247</v>
      </c>
      <c r="AF106" s="19"/>
    </row>
    <row r="107" spans="1:34" x14ac:dyDescent="0.25">
      <c r="A107" s="174" t="s">
        <v>40</v>
      </c>
      <c r="B107" s="17">
        <f t="shared" si="119"/>
        <v>0</v>
      </c>
      <c r="C107" s="17">
        <f t="shared" si="119"/>
        <v>0</v>
      </c>
      <c r="D107" s="17">
        <f t="shared" si="119"/>
        <v>318099.3384899029</v>
      </c>
      <c r="E107" s="17">
        <f t="shared" si="119"/>
        <v>6313.2957795658167</v>
      </c>
      <c r="F107" s="17">
        <f t="shared" si="119"/>
        <v>0</v>
      </c>
      <c r="G107" s="17">
        <f t="shared" si="119"/>
        <v>0</v>
      </c>
      <c r="H107" s="17"/>
      <c r="I107" s="20"/>
      <c r="J107" s="17">
        <f t="shared" si="89"/>
        <v>-44280.999578018665</v>
      </c>
      <c r="K107" s="17">
        <f t="shared" si="89"/>
        <v>-171465.13545484166</v>
      </c>
      <c r="L107" s="17">
        <f t="shared" si="89"/>
        <v>-8153.0391388138705</v>
      </c>
      <c r="M107" s="17">
        <f t="shared" si="90"/>
        <v>89587.44353205114</v>
      </c>
      <c r="N107" s="17"/>
      <c r="O107" s="17">
        <f t="shared" si="91"/>
        <v>250205.22285633616</v>
      </c>
      <c r="P107" s="17">
        <f t="shared" si="92"/>
        <v>440306.12648618181</v>
      </c>
      <c r="Q107" s="175">
        <f t="shared" ref="Q107:Y107" si="122">$B$83*Q26</f>
        <v>0</v>
      </c>
      <c r="R107" s="175">
        <f t="shared" si="122"/>
        <v>111879.44335729649</v>
      </c>
      <c r="S107" s="175">
        <f t="shared" si="122"/>
        <v>659812.31180698122</v>
      </c>
      <c r="T107" s="175">
        <f t="shared" si="122"/>
        <v>408942.8048541082</v>
      </c>
      <c r="U107" s="175">
        <f t="shared" si="122"/>
        <v>46167.676270513221</v>
      </c>
      <c r="V107" s="175">
        <f t="shared" si="122"/>
        <v>124310.49261921825</v>
      </c>
      <c r="W107" s="175">
        <f t="shared" si="122"/>
        <v>-720028.08007482113</v>
      </c>
      <c r="X107" s="175">
        <f t="shared" si="122"/>
        <v>231143.47163916565</v>
      </c>
      <c r="Y107" s="175">
        <f t="shared" si="122"/>
        <v>208912.15307070094</v>
      </c>
      <c r="Z107" s="195">
        <f t="shared" si="94"/>
        <v>1071140.2735431632</v>
      </c>
      <c r="AA107" s="176">
        <f t="shared" ref="AA107:AA108" si="123">AE106</f>
        <v>-44819088.154582247</v>
      </c>
      <c r="AB107" s="176">
        <f>'Collections and ACP'!K127</f>
        <v>1408025.8004604876</v>
      </c>
      <c r="AC107" s="176">
        <f>AA107+AB107</f>
        <v>-43411062.35412176</v>
      </c>
      <c r="AD107" s="176">
        <f>P107+Z107</f>
        <v>1511446.4000293449</v>
      </c>
      <c r="AE107" s="18">
        <f>AC107-AD107</f>
        <v>-44922508.754151106</v>
      </c>
      <c r="AF107" s="175"/>
      <c r="AG107" s="175"/>
      <c r="AH107" s="181"/>
    </row>
    <row r="108" spans="1:34" x14ac:dyDescent="0.25">
      <c r="A108" s="174" t="s">
        <v>172</v>
      </c>
      <c r="B108" s="17">
        <f t="shared" si="119"/>
        <v>0</v>
      </c>
      <c r="C108" s="17">
        <f t="shared" si="119"/>
        <v>0</v>
      </c>
      <c r="D108" s="17">
        <f t="shared" si="119"/>
        <v>256432.00022193152</v>
      </c>
      <c r="E108" s="17">
        <f t="shared" si="119"/>
        <v>6281.2830221222393</v>
      </c>
      <c r="F108" s="17">
        <f t="shared" si="119"/>
        <v>0</v>
      </c>
      <c r="G108" s="17">
        <f t="shared" si="119"/>
        <v>0</v>
      </c>
      <c r="H108" s="17"/>
      <c r="I108" s="20"/>
      <c r="J108" s="17">
        <f t="shared" si="89"/>
        <v>0</v>
      </c>
      <c r="K108" s="17">
        <f t="shared" si="89"/>
        <v>0</v>
      </c>
      <c r="L108" s="17">
        <f t="shared" si="89"/>
        <v>0</v>
      </c>
      <c r="M108" s="17">
        <f t="shared" si="90"/>
        <v>89587.44353205114</v>
      </c>
      <c r="N108" s="17"/>
      <c r="O108" s="17">
        <f t="shared" si="91"/>
        <v>250205.22285633616</v>
      </c>
      <c r="P108" s="17">
        <f t="shared" si="92"/>
        <v>602505.94963244104</v>
      </c>
      <c r="Q108" s="175">
        <f t="shared" ref="Q108:Y108" si="124">$B$83*Q27</f>
        <v>0</v>
      </c>
      <c r="R108" s="175">
        <f t="shared" si="124"/>
        <v>0</v>
      </c>
      <c r="S108" s="175">
        <f t="shared" si="124"/>
        <v>0</v>
      </c>
      <c r="T108" s="175">
        <f t="shared" si="124"/>
        <v>0</v>
      </c>
      <c r="U108" s="175">
        <f t="shared" si="124"/>
        <v>0</v>
      </c>
      <c r="V108" s="175">
        <f t="shared" si="124"/>
        <v>0</v>
      </c>
      <c r="W108" s="175">
        <f t="shared" si="124"/>
        <v>-876681.57010517328</v>
      </c>
      <c r="X108" s="175">
        <f t="shared" si="124"/>
        <v>-527262.82376446668</v>
      </c>
      <c r="Y108" s="175">
        <f t="shared" si="124"/>
        <v>-48876.709578239468</v>
      </c>
      <c r="Z108" s="195">
        <f t="shared" si="94"/>
        <v>-1452821.1034478792</v>
      </c>
      <c r="AA108" s="176">
        <f t="shared" si="123"/>
        <v>-44922508.754151106</v>
      </c>
      <c r="AB108" s="176">
        <f>'Collections and ACP'!K127</f>
        <v>1408025.8004604876</v>
      </c>
      <c r="AC108" s="176">
        <f>AA108+AB108</f>
        <v>-43514482.953690618</v>
      </c>
      <c r="AD108" s="176">
        <f>P108+Z108</f>
        <v>-850315.15381543816</v>
      </c>
      <c r="AE108" s="18">
        <f>AC108-AD108</f>
        <v>-42664167.799875177</v>
      </c>
      <c r="AF108" s="175"/>
      <c r="AG108" s="175">
        <f>AE108-AF108</f>
        <v>-42664167.799875177</v>
      </c>
      <c r="AH108" s="181">
        <v>2556726062.8057499</v>
      </c>
    </row>
  </sheetData>
  <printOptions horizontalCentered="1" verticalCentered="1"/>
  <pageMargins left="0.25" right="0.25" top="0.75" bottom="0.75" header="0.3" footer="0.3"/>
  <pageSetup scale="21" orientation="landscape" r:id="rId1"/>
  <headerFooter>
    <oddHeader>&amp;C&amp;A</oddHeader>
  </headerFooter>
  <customProperties>
    <customPr name="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22A5F-F494-4B41-82DB-AFED39B65ED8}">
  <dimension ref="B2:AL267"/>
  <sheetViews>
    <sheetView zoomScale="70" zoomScaleNormal="70" workbookViewId="0">
      <selection activeCell="O65" sqref="O65"/>
    </sheetView>
  </sheetViews>
  <sheetFormatPr defaultRowHeight="15" x14ac:dyDescent="0.25"/>
  <cols>
    <col min="1" max="1" width="8.5703125" customWidth="1"/>
    <col min="2" max="2" width="10.5703125" bestFit="1" customWidth="1"/>
    <col min="3" max="3" width="22.7109375" customWidth="1"/>
    <col min="4" max="4" width="21.5703125" bestFit="1" customWidth="1"/>
    <col min="5" max="5" width="22.5703125" bestFit="1" customWidth="1"/>
    <col min="6" max="6" width="22.42578125" bestFit="1" customWidth="1"/>
    <col min="7" max="7" width="22.5703125" bestFit="1" customWidth="1"/>
    <col min="8" max="8" width="21.5703125" bestFit="1" customWidth="1"/>
    <col min="9" max="9" width="22.5703125" bestFit="1" customWidth="1"/>
    <col min="10" max="10" width="26.85546875" bestFit="1" customWidth="1"/>
    <col min="11" max="11" width="18.5703125" customWidth="1"/>
    <col min="12" max="12" width="13.85546875" bestFit="1" customWidth="1"/>
    <col min="13" max="13" width="16.28515625" customWidth="1"/>
    <col min="14" max="15" width="13.85546875" bestFit="1" customWidth="1"/>
    <col min="16" max="22" width="15.140625" bestFit="1" customWidth="1"/>
    <col min="23" max="23" width="14.85546875" bestFit="1" customWidth="1"/>
    <col min="24" max="24" width="14.42578125" bestFit="1" customWidth="1"/>
    <col min="25" max="25" width="14.85546875" bestFit="1" customWidth="1"/>
    <col min="26" max="26" width="14.42578125" bestFit="1" customWidth="1"/>
    <col min="27" max="31" width="13.85546875" bestFit="1" customWidth="1"/>
    <col min="32" max="32" width="9.42578125" customWidth="1"/>
  </cols>
  <sheetData>
    <row r="2" spans="3:38" x14ac:dyDescent="0.25">
      <c r="C2" t="s">
        <v>249</v>
      </c>
    </row>
    <row r="4" spans="3:38" x14ac:dyDescent="0.25">
      <c r="C4" s="179" t="s">
        <v>1</v>
      </c>
      <c r="D4" s="179" t="s">
        <v>250</v>
      </c>
      <c r="E4" s="179" t="s">
        <v>251</v>
      </c>
      <c r="F4" s="179" t="s">
        <v>252</v>
      </c>
      <c r="G4" s="172"/>
      <c r="AJ4" t="s">
        <v>253</v>
      </c>
      <c r="AK4" t="s">
        <v>254</v>
      </c>
      <c r="AL4" t="s">
        <v>255</v>
      </c>
    </row>
    <row r="5" spans="3:38" x14ac:dyDescent="0.25">
      <c r="C5" s="180" t="s">
        <v>256</v>
      </c>
      <c r="D5" s="13">
        <f>'Total REC Deliveries'!T4</f>
        <v>2560409</v>
      </c>
      <c r="E5" s="13">
        <f>'Total REC Deliveries'!S4</f>
        <v>778217.89229999995</v>
      </c>
      <c r="F5" s="13">
        <f>D5+E5</f>
        <v>3338626.8922999999</v>
      </c>
      <c r="G5" s="172"/>
    </row>
    <row r="6" spans="3:38" x14ac:dyDescent="0.25">
      <c r="C6" s="180" t="s">
        <v>257</v>
      </c>
      <c r="D6" s="13">
        <f>'Total REC Deliveries'!T5</f>
        <v>3895928</v>
      </c>
      <c r="E6" s="13">
        <f>'Total REC Deliveries'!S5</f>
        <v>2090131.1079333334</v>
      </c>
      <c r="F6" s="13">
        <f t="shared" ref="F6:F27" si="0">D6+E6</f>
        <v>5986059.1079333331</v>
      </c>
      <c r="G6" s="172"/>
    </row>
    <row r="7" spans="3:38" x14ac:dyDescent="0.25">
      <c r="C7" s="180" t="s">
        <v>258</v>
      </c>
      <c r="D7" s="13">
        <f>'Total REC Deliveries'!T6</f>
        <v>3895928</v>
      </c>
      <c r="E7" s="13">
        <f>'Total REC Deliveries'!S6</f>
        <v>3341140.2002666667</v>
      </c>
      <c r="F7" s="13">
        <f t="shared" si="0"/>
        <v>7237068.2002666667</v>
      </c>
      <c r="G7" s="172"/>
      <c r="H7" s="172"/>
    </row>
    <row r="8" spans="3:38" x14ac:dyDescent="0.25">
      <c r="C8" s="180" t="s">
        <v>259</v>
      </c>
      <c r="D8" s="13">
        <f>'Total REC Deliveries'!T7</f>
        <v>3895928</v>
      </c>
      <c r="E8" s="13">
        <f>'Total REC Deliveries'!S7</f>
        <v>3956911.9221383333</v>
      </c>
      <c r="F8" s="13">
        <f t="shared" si="0"/>
        <v>7852839.9221383333</v>
      </c>
      <c r="G8" s="172"/>
      <c r="H8" s="172"/>
      <c r="I8" s="31"/>
      <c r="J8" s="31"/>
    </row>
    <row r="9" spans="3:38" x14ac:dyDescent="0.25">
      <c r="C9" s="180" t="s">
        <v>260</v>
      </c>
      <c r="D9" s="13">
        <f>'Total REC Deliveries'!T8</f>
        <v>3895928</v>
      </c>
      <c r="E9" s="13">
        <f>'Total REC Deliveries'!S8</f>
        <v>4638050.2654006416</v>
      </c>
      <c r="F9" s="13">
        <f t="shared" si="0"/>
        <v>8533978.2654006407</v>
      </c>
      <c r="G9" s="172"/>
      <c r="H9" s="172"/>
      <c r="I9" s="31"/>
      <c r="J9" s="31"/>
    </row>
    <row r="10" spans="3:38" x14ac:dyDescent="0.25">
      <c r="C10" s="180" t="s">
        <v>261</v>
      </c>
      <c r="D10" s="13">
        <f>'Total REC Deliveries'!T9</f>
        <v>3895928</v>
      </c>
      <c r="E10" s="13">
        <f>'Total REC Deliveries'!S9</f>
        <v>8502352.2219466381</v>
      </c>
      <c r="F10" s="13">
        <f t="shared" si="0"/>
        <v>12398280.221946638</v>
      </c>
      <c r="G10" s="172"/>
      <c r="H10" s="172"/>
      <c r="I10" s="31"/>
      <c r="J10" s="31"/>
    </row>
    <row r="11" spans="3:38" x14ac:dyDescent="0.25">
      <c r="C11" s="180" t="s">
        <v>262</v>
      </c>
      <c r="D11" s="13">
        <f>'Total REC Deliveries'!T10</f>
        <v>3895928</v>
      </c>
      <c r="E11" s="13">
        <f>'Total REC Deliveries'!S10</f>
        <v>11067357.178709906</v>
      </c>
      <c r="F11" s="13">
        <f t="shared" si="0"/>
        <v>14963285.178709906</v>
      </c>
      <c r="G11" s="172"/>
    </row>
    <row r="12" spans="3:38" x14ac:dyDescent="0.25">
      <c r="C12" s="180" t="s">
        <v>263</v>
      </c>
      <c r="D12" s="13">
        <f>'Total REC Deliveries'!T11</f>
        <v>5082908</v>
      </c>
      <c r="E12" s="13">
        <f>'Total REC Deliveries'!S11</f>
        <v>11954170.980689354</v>
      </c>
      <c r="F12" s="13">
        <f t="shared" si="0"/>
        <v>17037078.980689354</v>
      </c>
      <c r="G12" s="172"/>
    </row>
    <row r="13" spans="3:38" x14ac:dyDescent="0.25">
      <c r="C13" s="180" t="s">
        <v>264</v>
      </c>
      <c r="D13" s="13">
        <f>'Total REC Deliveries'!T12</f>
        <v>5082908</v>
      </c>
      <c r="E13" s="13">
        <f>'Total REC Deliveries'!S12</f>
        <v>11989457.603658909</v>
      </c>
      <c r="F13" s="13">
        <f>D13+E13</f>
        <v>17072365.603658907</v>
      </c>
      <c r="G13" s="172"/>
    </row>
    <row r="14" spans="3:38" x14ac:dyDescent="0.25">
      <c r="C14" s="180" t="s">
        <v>265</v>
      </c>
      <c r="D14" s="13">
        <f>'Total REC Deliveries'!T13</f>
        <v>5082908</v>
      </c>
      <c r="E14" s="13">
        <f>'Total REC Deliveries'!S13</f>
        <v>12024593.923513616</v>
      </c>
      <c r="F14" s="13">
        <f t="shared" si="0"/>
        <v>17107501.923513614</v>
      </c>
      <c r="G14" s="172"/>
    </row>
    <row r="15" spans="3:38" x14ac:dyDescent="0.25">
      <c r="C15" s="180" t="s">
        <v>266</v>
      </c>
      <c r="D15" s="13">
        <f>'Total REC Deliveries'!T14</f>
        <v>5082908</v>
      </c>
      <c r="E15" s="13">
        <f>'Total REC Deliveries'!S14</f>
        <v>11974522.426769046</v>
      </c>
      <c r="F15" s="13">
        <f t="shared" si="0"/>
        <v>17057430.426769048</v>
      </c>
      <c r="G15" s="172"/>
    </row>
    <row r="16" spans="3:38" x14ac:dyDescent="0.25">
      <c r="C16" s="32" t="s">
        <v>267</v>
      </c>
      <c r="D16" s="13">
        <f>'Total REC Deliveries'!T15</f>
        <v>5082908</v>
      </c>
      <c r="E16" s="13">
        <f>'Total REC Deliveries'!S15</f>
        <v>11924793.592508199</v>
      </c>
      <c r="F16" s="13">
        <f t="shared" si="0"/>
        <v>17007701.592508197</v>
      </c>
      <c r="G16" s="172"/>
    </row>
    <row r="17" spans="2:10" x14ac:dyDescent="0.25">
      <c r="C17" s="180" t="s">
        <v>268</v>
      </c>
      <c r="D17" s="13">
        <f>'Total REC Deliveries'!T16</f>
        <v>3252499</v>
      </c>
      <c r="E17" s="13">
        <f>'Total REC Deliveries'!S16</f>
        <v>11843602.76741866</v>
      </c>
      <c r="F17" s="13">
        <f t="shared" si="0"/>
        <v>15096101.76741866</v>
      </c>
      <c r="G17" s="172"/>
    </row>
    <row r="18" spans="2:10" x14ac:dyDescent="0.25">
      <c r="C18" s="180" t="s">
        <v>269</v>
      </c>
      <c r="D18" s="13">
        <f>'Total REC Deliveries'!T17</f>
        <v>2822499</v>
      </c>
      <c r="E18" s="13">
        <f>'Total REC Deliveries'!S17</f>
        <v>11794061.301454565</v>
      </c>
      <c r="F18" s="13">
        <f t="shared" si="0"/>
        <v>14616560.301454565</v>
      </c>
      <c r="G18" s="172"/>
    </row>
    <row r="19" spans="2:10" x14ac:dyDescent="0.25">
      <c r="C19" s="180" t="s">
        <v>270</v>
      </c>
      <c r="D19" s="13">
        <f>'Total REC Deliveries'!T18</f>
        <v>2822499</v>
      </c>
      <c r="E19" s="13">
        <f>'Total REC Deliveries'!S18</f>
        <v>11201212.547820294</v>
      </c>
      <c r="F19" s="13">
        <f t="shared" si="0"/>
        <v>14023711.547820294</v>
      </c>
      <c r="G19" s="172"/>
    </row>
    <row r="20" spans="2:10" x14ac:dyDescent="0.25">
      <c r="C20" s="180" t="s">
        <v>271</v>
      </c>
      <c r="D20" s="13">
        <f>'Total REC Deliveries'!T19</f>
        <v>2522499</v>
      </c>
      <c r="E20" s="13">
        <f>'Total REC Deliveries'!S19</f>
        <v>11076578.570654191</v>
      </c>
      <c r="F20" s="13">
        <f t="shared" si="0"/>
        <v>13599077.570654191</v>
      </c>
      <c r="G20" s="172"/>
    </row>
    <row r="21" spans="2:10" x14ac:dyDescent="0.25">
      <c r="C21" s="180" t="s">
        <v>272</v>
      </c>
      <c r="D21" s="13">
        <f>'Total REC Deliveries'!T20</f>
        <v>1186980</v>
      </c>
      <c r="E21" s="13">
        <f>'Total REC Deliveries'!S20</f>
        <v>8683409.0319124218</v>
      </c>
      <c r="F21" s="13">
        <f t="shared" si="0"/>
        <v>9870389.0319124218</v>
      </c>
      <c r="G21" s="172"/>
    </row>
    <row r="22" spans="2:10" x14ac:dyDescent="0.25">
      <c r="C22" s="180" t="s">
        <v>273</v>
      </c>
      <c r="D22" s="13">
        <f>'Total REC Deliveries'!T21</f>
        <v>1186980</v>
      </c>
      <c r="E22" s="13">
        <f>'Total REC Deliveries'!S21</f>
        <v>8450755.5667528585</v>
      </c>
      <c r="F22" s="13">
        <f t="shared" si="0"/>
        <v>9637735.5667528585</v>
      </c>
      <c r="G22" s="172"/>
    </row>
    <row r="23" spans="2:10" x14ac:dyDescent="0.25">
      <c r="C23" s="180" t="s">
        <v>274</v>
      </c>
      <c r="D23" s="13">
        <f>'Total REC Deliveries'!T22</f>
        <v>1186980</v>
      </c>
      <c r="E23" s="13">
        <f>'Total REC Deliveries'!S22</f>
        <v>8030017.2589190947</v>
      </c>
      <c r="F23" s="13">
        <f t="shared" si="0"/>
        <v>9216997.2589190938</v>
      </c>
      <c r="G23" s="172"/>
    </row>
    <row r="24" spans="2:10" x14ac:dyDescent="0.25">
      <c r="C24" s="180" t="s">
        <v>275</v>
      </c>
      <c r="D24" s="13">
        <f>'Total REC Deliveries'!T23</f>
        <v>1186980</v>
      </c>
      <c r="E24" s="13">
        <f>'Total REC Deliveries'!S23</f>
        <v>7674817.4776244992</v>
      </c>
      <c r="F24" s="13">
        <f t="shared" si="0"/>
        <v>8861797.4776244983</v>
      </c>
      <c r="G24" s="172"/>
    </row>
    <row r="25" spans="2:10" x14ac:dyDescent="0.25">
      <c r="C25" s="180" t="s">
        <v>276</v>
      </c>
      <c r="D25" s="13">
        <f>'Total REC Deliveries'!T24</f>
        <v>1186980</v>
      </c>
      <c r="E25" s="13">
        <f>'Total REC Deliveries'!S24</f>
        <v>7281818.5952363759</v>
      </c>
      <c r="F25" s="13">
        <f t="shared" si="0"/>
        <v>8468798.5952363759</v>
      </c>
      <c r="G25" s="172"/>
    </row>
    <row r="26" spans="2:10" x14ac:dyDescent="0.25">
      <c r="C26" s="180" t="s">
        <v>277</v>
      </c>
      <c r="D26" s="13">
        <f>'Total REC Deliveries'!T25</f>
        <v>1186980</v>
      </c>
      <c r="E26" s="13">
        <f>'Total REC Deliveries'!S25</f>
        <v>7216841.9872601945</v>
      </c>
      <c r="F26" s="13">
        <f t="shared" si="0"/>
        <v>8403821.9872601945</v>
      </c>
      <c r="G26" s="172"/>
    </row>
    <row r="27" spans="2:10" x14ac:dyDescent="0.25">
      <c r="C27" s="180" t="s">
        <v>278</v>
      </c>
      <c r="D27" s="13">
        <f>'Total REC Deliveries'!T26</f>
        <v>1186980</v>
      </c>
      <c r="E27" s="13">
        <f>'Total REC Deliveries'!S26</f>
        <v>7180702.0323238932</v>
      </c>
      <c r="F27" s="13">
        <f t="shared" si="0"/>
        <v>8367682.0323238932</v>
      </c>
      <c r="G27" s="172"/>
    </row>
    <row r="28" spans="2:10" x14ac:dyDescent="0.25">
      <c r="G28" s="172"/>
    </row>
    <row r="29" spans="2:10" x14ac:dyDescent="0.25">
      <c r="B29" s="33" t="s">
        <v>279</v>
      </c>
      <c r="C29" t="s">
        <v>280</v>
      </c>
    </row>
    <row r="30" spans="2:10" x14ac:dyDescent="0.25">
      <c r="C30" s="179" t="s">
        <v>1</v>
      </c>
      <c r="D30" s="179" t="s">
        <v>281</v>
      </c>
      <c r="E30" s="179" t="s">
        <v>282</v>
      </c>
      <c r="F30" s="179" t="s">
        <v>283</v>
      </c>
      <c r="G30" s="179" t="s">
        <v>284</v>
      </c>
      <c r="H30" s="179" t="s">
        <v>250</v>
      </c>
      <c r="I30" s="179" t="s">
        <v>251</v>
      </c>
      <c r="J30" s="179" t="s">
        <v>252</v>
      </c>
    </row>
    <row r="31" spans="2:10" x14ac:dyDescent="0.25">
      <c r="C31" s="180" t="s">
        <v>256</v>
      </c>
      <c r="D31" s="13">
        <f t="shared" ref="D31:E46" si="1">D5</f>
        <v>2560409</v>
      </c>
      <c r="E31" s="13">
        <f>E5</f>
        <v>778217.89229999995</v>
      </c>
      <c r="F31" s="13">
        <f>'Total REC Deliveries'!AB3</f>
        <v>0</v>
      </c>
      <c r="G31" s="28">
        <f>'Total REC Deliveries'!V3+'Total REC Deliveries'!W3+'Total REC Deliveries'!X3+'Total REC Deliveries'!Y3+'Total REC Deliveries'!Z3+'Total REC Deliveries'!AA3+'Total REC Deliveries'!AC3+'Total REC Deliveries'!AD3+'Total REC Deliveries'!AE3+'Total REC Deliveries'!AF3</f>
        <v>0</v>
      </c>
      <c r="H31" s="28">
        <f>D31+G31</f>
        <v>2560409</v>
      </c>
      <c r="I31" s="28">
        <f>E31+G31</f>
        <v>778217.89229999995</v>
      </c>
      <c r="J31" s="28">
        <f t="shared" ref="J31:J53" si="2">H31+I31</f>
        <v>3338626.8922999999</v>
      </c>
    </row>
    <row r="32" spans="2:10" x14ac:dyDescent="0.25">
      <c r="C32" s="180" t="s">
        <v>257</v>
      </c>
      <c r="D32" s="13">
        <f t="shared" si="1"/>
        <v>3895928</v>
      </c>
      <c r="E32" s="13">
        <f t="shared" si="1"/>
        <v>2090131.1079333334</v>
      </c>
      <c r="F32" s="13">
        <f>'Total REC Deliveries'!AB4</f>
        <v>0</v>
      </c>
      <c r="G32" s="28">
        <f>'Total REC Deliveries'!V4+'Total REC Deliveries'!W4+'Total REC Deliveries'!X4+'Total REC Deliveries'!Y4+'Total REC Deliveries'!Z4+'Total REC Deliveries'!AA4+'Total REC Deliveries'!AC4+'Total REC Deliveries'!AD4+'Total REC Deliveries'!AE4+'Total REC Deliveries'!AF4</f>
        <v>0</v>
      </c>
      <c r="H32" s="28">
        <f t="shared" ref="H32:H53" si="3">D32+F32</f>
        <v>3895928</v>
      </c>
      <c r="I32" s="28">
        <f t="shared" ref="I32:I53" si="4">E32+G32</f>
        <v>2090131.1079333334</v>
      </c>
      <c r="J32" s="28">
        <f t="shared" si="2"/>
        <v>5986059.1079333331</v>
      </c>
    </row>
    <row r="33" spans="3:10" x14ac:dyDescent="0.25">
      <c r="C33" s="180" t="s">
        <v>258</v>
      </c>
      <c r="D33" s="13">
        <f t="shared" si="1"/>
        <v>3895928</v>
      </c>
      <c r="E33" s="13">
        <f t="shared" si="1"/>
        <v>3341140.2002666667</v>
      </c>
      <c r="F33" s="13">
        <f>'Total REC Deliveries'!AB5</f>
        <v>0</v>
      </c>
      <c r="G33" s="28">
        <f>'Total REC Deliveries'!V5+'Total REC Deliveries'!W5+'Total REC Deliveries'!X5+'Total REC Deliveries'!Y5+'Total REC Deliveries'!Z5+'Total REC Deliveries'!AA5+'Total REC Deliveries'!AC5+'Total REC Deliveries'!AD5+'Total REC Deliveries'!AE5+'Total REC Deliveries'!AF5</f>
        <v>0</v>
      </c>
      <c r="H33" s="28">
        <f t="shared" si="3"/>
        <v>3895928</v>
      </c>
      <c r="I33" s="28">
        <f t="shared" si="4"/>
        <v>3341140.2002666667</v>
      </c>
      <c r="J33" s="28">
        <f t="shared" si="2"/>
        <v>7237068.2002666667</v>
      </c>
    </row>
    <row r="34" spans="3:10" x14ac:dyDescent="0.25">
      <c r="C34" s="180" t="s">
        <v>259</v>
      </c>
      <c r="D34" s="13">
        <f t="shared" si="1"/>
        <v>3895928</v>
      </c>
      <c r="E34" s="13">
        <f t="shared" si="1"/>
        <v>3956911.9221383333</v>
      </c>
      <c r="F34" s="13">
        <f>'Total REC Deliveries'!AB6</f>
        <v>0</v>
      </c>
      <c r="G34" s="28">
        <f>'Total REC Deliveries'!V6+'Total REC Deliveries'!W6+'Total REC Deliveries'!X6+'Total REC Deliveries'!Y6+'Total REC Deliveries'!Z6+'Total REC Deliveries'!AA6+'Total REC Deliveries'!AC6+'Total REC Deliveries'!AD6+'Total REC Deliveries'!AE6+'Total REC Deliveries'!AF6</f>
        <v>0</v>
      </c>
      <c r="H34" s="28">
        <f t="shared" si="3"/>
        <v>3895928</v>
      </c>
      <c r="I34" s="28">
        <f t="shared" si="4"/>
        <v>3956911.9221383333</v>
      </c>
      <c r="J34" s="28">
        <f t="shared" si="2"/>
        <v>7852839.9221383333</v>
      </c>
    </row>
    <row r="35" spans="3:10" x14ac:dyDescent="0.25">
      <c r="C35" s="180" t="s">
        <v>260</v>
      </c>
      <c r="D35" s="13">
        <f t="shared" si="1"/>
        <v>3895928</v>
      </c>
      <c r="E35" s="13">
        <f t="shared" si="1"/>
        <v>4638050.2654006416</v>
      </c>
      <c r="F35" s="13">
        <f>'Total REC Deliveries'!AB7</f>
        <v>0</v>
      </c>
      <c r="G35" s="28">
        <f>'Total REC Deliveries'!V7+'Total REC Deliveries'!W7+'Total REC Deliveries'!X7+'Total REC Deliveries'!Y7+'Total REC Deliveries'!Z7+'Total REC Deliveries'!AA7+'Total REC Deliveries'!AC7+'Total REC Deliveries'!AD7+'Total REC Deliveries'!AE7+'Total REC Deliveries'!AF7</f>
        <v>47000</v>
      </c>
      <c r="H35" s="28">
        <f t="shared" si="3"/>
        <v>3895928</v>
      </c>
      <c r="I35" s="28">
        <f t="shared" si="4"/>
        <v>4685050.2654006416</v>
      </c>
      <c r="J35" s="28">
        <f t="shared" si="2"/>
        <v>8580978.2654006407</v>
      </c>
    </row>
    <row r="36" spans="3:10" x14ac:dyDescent="0.25">
      <c r="C36" s="180" t="s">
        <v>261</v>
      </c>
      <c r="D36" s="13">
        <f t="shared" si="1"/>
        <v>3895928</v>
      </c>
      <c r="E36" s="13">
        <f t="shared" si="1"/>
        <v>8502352.2219466381</v>
      </c>
      <c r="F36" s="13">
        <f>'Total REC Deliveries'!AB8</f>
        <v>0</v>
      </c>
      <c r="G36" s="28">
        <f>'Total REC Deliveries'!V8+'Total REC Deliveries'!W8+'Total REC Deliveries'!X8+'Total REC Deliveries'!Y8+'Total REC Deliveries'!Z8+'Total REC Deliveries'!AA8+'Total REC Deliveries'!AC8+'Total REC Deliveries'!AD8+'Total REC Deliveries'!AE8+'Total REC Deliveries'!AF8</f>
        <v>472640</v>
      </c>
      <c r="H36" s="28">
        <f t="shared" si="3"/>
        <v>3895928</v>
      </c>
      <c r="I36" s="28">
        <f t="shared" si="4"/>
        <v>8974992.2219466381</v>
      </c>
      <c r="J36" s="28">
        <f t="shared" si="2"/>
        <v>12870920.221946638</v>
      </c>
    </row>
    <row r="37" spans="3:10" x14ac:dyDescent="0.25">
      <c r="C37" s="180" t="s">
        <v>262</v>
      </c>
      <c r="D37" s="13">
        <f t="shared" si="1"/>
        <v>3895928</v>
      </c>
      <c r="E37" s="13">
        <f t="shared" si="1"/>
        <v>11067357.178709906</v>
      </c>
      <c r="F37" s="13">
        <f>'Total REC Deliveries'!AB9</f>
        <v>0</v>
      </c>
      <c r="G37" s="28">
        <f>'Total REC Deliveries'!V9+'Total REC Deliveries'!W9+'Total REC Deliveries'!X9+'Total REC Deliveries'!Y9+'Total REC Deliveries'!Z9+'Total REC Deliveries'!AA9+'Total REC Deliveries'!AC9+'Total REC Deliveries'!AD9+'Total REC Deliveries'!AE9+'Total REC Deliveries'!AF9</f>
        <v>1121678.9224801133</v>
      </c>
      <c r="H37" s="28">
        <f t="shared" si="3"/>
        <v>3895928</v>
      </c>
      <c r="I37" s="28">
        <f t="shared" si="4"/>
        <v>12189036.101190019</v>
      </c>
      <c r="J37" s="28">
        <f t="shared" si="2"/>
        <v>16084964.101190019</v>
      </c>
    </row>
    <row r="38" spans="3:10" x14ac:dyDescent="0.25">
      <c r="C38" s="180" t="s">
        <v>263</v>
      </c>
      <c r="D38" s="13">
        <f t="shared" si="1"/>
        <v>5082908</v>
      </c>
      <c r="E38" s="13">
        <f t="shared" si="1"/>
        <v>11954170.980689354</v>
      </c>
      <c r="F38" s="13">
        <f>'Total REC Deliveries'!AB10</f>
        <v>0</v>
      </c>
      <c r="G38" s="28">
        <f>'Total REC Deliveries'!V10+'Total REC Deliveries'!W10+'Total REC Deliveries'!X10+'Total REC Deliveries'!Y10+'Total REC Deliveries'!Z10+'Total REC Deliveries'!AA10+'Total REC Deliveries'!AC10+'Total REC Deliveries'!AD10+'Total REC Deliveries'!AE10+'Total REC Deliveries'!AF10</f>
        <v>2073943.8455118262</v>
      </c>
      <c r="H38" s="28">
        <f t="shared" si="3"/>
        <v>5082908</v>
      </c>
      <c r="I38" s="28">
        <f t="shared" si="4"/>
        <v>14028114.82620118</v>
      </c>
      <c r="J38" s="28">
        <f t="shared" si="2"/>
        <v>19111022.826201178</v>
      </c>
    </row>
    <row r="39" spans="3:10" x14ac:dyDescent="0.25">
      <c r="C39" s="180" t="s">
        <v>264</v>
      </c>
      <c r="D39" s="13">
        <f t="shared" si="1"/>
        <v>5082908</v>
      </c>
      <c r="E39" s="13">
        <f t="shared" si="1"/>
        <v>11989457.603658909</v>
      </c>
      <c r="F39" s="13">
        <f>'Total REC Deliveries'!AB11</f>
        <v>0</v>
      </c>
      <c r="G39" s="28">
        <f>'Total REC Deliveries'!V11+'Total REC Deliveries'!W11+'Total REC Deliveries'!X11+'Total REC Deliveries'!Y11+'Total REC Deliveries'!Z11+'Total REC Deliveries'!AA11+'Total REC Deliveries'!AC11+'Total REC Deliveries'!AD11+'Total REC Deliveries'!AE11+'Total REC Deliveries'!AF11</f>
        <v>3021681.2689283807</v>
      </c>
      <c r="H39" s="28">
        <f t="shared" si="3"/>
        <v>5082908</v>
      </c>
      <c r="I39" s="28">
        <f t="shared" si="4"/>
        <v>15011138.87258729</v>
      </c>
      <c r="J39" s="28">
        <f t="shared" si="2"/>
        <v>20094046.87258729</v>
      </c>
    </row>
    <row r="40" spans="3:10" x14ac:dyDescent="0.25">
      <c r="C40" s="180" t="s">
        <v>265</v>
      </c>
      <c r="D40" s="13">
        <f t="shared" si="1"/>
        <v>5082908</v>
      </c>
      <c r="E40" s="13">
        <f t="shared" si="1"/>
        <v>12024593.923513616</v>
      </c>
      <c r="F40" s="13">
        <f>'Total REC Deliveries'!AB12</f>
        <v>2500000</v>
      </c>
      <c r="G40" s="28">
        <f>'Total REC Deliveries'!V12+'Total REC Deliveries'!W12+'Total REC Deliveries'!X12+'Total REC Deliveries'!Y12+'Total REC Deliveries'!Z12+'Total REC Deliveries'!AA12+'Total REC Deliveries'!AC12+'Total REC Deliveries'!AD12+'Total REC Deliveries'!AE12+'Total REC Deliveries'!AF12</f>
        <v>5549913.8302278519</v>
      </c>
      <c r="H40" s="28">
        <f t="shared" si="3"/>
        <v>7582908</v>
      </c>
      <c r="I40" s="28">
        <f t="shared" si="4"/>
        <v>17574507.753741466</v>
      </c>
      <c r="J40" s="28">
        <f t="shared" si="2"/>
        <v>25157415.753741466</v>
      </c>
    </row>
    <row r="41" spans="3:10" x14ac:dyDescent="0.25">
      <c r="C41" s="180" t="s">
        <v>266</v>
      </c>
      <c r="D41" s="13">
        <f t="shared" si="1"/>
        <v>5082908</v>
      </c>
      <c r="E41" s="13">
        <f t="shared" si="1"/>
        <v>11974522.426769046</v>
      </c>
      <c r="F41" s="13">
        <f>'Total REC Deliveries'!AB13</f>
        <v>5000000</v>
      </c>
      <c r="G41" s="28">
        <f>'Total REC Deliveries'!V13+'Total REC Deliveries'!W13+'Total REC Deliveries'!X13+'Total REC Deliveries'!Y13+'Total REC Deliveries'!Z13+'Total REC Deliveries'!AA13+'Total REC Deliveries'!AC13+'Total REC Deliveries'!AD13+'Total REC Deliveries'!AE13+'Total REC Deliveries'!AF13</f>
        <v>8054135.7078561634</v>
      </c>
      <c r="H41" s="28">
        <f t="shared" si="3"/>
        <v>10082908</v>
      </c>
      <c r="I41" s="28">
        <f t="shared" si="4"/>
        <v>20028658.134625211</v>
      </c>
      <c r="J41" s="28">
        <f t="shared" si="2"/>
        <v>30111566.134625211</v>
      </c>
    </row>
    <row r="42" spans="3:10" x14ac:dyDescent="0.25">
      <c r="C42" s="32" t="s">
        <v>267</v>
      </c>
      <c r="D42" s="13">
        <f t="shared" si="1"/>
        <v>5082908</v>
      </c>
      <c r="E42" s="13">
        <f t="shared" si="1"/>
        <v>11924793.592508199</v>
      </c>
      <c r="F42" s="13">
        <f>'Total REC Deliveries'!AB14</f>
        <v>7500000</v>
      </c>
      <c r="G42" s="28">
        <f>'Total REC Deliveries'!V14+'Total REC Deliveries'!W14+'Total REC Deliveries'!X14+'Total REC Deliveries'!Y14+'Total REC Deliveries'!Z14+'Total REC Deliveries'!AA14+'Total REC Deliveries'!AC14+'Total REC Deliveries'!AD14+'Total REC Deliveries'!AE14+'Total REC Deliveries'!AF14</f>
        <v>10546012.284367012</v>
      </c>
      <c r="H42" s="28">
        <f t="shared" si="3"/>
        <v>12582908</v>
      </c>
      <c r="I42" s="28">
        <f t="shared" si="4"/>
        <v>22470805.876875211</v>
      </c>
      <c r="J42" s="28">
        <f t="shared" si="2"/>
        <v>35053713.876875207</v>
      </c>
    </row>
    <row r="43" spans="3:10" x14ac:dyDescent="0.25">
      <c r="C43" s="180" t="s">
        <v>268</v>
      </c>
      <c r="D43" s="13">
        <f t="shared" si="1"/>
        <v>3252499</v>
      </c>
      <c r="E43" s="13">
        <f t="shared" si="1"/>
        <v>11843602.76741866</v>
      </c>
      <c r="F43" s="13">
        <f>'Total REC Deliveries'!AB15</f>
        <v>10000000</v>
      </c>
      <c r="G43" s="28">
        <f>'Total REC Deliveries'!V15+'Total REC Deliveries'!W15+'Total REC Deliveries'!X15+'Total REC Deliveries'!Y15+'Total REC Deliveries'!Z15+'Total REC Deliveries'!AA15+'Total REC Deliveries'!AC15+'Total REC Deliveries'!AD15+'Total REC Deliveries'!AE15+'Total REC Deliveries'!AF15</f>
        <v>12525605.286265982</v>
      </c>
      <c r="H43" s="28">
        <f t="shared" si="3"/>
        <v>13252499</v>
      </c>
      <c r="I43" s="28">
        <f t="shared" si="4"/>
        <v>24369208.053684644</v>
      </c>
      <c r="J43" s="28">
        <f t="shared" si="2"/>
        <v>37621707.053684644</v>
      </c>
    </row>
    <row r="44" spans="3:10" x14ac:dyDescent="0.25">
      <c r="C44" s="180" t="s">
        <v>269</v>
      </c>
      <c r="D44" s="13">
        <f t="shared" si="1"/>
        <v>2822499</v>
      </c>
      <c r="E44" s="13">
        <f t="shared" si="1"/>
        <v>11794061.301454565</v>
      </c>
      <c r="F44" s="13">
        <f>'Total REC Deliveries'!AB16</f>
        <v>12500000</v>
      </c>
      <c r="G44" s="28">
        <f>'Total REC Deliveries'!V16+'Total REC Deliveries'!W16+'Total REC Deliveries'!X16+'Total REC Deliveries'!Y16+'Total REC Deliveries'!Z16+'Total REC Deliveries'!AA16+'Total REC Deliveries'!AC16+'Total REC Deliveries'!AD16+'Total REC Deliveries'!AE16+'Total REC Deliveries'!AF16</f>
        <v>14495476.131426135</v>
      </c>
      <c r="H44" s="28">
        <f t="shared" si="3"/>
        <v>15322499</v>
      </c>
      <c r="I44" s="28">
        <f t="shared" si="4"/>
        <v>26289537.4328807</v>
      </c>
      <c r="J44" s="28">
        <f t="shared" si="2"/>
        <v>41612036.4328807</v>
      </c>
    </row>
    <row r="45" spans="3:10" x14ac:dyDescent="0.25">
      <c r="C45" s="180" t="s">
        <v>270</v>
      </c>
      <c r="D45" s="13">
        <f t="shared" si="1"/>
        <v>2822499</v>
      </c>
      <c r="E45" s="13">
        <f t="shared" si="1"/>
        <v>11201212.547820294</v>
      </c>
      <c r="F45" s="13">
        <f>'Total REC Deliveries'!AB17</f>
        <v>13500000</v>
      </c>
      <c r="G45" s="28">
        <f>'Total REC Deliveries'!V17+'Total REC Deliveries'!W17+'Total REC Deliveries'!X17+'Total REC Deliveries'!Y17+'Total REC Deliveries'!Z17+'Total REC Deliveries'!AA17+'Total REC Deliveries'!AC17+'Total REC Deliveries'!AD17+'Total REC Deliveries'!AE17+'Total REC Deliveries'!AF17</f>
        <v>16205673.430631161</v>
      </c>
      <c r="H45" s="28">
        <f t="shared" si="3"/>
        <v>16322499</v>
      </c>
      <c r="I45" s="28">
        <f t="shared" si="4"/>
        <v>27406885.978451453</v>
      </c>
      <c r="J45" s="28">
        <f t="shared" si="2"/>
        <v>43729384.978451453</v>
      </c>
    </row>
    <row r="46" spans="3:10" x14ac:dyDescent="0.25">
      <c r="C46" s="180" t="s">
        <v>271</v>
      </c>
      <c r="D46" s="13">
        <f t="shared" si="1"/>
        <v>2522499</v>
      </c>
      <c r="E46" s="13">
        <f t="shared" si="1"/>
        <v>11076578.570654191</v>
      </c>
      <c r="F46" s="13">
        <f>'Total REC Deliveries'!AB18</f>
        <v>14500000</v>
      </c>
      <c r="G46" s="28">
        <f>'Total REC Deliveries'!V18+'Total REC Deliveries'!W18+'Total REC Deliveries'!X18+'Total REC Deliveries'!Y18+'Total REC Deliveries'!Z18+'Total REC Deliveries'!AA18+'Total REC Deliveries'!AC18+'Total REC Deliveries'!AD18+'Total REC Deliveries'!AE18+'Total REC Deliveries'!AF18</f>
        <v>17606358.590370785</v>
      </c>
      <c r="H46" s="28">
        <f t="shared" si="3"/>
        <v>17022499</v>
      </c>
      <c r="I46" s="28">
        <f t="shared" si="4"/>
        <v>28682937.161024977</v>
      </c>
      <c r="J46" s="28">
        <f t="shared" si="2"/>
        <v>45705436.161024973</v>
      </c>
    </row>
    <row r="47" spans="3:10" x14ac:dyDescent="0.25">
      <c r="C47" s="180" t="s">
        <v>272</v>
      </c>
      <c r="D47" s="13">
        <f t="shared" ref="D47:E53" si="5">D21</f>
        <v>1186980</v>
      </c>
      <c r="E47" s="13">
        <f t="shared" si="5"/>
        <v>8683409.0319124218</v>
      </c>
      <c r="F47" s="13">
        <f>'Total REC Deliveries'!AB19</f>
        <v>15500000</v>
      </c>
      <c r="G47" s="28">
        <f>'Total REC Deliveries'!V19+'Total REC Deliveries'!W19+'Total REC Deliveries'!X19+'Total REC Deliveries'!Y19+'Total REC Deliveries'!Z19+'Total REC Deliveries'!AA19+'Total REC Deliveries'!AC19+'Total REC Deliveries'!AD19+'Total REC Deliveries'!AE19+'Total REC Deliveries'!AF19</f>
        <v>18847097.447500385</v>
      </c>
      <c r="H47" s="28">
        <f t="shared" si="3"/>
        <v>16686980</v>
      </c>
      <c r="I47" s="28">
        <f t="shared" si="4"/>
        <v>27530506.479412809</v>
      </c>
      <c r="J47" s="28">
        <f t="shared" si="2"/>
        <v>44217486.479412809</v>
      </c>
    </row>
    <row r="48" spans="3:10" x14ac:dyDescent="0.25">
      <c r="C48" s="180" t="s">
        <v>273</v>
      </c>
      <c r="D48" s="13">
        <f t="shared" si="5"/>
        <v>1186980</v>
      </c>
      <c r="E48" s="13">
        <f t="shared" si="5"/>
        <v>8450755.5667528585</v>
      </c>
      <c r="F48" s="13">
        <f>'Total REC Deliveries'!AB20</f>
        <v>16500000</v>
      </c>
      <c r="G48" s="28">
        <f>'Total REC Deliveries'!V20+'Total REC Deliveries'!W20+'Total REC Deliveries'!X20+'Total REC Deliveries'!Y20+'Total REC Deliveries'!Z20+'Total REC Deliveries'!AA20+'Total REC Deliveries'!AC20+'Total REC Deliveries'!AD20+'Total REC Deliveries'!AE20+'Total REC Deliveries'!AF20</f>
        <v>20081808.418615017</v>
      </c>
      <c r="H48" s="28">
        <f t="shared" si="3"/>
        <v>17686980</v>
      </c>
      <c r="I48" s="28">
        <f t="shared" si="4"/>
        <v>28532563.985367876</v>
      </c>
      <c r="J48" s="28">
        <f t="shared" si="2"/>
        <v>46219543.985367879</v>
      </c>
    </row>
    <row r="49" spans="2:15" x14ac:dyDescent="0.25">
      <c r="C49" s="180" t="s">
        <v>274</v>
      </c>
      <c r="D49" s="13">
        <f t="shared" si="5"/>
        <v>1186980</v>
      </c>
      <c r="E49" s="13">
        <f t="shared" si="5"/>
        <v>8030017.2589190947</v>
      </c>
      <c r="F49" s="13">
        <f>'Total REC Deliveries'!AB21</f>
        <v>17500000</v>
      </c>
      <c r="G49" s="28">
        <f>'Total REC Deliveries'!V21+'Total REC Deliveries'!W21+'Total REC Deliveries'!X21+'Total REC Deliveries'!Y21+'Total REC Deliveries'!Z21+'Total REC Deliveries'!AA21+'Total REC Deliveries'!AC21+'Total REC Deliveries'!AD21+'Total REC Deliveries'!AE21+'Total REC Deliveries'!AF21</f>
        <v>21310521.643144749</v>
      </c>
      <c r="H49" s="28">
        <f t="shared" si="3"/>
        <v>18686980</v>
      </c>
      <c r="I49" s="28">
        <f t="shared" si="4"/>
        <v>29340538.902063843</v>
      </c>
      <c r="J49" s="28">
        <f t="shared" si="2"/>
        <v>48027518.902063847</v>
      </c>
    </row>
    <row r="50" spans="2:15" x14ac:dyDescent="0.25">
      <c r="C50" s="180" t="s">
        <v>275</v>
      </c>
      <c r="D50" s="13">
        <f t="shared" si="5"/>
        <v>1186980</v>
      </c>
      <c r="E50" s="13">
        <f t="shared" si="5"/>
        <v>7674817.4776244992</v>
      </c>
      <c r="F50" s="13">
        <f>'Total REC Deliveries'!AB22</f>
        <v>18500000</v>
      </c>
      <c r="G50" s="28">
        <f>'Total REC Deliveries'!V22+'Total REC Deliveries'!W22+'Total REC Deliveries'!X22+'Total REC Deliveries'!Y22+'Total REC Deliveries'!Z22+'Total REC Deliveries'!AA22+'Total REC Deliveries'!AC22+'Total REC Deliveries'!AD22+'Total REC Deliveries'!AE22+'Total REC Deliveries'!AF22</f>
        <v>22533267.109822508</v>
      </c>
      <c r="H50" s="28">
        <f t="shared" si="3"/>
        <v>19686980</v>
      </c>
      <c r="I50" s="28">
        <f t="shared" si="4"/>
        <v>30208084.587447006</v>
      </c>
      <c r="J50" s="28">
        <f t="shared" si="2"/>
        <v>49895064.587447003</v>
      </c>
    </row>
    <row r="51" spans="2:15" x14ac:dyDescent="0.25">
      <c r="C51" s="180" t="s">
        <v>276</v>
      </c>
      <c r="D51" s="13">
        <f t="shared" si="5"/>
        <v>1186980</v>
      </c>
      <c r="E51" s="13">
        <f t="shared" si="5"/>
        <v>7281818.5952363759</v>
      </c>
      <c r="F51" s="13">
        <f>'Total REC Deliveries'!AB23</f>
        <v>19500000</v>
      </c>
      <c r="G51" s="28">
        <f>'Total REC Deliveries'!V23+'Total REC Deliveries'!W23+'Total REC Deliveries'!X23+'Total REC Deliveries'!Y23+'Total REC Deliveries'!Z23+'Total REC Deliveries'!AA23+'Total REC Deliveries'!AC23+'Total REC Deliveries'!AD23+'Total REC Deliveries'!AE23+'Total REC Deliveries'!AF23</f>
        <v>23750074.657437559</v>
      </c>
      <c r="H51" s="28">
        <f t="shared" si="3"/>
        <v>20686980</v>
      </c>
      <c r="I51" s="28">
        <f t="shared" si="4"/>
        <v>31031893.252673935</v>
      </c>
      <c r="J51" s="28">
        <f t="shared" si="2"/>
        <v>51718873.252673939</v>
      </c>
    </row>
    <row r="52" spans="2:15" x14ac:dyDescent="0.25">
      <c r="C52" s="180" t="s">
        <v>277</v>
      </c>
      <c r="D52" s="13">
        <f t="shared" si="5"/>
        <v>1186980</v>
      </c>
      <c r="E52" s="13">
        <f t="shared" si="5"/>
        <v>7216841.9872601945</v>
      </c>
      <c r="F52" s="13">
        <f>'Total REC Deliveries'!AB24</f>
        <v>20500000</v>
      </c>
      <c r="G52" s="28">
        <f>'Total REC Deliveries'!V24+'Total REC Deliveries'!W24+'Total REC Deliveries'!X24+'Total REC Deliveries'!Y24+'Total REC Deliveries'!Z24+'Total REC Deliveries'!AA24+'Total REC Deliveries'!AC24+'Total REC Deliveries'!AD24+'Total REC Deliveries'!AE24+'Total REC Deliveries'!AF24</f>
        <v>24521443.75054276</v>
      </c>
      <c r="H52" s="28">
        <f t="shared" si="3"/>
        <v>21686980</v>
      </c>
      <c r="I52" s="28">
        <f t="shared" si="4"/>
        <v>31738285.737802953</v>
      </c>
      <c r="J52" s="28">
        <f t="shared" si="2"/>
        <v>53425265.737802953</v>
      </c>
    </row>
    <row r="53" spans="2:15" x14ac:dyDescent="0.25">
      <c r="C53" s="180" t="s">
        <v>278</v>
      </c>
      <c r="D53" s="13">
        <f t="shared" si="5"/>
        <v>1186980</v>
      </c>
      <c r="E53" s="13">
        <f t="shared" si="5"/>
        <v>7180702.0323238932</v>
      </c>
      <c r="F53" s="13">
        <f>'Total REC Deliveries'!AB25</f>
        <v>21500000</v>
      </c>
      <c r="G53" s="28">
        <f>'Total REC Deliveries'!V25+'Total REC Deliveries'!W25+'Total REC Deliveries'!X25+'Total REC Deliveries'!Y25+'Total REC Deliveries'!Z25+'Total REC Deliveries'!AA25+'Total REC Deliveries'!AC25+'Total REC Deliveries'!AD25+'Total REC Deliveries'!AE25+'Total REC Deliveries'!AF25</f>
        <v>25252479.383013539</v>
      </c>
      <c r="H53" s="28">
        <f t="shared" si="3"/>
        <v>22686980</v>
      </c>
      <c r="I53" s="28">
        <f t="shared" si="4"/>
        <v>32433181.415337432</v>
      </c>
      <c r="J53" s="28">
        <f t="shared" si="2"/>
        <v>55120161.415337428</v>
      </c>
    </row>
    <row r="54" spans="2:15" x14ac:dyDescent="0.25">
      <c r="C54" s="34"/>
    </row>
    <row r="55" spans="2:15" x14ac:dyDescent="0.25">
      <c r="C55" s="34"/>
    </row>
    <row r="56" spans="2:15" x14ac:dyDescent="0.25">
      <c r="B56" s="33" t="s">
        <v>285</v>
      </c>
    </row>
    <row r="57" spans="2:15" x14ac:dyDescent="0.25">
      <c r="C57" s="35" t="s">
        <v>200</v>
      </c>
    </row>
    <row r="58" spans="2:15" x14ac:dyDescent="0.25">
      <c r="C58" s="322" t="s">
        <v>286</v>
      </c>
      <c r="D58" s="324" t="s">
        <v>41</v>
      </c>
      <c r="E58" s="325"/>
      <c r="F58" s="324" t="s">
        <v>44</v>
      </c>
      <c r="G58" s="325"/>
      <c r="H58" s="324" t="s">
        <v>230</v>
      </c>
      <c r="I58" s="325"/>
    </row>
    <row r="59" spans="2:15" x14ac:dyDescent="0.25">
      <c r="C59" s="323"/>
      <c r="D59" s="184" t="s">
        <v>287</v>
      </c>
      <c r="E59" s="184" t="s">
        <v>288</v>
      </c>
      <c r="F59" s="184" t="s">
        <v>287</v>
      </c>
      <c r="G59" s="184" t="s">
        <v>288</v>
      </c>
      <c r="H59" s="184" t="s">
        <v>287</v>
      </c>
      <c r="I59" s="184" t="s">
        <v>288</v>
      </c>
      <c r="J59" s="184" t="s">
        <v>92</v>
      </c>
      <c r="K59" s="184"/>
    </row>
    <row r="60" spans="2:15" x14ac:dyDescent="0.25">
      <c r="C60" s="180" t="s">
        <v>256</v>
      </c>
      <c r="D60" s="13">
        <f>'Total REC Deliveries'!T33</f>
        <v>814109</v>
      </c>
      <c r="E60" s="13">
        <f>'Total REC Deliveries'!S33</f>
        <v>231532.28875702267</v>
      </c>
      <c r="F60" s="13">
        <f>'Total REC Deliveries'!T61</f>
        <v>1775207</v>
      </c>
      <c r="G60" s="13">
        <f>'Total REC Deliveries'!S61</f>
        <v>511750.71406969341</v>
      </c>
      <c r="H60" s="13">
        <f>'Total REC Deliveries'!T89</f>
        <v>2409</v>
      </c>
      <c r="I60" s="13">
        <f>'Total REC Deliveries'!S89</f>
        <v>3618.8894732839058</v>
      </c>
      <c r="J60" s="172">
        <f t="shared" ref="J60:J82" si="6">SUM(D60:I60)</f>
        <v>3338626.8922999999</v>
      </c>
      <c r="K60" s="185">
        <f>F5</f>
        <v>3338626.8922999999</v>
      </c>
      <c r="L60" s="172">
        <f>J60-K60</f>
        <v>0</v>
      </c>
      <c r="N60" s="172"/>
    </row>
    <row r="61" spans="2:15" x14ac:dyDescent="0.25">
      <c r="C61" s="180" t="s">
        <v>257</v>
      </c>
      <c r="D61" s="13">
        <f>'Total REC Deliveries'!T34</f>
        <v>1205816</v>
      </c>
      <c r="E61" s="13">
        <f>'Total REC Deliveries'!S34</f>
        <v>605109.78657581937</v>
      </c>
      <c r="F61" s="13">
        <f>'Total REC Deliveries'!T62</f>
        <v>2714612</v>
      </c>
      <c r="G61" s="13">
        <f>'Total REC Deliveries'!S62</f>
        <v>1443216.8538560383</v>
      </c>
      <c r="H61" s="13">
        <f>'Total REC Deliveries'!T90</f>
        <v>6816</v>
      </c>
      <c r="I61" s="13">
        <f>'Total REC Deliveries'!S90</f>
        <v>10488.467501475689</v>
      </c>
      <c r="J61" s="172">
        <f t="shared" si="6"/>
        <v>5986059.1079333331</v>
      </c>
      <c r="K61" s="185">
        <f t="shared" ref="K61:K82" si="7">F6</f>
        <v>5986059.1079333331</v>
      </c>
      <c r="L61" s="172">
        <f t="shared" ref="L61:L82" si="8">J61-K61</f>
        <v>0</v>
      </c>
      <c r="N61" s="172"/>
    </row>
    <row r="62" spans="2:15" x14ac:dyDescent="0.25">
      <c r="C62" s="180" t="s">
        <v>258</v>
      </c>
      <c r="D62" s="13">
        <f>'Total REC Deliveries'!T35</f>
        <v>1205816</v>
      </c>
      <c r="E62" s="13">
        <f>'Total REC Deliveries'!S35</f>
        <v>964683.3990544402</v>
      </c>
      <c r="F62" s="13">
        <f>'Total REC Deliveries'!T63</f>
        <v>2714612</v>
      </c>
      <c r="G62" s="13">
        <f>'Total REC Deliveries'!S63</f>
        <v>2334304.9645867581</v>
      </c>
      <c r="H62" s="13">
        <f>'Total REC Deliveries'!T91</f>
        <v>6816</v>
      </c>
      <c r="I62" s="13">
        <f>'Total REC Deliveries'!S91</f>
        <v>10835.83662546831</v>
      </c>
      <c r="J62" s="172">
        <f>SUM(D62:I62)</f>
        <v>7237068.2002666658</v>
      </c>
      <c r="K62" s="185">
        <f t="shared" si="7"/>
        <v>7237068.2002666667</v>
      </c>
      <c r="L62" s="172">
        <f t="shared" si="8"/>
        <v>0</v>
      </c>
      <c r="N62" s="172"/>
    </row>
    <row r="63" spans="2:15" x14ac:dyDescent="0.25">
      <c r="C63" s="180" t="s">
        <v>259</v>
      </c>
      <c r="D63" s="13">
        <f>'Total REC Deliveries'!T36</f>
        <v>1205816</v>
      </c>
      <c r="E63" s="13">
        <f>'Total REC Deliveries'!S36</f>
        <v>1106234.4834706681</v>
      </c>
      <c r="F63" s="13">
        <f>'Total REC Deliveries'!T64</f>
        <v>2714612</v>
      </c>
      <c r="G63" s="13">
        <f>'Total REC Deliveries'!S64</f>
        <v>2797835.2247638246</v>
      </c>
      <c r="H63" s="13">
        <f>'Total REC Deliveries'!T92</f>
        <v>6816</v>
      </c>
      <c r="I63" s="13">
        <f>'Total REC Deliveries'!S92</f>
        <v>21526.21390384097</v>
      </c>
      <c r="J63" s="172">
        <f t="shared" si="6"/>
        <v>7852839.9221383333</v>
      </c>
      <c r="K63" s="185">
        <f t="shared" si="7"/>
        <v>7852839.9221383333</v>
      </c>
      <c r="L63" s="172">
        <f t="shared" si="8"/>
        <v>0</v>
      </c>
      <c r="N63" s="172"/>
      <c r="O63" s="172"/>
    </row>
    <row r="64" spans="2:15" x14ac:dyDescent="0.25">
      <c r="C64" s="180" t="s">
        <v>260</v>
      </c>
      <c r="D64" s="13">
        <f>'Total REC Deliveries'!T37</f>
        <v>1205816</v>
      </c>
      <c r="E64" s="13">
        <f>'Total REC Deliveries'!S37</f>
        <v>1232559.0374648147</v>
      </c>
      <c r="F64" s="13">
        <f>'Total REC Deliveries'!T65</f>
        <v>2714612</v>
      </c>
      <c r="G64" s="13">
        <f>'Total REC Deliveries'!S65</f>
        <v>3346169.6286400054</v>
      </c>
      <c r="H64" s="13">
        <f>'Total REC Deliveries'!T93</f>
        <v>6816</v>
      </c>
      <c r="I64" s="13">
        <f>'Total REC Deliveries'!S93</f>
        <v>28005.599295821765</v>
      </c>
      <c r="J64" s="172">
        <f t="shared" si="6"/>
        <v>8533978.2654006407</v>
      </c>
      <c r="K64" s="185">
        <f t="shared" si="7"/>
        <v>8533978.2654006407</v>
      </c>
      <c r="L64" s="172">
        <f t="shared" si="8"/>
        <v>0</v>
      </c>
      <c r="N64" s="172"/>
      <c r="O64" s="172"/>
    </row>
    <row r="65" spans="3:15" x14ac:dyDescent="0.25">
      <c r="C65" s="180" t="s">
        <v>261</v>
      </c>
      <c r="D65" s="13">
        <f>'Total REC Deliveries'!T38</f>
        <v>1205816</v>
      </c>
      <c r="E65" s="13">
        <f>'Total REC Deliveries'!S38</f>
        <v>2370144.5927119502</v>
      </c>
      <c r="F65" s="13">
        <f>'Total REC Deliveries'!T66</f>
        <v>2714612</v>
      </c>
      <c r="G65" s="13">
        <f>'Total REC Deliveries'!S66</f>
        <v>6059891.2678069975</v>
      </c>
      <c r="H65" s="13">
        <f>'Total REC Deliveries'!T94</f>
        <v>6816</v>
      </c>
      <c r="I65" s="13">
        <f>'Total REC Deliveries'!S94</f>
        <v>41000.361427691445</v>
      </c>
      <c r="J65" s="172">
        <f t="shared" si="6"/>
        <v>12398280.221946638</v>
      </c>
      <c r="K65" s="185">
        <f t="shared" si="7"/>
        <v>12398280.221946638</v>
      </c>
      <c r="L65" s="172">
        <f t="shared" si="8"/>
        <v>0</v>
      </c>
      <c r="N65" s="172"/>
      <c r="O65" s="172"/>
    </row>
    <row r="66" spans="3:15" x14ac:dyDescent="0.25">
      <c r="C66" s="180" t="s">
        <v>262</v>
      </c>
      <c r="D66" s="13">
        <f>'Total REC Deliveries'!T39</f>
        <v>1205816</v>
      </c>
      <c r="E66" s="13">
        <f>'Total REC Deliveries'!S39</f>
        <v>3090104.1317449454</v>
      </c>
      <c r="F66" s="13">
        <f>'Total REC Deliveries'!T67</f>
        <v>2714612</v>
      </c>
      <c r="G66" s="13">
        <f>'Total REC Deliveries'!S67</f>
        <v>7893846.3317170795</v>
      </c>
      <c r="H66" s="13">
        <f>'Total REC Deliveries'!T95</f>
        <v>6816</v>
      </c>
      <c r="I66" s="13">
        <f>'Total REC Deliveries'!S95</f>
        <v>52090.715247880908</v>
      </c>
      <c r="J66" s="172">
        <f t="shared" si="6"/>
        <v>14963285.178709906</v>
      </c>
      <c r="K66" s="185">
        <f t="shared" si="7"/>
        <v>14963285.178709906</v>
      </c>
      <c r="L66" s="172">
        <f t="shared" si="8"/>
        <v>0</v>
      </c>
      <c r="N66" s="172"/>
      <c r="O66" s="172"/>
    </row>
    <row r="67" spans="3:15" x14ac:dyDescent="0.25">
      <c r="C67" s="180" t="s">
        <v>263</v>
      </c>
      <c r="D67" s="13">
        <f>'Total REC Deliveries'!T40</f>
        <v>1549582.384118692</v>
      </c>
      <c r="E67" s="13">
        <f>'Total REC Deliveries'!S40</f>
        <v>3347555.0524394577</v>
      </c>
      <c r="F67" s="13">
        <f>'Total REC Deliveries'!T68</f>
        <v>3551885.8439727877</v>
      </c>
      <c r="G67" s="13">
        <f>'Total REC Deliveries'!S68</f>
        <v>8518771.2938638367</v>
      </c>
      <c r="H67" s="13">
        <f>'Total REC Deliveries'!T96</f>
        <v>12755.771908520277</v>
      </c>
      <c r="I67" s="13">
        <f>'Total REC Deliveries'!S96</f>
        <v>56528.634386059719</v>
      </c>
      <c r="J67" s="172">
        <f t="shared" si="6"/>
        <v>17037078.980689354</v>
      </c>
      <c r="K67" s="185">
        <f t="shared" si="7"/>
        <v>17037078.980689354</v>
      </c>
      <c r="L67" s="172">
        <f t="shared" si="8"/>
        <v>0</v>
      </c>
      <c r="N67" s="172"/>
      <c r="O67" s="172"/>
    </row>
    <row r="68" spans="3:15" x14ac:dyDescent="0.25">
      <c r="C68" s="180" t="s">
        <v>264</v>
      </c>
      <c r="D68" s="13">
        <f>'Total REC Deliveries'!T41</f>
        <v>1549582.384118692</v>
      </c>
      <c r="E68" s="13">
        <f>'Total REC Deliveries'!S41</f>
        <v>3358373.6992538003</v>
      </c>
      <c r="F68" s="13">
        <f>'Total REC Deliveries'!T69</f>
        <v>3551885.8439727877</v>
      </c>
      <c r="G68" s="13">
        <f>'Total REC Deliveries'!S69</f>
        <v>8543057.7228506245</v>
      </c>
      <c r="H68" s="13">
        <f>'Total REC Deliveries'!T97</f>
        <v>12755.771908520277</v>
      </c>
      <c r="I68" s="13">
        <f>'Total REC Deliveries'!S97</f>
        <v>56710.181554485192</v>
      </c>
      <c r="J68" s="172">
        <f t="shared" si="6"/>
        <v>17072365.603658911</v>
      </c>
      <c r="K68" s="185">
        <f t="shared" si="7"/>
        <v>17072365.603658907</v>
      </c>
      <c r="L68" s="172">
        <f t="shared" si="8"/>
        <v>0</v>
      </c>
      <c r="N68" s="172"/>
      <c r="O68" s="172"/>
    </row>
    <row r="69" spans="3:15" x14ac:dyDescent="0.25">
      <c r="C69" s="180" t="s">
        <v>265</v>
      </c>
      <c r="D69" s="13">
        <f>'Total REC Deliveries'!T42</f>
        <v>1549582.384118692</v>
      </c>
      <c r="E69" s="13">
        <f>'Total REC Deliveries'!S42</f>
        <v>3369123.2428340707</v>
      </c>
      <c r="F69" s="13">
        <f>'Total REC Deliveries'!T70</f>
        <v>3551885.8439727877</v>
      </c>
      <c r="G69" s="13">
        <f>'Total REC Deliveries'!S70</f>
        <v>8567267.4396924768</v>
      </c>
      <c r="H69" s="13">
        <f>'Total REC Deliveries'!T98</f>
        <v>12755.771908520277</v>
      </c>
      <c r="I69" s="13">
        <f>'Total REC Deliveries'!S98</f>
        <v>56887.24098706853</v>
      </c>
      <c r="J69" s="172">
        <f t="shared" si="6"/>
        <v>17107501.923513621</v>
      </c>
      <c r="K69" s="185">
        <f t="shared" si="7"/>
        <v>17107501.923513614</v>
      </c>
      <c r="L69" s="172">
        <f t="shared" si="8"/>
        <v>0</v>
      </c>
      <c r="N69" s="172"/>
      <c r="O69" s="172"/>
    </row>
    <row r="70" spans="3:15" x14ac:dyDescent="0.25">
      <c r="C70" s="180" t="s">
        <v>266</v>
      </c>
      <c r="D70" s="13">
        <f>'Total REC Deliveries'!T43</f>
        <v>1549582.384118692</v>
      </c>
      <c r="E70" s="13">
        <f>'Total REC Deliveries'!S43</f>
        <v>3355212.8980314005</v>
      </c>
      <c r="F70" s="13">
        <f>'Total REC Deliveries'!T71</f>
        <v>3551885.8439727877</v>
      </c>
      <c r="G70" s="13">
        <f>'Total REC Deliveries'!S71</f>
        <v>8531365.0574940126</v>
      </c>
      <c r="H70" s="13">
        <f>'Total REC Deliveries'!T99</f>
        <v>12755.771908520277</v>
      </c>
      <c r="I70" s="13">
        <f>'Total REC Deliveries'!S99</f>
        <v>56628.471243633197</v>
      </c>
      <c r="J70" s="172">
        <f t="shared" si="6"/>
        <v>17057430.426769048</v>
      </c>
      <c r="K70" s="185">
        <f t="shared" si="7"/>
        <v>17057430.426769048</v>
      </c>
      <c r="L70" s="172">
        <f t="shared" si="8"/>
        <v>0</v>
      </c>
      <c r="N70" s="172"/>
      <c r="O70" s="172"/>
    </row>
    <row r="71" spans="3:15" x14ac:dyDescent="0.25">
      <c r="C71" s="32" t="s">
        <v>267</v>
      </c>
      <c r="D71" s="13">
        <f>'Total REC Deliveries'!T44</f>
        <v>1549582.384118692</v>
      </c>
      <c r="E71" s="13">
        <f>'Total REC Deliveries'!S44</f>
        <v>3341420.3949527433</v>
      </c>
      <c r="F71" s="13">
        <f>'Total REC Deliveries'!T72</f>
        <v>3551885.8439727877</v>
      </c>
      <c r="G71" s="13">
        <f>'Total REC Deliveries'!S72</f>
        <v>8495667.8422065433</v>
      </c>
      <c r="H71" s="13">
        <f>'Total REC Deliveries'!T100</f>
        <v>12755.771908520277</v>
      </c>
      <c r="I71" s="13">
        <f>'Total REC Deliveries'!S100</f>
        <v>56389.355348915022</v>
      </c>
      <c r="J71" s="172">
        <f t="shared" si="6"/>
        <v>17007701.592508204</v>
      </c>
      <c r="K71" s="185">
        <f t="shared" si="7"/>
        <v>17007701.592508197</v>
      </c>
      <c r="L71" s="172">
        <f t="shared" si="8"/>
        <v>0</v>
      </c>
      <c r="N71" s="172"/>
      <c r="O71" s="172"/>
    </row>
    <row r="72" spans="3:15" x14ac:dyDescent="0.25">
      <c r="C72" s="180" t="s">
        <v>268</v>
      </c>
      <c r="D72" s="13">
        <f>'Total REC Deliveries'!T45</f>
        <v>949582.38411869202</v>
      </c>
      <c r="E72" s="13">
        <f>'Total REC Deliveries'!S45</f>
        <v>3327467.5443894798</v>
      </c>
      <c r="F72" s="13">
        <f>'Total REC Deliveries'!T73</f>
        <v>2290160.8439727877</v>
      </c>
      <c r="G72" s="13">
        <f>'Total REC Deliveries'!S73</f>
        <v>8459999.3329955097</v>
      </c>
      <c r="H72" s="13">
        <f>'Total REC Deliveries'!T101</f>
        <v>12755.771908520277</v>
      </c>
      <c r="I72" s="13">
        <f>'Total REC Deliveries'!S101</f>
        <v>56135.890033670446</v>
      </c>
      <c r="J72" s="172">
        <f t="shared" si="6"/>
        <v>15096101.767418658</v>
      </c>
      <c r="K72" s="185">
        <f t="shared" si="7"/>
        <v>15096101.76741866</v>
      </c>
      <c r="L72" s="172">
        <f t="shared" si="8"/>
        <v>0</v>
      </c>
      <c r="N72" s="172"/>
      <c r="O72" s="172"/>
    </row>
    <row r="73" spans="3:15" x14ac:dyDescent="0.25">
      <c r="C73" s="180" t="s">
        <v>269</v>
      </c>
      <c r="D73" s="13">
        <f>'Total REC Deliveries'!T46</f>
        <v>823463.38411869202</v>
      </c>
      <c r="E73" s="13">
        <f>'Total REC Deliveries'!S46</f>
        <v>3313714.1580790319</v>
      </c>
      <c r="F73" s="13">
        <f>'Total REC Deliveries'!T74</f>
        <v>1987698.8439727877</v>
      </c>
      <c r="G73" s="13">
        <f>'Total REC Deliveries'!S74</f>
        <v>8424459.0713305306</v>
      </c>
      <c r="H73" s="13">
        <f>'Total REC Deliveries'!T102</f>
        <v>11336.771908520277</v>
      </c>
      <c r="I73" s="13">
        <f>'Total REC Deliveries'!S102</f>
        <v>55888.072045002096</v>
      </c>
      <c r="J73" s="172">
        <f t="shared" si="6"/>
        <v>14616560.301454565</v>
      </c>
      <c r="K73" s="185">
        <f t="shared" si="7"/>
        <v>14616560.301454565</v>
      </c>
      <c r="L73" s="172">
        <f t="shared" si="8"/>
        <v>0</v>
      </c>
      <c r="N73" s="172"/>
      <c r="O73" s="172"/>
    </row>
    <row r="74" spans="3:15" x14ac:dyDescent="0.25">
      <c r="C74" s="180" t="s">
        <v>270</v>
      </c>
      <c r="D74" s="13">
        <f>'Total REC Deliveries'!T47</f>
        <v>823463.38411869202</v>
      </c>
      <c r="E74" s="13">
        <f>'Total REC Deliveries'!S47</f>
        <v>3117232.0487001366</v>
      </c>
      <c r="F74" s="13">
        <f>'Total REC Deliveries'!T75</f>
        <v>1987698.8439727877</v>
      </c>
      <c r="G74" s="13">
        <f>'Total REC Deliveries'!S75</f>
        <v>8028615.6009738799</v>
      </c>
      <c r="H74" s="13">
        <f>'Total REC Deliveries'!T103</f>
        <v>11336.771908520277</v>
      </c>
      <c r="I74" s="13">
        <f>'Total REC Deliveries'!S103</f>
        <v>55364.898146277083</v>
      </c>
      <c r="J74" s="172">
        <f t="shared" si="6"/>
        <v>14023711.547820292</v>
      </c>
      <c r="K74" s="185">
        <f t="shared" si="7"/>
        <v>14023711.547820294</v>
      </c>
      <c r="L74" s="172">
        <f t="shared" si="8"/>
        <v>0</v>
      </c>
      <c r="N74" s="172"/>
      <c r="O74" s="172"/>
    </row>
    <row r="75" spans="3:15" x14ac:dyDescent="0.25">
      <c r="C75" s="180" t="s">
        <v>271</v>
      </c>
      <c r="D75" s="13">
        <f>'Total REC Deliveries'!T48</f>
        <v>735473.38411869202</v>
      </c>
      <c r="E75" s="13">
        <f>'Total REC Deliveries'!S48</f>
        <v>3093040.0298681362</v>
      </c>
      <c r="F75" s="13">
        <f>'Total REC Deliveries'!T76</f>
        <v>1776678.8439727877</v>
      </c>
      <c r="G75" s="13">
        <f>'Total REC Deliveries'!S76</f>
        <v>7935009.4679690097</v>
      </c>
      <c r="H75" s="13">
        <f>'Total REC Deliveries'!T104</f>
        <v>10346.771908520277</v>
      </c>
      <c r="I75" s="13">
        <f>'Total REC Deliveries'!S104</f>
        <v>48529.072817045701</v>
      </c>
      <c r="J75" s="172">
        <f t="shared" si="6"/>
        <v>13599077.570654191</v>
      </c>
      <c r="K75" s="185">
        <f t="shared" si="7"/>
        <v>13599077.570654191</v>
      </c>
      <c r="L75" s="172">
        <f t="shared" si="8"/>
        <v>0</v>
      </c>
      <c r="N75" s="172"/>
      <c r="O75" s="172"/>
    </row>
    <row r="76" spans="3:15" x14ac:dyDescent="0.25">
      <c r="C76" s="180" t="s">
        <v>272</v>
      </c>
      <c r="D76" s="13">
        <f>'Total REC Deliveries'!T49</f>
        <v>343766.38411869202</v>
      </c>
      <c r="E76" s="13">
        <f>'Total REC Deliveries'!S49</f>
        <v>2396654.6338302949</v>
      </c>
      <c r="F76" s="13">
        <f>'Total REC Deliveries'!T77</f>
        <v>837273.84397278773</v>
      </c>
      <c r="G76" s="13">
        <f>'Total REC Deliveries'!S77</f>
        <v>6241089.2206291659</v>
      </c>
      <c r="H76" s="13">
        <f>'Total REC Deliveries'!T105</f>
        <v>5939.771908520278</v>
      </c>
      <c r="I76" s="13">
        <f>'Total REC Deliveries'!S105</f>
        <v>45665.177452960474</v>
      </c>
      <c r="J76" s="172">
        <f t="shared" si="6"/>
        <v>9870389.0319124218</v>
      </c>
      <c r="K76" s="185">
        <f t="shared" si="7"/>
        <v>9870389.0319124218</v>
      </c>
      <c r="L76" s="172">
        <f t="shared" si="8"/>
        <v>0</v>
      </c>
      <c r="N76" s="172"/>
      <c r="O76" s="172"/>
    </row>
    <row r="77" spans="3:15" x14ac:dyDescent="0.25">
      <c r="C77" s="180" t="s">
        <v>273</v>
      </c>
      <c r="D77" s="13">
        <f>'Total REC Deliveries'!T50</f>
        <v>343766.38411869202</v>
      </c>
      <c r="E77" s="13">
        <f>'Total REC Deliveries'!S50</f>
        <v>2340217.2406611438</v>
      </c>
      <c r="F77" s="13">
        <f>'Total REC Deliveries'!T78</f>
        <v>837273.84397278773</v>
      </c>
      <c r="G77" s="13">
        <f>'Total REC Deliveries'!S78</f>
        <v>6065860.4095260184</v>
      </c>
      <c r="H77" s="13">
        <f>'Total REC Deliveries'!T106</f>
        <v>5939.771908520278</v>
      </c>
      <c r="I77" s="13">
        <f>'Total REC Deliveries'!S106</f>
        <v>44677.916565695676</v>
      </c>
      <c r="J77" s="172">
        <f t="shared" si="6"/>
        <v>9637735.5667528585</v>
      </c>
      <c r="K77" s="185">
        <f t="shared" si="7"/>
        <v>9637735.5667528585</v>
      </c>
      <c r="L77" s="172">
        <f t="shared" si="8"/>
        <v>0</v>
      </c>
      <c r="N77" s="172"/>
      <c r="O77" s="172"/>
    </row>
    <row r="78" spans="3:15" x14ac:dyDescent="0.25">
      <c r="C78" s="180" t="s">
        <v>274</v>
      </c>
      <c r="D78" s="13">
        <f>'Total REC Deliveries'!T51</f>
        <v>343766.38411869202</v>
      </c>
      <c r="E78" s="13">
        <f>'Total REC Deliveries'!S51</f>
        <v>2249432.3844578383</v>
      </c>
      <c r="F78" s="13">
        <f>'Total REC Deliveries'!T79</f>
        <v>837273.84397278773</v>
      </c>
      <c r="G78" s="13">
        <f>'Total REC Deliveries'!S79</f>
        <v>5746061.5874783881</v>
      </c>
      <c r="H78" s="13">
        <f>'Total REC Deliveries'!T107</f>
        <v>5939.771908520278</v>
      </c>
      <c r="I78" s="13">
        <f>'Total REC Deliveries'!S107</f>
        <v>34523.28698286719</v>
      </c>
      <c r="J78" s="172">
        <f t="shared" si="6"/>
        <v>9216997.2589190938</v>
      </c>
      <c r="K78" s="185">
        <f t="shared" si="7"/>
        <v>9216997.2589190938</v>
      </c>
      <c r="L78" s="172">
        <f t="shared" si="8"/>
        <v>0</v>
      </c>
      <c r="N78" s="172"/>
      <c r="O78" s="172"/>
    </row>
    <row r="79" spans="3:15" x14ac:dyDescent="0.25">
      <c r="C79" s="180" t="s">
        <v>275</v>
      </c>
      <c r="D79" s="13">
        <f>'Total REC Deliveries'!T52</f>
        <v>343766.38411869202</v>
      </c>
      <c r="E79" s="13">
        <f>'Total REC Deliveries'!S52</f>
        <v>2214335.8825355489</v>
      </c>
      <c r="F79" s="13">
        <f>'Total REC Deliveries'!T80</f>
        <v>837273.84397278773</v>
      </c>
      <c r="G79" s="13">
        <f>'Total REC Deliveries'!S80</f>
        <v>5432216.3095409963</v>
      </c>
      <c r="H79" s="13">
        <f>'Total REC Deliveries'!T108</f>
        <v>5939.771908520278</v>
      </c>
      <c r="I79" s="13">
        <f>'Total REC Deliveries'!S108</f>
        <v>28265.285547952852</v>
      </c>
      <c r="J79" s="172">
        <f t="shared" si="6"/>
        <v>8861797.4776244983</v>
      </c>
      <c r="K79" s="185">
        <f t="shared" si="7"/>
        <v>8861797.4776244983</v>
      </c>
      <c r="L79" s="172">
        <f t="shared" si="8"/>
        <v>0</v>
      </c>
      <c r="N79" s="172"/>
      <c r="O79" s="172"/>
    </row>
    <row r="80" spans="3:15" x14ac:dyDescent="0.25">
      <c r="C80" s="180" t="s">
        <v>276</v>
      </c>
      <c r="D80" s="13">
        <f>'Total REC Deliveries'!T53</f>
        <v>343766.38411869202</v>
      </c>
      <c r="E80" s="13">
        <f>'Total REC Deliveries'!S53</f>
        <v>2154366.5531228711</v>
      </c>
      <c r="F80" s="13">
        <f>'Total REC Deliveries'!T81</f>
        <v>837273.84397278773</v>
      </c>
      <c r="G80" s="13">
        <f>'Total REC Deliveries'!S81</f>
        <v>5102701.1329932921</v>
      </c>
      <c r="H80" s="13">
        <f>'Total REC Deliveries'!T109</f>
        <v>5939.771908520278</v>
      </c>
      <c r="I80" s="13">
        <f>'Total REC Deliveries'!S109</f>
        <v>24750.909120213091</v>
      </c>
      <c r="J80" s="172">
        <f t="shared" si="6"/>
        <v>8468798.5952363759</v>
      </c>
      <c r="K80" s="185">
        <f t="shared" si="7"/>
        <v>8468798.5952363759</v>
      </c>
      <c r="L80" s="172">
        <f t="shared" si="8"/>
        <v>0</v>
      </c>
      <c r="N80" s="172"/>
      <c r="O80" s="172"/>
    </row>
    <row r="81" spans="2:16" x14ac:dyDescent="0.25">
      <c r="C81" s="180" t="s">
        <v>277</v>
      </c>
      <c r="D81" s="13">
        <f>'Total REC Deliveries'!T54</f>
        <v>343766.38411869202</v>
      </c>
      <c r="E81" s="13">
        <f>'Total REC Deliveries'!S54</f>
        <v>2136985.2153572566</v>
      </c>
      <c r="F81" s="13">
        <f>'Total REC Deliveries'!T82</f>
        <v>837273.84397278773</v>
      </c>
      <c r="G81" s="13">
        <f>'Total REC Deliveries'!S82</f>
        <v>5055229.6173283253</v>
      </c>
      <c r="H81" s="13">
        <f>'Total REC Deliveries'!T110</f>
        <v>5939.771908520278</v>
      </c>
      <c r="I81" s="13">
        <f>'Total REC Deliveries'!S110</f>
        <v>24627.154574612025</v>
      </c>
      <c r="J81" s="172">
        <f t="shared" si="6"/>
        <v>8403821.9872601945</v>
      </c>
      <c r="K81" s="185">
        <f t="shared" si="7"/>
        <v>8403821.9872601945</v>
      </c>
      <c r="L81" s="172">
        <f t="shared" si="8"/>
        <v>0</v>
      </c>
      <c r="N81" s="172"/>
      <c r="O81" s="172"/>
    </row>
    <row r="82" spans="2:16" x14ac:dyDescent="0.25">
      <c r="C82" s="180" t="s">
        <v>278</v>
      </c>
      <c r="D82" s="13">
        <f>'Total REC Deliveries'!T55</f>
        <v>343766.38411869202</v>
      </c>
      <c r="E82" s="13">
        <f>'Total REC Deliveries'!S55</f>
        <v>2126288.6892804708</v>
      </c>
      <c r="F82" s="13">
        <f>'Total REC Deliveries'!T83</f>
        <v>837273.84397278773</v>
      </c>
      <c r="G82" s="13">
        <f>'Total REC Deliveries'!S83</f>
        <v>5029909.3242416838</v>
      </c>
      <c r="H82" s="13">
        <f>'Total REC Deliveries'!T111</f>
        <v>5939.771908520278</v>
      </c>
      <c r="I82" s="13">
        <f>'Total REC Deliveries'!S111</f>
        <v>24504.018801738963</v>
      </c>
      <c r="J82" s="172">
        <f t="shared" si="6"/>
        <v>8367682.0323238932</v>
      </c>
      <c r="K82" s="185">
        <f t="shared" si="7"/>
        <v>8367682.0323238932</v>
      </c>
      <c r="L82" s="172">
        <f t="shared" si="8"/>
        <v>0</v>
      </c>
    </row>
    <row r="83" spans="2:16" x14ac:dyDescent="0.25">
      <c r="D83" s="34"/>
      <c r="E83" s="34"/>
      <c r="F83" s="34"/>
      <c r="G83" s="34"/>
      <c r="H83" s="34"/>
      <c r="I83" s="34"/>
      <c r="K83" s="172"/>
    </row>
    <row r="84" spans="2:16" x14ac:dyDescent="0.25">
      <c r="B84" s="33" t="s">
        <v>289</v>
      </c>
      <c r="K84" s="172"/>
      <c r="L84" s="172"/>
      <c r="M84" s="172"/>
      <c r="N84" s="172"/>
      <c r="O84" s="172"/>
      <c r="P84" s="36"/>
    </row>
    <row r="85" spans="2:16" x14ac:dyDescent="0.25">
      <c r="K85" s="172"/>
      <c r="L85" s="172"/>
      <c r="M85" s="172"/>
      <c r="N85" s="172"/>
      <c r="O85" s="172"/>
      <c r="P85" s="36"/>
    </row>
    <row r="86" spans="2:16" ht="30" x14ac:dyDescent="0.25">
      <c r="C86" s="15" t="s">
        <v>1</v>
      </c>
      <c r="D86" s="15" t="s">
        <v>290</v>
      </c>
      <c r="E86" s="15" t="s">
        <v>291</v>
      </c>
      <c r="F86" s="15" t="s">
        <v>292</v>
      </c>
      <c r="G86" s="15" t="s">
        <v>218</v>
      </c>
      <c r="H86" s="15" t="s">
        <v>293</v>
      </c>
      <c r="I86" s="15" t="s">
        <v>219</v>
      </c>
      <c r="J86" s="15" t="s">
        <v>294</v>
      </c>
      <c r="K86" s="15" t="s">
        <v>295</v>
      </c>
      <c r="L86" s="15" t="s">
        <v>296</v>
      </c>
      <c r="M86" s="15" t="s">
        <v>297</v>
      </c>
      <c r="N86" s="172"/>
      <c r="O86" s="36"/>
    </row>
    <row r="87" spans="2:16" hidden="1" x14ac:dyDescent="0.25">
      <c r="C87" s="180" t="s">
        <v>256</v>
      </c>
      <c r="D87" s="13">
        <f>'Total REC Deliveries'!I4+'Total REC Deliveries'!J4</f>
        <v>1861725</v>
      </c>
      <c r="E87" s="13">
        <f>'Total REC Deliveries'!H4</f>
        <v>661044</v>
      </c>
      <c r="F87" s="37">
        <f>'Total REC Deliveries'!L4+'Total REC Deliveries'!M4</f>
        <v>754313.29229999997</v>
      </c>
      <c r="G87" s="13">
        <f>'Total REC Deliveries'!AE3</f>
        <v>0</v>
      </c>
      <c r="H87" s="13">
        <f>'Total REC Deliveries'!N4+'Total REC Deliveries'!O4+'Total REC Deliveries'!P4</f>
        <v>0</v>
      </c>
      <c r="I87" s="13">
        <f>'Total REC Deliveries'!Q4</f>
        <v>58271.600000000006</v>
      </c>
      <c r="J87" s="28">
        <f>SUM(D87:I87)</f>
        <v>3335353.8922999999</v>
      </c>
      <c r="K87" s="13">
        <f>'Collections and ACP'!F7</f>
        <v>21149182.158790033</v>
      </c>
      <c r="L87" s="38">
        <f t="shared" ref="L87:L109" si="9">K87-J87</f>
        <v>17813828.266490035</v>
      </c>
      <c r="M87" s="105">
        <f>1-(L87/K87)</f>
        <v>0.1577060459008699</v>
      </c>
      <c r="N87" s="172"/>
      <c r="O87" s="36"/>
    </row>
    <row r="88" spans="2:16" hidden="1" x14ac:dyDescent="0.25">
      <c r="C88" s="180" t="s">
        <v>257</v>
      </c>
      <c r="D88" s="13">
        <f>'Total REC Deliveries'!I5+'Total REC Deliveries'!J5</f>
        <v>1861725</v>
      </c>
      <c r="E88" s="13">
        <f>'Total REC Deliveries'!H5</f>
        <v>1044581</v>
      </c>
      <c r="F88" s="37">
        <f>'Total REC Deliveries'!L5+'Total REC Deliveries'!M5</f>
        <v>2992839.5745999999</v>
      </c>
      <c r="G88" s="13">
        <f>'Total REC Deliveries'!AE4</f>
        <v>0</v>
      </c>
      <c r="H88" s="13">
        <f>'Total REC Deliveries'!N5+'Total REC Deliveries'!O5+'Total REC Deliveries'!P5</f>
        <v>0</v>
      </c>
      <c r="I88" s="13">
        <f>'Total REC Deliveries'!Q5</f>
        <v>65181.53333333334</v>
      </c>
      <c r="J88" s="28">
        <f t="shared" ref="J88:J109" si="10">SUM(D88:I88)</f>
        <v>5964327.1079333331</v>
      </c>
      <c r="K88" s="13">
        <f>'Collections and ACP'!F8</f>
        <v>22785452.684823208</v>
      </c>
      <c r="L88" s="38">
        <f t="shared" si="9"/>
        <v>16821125.576889873</v>
      </c>
      <c r="M88" s="105">
        <f t="shared" ref="M88:M109" si="11">1-(L88/K88)</f>
        <v>0.26176030779085713</v>
      </c>
      <c r="N88" s="172"/>
      <c r="O88" s="36"/>
    </row>
    <row r="89" spans="2:16" hidden="1" x14ac:dyDescent="0.25">
      <c r="C89" s="180" t="s">
        <v>258</v>
      </c>
      <c r="D89" s="13">
        <f>'Total REC Deliveries'!I6+'Total REC Deliveries'!J6</f>
        <v>1861725</v>
      </c>
      <c r="E89" s="13">
        <f>'Total REC Deliveries'!H6</f>
        <v>1243726</v>
      </c>
      <c r="F89" s="37">
        <f>'Total REC Deliveries'!L6+'Total REC Deliveries'!M6</f>
        <v>4061148.5745999999</v>
      </c>
      <c r="G89" s="13">
        <f>'Total REC Deliveries'!AE5</f>
        <v>0</v>
      </c>
      <c r="H89" s="13">
        <f>'Total REC Deliveries'!N6+'Total REC Deliveries'!O6+'Total REC Deliveries'!P6</f>
        <v>0</v>
      </c>
      <c r="I89" s="13">
        <f>'Total REC Deliveries'!Q6</f>
        <v>64855.625666666674</v>
      </c>
      <c r="J89" s="28">
        <f t="shared" si="10"/>
        <v>7231455.2002666667</v>
      </c>
      <c r="K89" s="13">
        <f>'Collections and ACP'!F9</f>
        <v>24661977.142367411</v>
      </c>
      <c r="L89" s="38">
        <f t="shared" si="9"/>
        <v>17430521.942100745</v>
      </c>
      <c r="M89" s="105">
        <f t="shared" si="11"/>
        <v>0.29322284902468643</v>
      </c>
      <c r="N89" s="172"/>
      <c r="O89" s="36"/>
    </row>
    <row r="90" spans="2:16" x14ac:dyDescent="0.25">
      <c r="C90" s="180" t="s">
        <v>259</v>
      </c>
      <c r="D90" s="13">
        <f>'Total REC Deliveries'!I7+'Total REC Deliveries'!J7</f>
        <v>1861725</v>
      </c>
      <c r="E90" s="13">
        <f>'Total REC Deliveries'!H7</f>
        <v>1865435</v>
      </c>
      <c r="F90" s="37">
        <f>'Total REC Deliveries'!L7+'Total REC Deliveries'!M7</f>
        <v>4061148.5745999999</v>
      </c>
      <c r="G90" s="13">
        <f>'Total REC Deliveries'!AE6</f>
        <v>0</v>
      </c>
      <c r="H90" s="13">
        <f>'Total REC Deliveries'!N7+'Total REC Deliveries'!O7+'Total REC Deliveries'!P7</f>
        <v>0</v>
      </c>
      <c r="I90" s="13">
        <f>'Total REC Deliveries'!Q7</f>
        <v>64531.347538333343</v>
      </c>
      <c r="J90" s="28">
        <f t="shared" si="10"/>
        <v>7852839.9221383333</v>
      </c>
      <c r="K90" s="13">
        <f>'Collections and ACP'!F10</f>
        <v>26022605.388141267</v>
      </c>
      <c r="L90" s="38">
        <f t="shared" si="9"/>
        <v>18169765.466002934</v>
      </c>
      <c r="M90" s="310">
        <f t="shared" si="11"/>
        <v>0.30176993444772227</v>
      </c>
      <c r="N90" s="172"/>
      <c r="O90" s="36"/>
    </row>
    <row r="91" spans="2:16" x14ac:dyDescent="0.25">
      <c r="C91" s="180" t="s">
        <v>260</v>
      </c>
      <c r="D91" s="13">
        <f>'Total REC Deliveries'!I8+'Total REC Deliveries'!J8</f>
        <v>1861725</v>
      </c>
      <c r="E91" s="13">
        <f>'Total REC Deliveries'!H8</f>
        <v>2546896</v>
      </c>
      <c r="F91" s="37">
        <f>'Total REC Deliveries'!L8+'Total REC Deliveries'!M8</f>
        <v>4061148.5745999999</v>
      </c>
      <c r="G91" s="13">
        <f>'Total REC Deliveries'!AE7</f>
        <v>0</v>
      </c>
      <c r="H91" s="13">
        <f>'Total REC Deliveries'!N8+'Total REC Deliveries'!O8+'Total REC Deliveries'!P8</f>
        <v>0</v>
      </c>
      <c r="I91" s="13">
        <f>'Total REC Deliveries'!Q8</f>
        <v>64208.690800641678</v>
      </c>
      <c r="J91" s="28">
        <f t="shared" si="10"/>
        <v>8533978.2654006425</v>
      </c>
      <c r="K91" s="13">
        <f>'Collections and ACP'!F11</f>
        <v>27600405.588387385</v>
      </c>
      <c r="L91" s="38">
        <f t="shared" si="9"/>
        <v>19066427.322986744</v>
      </c>
      <c r="M91" s="310">
        <f t="shared" si="11"/>
        <v>0.30919756733543191</v>
      </c>
      <c r="N91" s="172"/>
      <c r="O91" s="36"/>
    </row>
    <row r="92" spans="2:16" x14ac:dyDescent="0.25">
      <c r="C92" s="180" t="s">
        <v>261</v>
      </c>
      <c r="D92" s="13">
        <f>'Total REC Deliveries'!I9+'Total REC Deliveries'!J9</f>
        <v>1861725</v>
      </c>
      <c r="E92" s="13">
        <f>'Total REC Deliveries'!H9</f>
        <v>4519998</v>
      </c>
      <c r="F92" s="37">
        <f>'Total REC Deliveries'!L9+'Total REC Deliveries'!M9</f>
        <v>4061148.5745999999</v>
      </c>
      <c r="G92" s="13">
        <f>'Total REC Deliveries'!AE8</f>
        <v>379110</v>
      </c>
      <c r="H92" s="13">
        <f>'Total REC Deliveries'!N9+'Total REC Deliveries'!O9+'Total REC Deliveries'!P9</f>
        <v>1891521</v>
      </c>
      <c r="I92" s="13">
        <f>'Total REC Deliveries'!Q9</f>
        <v>63887.64734663847</v>
      </c>
      <c r="J92" s="28">
        <f t="shared" si="10"/>
        <v>12777390.221946638</v>
      </c>
      <c r="K92" s="13">
        <f>'Collections and ACP'!F12</f>
        <v>29276278.12118116</v>
      </c>
      <c r="L92" s="38">
        <f t="shared" si="9"/>
        <v>16498887.899234522</v>
      </c>
      <c r="M92" s="310">
        <f t="shared" si="11"/>
        <v>0.43644175564455701</v>
      </c>
      <c r="N92" s="172"/>
      <c r="O92" s="36"/>
    </row>
    <row r="93" spans="2:16" x14ac:dyDescent="0.25">
      <c r="C93" s="180" t="s">
        <v>262</v>
      </c>
      <c r="D93" s="13">
        <f>'Total REC Deliveries'!I10+'Total REC Deliveries'!J10</f>
        <v>1861725</v>
      </c>
      <c r="E93" s="13">
        <f>'Total REC Deliveries'!H10</f>
        <v>4843772</v>
      </c>
      <c r="F93" s="37">
        <f>'Total REC Deliveries'!L10+'Total REC Deliveries'!M10</f>
        <v>4061148.5745999999</v>
      </c>
      <c r="G93" s="13">
        <f>'Total REC Deliveries'!AE9</f>
        <v>379110</v>
      </c>
      <c r="H93" s="13">
        <f>'Total REC Deliveries'!N10+'Total REC Deliveries'!O10+'Total REC Deliveries'!P10</f>
        <v>4133071.395</v>
      </c>
      <c r="I93" s="13">
        <f>'Total REC Deliveries'!Q10</f>
        <v>63568.209109905278</v>
      </c>
      <c r="J93" s="28">
        <f t="shared" si="10"/>
        <v>15342395.178709906</v>
      </c>
      <c r="K93" s="13">
        <f>'Collections and ACP'!F13</f>
        <v>32271366.637528446</v>
      </c>
      <c r="L93" s="38">
        <f t="shared" si="9"/>
        <v>16928971.45881854</v>
      </c>
      <c r="M93" s="310">
        <f t="shared" si="11"/>
        <v>0.47541820434924498</v>
      </c>
      <c r="O93" s="36"/>
    </row>
    <row r="94" spans="2:16" x14ac:dyDescent="0.25">
      <c r="C94" s="180" t="s">
        <v>263</v>
      </c>
      <c r="D94" s="13">
        <f>'Total REC Deliveries'!I11+'Total REC Deliveries'!J11</f>
        <v>1861725</v>
      </c>
      <c r="E94" s="13">
        <f>'Total REC Deliveries'!H11</f>
        <v>4819350</v>
      </c>
      <c r="F94" s="37">
        <f>'Total REC Deliveries'!L11+'Total REC Deliveries'!M11</f>
        <v>4061148.5745999999</v>
      </c>
      <c r="G94" s="13">
        <f>'Total REC Deliveries'!AE10</f>
        <v>379110</v>
      </c>
      <c r="H94" s="13">
        <f>'Total REC Deliveries'!N11+'Total REC Deliveries'!O11+'Total REC Deliveries'!P11</f>
        <v>6231605.0380250001</v>
      </c>
      <c r="I94" s="13">
        <f>'Total REC Deliveries'!Q11</f>
        <v>63250.368064355753</v>
      </c>
      <c r="J94" s="28">
        <f t="shared" si="10"/>
        <v>17416188.980689354</v>
      </c>
      <c r="K94" s="13">
        <f>'Collections and ACP'!F14</f>
        <v>35668466.102237098</v>
      </c>
      <c r="L94" s="38">
        <f t="shared" si="9"/>
        <v>18252277.121547744</v>
      </c>
      <c r="M94" s="310">
        <f t="shared" si="11"/>
        <v>0.48827972951707688</v>
      </c>
      <c r="O94" s="36"/>
    </row>
    <row r="95" spans="2:16" x14ac:dyDescent="0.25">
      <c r="C95" s="180" t="s">
        <v>264</v>
      </c>
      <c r="D95" s="13">
        <f>'Total REC Deliveries'!I12+'Total REC Deliveries'!J12</f>
        <v>1861725</v>
      </c>
      <c r="E95" s="13">
        <f>'Total REC Deliveries'!H12</f>
        <v>4795176</v>
      </c>
      <c r="F95" s="37">
        <f>'Total REC Deliveries'!L12+'Total REC Deliveries'!M12</f>
        <v>4061148.5745999999</v>
      </c>
      <c r="G95" s="13">
        <f>'Total REC Deliveries'!AE11</f>
        <v>379110</v>
      </c>
      <c r="H95" s="13">
        <f>'Total REC Deliveries'!N12+'Total REC Deliveries'!O12+'Total REC Deliveries'!P12</f>
        <v>6291381.9128348753</v>
      </c>
      <c r="I95" s="13">
        <f>'Total REC Deliveries'!Q12</f>
        <v>62934.116224033976</v>
      </c>
      <c r="J95" s="28">
        <f t="shared" si="10"/>
        <v>17451475.603658911</v>
      </c>
      <c r="K95" s="13">
        <f>'Collections and ACP'!F15</f>
        <v>39219696.579589069</v>
      </c>
      <c r="L95" s="38">
        <f t="shared" si="9"/>
        <v>21768220.975930158</v>
      </c>
      <c r="M95" s="310">
        <f t="shared" si="11"/>
        <v>0.44496712431837382</v>
      </c>
      <c r="O95" s="36"/>
    </row>
    <row r="96" spans="2:16" x14ac:dyDescent="0.25">
      <c r="C96" s="180" t="s">
        <v>265</v>
      </c>
      <c r="D96" s="13">
        <f>'Total REC Deliveries'!I13+'Total REC Deliveries'!J13</f>
        <v>1861725</v>
      </c>
      <c r="E96" s="13">
        <f>'Total REC Deliveries'!H13</f>
        <v>4771149</v>
      </c>
      <c r="F96" s="37">
        <f>'Total REC Deliveries'!L13+'Total REC Deliveries'!M13</f>
        <v>4061148.5745999999</v>
      </c>
      <c r="G96" s="13">
        <f>'Total REC Deliveries'!AE12</f>
        <v>379110</v>
      </c>
      <c r="H96" s="13">
        <f>'Total REC Deliveries'!N13+'Total REC Deliveries'!O13+'Total REC Deliveries'!P13</f>
        <v>6350859.9032707</v>
      </c>
      <c r="I96" s="13">
        <f>'Total REC Deliveries'!Q13</f>
        <v>62619.445642913808</v>
      </c>
      <c r="J96" s="28">
        <f t="shared" si="10"/>
        <v>17486611.923513614</v>
      </c>
      <c r="K96" s="13">
        <f>'Collections and ACP'!F16</f>
        <v>42714576.506556571</v>
      </c>
      <c r="L96" s="38">
        <f t="shared" si="9"/>
        <v>25227964.583042957</v>
      </c>
      <c r="M96" s="310">
        <f t="shared" si="11"/>
        <v>0.40938277641192267</v>
      </c>
      <c r="O96" s="36"/>
    </row>
    <row r="97" spans="2:15" x14ac:dyDescent="0.25">
      <c r="C97" s="180" t="s">
        <v>266</v>
      </c>
      <c r="D97" s="13">
        <f>'Total REC Deliveries'!I14+'Total REC Deliveries'!J14</f>
        <v>1861725</v>
      </c>
      <c r="E97" s="13">
        <f>'Total REC Deliveries'!H14</f>
        <v>4747210</v>
      </c>
      <c r="F97" s="37">
        <f>'Total REC Deliveries'!L14+'Total REC Deliveries'!M14</f>
        <v>4061148.5745999999</v>
      </c>
      <c r="G97" s="13">
        <f>'Total REC Deliveries'!AE13</f>
        <v>379110</v>
      </c>
      <c r="H97" s="13">
        <f>'Total REC Deliveries'!N14+'Total REC Deliveries'!O14+'Total REC Deliveries'!P14</f>
        <v>6325040.5037543466</v>
      </c>
      <c r="I97" s="13">
        <f>'Total REC Deliveries'!Q14</f>
        <v>62306.348414699241</v>
      </c>
      <c r="J97" s="28">
        <f t="shared" si="10"/>
        <v>17436540.426769048</v>
      </c>
      <c r="K97" s="13">
        <f>'Collections and ACP'!F17</f>
        <v>46451375.958900839</v>
      </c>
      <c r="L97" s="38">
        <f t="shared" si="9"/>
        <v>29014835.532131791</v>
      </c>
      <c r="M97" s="310">
        <f t="shared" si="11"/>
        <v>0.37537188224944118</v>
      </c>
      <c r="O97" s="36"/>
    </row>
    <row r="98" spans="2:15" x14ac:dyDescent="0.25">
      <c r="C98" s="32" t="s">
        <v>267</v>
      </c>
      <c r="D98" s="13">
        <f>'Total REC Deliveries'!I15+'Total REC Deliveries'!J15</f>
        <v>1861725</v>
      </c>
      <c r="E98" s="13">
        <f>'Total REC Deliveries'!H15</f>
        <v>4723483</v>
      </c>
      <c r="F98" s="37">
        <f>'Total REC Deliveries'!L15+'Total REC Deliveries'!M15</f>
        <v>4061148.5745999999</v>
      </c>
      <c r="G98" s="13">
        <f>'Total REC Deliveries'!AE14</f>
        <v>379110</v>
      </c>
      <c r="H98" s="13">
        <f>'Total REC Deliveries'!N15+'Total REC Deliveries'!O15+'Total REC Deliveries'!P15</f>
        <v>6299350.2012355756</v>
      </c>
      <c r="I98" s="13">
        <f>'Total REC Deliveries'!Q15</f>
        <v>61994.816672625748</v>
      </c>
      <c r="J98" s="28">
        <f t="shared" si="10"/>
        <v>17386811.592508201</v>
      </c>
      <c r="K98" s="13">
        <f>'Collections and ACP'!F18</f>
        <v>47763046.369001523</v>
      </c>
      <c r="L98" s="38">
        <f t="shared" si="9"/>
        <v>30376234.776493322</v>
      </c>
      <c r="M98" s="310">
        <f t="shared" si="11"/>
        <v>0.36402224971546904</v>
      </c>
      <c r="O98" s="36"/>
    </row>
    <row r="99" spans="2:15" x14ac:dyDescent="0.25">
      <c r="C99" s="180" t="s">
        <v>268</v>
      </c>
      <c r="D99" s="13">
        <f>'Total REC Deliveries'!I16+'Total REC Deliveries'!J16</f>
        <v>0</v>
      </c>
      <c r="E99" s="13">
        <f>'Total REC Deliveries'!H16</f>
        <v>4699480</v>
      </c>
      <c r="F99" s="37">
        <f>'Total REC Deliveries'!L16+'Total REC Deliveries'!M16</f>
        <v>4061148.5745999999</v>
      </c>
      <c r="G99" s="13">
        <f>'Total REC Deliveries'!AE15</f>
        <v>379110</v>
      </c>
      <c r="H99" s="13">
        <f>'Total REC Deliveries'!N16+'Total REC Deliveries'!O16+'Total REC Deliveries'!P16</f>
        <v>6273788.3502293974</v>
      </c>
      <c r="I99" s="13">
        <f>'Total REC Deliveries'!Q16</f>
        <v>61684.842589262618</v>
      </c>
      <c r="J99" s="28">
        <f t="shared" si="10"/>
        <v>15475211.76741866</v>
      </c>
      <c r="K99" s="13">
        <f>'Collections and ACP'!F19</f>
        <v>49157149.335623778</v>
      </c>
      <c r="L99" s="38">
        <f t="shared" si="9"/>
        <v>33681937.568205118</v>
      </c>
      <c r="M99" s="310">
        <f t="shared" si="11"/>
        <v>0.31481100870517531</v>
      </c>
      <c r="O99" s="36"/>
    </row>
    <row r="100" spans="2:15" x14ac:dyDescent="0.25">
      <c r="C100" s="180" t="s">
        <v>269</v>
      </c>
      <c r="D100" s="13">
        <f>'Total REC Deliveries'!I17+'Total REC Deliveries'!J17</f>
        <v>0</v>
      </c>
      <c r="E100" s="13">
        <f>'Total REC Deliveries'!H17</f>
        <v>4675681</v>
      </c>
      <c r="F100" s="37">
        <f>'Total REC Deliveries'!L17+'Total REC Deliveries'!M17</f>
        <v>3631148.5745999999</v>
      </c>
      <c r="G100" s="13">
        <f>'Total REC Deliveries'!AE16</f>
        <v>379110</v>
      </c>
      <c r="H100" s="13">
        <f>'Total REC Deliveries'!N17+'Total REC Deliveries'!O17+'Total REC Deliveries'!P17</f>
        <v>6248354.3084782492</v>
      </c>
      <c r="I100" s="13">
        <f>'Total REC Deliveries'!Q17</f>
        <v>61376.418376316302</v>
      </c>
      <c r="J100" s="28">
        <f t="shared" si="10"/>
        <v>14995670.301454565</v>
      </c>
      <c r="K100" s="13">
        <f>'Collections and ACP'!F20</f>
        <v>50422454.053407259</v>
      </c>
      <c r="L100" s="38">
        <f t="shared" si="9"/>
        <v>35426783.751952693</v>
      </c>
      <c r="M100" s="310">
        <f t="shared" si="11"/>
        <v>0.29740064387923704</v>
      </c>
      <c r="O100" s="36"/>
    </row>
    <row r="101" spans="2:15" x14ac:dyDescent="0.25">
      <c r="C101" s="180" t="s">
        <v>270</v>
      </c>
      <c r="D101" s="13">
        <f>'Total REC Deliveries'!I18+'Total REC Deliveries'!J18</f>
        <v>0</v>
      </c>
      <c r="E101" s="13">
        <f>'Total REC Deliveries'!H18</f>
        <v>4108446</v>
      </c>
      <c r="F101" s="37">
        <f>'Total REC Deliveries'!L18+'Total REC Deliveries'!M18</f>
        <v>3631148.5745999999</v>
      </c>
      <c r="G101" s="13">
        <f>'Total REC Deliveries'!AE17</f>
        <v>379110</v>
      </c>
      <c r="H101" s="13">
        <f>'Total REC Deliveries'!N18+'Total REC Deliveries'!O18+'Total REC Deliveries'!P18</f>
        <v>6223047.4369358579</v>
      </c>
      <c r="I101" s="13">
        <f>'Total REC Deliveries'!Q18</f>
        <v>61069.536284434718</v>
      </c>
      <c r="J101" s="28">
        <f t="shared" si="10"/>
        <v>14402821.547820292</v>
      </c>
      <c r="K101" s="13">
        <f>'Collections and ACP'!F21</f>
        <v>51819398.992800236</v>
      </c>
      <c r="L101" s="38">
        <f t="shared" si="9"/>
        <v>37416577.444979943</v>
      </c>
      <c r="M101" s="310">
        <f t="shared" si="11"/>
        <v>0.27794265907679505</v>
      </c>
      <c r="O101" s="36"/>
    </row>
    <row r="102" spans="2:15" x14ac:dyDescent="0.25">
      <c r="C102" s="180" t="s">
        <v>271</v>
      </c>
      <c r="D102" s="13">
        <f>'Total REC Deliveries'!I19+'Total REC Deliveries'!J19</f>
        <v>0</v>
      </c>
      <c r="E102" s="13">
        <f>'Total REC Deliveries'!H19</f>
        <v>4015884</v>
      </c>
      <c r="F102" s="37">
        <f>'Total REC Deliveries'!L19+'Total REC Deliveries'!M19</f>
        <v>3324562.2823000001</v>
      </c>
      <c r="G102" s="13">
        <f>'Total REC Deliveries'!AE18</f>
        <v>379110</v>
      </c>
      <c r="H102" s="13">
        <f>'Total REC Deliveries'!N19+'Total REC Deliveries'!O19+'Total REC Deliveries'!P19</f>
        <v>6197867.0997511791</v>
      </c>
      <c r="I102" s="13">
        <f>'Total REC Deliveries'!Q19</f>
        <v>60764.188603012546</v>
      </c>
      <c r="J102" s="28">
        <f t="shared" si="10"/>
        <v>13978187.570654191</v>
      </c>
      <c r="K102" s="13">
        <f>'Collections and ACP'!F22</f>
        <v>53183157.834484629</v>
      </c>
      <c r="L102" s="38">
        <f t="shared" si="9"/>
        <v>39204970.263830438</v>
      </c>
      <c r="M102" s="310">
        <f t="shared" si="11"/>
        <v>0.26283109427531126</v>
      </c>
      <c r="O102" s="36"/>
    </row>
    <row r="103" spans="2:15" x14ac:dyDescent="0.25">
      <c r="C103" s="180" t="s">
        <v>272</v>
      </c>
      <c r="D103" s="13">
        <f>'Total REC Deliveries'!I20+'Total REC Deliveries'!J20</f>
        <v>0</v>
      </c>
      <c r="E103" s="13">
        <f>'Total REC Deliveries'!H20</f>
        <v>3637116</v>
      </c>
      <c r="F103" s="37">
        <f>'Total REC Deliveries'!L20+'Total REC Deliveries'!M20</f>
        <v>0</v>
      </c>
      <c r="G103" s="13">
        <f>'Total REC Deliveries'!AE19</f>
        <v>379110</v>
      </c>
      <c r="H103" s="13">
        <f>'Total REC Deliveries'!N20+'Total REC Deliveries'!O20+'Total REC Deliveries'!P20</f>
        <v>6172812.6642524237</v>
      </c>
      <c r="I103" s="13">
        <f>'Total REC Deliveries'!Q20</f>
        <v>60460.367659997486</v>
      </c>
      <c r="J103" s="28">
        <f t="shared" si="10"/>
        <v>10249499.03191242</v>
      </c>
      <c r="K103" s="13">
        <f>'Collections and ACP'!F23</f>
        <v>54619816.175018631</v>
      </c>
      <c r="L103" s="38">
        <f t="shared" si="9"/>
        <v>44370317.143106207</v>
      </c>
      <c r="M103" s="310">
        <f t="shared" si="11"/>
        <v>0.18765165739609757</v>
      </c>
      <c r="O103" s="36"/>
    </row>
    <row r="104" spans="2:15" x14ac:dyDescent="0.25">
      <c r="C104" s="180" t="s">
        <v>273</v>
      </c>
      <c r="D104" s="13">
        <f>'Total REC Deliveries'!I21+'Total REC Deliveries'!J21</f>
        <v>0</v>
      </c>
      <c r="E104" s="13">
        <f>'Total REC Deliveries'!H21</f>
        <v>3429694</v>
      </c>
      <c r="F104" s="37">
        <f>'Total REC Deliveries'!L21+'Total REC Deliveries'!M21</f>
        <v>0</v>
      </c>
      <c r="G104" s="13">
        <f>'Total REC Deliveries'!AE20</f>
        <v>379110</v>
      </c>
      <c r="H104" s="13">
        <f>'Total REC Deliveries'!N21+'Total REC Deliveries'!O21+'Total REC Deliveries'!P21</f>
        <v>6147883.5009311615</v>
      </c>
      <c r="I104" s="13">
        <f>'Total REC Deliveries'!Q21</f>
        <v>60158.065821697499</v>
      </c>
      <c r="J104" s="28">
        <f t="shared" si="10"/>
        <v>10016845.56675286</v>
      </c>
      <c r="K104" s="13">
        <f>'Collections and ACP'!F24</f>
        <v>55968808.33996474</v>
      </c>
      <c r="L104" s="38">
        <f t="shared" si="9"/>
        <v>45951962.773211882</v>
      </c>
      <c r="M104" s="310">
        <f t="shared" si="11"/>
        <v>0.17897192854113875</v>
      </c>
      <c r="O104" s="36"/>
    </row>
    <row r="105" spans="2:15" x14ac:dyDescent="0.25">
      <c r="C105" s="180" t="s">
        <v>274</v>
      </c>
      <c r="D105" s="13">
        <f>'Total REC Deliveries'!I22+'Total REC Deliveries'!J22</f>
        <v>0</v>
      </c>
      <c r="E105" s="13">
        <f>'Total REC Deliveries'!H22</f>
        <v>3034061</v>
      </c>
      <c r="F105" s="37">
        <f>'Total REC Deliveries'!L22+'Total REC Deliveries'!M22</f>
        <v>0</v>
      </c>
      <c r="G105" s="13">
        <f>'Total REC Deliveries'!AE21</f>
        <v>379110</v>
      </c>
      <c r="H105" s="13">
        <f>'Total REC Deliveries'!N22+'Total REC Deliveries'!O22+'Total REC Deliveries'!P22</f>
        <v>6123078.9834265057</v>
      </c>
      <c r="I105" s="13">
        <f>'Total REC Deliveries'!Q22</f>
        <v>59857.275492589011</v>
      </c>
      <c r="J105" s="28">
        <f t="shared" si="10"/>
        <v>9596107.2589190956</v>
      </c>
      <c r="K105" s="13">
        <f>'Collections and ACP'!F25</f>
        <v>57495269.951376133</v>
      </c>
      <c r="L105" s="38">
        <f t="shared" si="9"/>
        <v>47899162.692457035</v>
      </c>
      <c r="M105" s="310">
        <f t="shared" si="11"/>
        <v>0.16690255158440936</v>
      </c>
      <c r="O105" s="36"/>
    </row>
    <row r="106" spans="2:15" x14ac:dyDescent="0.25">
      <c r="C106" s="180" t="s">
        <v>275</v>
      </c>
      <c r="D106" s="13">
        <f>'Total REC Deliveries'!I23+'Total REC Deliveries'!J23</f>
        <v>0</v>
      </c>
      <c r="E106" s="13">
        <f>'Total REC Deliveries'!H23</f>
        <v>2703841</v>
      </c>
      <c r="F106" s="37">
        <f>'Total REC Deliveries'!L23+'Total REC Deliveries'!M23</f>
        <v>0</v>
      </c>
      <c r="G106" s="13">
        <f>'Total REC Deliveries'!AE22</f>
        <v>379110</v>
      </c>
      <c r="H106" s="13">
        <f>'Total REC Deliveries'!N23+'Total REC Deliveries'!O23+'Total REC Deliveries'!P23</f>
        <v>6098398.4885093728</v>
      </c>
      <c r="I106" s="13">
        <f>'Total REC Deliveries'!Q23</f>
        <v>59557.989115126067</v>
      </c>
      <c r="J106" s="28">
        <f t="shared" si="10"/>
        <v>9240907.4776244983</v>
      </c>
      <c r="K106" s="13">
        <f>'Collections and ACP'!F26</f>
        <v>59011627.267375305</v>
      </c>
      <c r="L106" s="38">
        <f t="shared" si="9"/>
        <v>49770719.789750807</v>
      </c>
      <c r="M106" s="310">
        <f t="shared" si="11"/>
        <v>0.1565946899880416</v>
      </c>
      <c r="O106" s="36"/>
    </row>
    <row r="107" spans="2:15" x14ac:dyDescent="0.25">
      <c r="C107" s="180" t="s">
        <v>276</v>
      </c>
      <c r="D107" s="13">
        <f>'Total REC Deliveries'!I24+'Total REC Deliveries'!J24</f>
        <v>0</v>
      </c>
      <c r="E107" s="13">
        <f>'Total REC Deliveries'!H24</f>
        <v>2335697</v>
      </c>
      <c r="F107" s="37">
        <f>'Total REC Deliveries'!L24+'Total REC Deliveries'!M24</f>
        <v>0</v>
      </c>
      <c r="G107" s="13">
        <f>'Total REC Deliveries'!AE23</f>
        <v>379110</v>
      </c>
      <c r="H107" s="13">
        <f>'Total REC Deliveries'!N24+'Total REC Deliveries'!O24+'Total REC Deliveries'!P24</f>
        <v>6073841.3960668258</v>
      </c>
      <c r="I107" s="13">
        <f>'Total REC Deliveries'!Q24</f>
        <v>59260.199169550433</v>
      </c>
      <c r="J107" s="28">
        <f t="shared" si="10"/>
        <v>8847908.5952363759</v>
      </c>
      <c r="K107" s="13">
        <f>'Collections and ACP'!F27</f>
        <v>60610591.166864343</v>
      </c>
      <c r="L107" s="38">
        <f t="shared" si="9"/>
        <v>51762682.571627967</v>
      </c>
      <c r="M107" s="310">
        <f t="shared" si="11"/>
        <v>0.14597957922696359</v>
      </c>
      <c r="O107" s="36"/>
    </row>
    <row r="108" spans="2:15" x14ac:dyDescent="0.25">
      <c r="C108" s="180" t="s">
        <v>277</v>
      </c>
      <c r="D108" s="13">
        <f>'Total REC Deliveries'!I25+'Total REC Deliveries'!J25</f>
        <v>0</v>
      </c>
      <c r="E108" s="13">
        <f>'Total REC Deliveries'!H25</f>
        <v>2295451</v>
      </c>
      <c r="F108" s="37">
        <f>'Total REC Deliveries'!L25+'Total REC Deliveries'!M25</f>
        <v>0</v>
      </c>
      <c r="G108" s="13">
        <f>'Total REC Deliveries'!AE24</f>
        <v>379110</v>
      </c>
      <c r="H108" s="13">
        <f>'Total REC Deliveries'!N25+'Total REC Deliveries'!O25+'Total REC Deliveries'!P25</f>
        <v>6049407.0890864916</v>
      </c>
      <c r="I108" s="13">
        <f>'Total REC Deliveries'!Q25</f>
        <v>58963.898173702677</v>
      </c>
      <c r="J108" s="28">
        <f t="shared" si="10"/>
        <v>8782931.9872601945</v>
      </c>
      <c r="K108" s="13">
        <f>'Collections and ACP'!F28</f>
        <v>60794608.347521521</v>
      </c>
      <c r="L108" s="38">
        <f t="shared" si="9"/>
        <v>52011676.360261329</v>
      </c>
      <c r="M108" s="310">
        <f t="shared" si="11"/>
        <v>0.14446892949871692</v>
      </c>
      <c r="O108" s="36"/>
    </row>
    <row r="109" spans="2:15" x14ac:dyDescent="0.25">
      <c r="C109" s="180" t="s">
        <v>278</v>
      </c>
      <c r="D109" s="13">
        <f>'Total REC Deliveries'!I26+'Total REC Deliveries'!J26</f>
        <v>0</v>
      </c>
      <c r="E109" s="13">
        <f>'Total REC Deliveries'!H26</f>
        <v>2283918</v>
      </c>
      <c r="F109" s="37">
        <f>'Total REC Deliveries'!L26+'Total REC Deliveries'!M26</f>
        <v>0</v>
      </c>
      <c r="G109" s="13">
        <f>'Total REC Deliveries'!AE25</f>
        <v>379110</v>
      </c>
      <c r="H109" s="13">
        <f>'Total REC Deliveries'!N26+'Total REC Deliveries'!O26+'Total REC Deliveries'!P26</f>
        <v>6025094.9536410589</v>
      </c>
      <c r="I109" s="13">
        <f>'Total REC Deliveries'!Q26</f>
        <v>58669.078682834166</v>
      </c>
      <c r="J109" s="28">
        <f t="shared" si="10"/>
        <v>8746792.0323238932</v>
      </c>
      <c r="K109" s="13">
        <f>'Collections and ACP'!F29</f>
        <v>60982050.779746927</v>
      </c>
      <c r="L109" s="38">
        <f t="shared" si="9"/>
        <v>52235258.747423038</v>
      </c>
      <c r="M109" s="310">
        <f t="shared" si="11"/>
        <v>0.14343223818292505</v>
      </c>
      <c r="O109" s="36"/>
    </row>
    <row r="110" spans="2:15" x14ac:dyDescent="0.25">
      <c r="D110" s="34"/>
      <c r="E110" s="34"/>
      <c r="F110" s="39"/>
      <c r="G110" s="172"/>
      <c r="H110" s="34"/>
      <c r="I110" s="40"/>
      <c r="J110" s="172"/>
    </row>
    <row r="111" spans="2:15" x14ac:dyDescent="0.25">
      <c r="B111" s="33" t="s">
        <v>298</v>
      </c>
    </row>
    <row r="113" spans="3:11" ht="30" x14ac:dyDescent="0.25">
      <c r="C113" s="15" t="s">
        <v>1</v>
      </c>
      <c r="D113" s="15" t="s">
        <v>299</v>
      </c>
      <c r="E113" s="15" t="s">
        <v>300</v>
      </c>
      <c r="F113" s="15" t="s">
        <v>301</v>
      </c>
      <c r="G113" s="15" t="s">
        <v>218</v>
      </c>
      <c r="H113" s="15" t="s">
        <v>293</v>
      </c>
      <c r="I113" s="15" t="s">
        <v>92</v>
      </c>
      <c r="J113" s="15" t="s">
        <v>302</v>
      </c>
      <c r="K113" s="15" t="s">
        <v>303</v>
      </c>
    </row>
    <row r="114" spans="3:11" x14ac:dyDescent="0.25">
      <c r="C114" s="180" t="s">
        <v>256</v>
      </c>
      <c r="D114" s="13">
        <f t="shared" ref="D114:D136" si="12">D87</f>
        <v>1861725</v>
      </c>
      <c r="E114" s="13">
        <f t="shared" ref="E114:E129" si="13">F87</f>
        <v>754313.29229999997</v>
      </c>
      <c r="F114" s="13">
        <f>E87</f>
        <v>661044</v>
      </c>
      <c r="G114" s="13">
        <f t="shared" ref="G114:H136" si="14">G87</f>
        <v>0</v>
      </c>
      <c r="H114" s="13">
        <f t="shared" si="14"/>
        <v>0</v>
      </c>
      <c r="I114" s="28">
        <f t="shared" ref="I114:I136" si="15">SUM(D114:H114)</f>
        <v>3277082.2922999999</v>
      </c>
      <c r="J114" s="13">
        <f t="shared" ref="J114:J136" si="16">K87-I114</f>
        <v>17872099.866490033</v>
      </c>
      <c r="K114" s="41">
        <v>0.17500000000000004</v>
      </c>
    </row>
    <row r="115" spans="3:11" x14ac:dyDescent="0.25">
      <c r="C115" s="180" t="s">
        <v>257</v>
      </c>
      <c r="D115" s="13">
        <f t="shared" si="12"/>
        <v>1861725</v>
      </c>
      <c r="E115" s="13">
        <f t="shared" si="13"/>
        <v>2992839.5745999999</v>
      </c>
      <c r="F115" s="13">
        <f t="shared" ref="F115:F135" si="17">E88</f>
        <v>1044581</v>
      </c>
      <c r="G115" s="13">
        <f t="shared" si="14"/>
        <v>0</v>
      </c>
      <c r="H115" s="13">
        <f t="shared" si="14"/>
        <v>0</v>
      </c>
      <c r="I115" s="28">
        <f t="shared" si="15"/>
        <v>5899145.5745999999</v>
      </c>
      <c r="J115" s="13">
        <f t="shared" si="16"/>
        <v>16886307.110223208</v>
      </c>
      <c r="K115" s="41">
        <v>0.19000000000000006</v>
      </c>
    </row>
    <row r="116" spans="3:11" x14ac:dyDescent="0.25">
      <c r="C116" s="180" t="s">
        <v>258</v>
      </c>
      <c r="D116" s="13">
        <f t="shared" si="12"/>
        <v>1861725</v>
      </c>
      <c r="E116" s="13">
        <f t="shared" si="13"/>
        <v>4061148.5745999999</v>
      </c>
      <c r="F116" s="13">
        <f t="shared" si="17"/>
        <v>1243726</v>
      </c>
      <c r="G116" s="13">
        <f t="shared" si="14"/>
        <v>0</v>
      </c>
      <c r="H116" s="13">
        <f t="shared" si="14"/>
        <v>0</v>
      </c>
      <c r="I116" s="28">
        <f t="shared" si="15"/>
        <v>7166599.5745999999</v>
      </c>
      <c r="J116" s="13">
        <f t="shared" si="16"/>
        <v>17495377.567767411</v>
      </c>
      <c r="K116" s="41">
        <v>0.20500000000000007</v>
      </c>
    </row>
    <row r="117" spans="3:11" x14ac:dyDescent="0.25">
      <c r="C117" s="180" t="s">
        <v>259</v>
      </c>
      <c r="D117" s="13">
        <f t="shared" si="12"/>
        <v>1861725</v>
      </c>
      <c r="E117" s="13">
        <f t="shared" si="13"/>
        <v>4061148.5745999999</v>
      </c>
      <c r="F117" s="13">
        <f t="shared" si="17"/>
        <v>1865435</v>
      </c>
      <c r="G117" s="13">
        <f t="shared" si="14"/>
        <v>0</v>
      </c>
      <c r="H117" s="13">
        <f t="shared" si="14"/>
        <v>0</v>
      </c>
      <c r="I117" s="28">
        <f t="shared" si="15"/>
        <v>7788308.5745999999</v>
      </c>
      <c r="J117" s="13">
        <f t="shared" si="16"/>
        <v>18234296.813541267</v>
      </c>
      <c r="K117" s="41">
        <v>0.22000000000000008</v>
      </c>
    </row>
    <row r="118" spans="3:11" x14ac:dyDescent="0.25">
      <c r="C118" s="180" t="s">
        <v>260</v>
      </c>
      <c r="D118" s="13">
        <f t="shared" si="12"/>
        <v>1861725</v>
      </c>
      <c r="E118" s="13">
        <f t="shared" si="13"/>
        <v>4061148.5745999999</v>
      </c>
      <c r="F118" s="13">
        <f t="shared" si="17"/>
        <v>2546896</v>
      </c>
      <c r="G118" s="13">
        <f t="shared" si="14"/>
        <v>0</v>
      </c>
      <c r="H118" s="13">
        <f t="shared" si="14"/>
        <v>0</v>
      </c>
      <c r="I118" s="28">
        <f t="shared" si="15"/>
        <v>8469769.5745999999</v>
      </c>
      <c r="J118" s="13">
        <f t="shared" si="16"/>
        <v>19130636.013787385</v>
      </c>
      <c r="K118" s="41">
        <v>0.2350000000000001</v>
      </c>
    </row>
    <row r="119" spans="3:11" x14ac:dyDescent="0.25">
      <c r="C119" s="180" t="s">
        <v>261</v>
      </c>
      <c r="D119" s="13">
        <f t="shared" si="12"/>
        <v>1861725</v>
      </c>
      <c r="E119" s="13">
        <f t="shared" si="13"/>
        <v>4061148.5745999999</v>
      </c>
      <c r="F119" s="13">
        <f t="shared" si="17"/>
        <v>4519998</v>
      </c>
      <c r="G119" s="13">
        <f t="shared" si="14"/>
        <v>379110</v>
      </c>
      <c r="H119" s="13">
        <f t="shared" si="14"/>
        <v>1891521</v>
      </c>
      <c r="I119" s="28">
        <f t="shared" si="15"/>
        <v>12713502.5746</v>
      </c>
      <c r="J119" s="13">
        <f t="shared" si="16"/>
        <v>16562775.54658116</v>
      </c>
      <c r="K119" s="41">
        <v>0.25000000000000011</v>
      </c>
    </row>
    <row r="120" spans="3:11" x14ac:dyDescent="0.25">
      <c r="C120" s="180" t="s">
        <v>262</v>
      </c>
      <c r="D120" s="13">
        <f t="shared" si="12"/>
        <v>1861725</v>
      </c>
      <c r="E120" s="13">
        <f t="shared" si="13"/>
        <v>4061148.5745999999</v>
      </c>
      <c r="F120" s="13">
        <f t="shared" si="17"/>
        <v>4843772</v>
      </c>
      <c r="G120" s="13">
        <f t="shared" si="14"/>
        <v>379110</v>
      </c>
      <c r="H120" s="13">
        <f t="shared" si="14"/>
        <v>4133071.395</v>
      </c>
      <c r="I120" s="28">
        <f t="shared" si="15"/>
        <v>15278826.969599999</v>
      </c>
      <c r="J120" s="13">
        <f t="shared" si="16"/>
        <v>16992539.667928446</v>
      </c>
      <c r="K120" s="41">
        <v>0.28000000000000003</v>
      </c>
    </row>
    <row r="121" spans="3:11" x14ac:dyDescent="0.25">
      <c r="C121" s="180" t="s">
        <v>263</v>
      </c>
      <c r="D121" s="13">
        <f t="shared" si="12"/>
        <v>1861725</v>
      </c>
      <c r="E121" s="13">
        <f t="shared" si="13"/>
        <v>4061148.5745999999</v>
      </c>
      <c r="F121" s="13">
        <f t="shared" si="17"/>
        <v>4819350</v>
      </c>
      <c r="G121" s="13">
        <f t="shared" si="14"/>
        <v>379110</v>
      </c>
      <c r="H121" s="13">
        <f t="shared" si="14"/>
        <v>6231605.0380250001</v>
      </c>
      <c r="I121" s="28">
        <f t="shared" si="15"/>
        <v>17352938.612624999</v>
      </c>
      <c r="J121" s="13">
        <f t="shared" si="16"/>
        <v>18315527.489612099</v>
      </c>
      <c r="K121" s="41">
        <v>0.31</v>
      </c>
    </row>
    <row r="122" spans="3:11" x14ac:dyDescent="0.25">
      <c r="C122" s="180" t="s">
        <v>264</v>
      </c>
      <c r="D122" s="13">
        <f t="shared" si="12"/>
        <v>1861725</v>
      </c>
      <c r="E122" s="13">
        <f t="shared" si="13"/>
        <v>4061148.5745999999</v>
      </c>
      <c r="F122" s="13">
        <f t="shared" si="17"/>
        <v>4795176</v>
      </c>
      <c r="G122" s="13">
        <f t="shared" si="14"/>
        <v>379110</v>
      </c>
      <c r="H122" s="13">
        <f t="shared" si="14"/>
        <v>6291381.9128348753</v>
      </c>
      <c r="I122" s="28">
        <f t="shared" si="15"/>
        <v>17388541.487434875</v>
      </c>
      <c r="J122" s="13">
        <f t="shared" si="16"/>
        <v>21831155.092154194</v>
      </c>
      <c r="K122" s="41">
        <v>0.34</v>
      </c>
    </row>
    <row r="123" spans="3:11" x14ac:dyDescent="0.25">
      <c r="C123" s="180" t="s">
        <v>265</v>
      </c>
      <c r="D123" s="13">
        <f t="shared" si="12"/>
        <v>1861725</v>
      </c>
      <c r="E123" s="13">
        <f t="shared" si="13"/>
        <v>4061148.5745999999</v>
      </c>
      <c r="F123" s="13">
        <f t="shared" si="17"/>
        <v>4771149</v>
      </c>
      <c r="G123" s="13">
        <f t="shared" si="14"/>
        <v>379110</v>
      </c>
      <c r="H123" s="13">
        <f t="shared" si="14"/>
        <v>6350859.9032707</v>
      </c>
      <c r="I123" s="28">
        <f t="shared" si="15"/>
        <v>17423992.477870699</v>
      </c>
      <c r="J123" s="13">
        <f t="shared" si="16"/>
        <v>25290584.028685872</v>
      </c>
      <c r="K123" s="41">
        <v>0.37</v>
      </c>
    </row>
    <row r="124" spans="3:11" x14ac:dyDescent="0.25">
      <c r="C124" s="180" t="s">
        <v>266</v>
      </c>
      <c r="D124" s="13">
        <f t="shared" si="12"/>
        <v>1861725</v>
      </c>
      <c r="E124" s="13">
        <f t="shared" si="13"/>
        <v>4061148.5745999999</v>
      </c>
      <c r="F124" s="13">
        <f t="shared" si="17"/>
        <v>4747210</v>
      </c>
      <c r="G124" s="13">
        <f t="shared" si="14"/>
        <v>379110</v>
      </c>
      <c r="H124" s="13">
        <f t="shared" si="14"/>
        <v>6325040.5037543466</v>
      </c>
      <c r="I124" s="28">
        <f t="shared" si="15"/>
        <v>17374234.078354347</v>
      </c>
      <c r="J124" s="13">
        <f t="shared" si="16"/>
        <v>29077141.880546492</v>
      </c>
      <c r="K124" s="41">
        <v>0.4</v>
      </c>
    </row>
    <row r="125" spans="3:11" x14ac:dyDescent="0.25">
      <c r="C125" s="32" t="s">
        <v>267</v>
      </c>
      <c r="D125" s="13">
        <f t="shared" si="12"/>
        <v>1861725</v>
      </c>
      <c r="E125" s="13">
        <f t="shared" si="13"/>
        <v>4061148.5745999999</v>
      </c>
      <c r="F125" s="13">
        <f t="shared" si="17"/>
        <v>4723483</v>
      </c>
      <c r="G125" s="13">
        <f t="shared" si="14"/>
        <v>379110</v>
      </c>
      <c r="H125" s="13">
        <f t="shared" si="14"/>
        <v>6299350.2012355756</v>
      </c>
      <c r="I125" s="28">
        <f t="shared" si="15"/>
        <v>17324816.775835574</v>
      </c>
      <c r="J125" s="13">
        <f t="shared" si="16"/>
        <v>30438229.593165949</v>
      </c>
      <c r="K125" s="41">
        <v>0.40902608000000001</v>
      </c>
    </row>
    <row r="126" spans="3:11" x14ac:dyDescent="0.25">
      <c r="C126" s="180" t="s">
        <v>268</v>
      </c>
      <c r="D126" s="13">
        <f t="shared" si="12"/>
        <v>0</v>
      </c>
      <c r="E126" s="13">
        <f t="shared" si="13"/>
        <v>4061148.5745999999</v>
      </c>
      <c r="F126" s="13">
        <f t="shared" si="17"/>
        <v>4699480</v>
      </c>
      <c r="G126" s="13">
        <f t="shared" si="14"/>
        <v>379110</v>
      </c>
      <c r="H126" s="13">
        <f t="shared" si="14"/>
        <v>6273788.3502293974</v>
      </c>
      <c r="I126" s="28">
        <f t="shared" si="15"/>
        <v>15413526.924829397</v>
      </c>
      <c r="J126" s="13">
        <f t="shared" si="16"/>
        <v>33743622.410794377</v>
      </c>
      <c r="K126" s="41">
        <v>0.41825583530041599</v>
      </c>
    </row>
    <row r="127" spans="3:11" x14ac:dyDescent="0.25">
      <c r="C127" s="180" t="s">
        <v>269</v>
      </c>
      <c r="D127" s="13">
        <f t="shared" si="12"/>
        <v>0</v>
      </c>
      <c r="E127" s="13">
        <f t="shared" si="13"/>
        <v>3631148.5745999999</v>
      </c>
      <c r="F127" s="13">
        <f t="shared" si="17"/>
        <v>4675681</v>
      </c>
      <c r="G127" s="13">
        <f t="shared" si="14"/>
        <v>379110</v>
      </c>
      <c r="H127" s="13">
        <f t="shared" si="14"/>
        <v>6248354.3084782492</v>
      </c>
      <c r="I127" s="28">
        <f t="shared" si="15"/>
        <v>14934293.883078249</v>
      </c>
      <c r="J127" s="13">
        <f t="shared" si="16"/>
        <v>35488160.170329012</v>
      </c>
      <c r="K127" s="41">
        <v>0.42769386187513697</v>
      </c>
    </row>
    <row r="128" spans="3:11" x14ac:dyDescent="0.25">
      <c r="C128" s="180" t="s">
        <v>270</v>
      </c>
      <c r="D128" s="13">
        <f t="shared" si="12"/>
        <v>0</v>
      </c>
      <c r="E128" s="13">
        <f t="shared" si="13"/>
        <v>3631148.5745999999</v>
      </c>
      <c r="F128" s="13">
        <f t="shared" si="17"/>
        <v>4108446</v>
      </c>
      <c r="G128" s="13">
        <f t="shared" si="14"/>
        <v>379110</v>
      </c>
      <c r="H128" s="13">
        <f t="shared" si="14"/>
        <v>6223047.4369358579</v>
      </c>
      <c r="I128" s="28">
        <f t="shared" si="15"/>
        <v>14341752.011535857</v>
      </c>
      <c r="J128" s="13">
        <f t="shared" si="16"/>
        <v>37477646.981264383</v>
      </c>
      <c r="K128" s="41">
        <v>0.43734485940712181</v>
      </c>
    </row>
    <row r="129" spans="2:32" x14ac:dyDescent="0.25">
      <c r="C129" s="180" t="s">
        <v>271</v>
      </c>
      <c r="D129" s="13">
        <f t="shared" si="12"/>
        <v>0</v>
      </c>
      <c r="E129" s="13">
        <f t="shared" si="13"/>
        <v>3324562.2823000001</v>
      </c>
      <c r="F129" s="13">
        <f t="shared" si="17"/>
        <v>4015884</v>
      </c>
      <c r="G129" s="13">
        <f t="shared" si="14"/>
        <v>379110</v>
      </c>
      <c r="H129" s="13">
        <f t="shared" si="14"/>
        <v>6197867.0997511791</v>
      </c>
      <c r="I129" s="28">
        <f t="shared" si="15"/>
        <v>13917423.382051179</v>
      </c>
      <c r="J129" s="13">
        <f t="shared" si="16"/>
        <v>39265734.452433452</v>
      </c>
      <c r="K129" s="41">
        <v>0.44721363362861538</v>
      </c>
    </row>
    <row r="130" spans="2:32" x14ac:dyDescent="0.25">
      <c r="C130" s="180" t="s">
        <v>272</v>
      </c>
      <c r="D130" s="13">
        <f t="shared" si="12"/>
        <v>0</v>
      </c>
      <c r="E130" s="13">
        <f t="shared" ref="E130:E136" si="18">F103</f>
        <v>0</v>
      </c>
      <c r="F130" s="13">
        <f t="shared" si="17"/>
        <v>3637116</v>
      </c>
      <c r="G130" s="13">
        <f t="shared" si="14"/>
        <v>379110</v>
      </c>
      <c r="H130" s="13">
        <f t="shared" si="14"/>
        <v>6172812.6642524237</v>
      </c>
      <c r="I130" s="28">
        <f t="shared" si="15"/>
        <v>10189038.664252423</v>
      </c>
      <c r="J130" s="13">
        <f t="shared" si="16"/>
        <v>44430777.510766208</v>
      </c>
      <c r="K130" s="41">
        <v>0.45730509871417185</v>
      </c>
    </row>
    <row r="131" spans="2:32" x14ac:dyDescent="0.25">
      <c r="C131" s="180" t="s">
        <v>273</v>
      </c>
      <c r="D131" s="13">
        <f t="shared" si="12"/>
        <v>0</v>
      </c>
      <c r="E131" s="13">
        <f t="shared" si="18"/>
        <v>0</v>
      </c>
      <c r="F131" s="13">
        <f t="shared" si="17"/>
        <v>3429694</v>
      </c>
      <c r="G131" s="13">
        <f t="shared" si="14"/>
        <v>379110</v>
      </c>
      <c r="H131" s="13">
        <f t="shared" si="14"/>
        <v>6147883.5009311615</v>
      </c>
      <c r="I131" s="28">
        <f t="shared" si="15"/>
        <v>9956687.5009311624</v>
      </c>
      <c r="J131" s="13">
        <f t="shared" si="16"/>
        <v>46012120.839033574</v>
      </c>
      <c r="K131" s="41">
        <v>0.46762427972767689</v>
      </c>
    </row>
    <row r="132" spans="2:32" x14ac:dyDescent="0.25">
      <c r="C132" s="180" t="s">
        <v>274</v>
      </c>
      <c r="D132" s="13">
        <f t="shared" si="12"/>
        <v>0</v>
      </c>
      <c r="E132" s="13">
        <f t="shared" si="18"/>
        <v>0</v>
      </c>
      <c r="F132" s="13">
        <f t="shared" si="17"/>
        <v>3034061</v>
      </c>
      <c r="G132" s="13">
        <f t="shared" si="14"/>
        <v>379110</v>
      </c>
      <c r="H132" s="13">
        <f t="shared" si="14"/>
        <v>6123078.9834265057</v>
      </c>
      <c r="I132" s="28">
        <f t="shared" si="15"/>
        <v>9536249.9834265057</v>
      </c>
      <c r="J132" s="13">
        <f t="shared" si="16"/>
        <v>47959019.967949629</v>
      </c>
      <c r="K132" s="41">
        <v>0.47817631512458791</v>
      </c>
    </row>
    <row r="133" spans="2:32" x14ac:dyDescent="0.25">
      <c r="C133" s="180" t="s">
        <v>275</v>
      </c>
      <c r="D133" s="13">
        <f t="shared" si="12"/>
        <v>0</v>
      </c>
      <c r="E133" s="13">
        <f t="shared" si="18"/>
        <v>0</v>
      </c>
      <c r="F133" s="13">
        <f t="shared" si="17"/>
        <v>2703841</v>
      </c>
      <c r="G133" s="13">
        <f t="shared" si="14"/>
        <v>379110</v>
      </c>
      <c r="H133" s="13">
        <f t="shared" si="14"/>
        <v>6098398.4885093728</v>
      </c>
      <c r="I133" s="28">
        <f t="shared" si="15"/>
        <v>9181349.4885093719</v>
      </c>
      <c r="J133" s="13">
        <f t="shared" si="16"/>
        <v>49830277.778865933</v>
      </c>
      <c r="K133" s="41">
        <v>0.48896645931063754</v>
      </c>
    </row>
    <row r="134" spans="2:32" x14ac:dyDescent="0.25">
      <c r="C134" s="180" t="s">
        <v>276</v>
      </c>
      <c r="D134" s="13">
        <f t="shared" si="12"/>
        <v>0</v>
      </c>
      <c r="E134" s="13">
        <f t="shared" si="18"/>
        <v>0</v>
      </c>
      <c r="F134" s="13">
        <f t="shared" si="17"/>
        <v>2335697</v>
      </c>
      <c r="G134" s="13">
        <f t="shared" si="14"/>
        <v>379110</v>
      </c>
      <c r="H134" s="13">
        <f t="shared" si="14"/>
        <v>6073841.3960668258</v>
      </c>
      <c r="I134" s="28">
        <f t="shared" si="15"/>
        <v>8788648.3960668258</v>
      </c>
      <c r="J134" s="13">
        <f t="shared" si="16"/>
        <v>51821942.770797521</v>
      </c>
      <c r="K134" s="41">
        <v>0.50000008525827411</v>
      </c>
    </row>
    <row r="135" spans="2:32" x14ac:dyDescent="0.25">
      <c r="C135" s="180" t="s">
        <v>277</v>
      </c>
      <c r="D135" s="13">
        <f t="shared" si="12"/>
        <v>0</v>
      </c>
      <c r="E135" s="13">
        <f t="shared" si="18"/>
        <v>0</v>
      </c>
      <c r="F135" s="13">
        <f t="shared" si="17"/>
        <v>2295451</v>
      </c>
      <c r="G135" s="13">
        <f t="shared" si="14"/>
        <v>379110</v>
      </c>
      <c r="H135" s="13">
        <f t="shared" si="14"/>
        <v>6049407.0890864916</v>
      </c>
      <c r="I135" s="28">
        <f t="shared" si="15"/>
        <v>8723968.0890864916</v>
      </c>
      <c r="J135" s="13">
        <f t="shared" si="16"/>
        <v>52070640.258435026</v>
      </c>
      <c r="K135" s="41">
        <v>0.5</v>
      </c>
    </row>
    <row r="136" spans="2:32" x14ac:dyDescent="0.25">
      <c r="C136" s="180" t="s">
        <v>278</v>
      </c>
      <c r="D136" s="13">
        <f t="shared" si="12"/>
        <v>0</v>
      </c>
      <c r="E136" s="13">
        <f t="shared" si="18"/>
        <v>0</v>
      </c>
      <c r="F136" s="13"/>
      <c r="G136" s="13">
        <f t="shared" si="14"/>
        <v>379110</v>
      </c>
      <c r="H136" s="13">
        <f t="shared" si="14"/>
        <v>6025094.9536410589</v>
      </c>
      <c r="I136" s="28">
        <f t="shared" si="15"/>
        <v>6404204.9536410589</v>
      </c>
      <c r="J136" s="13">
        <f t="shared" si="16"/>
        <v>54577845.82610587</v>
      </c>
      <c r="K136" s="41">
        <v>0.5</v>
      </c>
    </row>
    <row r="138" spans="2:32" x14ac:dyDescent="0.25">
      <c r="B138" s="33" t="s">
        <v>304</v>
      </c>
    </row>
    <row r="140" spans="2:32" ht="45" x14ac:dyDescent="0.25">
      <c r="C140" s="15" t="s">
        <v>1</v>
      </c>
      <c r="D140" s="15" t="s">
        <v>213</v>
      </c>
      <c r="E140" s="15" t="s">
        <v>305</v>
      </c>
      <c r="F140" s="15" t="s">
        <v>306</v>
      </c>
      <c r="G140" s="15" t="s">
        <v>307</v>
      </c>
      <c r="J140" s="1"/>
      <c r="K140" s="180" t="s">
        <v>260</v>
      </c>
      <c r="L140" s="180" t="s">
        <v>261</v>
      </c>
      <c r="M140" s="180" t="s">
        <v>262</v>
      </c>
      <c r="N140" s="180" t="s">
        <v>263</v>
      </c>
      <c r="O140" s="180" t="s">
        <v>264</v>
      </c>
      <c r="P140" s="180" t="s">
        <v>265</v>
      </c>
      <c r="Q140" s="180" t="s">
        <v>266</v>
      </c>
      <c r="R140" s="180" t="s">
        <v>267</v>
      </c>
      <c r="S140" s="180" t="s">
        <v>268</v>
      </c>
      <c r="T140" s="180" t="s">
        <v>269</v>
      </c>
      <c r="U140" s="180" t="s">
        <v>270</v>
      </c>
      <c r="V140" s="180" t="s">
        <v>271</v>
      </c>
      <c r="W140" s="180" t="s">
        <v>272</v>
      </c>
      <c r="X140" s="180" t="s">
        <v>273</v>
      </c>
      <c r="Y140" s="180" t="s">
        <v>274</v>
      </c>
      <c r="Z140" s="180" t="s">
        <v>275</v>
      </c>
      <c r="AA140" s="180" t="s">
        <v>276</v>
      </c>
      <c r="AB140" s="180" t="s">
        <v>277</v>
      </c>
      <c r="AC140" s="180" t="s">
        <v>278</v>
      </c>
      <c r="AD140" s="185"/>
      <c r="AE140" s="185"/>
    </row>
    <row r="141" spans="2:32" x14ac:dyDescent="0.25">
      <c r="C141" s="180" t="s">
        <v>256</v>
      </c>
      <c r="D141" s="181">
        <f>'REC Spend projected'!O4</f>
        <v>11261800.036503479</v>
      </c>
      <c r="E141" s="181">
        <f>'REC Spend projected'!N4</f>
        <v>0</v>
      </c>
      <c r="F141" s="181">
        <f>'REC Spend projected'!M4</f>
        <v>6757080.0219020871</v>
      </c>
      <c r="G141" s="181">
        <f>D141+E141+F141</f>
        <v>18018880.058405567</v>
      </c>
      <c r="J141" t="s">
        <v>200</v>
      </c>
      <c r="K141" s="185" cm="1">
        <f t="array" ref="K141:AE141">TRANSPOSE(I114:I134)</f>
        <v>3277082.2922999999</v>
      </c>
      <c r="L141" s="185">
        <v>5899145.5745999999</v>
      </c>
      <c r="M141" s="185">
        <v>7166599.5745999999</v>
      </c>
      <c r="N141" s="185">
        <v>7788308.5745999999</v>
      </c>
      <c r="O141" s="185">
        <v>8469769.5745999999</v>
      </c>
      <c r="P141" s="185">
        <v>12713502.5746</v>
      </c>
      <c r="Q141" s="185">
        <v>15278826.969599999</v>
      </c>
      <c r="R141" s="185">
        <v>17352938.612624999</v>
      </c>
      <c r="S141" s="185">
        <v>17388541.487434875</v>
      </c>
      <c r="T141" s="185">
        <v>17423992.477870699</v>
      </c>
      <c r="U141" s="185">
        <v>17374234.078354347</v>
      </c>
      <c r="V141" s="185">
        <v>17324816.775835574</v>
      </c>
      <c r="W141" s="185">
        <v>15413526.924829397</v>
      </c>
      <c r="X141" s="185">
        <v>14934293.883078249</v>
      </c>
      <c r="Y141" s="185">
        <v>14341752.011535857</v>
      </c>
      <c r="Z141" s="185">
        <v>13917423.382051179</v>
      </c>
      <c r="AA141" s="185">
        <v>10189038.664252423</v>
      </c>
      <c r="AB141" s="185">
        <v>9956687.5009311624</v>
      </c>
      <c r="AC141" s="185">
        <v>9536249.9834265057</v>
      </c>
      <c r="AD141" s="295">
        <v>9181349.4885093719</v>
      </c>
      <c r="AE141" s="295">
        <v>8788648.3960668258</v>
      </c>
    </row>
    <row r="142" spans="2:32" x14ac:dyDescent="0.25">
      <c r="C142" s="180" t="s">
        <v>257</v>
      </c>
      <c r="D142" s="181">
        <f>'REC Spend projected'!O5</f>
        <v>50000000</v>
      </c>
      <c r="E142" s="181">
        <f>'REC Spend projected'!N5</f>
        <v>10000000</v>
      </c>
      <c r="F142" s="181">
        <f>'REC Spend projected'!M5</f>
        <v>13942135.092404015</v>
      </c>
      <c r="G142" s="181">
        <f t="shared" ref="G142:G163" si="19">D142+E142+F142</f>
        <v>73942135.092404008</v>
      </c>
      <c r="J142" s="183" t="s">
        <v>308</v>
      </c>
      <c r="K142" s="199"/>
      <c r="L142" s="185">
        <f>'Projected ABP RECs'!C174</f>
        <v>0</v>
      </c>
      <c r="M142" s="185">
        <f>'Projected ABP RECs'!D174</f>
        <v>0</v>
      </c>
      <c r="N142" s="185">
        <f>'Projected ABP RECs'!E174+'Indexed REC Activities'!I90</f>
        <v>2356752</v>
      </c>
      <c r="O142" s="185">
        <f>'Projected ABP RECs'!F174+'Indexed REC Activities'!J90</f>
        <v>3173431.2399999998</v>
      </c>
      <c r="P142" s="185">
        <f>'Projected ABP RECs'!G174+'Indexed REC Activities'!K90</f>
        <v>3161706.3988000001</v>
      </c>
      <c r="Q142" s="185">
        <f>'Projected ABP RECs'!H174+'Indexed REC Activities'!L90</f>
        <v>3150040.1818059999</v>
      </c>
      <c r="R142" s="185">
        <f>'Projected ABP RECs'!I174+'Indexed REC Activities'!M90</f>
        <v>3138432.2958969702</v>
      </c>
      <c r="S142" s="185">
        <f>'Projected ABP RECs'!J174+'Indexed REC Activities'!N90</f>
        <v>3126882.4494174849</v>
      </c>
      <c r="T142" s="185">
        <f>'Projected ABP RECs'!K174+'Indexed REC Activities'!O90</f>
        <v>3115390.3521703975</v>
      </c>
      <c r="U142" s="185">
        <f>'Projected ABP RECs'!L174+'Indexed REC Activities'!P90</f>
        <v>3103955.7154095452</v>
      </c>
      <c r="V142" s="185">
        <f>'Projected ABP RECs'!M174+'Indexed REC Activities'!Q90</f>
        <v>3092578.2518324973</v>
      </c>
      <c r="W142" s="185">
        <f>'Projected ABP RECs'!N174+'Indexed REC Activities'!R90</f>
        <v>3081257.675573335</v>
      </c>
      <c r="X142" s="185">
        <f>'Projected ABP RECs'!O174+'Indexed REC Activities'!S90</f>
        <v>3069993.7021954684</v>
      </c>
      <c r="Y142" s="185">
        <f>'Projected ABP RECs'!P174+'Indexed REC Activities'!T90</f>
        <v>3058786.0486844913</v>
      </c>
      <c r="Z142" s="185">
        <f>'Projected ABP RECs'!Q174+'Indexed REC Activities'!U90</f>
        <v>3047634.433441069</v>
      </c>
      <c r="AA142" s="185">
        <f>'Projected ABP RECs'!R174+'Indexed REC Activities'!V90</f>
        <v>3036538.5762738632</v>
      </c>
      <c r="AB142" s="185">
        <f>'Projected ABP RECs'!S174+'Indexed REC Activities'!W90</f>
        <v>3025498.1983924941</v>
      </c>
      <c r="AC142" s="185">
        <f>'Projected ABP RECs'!T174+'Indexed REC Activities'!X90</f>
        <v>3014513.0224005319</v>
      </c>
      <c r="AD142" s="295"/>
      <c r="AE142" s="295"/>
    </row>
    <row r="143" spans="2:32" x14ac:dyDescent="0.25">
      <c r="C143" s="180" t="s">
        <v>258</v>
      </c>
      <c r="D143" s="181">
        <f>'REC Spend projected'!O6</f>
        <v>50000000</v>
      </c>
      <c r="E143" s="181">
        <f>'REC Spend projected'!N6</f>
        <v>0</v>
      </c>
      <c r="F143" s="181">
        <f>'REC Spend projected'!M6</f>
        <v>17623889.800951708</v>
      </c>
      <c r="G143" s="181">
        <f t="shared" si="19"/>
        <v>67623889.800951704</v>
      </c>
      <c r="J143" s="1" t="s">
        <v>309</v>
      </c>
      <c r="L143" s="185">
        <f>'Projected ABP RECs'!C175</f>
        <v>602273.92248011334</v>
      </c>
      <c r="M143" s="185">
        <f>'Projected ABP RECs'!D175</f>
        <v>1507773.8455118262</v>
      </c>
      <c r="N143" s="185">
        <f>'Projected ABP RECs'!E175</f>
        <v>1806472.3464482669</v>
      </c>
      <c r="O143" s="185">
        <f>'Projected ABP RECs'!F175+'Indexed REC Activities'!J91</f>
        <v>3088175.9847160256</v>
      </c>
      <c r="P143" s="185">
        <f>'Projected ABP RECs'!G175+'Indexed REC Activities'!K91</f>
        <v>7159527.6897924459</v>
      </c>
      <c r="Q143" s="185">
        <f>'Projected ABP RECs'!H175+'Indexed REC Activities'!L91</f>
        <v>7138022.6363434829</v>
      </c>
      <c r="R143" s="185">
        <f>'Projected ABP RECs'!I175+'Indexed REC Activities'!M91</f>
        <v>7116625.1081617661</v>
      </c>
      <c r="S143" s="185">
        <f>'Projected ABP RECs'!J175+'Indexed REC Activities'!N91</f>
        <v>7095334.5676209573</v>
      </c>
      <c r="T143" s="185">
        <f>'Projected ABP RECs'!K175+'Indexed REC Activities'!O91</f>
        <v>7074150.4797828514</v>
      </c>
      <c r="U143" s="185">
        <f>'Projected ABP RECs'!L175+'Indexed REC Activities'!P91</f>
        <v>7053072.3123839386</v>
      </c>
      <c r="V143" s="185">
        <f>'Projected ABP RECs'!M175+'Indexed REC Activities'!Q91</f>
        <v>7032099.535822018</v>
      </c>
      <c r="W143" s="185">
        <f>'Projected ABP RECs'!N175+'Indexed REC Activities'!R91</f>
        <v>7011231.6231429074</v>
      </c>
      <c r="X143" s="185">
        <f>'Projected ABP RECs'!O175+'Indexed REC Activities'!S91</f>
        <v>6990468.0500271935</v>
      </c>
      <c r="Y143" s="185">
        <f>'Projected ABP RECs'!P175+'Indexed REC Activities'!T91</f>
        <v>6969808.2947770571</v>
      </c>
      <c r="Z143" s="185">
        <f>'Projected ABP RECs'!Q175+'Indexed REC Activities'!U91</f>
        <v>6949251.8383031711</v>
      </c>
      <c r="AA143" s="185">
        <f>'Projected ABP RECs'!R175+'Indexed REC Activities'!V91</f>
        <v>6489267.9390692068</v>
      </c>
      <c r="AB143" s="185">
        <f>'Projected ABP RECs'!S175+'Indexed REC Activities'!W91</f>
        <v>5994931.5358918421</v>
      </c>
      <c r="AC143" s="185">
        <f>'Projected ABP RECs'!T175+'Indexed REC Activities'!X91</f>
        <v>5942597.0397728141</v>
      </c>
      <c r="AD143" s="185"/>
      <c r="AE143" s="185"/>
      <c r="AF143" s="185"/>
    </row>
    <row r="144" spans="2:32" x14ac:dyDescent="0.25">
      <c r="C144" s="180" t="s">
        <v>259</v>
      </c>
      <c r="D144" s="181">
        <f>'REC Spend projected'!O7</f>
        <v>50000000</v>
      </c>
      <c r="E144" s="181">
        <f>'REC Spend projected'!N7</f>
        <v>0</v>
      </c>
      <c r="F144" s="181">
        <f>'REC Spend projected'!M7</f>
        <v>17322647.088471591</v>
      </c>
      <c r="G144" s="181">
        <f t="shared" si="19"/>
        <v>67322647.088471591</v>
      </c>
      <c r="J144" s="1" t="s">
        <v>310</v>
      </c>
      <c r="L144" s="185">
        <f>'Projected ABP RECs'!C176</f>
        <v>0</v>
      </c>
      <c r="M144" s="185">
        <f>'Projected ABP RECs'!D176</f>
        <v>0</v>
      </c>
      <c r="N144" s="185">
        <f>'Projected ABP RECs'!E176</f>
        <v>602273.92248011334</v>
      </c>
      <c r="O144" s="185">
        <f>'Projected ABP RECs'!F176+'Indexed REC Activities'!J92</f>
        <v>1507773.8455118262</v>
      </c>
      <c r="P144" s="185">
        <f>'Projected ABP RECs'!G176+'Indexed REC Activities'!K92</f>
        <v>1806472.3464482669</v>
      </c>
      <c r="Q144" s="185">
        <f>'Projected ABP RECs'!H176+'Indexed REC Activities'!L92</f>
        <v>5882439.9847160261</v>
      </c>
      <c r="R144" s="185">
        <f>'Projected ABP RECs'!I176+'Indexed REC Activities'!M92</f>
        <v>9950527.7847924456</v>
      </c>
      <c r="S144" s="185">
        <f>'Projected ABP RECs'!J176+'Indexed REC Activities'!N92</f>
        <v>9925775.1458684839</v>
      </c>
      <c r="T144" s="185">
        <f>'Projected ABP RECs'!K176+'Indexed REC Activities'!O92</f>
        <v>9901146.270139141</v>
      </c>
      <c r="U144" s="185">
        <f>'Projected ABP RECs'!L176+'Indexed REC Activities'!P92</f>
        <v>9876640.5387884453</v>
      </c>
      <c r="V144" s="185">
        <f>'Projected ABP RECs'!M176+'Indexed REC Activities'!Q92</f>
        <v>9852257.3360945024</v>
      </c>
      <c r="W144" s="185">
        <f>'Projected ABP RECs'!N176+'Indexed REC Activities'!R92</f>
        <v>9827996.0494140312</v>
      </c>
      <c r="X144" s="185">
        <f>'Projected ABP RECs'!O176+'Indexed REC Activities'!S92</f>
        <v>9803856.0691669602</v>
      </c>
      <c r="Y144" s="185">
        <f>'Projected ABP RECs'!P176+'Indexed REC Activities'!T92</f>
        <v>9779836.7888211254</v>
      </c>
      <c r="Z144" s="185">
        <f>'Projected ABP RECs'!Q176+'Indexed REC Activities'!U92</f>
        <v>9755937.6048770212</v>
      </c>
      <c r="AA144" s="185">
        <f>'Projected ABP RECs'!R176+'Indexed REC Activities'!V92</f>
        <v>9732157.9168526344</v>
      </c>
      <c r="AB144" s="185">
        <f>'Projected ABP RECs'!S176+'Indexed REC Activities'!W92</f>
        <v>9708497.1272683721</v>
      </c>
      <c r="AC144" s="185">
        <f>'Projected ABP RECs'!T176+'Indexed REC Activities'!X92</f>
        <v>9245424.4165895805</v>
      </c>
      <c r="AD144" s="185"/>
      <c r="AE144" s="185"/>
      <c r="AF144" s="185"/>
    </row>
    <row r="145" spans="3:32" x14ac:dyDescent="0.25">
      <c r="C145" s="180" t="s">
        <v>260</v>
      </c>
      <c r="D145" s="181">
        <f>'REC Spend projected'!O8</f>
        <v>50000000</v>
      </c>
      <c r="E145" s="181">
        <f>'REC Spend projected'!N8</f>
        <v>10000000</v>
      </c>
      <c r="F145" s="181">
        <f>'REC Spend projected'!M8</f>
        <v>17208829.557390258</v>
      </c>
      <c r="G145" s="181">
        <f t="shared" si="19"/>
        <v>77208829.557390258</v>
      </c>
      <c r="J145" s="1" t="s">
        <v>311</v>
      </c>
      <c r="L145" s="185">
        <f>'Projected ABP RECs'!C177</f>
        <v>0</v>
      </c>
      <c r="M145" s="185">
        <f>'Projected ABP RECs'!D177</f>
        <v>0</v>
      </c>
      <c r="N145" s="185">
        <f>'Projected ABP RECs'!E177</f>
        <v>0</v>
      </c>
      <c r="O145" s="185">
        <f>'Projected ABP RECs'!F177+'Indexed REC Activities'!J93</f>
        <v>0</v>
      </c>
      <c r="P145" s="185">
        <f>'Projected ABP RECs'!G177+'Indexed REC Activities'!K93</f>
        <v>602273.92248011334</v>
      </c>
      <c r="Q145" s="185">
        <f>'Projected ABP RECs'!H177+'Indexed REC Activities'!L93</f>
        <v>1507773.8455118262</v>
      </c>
      <c r="R145" s="185">
        <f>'Projected ABP RECs'!I177+'Indexed REC Activities'!M93</f>
        <v>1806472.3464482669</v>
      </c>
      <c r="S145" s="185">
        <f>'Projected ABP RECs'!J177+'Indexed REC Activities'!N93</f>
        <v>5382439.9847160261</v>
      </c>
      <c r="T145" s="185">
        <f>'Projected ABP RECs'!K177+'Indexed REC Activities'!O93</f>
        <v>8953027.7847924456</v>
      </c>
      <c r="U145" s="185">
        <f>'Projected ABP RECs'!L177+'Indexed REC Activities'!P93</f>
        <v>8933262.6458684839</v>
      </c>
      <c r="V145" s="185">
        <f>'Projected ABP RECs'!M177+'Indexed REC Activities'!Q93</f>
        <v>8913596.332639141</v>
      </c>
      <c r="W145" s="185">
        <f>'Projected ABP RECs'!N177+'Indexed REC Activities'!R93</f>
        <v>8894028.3509759437</v>
      </c>
      <c r="X145" s="185">
        <f>'Projected ABP RECs'!O177+'Indexed REC Activities'!S93</f>
        <v>8874558.209221065</v>
      </c>
      <c r="Y145" s="185">
        <f>'Projected ABP RECs'!P177+'Indexed REC Activities'!T93</f>
        <v>8855185.4181749597</v>
      </c>
      <c r="Z145" s="185">
        <f>'Projected ABP RECs'!Q177+'Indexed REC Activities'!U93</f>
        <v>8835909.4910840839</v>
      </c>
      <c r="AA145" s="185">
        <f>'Projected ABP RECs'!R177+'Indexed REC Activities'!V93</f>
        <v>8816729.9436286651</v>
      </c>
      <c r="AB145" s="185">
        <f>'Projected ABP RECs'!S177+'Indexed REC Activities'!W93</f>
        <v>8797646.293910522</v>
      </c>
      <c r="AC145" s="185">
        <f>'Projected ABP RECs'!T177+'Indexed REC Activities'!X93</f>
        <v>8778658.062440969</v>
      </c>
      <c r="AD145" s="185"/>
      <c r="AE145" s="185"/>
      <c r="AF145" s="185"/>
    </row>
    <row r="146" spans="3:32" x14ac:dyDescent="0.25">
      <c r="C146" s="180" t="s">
        <v>261</v>
      </c>
      <c r="D146" s="181">
        <f>'REC Spend projected'!O9</f>
        <v>50000000</v>
      </c>
      <c r="E146" s="181">
        <f>'REC Spend projected'!N9</f>
        <v>0</v>
      </c>
      <c r="F146" s="181">
        <f>'REC Spend projected'!M9</f>
        <v>17147929.28927454</v>
      </c>
      <c r="G146" s="181">
        <f t="shared" si="19"/>
        <v>67147929.289274544</v>
      </c>
      <c r="J146" s="1" t="s">
        <v>312</v>
      </c>
      <c r="L146" s="185">
        <f>'Projected ABP RECs'!C178</f>
        <v>0</v>
      </c>
      <c r="M146" s="185">
        <f>'Projected ABP RECs'!D178</f>
        <v>0</v>
      </c>
      <c r="N146" s="185">
        <f>'Projected ABP RECs'!E178</f>
        <v>0</v>
      </c>
      <c r="O146" s="185">
        <f>'Projected ABP RECs'!F178+'Indexed REC Activities'!J94</f>
        <v>0</v>
      </c>
      <c r="P146" s="185">
        <f>'Projected ABP RECs'!G178+'Indexed REC Activities'!K94</f>
        <v>0</v>
      </c>
      <c r="Q146" s="185">
        <f>'Projected ABP RECs'!H178+'Indexed REC Activities'!L94</f>
        <v>0</v>
      </c>
      <c r="R146" s="185">
        <f>'Projected ABP RECs'!I178+'Indexed REC Activities'!M94</f>
        <v>602273.92248011334</v>
      </c>
      <c r="S146" s="185">
        <f>'Projected ABP RECs'!J178+'Indexed REC Activities'!N94</f>
        <v>1507773.8455118262</v>
      </c>
      <c r="T146" s="185">
        <f>'Projected ABP RECs'!K178+'Indexed REC Activities'!O94</f>
        <v>1806472.3464482669</v>
      </c>
      <c r="U146" s="185">
        <f>'Projected ABP RECs'!L178+'Indexed REC Activities'!P94</f>
        <v>3632439.9847160256</v>
      </c>
      <c r="V146" s="185">
        <f>'Projected ABP RECs'!M178+'Indexed REC Activities'!Q94</f>
        <v>5454277.7847924456</v>
      </c>
      <c r="W146" s="185">
        <f>'Projected ABP RECs'!N178+'Indexed REC Activities'!R94</f>
        <v>5437006.3958684839</v>
      </c>
      <c r="X146" s="185">
        <f>'Projected ABP RECs'!O178+'Indexed REC Activities'!S94</f>
        <v>5419821.363889141</v>
      </c>
      <c r="Y146" s="185">
        <f>'Projected ABP RECs'!P178+'Indexed REC Activities'!T94</f>
        <v>5402722.2570696948</v>
      </c>
      <c r="Z146" s="185">
        <f>'Projected ABP RECs'!Q178+'Indexed REC Activities'!U94</f>
        <v>5385708.6457843464</v>
      </c>
      <c r="AA146" s="185">
        <f>'Projected ABP RECs'!R178+'Indexed REC Activities'!V94</f>
        <v>5368780.1025554258</v>
      </c>
      <c r="AB146" s="185">
        <f>'Projected ABP RECs'!S178+'Indexed REC Activities'!W94</f>
        <v>5351936.2020426476</v>
      </c>
      <c r="AC146" s="185">
        <f>'Projected ABP RECs'!T178+'Indexed REC Activities'!X94</f>
        <v>5335176.521032434</v>
      </c>
      <c r="AD146" s="185"/>
      <c r="AE146" s="185"/>
      <c r="AF146" s="185"/>
    </row>
    <row r="147" spans="3:32" x14ac:dyDescent="0.25">
      <c r="C147" s="180" t="s">
        <v>262</v>
      </c>
      <c r="D147" s="181">
        <f>'REC Spend projected'!O10</f>
        <v>50000000</v>
      </c>
      <c r="E147" s="181">
        <f>'REC Spend projected'!N10</f>
        <v>0</v>
      </c>
      <c r="F147" s="181">
        <f>'REC Spend projected'!M10</f>
        <v>16888811.399599317</v>
      </c>
      <c r="G147" s="181">
        <f t="shared" si="19"/>
        <v>66888811.399599314</v>
      </c>
      <c r="J147" s="1" t="s">
        <v>313</v>
      </c>
      <c r="L147" s="185">
        <f>'Projected ABP RECs'!C179</f>
        <v>0</v>
      </c>
      <c r="M147" s="185">
        <f>'Projected ABP RECs'!D179</f>
        <v>0</v>
      </c>
      <c r="N147" s="185">
        <f>'Projected ABP RECs'!E179</f>
        <v>0</v>
      </c>
      <c r="O147" s="185">
        <f>'Projected ABP RECs'!F179+'Indexed REC Activities'!J95</f>
        <v>0</v>
      </c>
      <c r="P147" s="185">
        <f>'Projected ABP RECs'!G179+'Indexed REC Activities'!K95</f>
        <v>0</v>
      </c>
      <c r="Q147" s="185">
        <f>'Projected ABP RECs'!H179+'Indexed REC Activities'!L95</f>
        <v>0</v>
      </c>
      <c r="R147" s="185">
        <f>'Projected ABP RECs'!I179+'Indexed REC Activities'!M95</f>
        <v>0</v>
      </c>
      <c r="S147" s="185">
        <f>'Projected ABP RECs'!J179+'Indexed REC Activities'!N95</f>
        <v>0</v>
      </c>
      <c r="T147" s="185">
        <f>'Projected ABP RECs'!K179+'Indexed REC Activities'!O95</f>
        <v>602273.92248011334</v>
      </c>
      <c r="U147" s="185">
        <f>'Projected ABP RECs'!L179+'Indexed REC Activities'!P95</f>
        <v>1206636.8842717693</v>
      </c>
      <c r="V147" s="185">
        <f>'Projected ABP RECs'!M179+'Indexed REC Activities'!Q95</f>
        <v>1353722.3849324107</v>
      </c>
      <c r="W147" s="185">
        <f>'Projected ABP RECs'!N179+'Indexed REC Activities'!R95</f>
        <v>3181953.7730077486</v>
      </c>
      <c r="X147" s="185">
        <f>'Projected ABP RECs'!O179+'Indexed REC Activities'!S95</f>
        <v>5006044.00414271</v>
      </c>
      <c r="Y147" s="185">
        <f>'Projected ABP RECs'!P179+'Indexed REC Activities'!T95</f>
        <v>4991013.7841219958</v>
      </c>
      <c r="Z147" s="185">
        <f>'Projected ABP RECs'!Q179+'Indexed REC Activities'!U95</f>
        <v>4976058.7152013863</v>
      </c>
      <c r="AA147" s="185">
        <f>'Projected ABP RECs'!R179+'Indexed REC Activities'!V95</f>
        <v>4961178.4216253795</v>
      </c>
      <c r="AB147" s="185">
        <f>'Projected ABP RECs'!S179+'Indexed REC Activities'!W95</f>
        <v>4946372.529517252</v>
      </c>
      <c r="AC147" s="185">
        <f>'Projected ABP RECs'!T179+'Indexed REC Activities'!X95</f>
        <v>4931640.6668696664</v>
      </c>
      <c r="AD147" s="185"/>
      <c r="AE147" s="185"/>
      <c r="AF147" s="185"/>
    </row>
    <row r="148" spans="3:32" x14ac:dyDescent="0.25">
      <c r="C148" s="180" t="s">
        <v>263</v>
      </c>
      <c r="D148" s="181">
        <f>'REC Spend projected'!O11</f>
        <v>50000000</v>
      </c>
      <c r="E148" s="181">
        <f>'REC Spend projected'!N11</f>
        <v>10000000</v>
      </c>
      <c r="F148" s="181">
        <f>'REC Spend projected'!M11</f>
        <v>16862404.659270328</v>
      </c>
      <c r="G148" s="181">
        <f t="shared" si="19"/>
        <v>76862404.659270331</v>
      </c>
      <c r="J148" s="1" t="s">
        <v>314</v>
      </c>
      <c r="L148" s="185">
        <f>'Projected ABP RECs'!C180</f>
        <v>0</v>
      </c>
      <c r="M148" s="185">
        <f>'Projected ABP RECs'!D180</f>
        <v>0</v>
      </c>
      <c r="N148" s="185">
        <f>'Projected ABP RECs'!E180</f>
        <v>0</v>
      </c>
      <c r="O148" s="185">
        <f>'Projected ABP RECs'!F180+'Indexed REC Activities'!J96</f>
        <v>0</v>
      </c>
      <c r="P148" s="185">
        <f>'Projected ABP RECs'!G180+'Indexed REC Activities'!K96</f>
        <v>0</v>
      </c>
      <c r="Q148" s="185">
        <f>'Projected ABP RECs'!H180+'Indexed REC Activities'!L96</f>
        <v>0</v>
      </c>
      <c r="R148" s="185">
        <f>'Projected ABP RECs'!I180+'Indexed REC Activities'!M96</f>
        <v>0</v>
      </c>
      <c r="S148" s="185">
        <f>'Projected ABP RECs'!J180+'Indexed REC Activities'!N96</f>
        <v>0</v>
      </c>
      <c r="T148" s="185">
        <f>'Projected ABP RECs'!K180+'Indexed REC Activities'!O96</f>
        <v>0</v>
      </c>
      <c r="U148" s="185">
        <f>'Projected ABP RECs'!L180+'Indexed REC Activities'!P96</f>
        <v>0</v>
      </c>
      <c r="V148" s="185">
        <f>'Projected ABP RECs'!M180+'Indexed REC Activities'!Q96</f>
        <v>301136.96124005667</v>
      </c>
      <c r="W148" s="185">
        <f>'Projected ABP RECs'!N180+'Indexed REC Activities'!R96</f>
        <v>753886.92275591311</v>
      </c>
      <c r="X148" s="185">
        <f>'Projected ABP RECs'!O180+'Indexed REC Activities'!S96</f>
        <v>903236.17322413344</v>
      </c>
      <c r="Y148" s="185">
        <f>'Projected ABP RECs'!P180+'Indexed REC Activities'!T96</f>
        <v>2733719.9923580131</v>
      </c>
      <c r="Z148" s="185">
        <f>'Projected ABP RECs'!Q180+'Indexed REC Activities'!U96</f>
        <v>4560051.3923962228</v>
      </c>
      <c r="AA148" s="185">
        <f>'Projected ABP RECs'!R180+'Indexed REC Activities'!V96</f>
        <v>4547251.135434242</v>
      </c>
      <c r="AB148" s="185">
        <f>'Projected ABP RECs'!S180+'Indexed REC Activities'!W96</f>
        <v>4534514.87975707</v>
      </c>
      <c r="AC148" s="185">
        <f>'Projected ABP RECs'!T180+'Indexed REC Activities'!X96</f>
        <v>4521842.3053582851</v>
      </c>
      <c r="AD148" s="185"/>
      <c r="AE148" s="185"/>
      <c r="AF148" s="185"/>
    </row>
    <row r="149" spans="3:32" x14ac:dyDescent="0.25">
      <c r="C149" s="180" t="s">
        <v>264</v>
      </c>
      <c r="D149" s="181">
        <f>'REC Spend projected'!O12</f>
        <v>50000000</v>
      </c>
      <c r="E149" s="181">
        <f>'REC Spend projected'!N12</f>
        <v>0</v>
      </c>
      <c r="F149" s="181">
        <f>'REC Spend projected'!M12</f>
        <v>16906426.967615873</v>
      </c>
      <c r="G149" s="181">
        <f t="shared" si="19"/>
        <v>66906426.967615873</v>
      </c>
      <c r="J149" s="1" t="s">
        <v>315</v>
      </c>
      <c r="L149" s="185">
        <f>'Projected ABP RECs'!C181</f>
        <v>0</v>
      </c>
      <c r="M149" s="185">
        <f>'Projected ABP RECs'!D181</f>
        <v>0</v>
      </c>
      <c r="N149" s="185">
        <f>'Projected ABP RECs'!E181</f>
        <v>0</v>
      </c>
      <c r="O149" s="185">
        <f>'Projected ABP RECs'!F181+'Indexed REC Activities'!J97</f>
        <v>0</v>
      </c>
      <c r="P149" s="185">
        <f>'Projected ABP RECs'!G181+'Indexed REC Activities'!K97</f>
        <v>0</v>
      </c>
      <c r="Q149" s="185">
        <f>'Projected ABP RECs'!H181+'Indexed REC Activities'!L97</f>
        <v>0</v>
      </c>
      <c r="R149" s="185">
        <f>'Projected ABP RECs'!I181+'Indexed REC Activities'!M97</f>
        <v>0</v>
      </c>
      <c r="S149" s="185">
        <f>'Projected ABP RECs'!J181+'Indexed REC Activities'!N97</f>
        <v>0</v>
      </c>
      <c r="T149" s="185">
        <f>'Projected ABP RECs'!K181+'Indexed REC Activities'!O97</f>
        <v>0</v>
      </c>
      <c r="U149" s="185">
        <f>'Projected ABP RECs'!L181+'Indexed REC Activities'!P97</f>
        <v>0</v>
      </c>
      <c r="V149" s="185">
        <f>'Projected ABP RECs'!M181+'Indexed REC Activities'!Q97</f>
        <v>0</v>
      </c>
      <c r="W149" s="185">
        <f>'Projected ABP RECs'!N181+'Indexed REC Activities'!R97</f>
        <v>0</v>
      </c>
      <c r="X149" s="185">
        <f>'Projected ABP RECs'!O181+'Indexed REC Activities'!S97</f>
        <v>301136.96124005667</v>
      </c>
      <c r="Y149" s="185">
        <f>'Projected ABP RECs'!P181+'Indexed REC Activities'!T97</f>
        <v>753886.92275591311</v>
      </c>
      <c r="Z149" s="185">
        <f>'Projected ABP RECs'!Q181+'Indexed REC Activities'!U97</f>
        <v>903236.17322413344</v>
      </c>
      <c r="AA149" s="185">
        <f>'Projected ABP RECs'!R181+'Indexed REC Activities'!V97</f>
        <v>2733719.9923580131</v>
      </c>
      <c r="AB149" s="185">
        <f>'Projected ABP RECs'!S181+'Indexed REC Activities'!W97</f>
        <v>4560051.3923962228</v>
      </c>
      <c r="AC149" s="185">
        <f>'Projected ABP RECs'!T181+'Indexed REC Activities'!X97</f>
        <v>4547251.135434242</v>
      </c>
      <c r="AD149" s="185"/>
      <c r="AE149" s="185"/>
      <c r="AF149" s="185"/>
    </row>
    <row r="150" spans="3:32" x14ac:dyDescent="0.25">
      <c r="C150" s="180" t="s">
        <v>265</v>
      </c>
      <c r="D150" s="181">
        <f>'REC Spend projected'!O13</f>
        <v>50000000</v>
      </c>
      <c r="E150" s="181">
        <f>'REC Spend projected'!N13</f>
        <v>0</v>
      </c>
      <c r="F150" s="181">
        <f>'REC Spend projected'!M13</f>
        <v>16920397.12592769</v>
      </c>
      <c r="G150" s="181">
        <f t="shared" si="19"/>
        <v>66920397.125927687</v>
      </c>
      <c r="J150" s="1" t="s">
        <v>316</v>
      </c>
      <c r="L150" s="185">
        <f>'Projected ABP RECs'!C182</f>
        <v>0</v>
      </c>
      <c r="M150" s="185">
        <f>'Projected ABP RECs'!D182</f>
        <v>0</v>
      </c>
      <c r="N150" s="185">
        <f>'Projected ABP RECs'!E182</f>
        <v>0</v>
      </c>
      <c r="O150" s="185">
        <f>'Projected ABP RECs'!F182+'Indexed REC Activities'!J98</f>
        <v>0</v>
      </c>
      <c r="P150" s="185">
        <f>'Projected ABP RECs'!G182+'Indexed REC Activities'!K98</f>
        <v>0</v>
      </c>
      <c r="Q150" s="185">
        <f>'Projected ABP RECs'!H182+'Indexed REC Activities'!L98</f>
        <v>0</v>
      </c>
      <c r="R150" s="185">
        <f>'Projected ABP RECs'!I182+'Indexed REC Activities'!M98</f>
        <v>0</v>
      </c>
      <c r="S150" s="185">
        <f>'Projected ABP RECs'!J182+'Indexed REC Activities'!N98</f>
        <v>0</v>
      </c>
      <c r="T150" s="185">
        <f>'Projected ABP RECs'!K182+'Indexed REC Activities'!O98</f>
        <v>0</v>
      </c>
      <c r="U150" s="185">
        <f>'Projected ABP RECs'!L182+'Indexed REC Activities'!P98</f>
        <v>0</v>
      </c>
      <c r="V150" s="185">
        <f>'Projected ABP RECs'!M182+'Indexed REC Activities'!Q98</f>
        <v>0</v>
      </c>
      <c r="W150" s="185">
        <f>'Projected ABP RECs'!N182+'Indexed REC Activities'!R98</f>
        <v>0</v>
      </c>
      <c r="X150" s="185">
        <f>'Projected ABP RECs'!O182+'Indexed REC Activities'!S98</f>
        <v>0</v>
      </c>
      <c r="Y150" s="185">
        <f>'Projected ABP RECs'!P182+'Indexed REC Activities'!T98</f>
        <v>0</v>
      </c>
      <c r="Z150" s="185">
        <f>'Projected ABP RECs'!Q182+'Indexed REC Activities'!U98</f>
        <v>301136.96124005667</v>
      </c>
      <c r="AA150" s="185">
        <f>'Projected ABP RECs'!R182+'Indexed REC Activities'!V98</f>
        <v>753886.92275591311</v>
      </c>
      <c r="AB150" s="185">
        <f>'Projected ABP RECs'!S182+'Indexed REC Activities'!W98</f>
        <v>903236.17322413344</v>
      </c>
      <c r="AC150" s="185">
        <f>'Projected ABP RECs'!T182+'Indexed REC Activities'!X98</f>
        <v>2733719.9923580131</v>
      </c>
      <c r="AD150" s="185"/>
      <c r="AE150" s="185"/>
      <c r="AF150" s="185"/>
    </row>
    <row r="151" spans="3:32" x14ac:dyDescent="0.25">
      <c r="C151" s="180" t="s">
        <v>266</v>
      </c>
      <c r="D151" s="181">
        <f>'REC Spend projected'!O14</f>
        <v>50000000</v>
      </c>
      <c r="E151" s="181">
        <f>'REC Spend projected'!N14</f>
        <v>10000000</v>
      </c>
      <c r="F151" s="181">
        <f>'REC Spend projected'!M14</f>
        <v>17023386.929470729</v>
      </c>
      <c r="G151" s="181">
        <f t="shared" si="19"/>
        <v>77023386.929470733</v>
      </c>
      <c r="J151" s="1" t="s">
        <v>317</v>
      </c>
      <c r="L151" s="185">
        <f>'Projected ABP RECs'!C183</f>
        <v>0</v>
      </c>
      <c r="M151" s="185">
        <f>'Projected ABP RECs'!D183</f>
        <v>0</v>
      </c>
      <c r="N151" s="185">
        <f>'Projected ABP RECs'!E183</f>
        <v>0</v>
      </c>
      <c r="O151" s="185">
        <f>'Projected ABP RECs'!F183+'Indexed REC Activities'!J99</f>
        <v>0</v>
      </c>
      <c r="P151" s="185">
        <f>'Projected ABP RECs'!G183+'Indexed REC Activities'!K99</f>
        <v>0</v>
      </c>
      <c r="Q151" s="185">
        <f>'Projected ABP RECs'!H183+'Indexed REC Activities'!L99</f>
        <v>0</v>
      </c>
      <c r="R151" s="185">
        <f>'Projected ABP RECs'!I183+'Indexed REC Activities'!M99</f>
        <v>0</v>
      </c>
      <c r="S151" s="185">
        <f>'Projected ABP RECs'!J183+'Indexed REC Activities'!N99</f>
        <v>0</v>
      </c>
      <c r="T151" s="185">
        <f>'Projected ABP RECs'!K183+'Indexed REC Activities'!O99</f>
        <v>0</v>
      </c>
      <c r="U151" s="185">
        <f>'Projected ABP RECs'!L183+'Indexed REC Activities'!P99</f>
        <v>0</v>
      </c>
      <c r="V151" s="185">
        <f>'Projected ABP RECs'!M183+'Indexed REC Activities'!Q99</f>
        <v>0</v>
      </c>
      <c r="W151" s="185">
        <f>'Projected ABP RECs'!N183+'Indexed REC Activities'!R99</f>
        <v>0</v>
      </c>
      <c r="X151" s="185">
        <f>'Projected ABP RECs'!O183+'Indexed REC Activities'!S99</f>
        <v>0</v>
      </c>
      <c r="Y151" s="185">
        <f>'Projected ABP RECs'!P183+'Indexed REC Activities'!T99</f>
        <v>0</v>
      </c>
      <c r="Z151" s="185">
        <f>'Projected ABP RECs'!Q183+'Indexed REC Activities'!U99</f>
        <v>0</v>
      </c>
      <c r="AA151" s="185">
        <f>'Projected ABP RECs'!R183+'Indexed REC Activities'!V99</f>
        <v>0</v>
      </c>
      <c r="AB151" s="185">
        <f>'Projected ABP RECs'!S183+'Indexed REC Activities'!W99</f>
        <v>602273.92248011334</v>
      </c>
      <c r="AC151" s="185">
        <f>'Projected ABP RECs'!T183+'Indexed REC Activities'!X99</f>
        <v>905499.92303171277</v>
      </c>
      <c r="AD151" s="185"/>
      <c r="AE151" s="185"/>
      <c r="AF151" s="185"/>
    </row>
    <row r="152" spans="3:32" x14ac:dyDescent="0.25">
      <c r="C152" s="32" t="s">
        <v>267</v>
      </c>
      <c r="D152" s="181">
        <f>'REC Spend projected'!O15</f>
        <v>50000000</v>
      </c>
      <c r="E152" s="181">
        <f>'REC Spend projected'!N15</f>
        <v>0</v>
      </c>
      <c r="F152" s="181">
        <f>'REC Spend projected'!M15</f>
        <v>17120451.256649822</v>
      </c>
      <c r="G152" s="181">
        <f t="shared" si="19"/>
        <v>67120451.256649822</v>
      </c>
      <c r="J152" s="172" t="s">
        <v>318</v>
      </c>
      <c r="K152" s="172">
        <v>27600405.588387385</v>
      </c>
      <c r="L152" s="172">
        <v>29002290.034856889</v>
      </c>
      <c r="M152">
        <v>32271366.637528446</v>
      </c>
      <c r="N152">
        <v>35668466.102237098</v>
      </c>
      <c r="O152">
        <v>39219696.579589069</v>
      </c>
      <c r="P152">
        <v>42714576.506556571</v>
      </c>
      <c r="Q152">
        <v>46451375.958900839</v>
      </c>
      <c r="R152">
        <v>47763046.369001523</v>
      </c>
      <c r="S152">
        <v>49157149.335623778</v>
      </c>
      <c r="T152">
        <v>50422454.053407259</v>
      </c>
      <c r="U152">
        <v>51819398.992800236</v>
      </c>
      <c r="V152">
        <v>53183157.834484629</v>
      </c>
      <c r="W152">
        <v>54619816.175018631</v>
      </c>
      <c r="X152">
        <v>55968808.33996474</v>
      </c>
      <c r="Y152">
        <v>57495269.951376133</v>
      </c>
      <c r="Z152">
        <v>59011627.267375305</v>
      </c>
      <c r="AA152">
        <v>60610591.166864343</v>
      </c>
      <c r="AB152">
        <v>60794608.347521521</v>
      </c>
      <c r="AC152">
        <v>60982050.779746927</v>
      </c>
    </row>
    <row r="153" spans="3:32" x14ac:dyDescent="0.25">
      <c r="C153" s="180" t="s">
        <v>268</v>
      </c>
      <c r="D153" s="181">
        <f>'REC Spend projected'!O16</f>
        <v>50000000</v>
      </c>
      <c r="E153" s="181">
        <f>'REC Spend projected'!N16</f>
        <v>0</v>
      </c>
      <c r="F153" s="181">
        <f>'REC Spend projected'!M16</f>
        <v>17234402.603198845</v>
      </c>
      <c r="G153" s="181">
        <f t="shared" si="19"/>
        <v>67234402.603198841</v>
      </c>
      <c r="J153" s="172"/>
      <c r="K153" s="172"/>
      <c r="L153" s="172"/>
      <c r="M153" s="172"/>
      <c r="N153" s="172"/>
      <c r="O153" s="172"/>
      <c r="P153" s="172"/>
      <c r="Q153" s="172"/>
      <c r="R153" s="172"/>
    </row>
    <row r="154" spans="3:32" x14ac:dyDescent="0.25">
      <c r="C154" s="180" t="s">
        <v>269</v>
      </c>
      <c r="D154" s="181">
        <f>'REC Spend projected'!O17</f>
        <v>50000000</v>
      </c>
      <c r="E154" s="181">
        <f>'REC Spend projected'!N17</f>
        <v>0</v>
      </c>
      <c r="F154" s="181">
        <f>'REC Spend projected'!M17</f>
        <v>17289396.046359867</v>
      </c>
      <c r="G154" s="181">
        <f t="shared" si="19"/>
        <v>67289396.046359867</v>
      </c>
      <c r="J154" s="172"/>
      <c r="K154" s="172"/>
      <c r="L154" s="172"/>
      <c r="M154" s="172"/>
      <c r="N154" s="172"/>
      <c r="O154" s="172"/>
      <c r="P154" s="172"/>
      <c r="Q154" s="172"/>
      <c r="R154" s="172"/>
    </row>
    <row r="155" spans="3:32" x14ac:dyDescent="0.25">
      <c r="C155" s="180" t="s">
        <v>270</v>
      </c>
      <c r="D155" s="181">
        <f>'REC Spend projected'!O18</f>
        <v>50000000</v>
      </c>
      <c r="E155" s="181">
        <f>'REC Spend projected'!N18</f>
        <v>0</v>
      </c>
      <c r="F155" s="181">
        <f>'REC Spend projected'!M18</f>
        <v>17378693.799014561</v>
      </c>
      <c r="G155" s="181">
        <f t="shared" si="19"/>
        <v>67378693.799014568</v>
      </c>
      <c r="J155" s="172"/>
      <c r="K155" s="172"/>
      <c r="L155" s="172"/>
      <c r="M155" s="172"/>
      <c r="N155" s="172"/>
      <c r="O155" s="172"/>
      <c r="P155" s="172"/>
      <c r="Q155" s="172"/>
      <c r="R155" s="172"/>
    </row>
    <row r="156" spans="3:32" x14ac:dyDescent="0.25">
      <c r="C156" s="180" t="s">
        <v>271</v>
      </c>
      <c r="D156" s="181">
        <f>'REC Spend projected'!O19</f>
        <v>50000000</v>
      </c>
      <c r="E156" s="181">
        <f>'REC Spend projected'!N19</f>
        <v>0</v>
      </c>
      <c r="F156" s="181">
        <f>'REC Spend projected'!M19</f>
        <v>17444210.839039307</v>
      </c>
      <c r="G156" s="181">
        <f t="shared" si="19"/>
        <v>67444210.839039311</v>
      </c>
      <c r="J156" s="172"/>
      <c r="K156" s="172"/>
      <c r="L156" s="172"/>
      <c r="M156" s="172"/>
      <c r="N156" s="172"/>
      <c r="O156" s="172"/>
      <c r="P156" s="172"/>
      <c r="Q156" s="172"/>
      <c r="R156" s="172"/>
    </row>
    <row r="157" spans="3:32" x14ac:dyDescent="0.25">
      <c r="C157" s="180" t="s">
        <v>272</v>
      </c>
      <c r="D157" s="181">
        <f>'REC Spend projected'!O20</f>
        <v>50000000</v>
      </c>
      <c r="E157" s="181">
        <f>'REC Spend projected'!N20</f>
        <v>0</v>
      </c>
      <c r="F157" s="181">
        <f>'REC Spend projected'!M20</f>
        <v>17522169.661825232</v>
      </c>
      <c r="G157" s="181">
        <f t="shared" si="19"/>
        <v>67522169.66182524</v>
      </c>
      <c r="J157" s="172"/>
      <c r="K157" s="172"/>
      <c r="L157" s="172"/>
      <c r="M157" s="172"/>
      <c r="N157" s="172"/>
      <c r="O157" s="172"/>
      <c r="P157" s="172"/>
      <c r="Q157" s="172"/>
      <c r="R157" s="172"/>
    </row>
    <row r="158" spans="3:32" x14ac:dyDescent="0.25">
      <c r="C158" s="180" t="s">
        <v>273</v>
      </c>
      <c r="D158" s="181">
        <f>'REC Spend projected'!O21</f>
        <v>50000000</v>
      </c>
      <c r="E158" s="181">
        <f>'REC Spend projected'!N21</f>
        <v>0</v>
      </c>
      <c r="F158" s="181">
        <f>'REC Spend projected'!M21</f>
        <v>17559698.762090176</v>
      </c>
      <c r="G158" s="181">
        <f t="shared" si="19"/>
        <v>67559698.762090176</v>
      </c>
      <c r="J158" s="172"/>
      <c r="K158" s="172"/>
      <c r="L158" s="172"/>
      <c r="M158" s="172"/>
      <c r="N158" s="172"/>
      <c r="O158" s="172"/>
      <c r="P158" s="172"/>
      <c r="Q158" s="172"/>
      <c r="R158" s="172"/>
    </row>
    <row r="159" spans="3:32" x14ac:dyDescent="0.25">
      <c r="C159" s="180" t="s">
        <v>274</v>
      </c>
      <c r="D159" s="181">
        <f>'REC Spend projected'!O22</f>
        <v>50000000</v>
      </c>
      <c r="E159" s="181">
        <f>'REC Spend projected'!N22</f>
        <v>0</v>
      </c>
      <c r="F159" s="181">
        <f>'REC Spend projected'!M22</f>
        <v>17642751.566603485</v>
      </c>
      <c r="G159" s="181">
        <f t="shared" si="19"/>
        <v>67642751.566603482</v>
      </c>
      <c r="J159" s="172"/>
      <c r="K159" s="172"/>
      <c r="L159" s="172"/>
      <c r="M159" s="172"/>
      <c r="N159" s="172"/>
      <c r="O159" s="172"/>
      <c r="P159" s="172"/>
      <c r="Q159" s="172"/>
      <c r="R159" s="172"/>
    </row>
    <row r="160" spans="3:32" x14ac:dyDescent="0.25">
      <c r="C160" s="180" t="s">
        <v>275</v>
      </c>
      <c r="D160" s="181">
        <f>'REC Spend projected'!O23</f>
        <v>50000000</v>
      </c>
      <c r="E160" s="181">
        <f>'REC Spend projected'!N23</f>
        <v>0</v>
      </c>
      <c r="F160" s="181">
        <f>'REC Spend projected'!M23</f>
        <v>17710238.723197304</v>
      </c>
      <c r="G160" s="181">
        <f t="shared" si="19"/>
        <v>67710238.723197311</v>
      </c>
      <c r="J160" s="172"/>
      <c r="K160" s="172"/>
      <c r="L160" s="172"/>
      <c r="M160" s="172"/>
      <c r="N160" s="172"/>
      <c r="O160" s="172"/>
      <c r="P160" s="172"/>
      <c r="Q160" s="172"/>
      <c r="R160" s="172"/>
    </row>
    <row r="161" spans="2:18" x14ac:dyDescent="0.25">
      <c r="C161" s="180" t="s">
        <v>276</v>
      </c>
      <c r="D161" s="181">
        <f>'REC Spend projected'!O24</f>
        <v>50000000</v>
      </c>
      <c r="E161" s="181">
        <f>'REC Spend projected'!N24</f>
        <v>0</v>
      </c>
      <c r="F161" s="181">
        <f>'REC Spend projected'!M24</f>
        <v>17790826.711418759</v>
      </c>
      <c r="G161" s="181">
        <f t="shared" si="19"/>
        <v>67790826.711418763</v>
      </c>
      <c r="J161" s="172"/>
      <c r="K161" s="172"/>
      <c r="L161" s="172"/>
      <c r="M161" s="172"/>
      <c r="N161" s="172"/>
      <c r="O161" s="172"/>
      <c r="P161" s="172"/>
      <c r="Q161" s="172"/>
      <c r="R161" s="172"/>
    </row>
    <row r="162" spans="2:18" x14ac:dyDescent="0.25">
      <c r="C162" s="180" t="s">
        <v>277</v>
      </c>
      <c r="D162" s="181">
        <f>'REC Spend projected'!O25</f>
        <v>50000000</v>
      </c>
      <c r="E162" s="181">
        <f>'REC Spend projected'!N25</f>
        <v>0</v>
      </c>
      <c r="F162" s="181">
        <f>'REC Spend projected'!M25</f>
        <v>17846294.061737649</v>
      </c>
      <c r="G162" s="181">
        <f t="shared" si="19"/>
        <v>67846294.061737657</v>
      </c>
      <c r="J162" s="172"/>
      <c r="K162" s="172"/>
      <c r="L162" s="172"/>
      <c r="M162" s="172"/>
      <c r="N162" s="172"/>
      <c r="O162" s="172"/>
      <c r="P162" s="172"/>
      <c r="Q162" s="172"/>
      <c r="R162" s="172"/>
    </row>
    <row r="163" spans="2:18" x14ac:dyDescent="0.25">
      <c r="C163" s="180" t="s">
        <v>278</v>
      </c>
      <c r="D163" s="181">
        <f>'REC Spend projected'!O26</f>
        <v>50000000</v>
      </c>
      <c r="E163" s="181">
        <f>'REC Spend projected'!N26</f>
        <v>0</v>
      </c>
      <c r="F163" s="181">
        <f>'REC Spend projected'!M26</f>
        <v>17902792.457592066</v>
      </c>
      <c r="G163" s="181">
        <f t="shared" si="19"/>
        <v>67902792.45759207</v>
      </c>
      <c r="J163" s="172"/>
      <c r="K163" s="172"/>
      <c r="L163" s="172"/>
      <c r="M163" s="172"/>
      <c r="N163" s="172"/>
      <c r="O163" s="172"/>
      <c r="P163" s="172"/>
      <c r="Q163" s="172"/>
      <c r="R163" s="172"/>
    </row>
    <row r="164" spans="2:18" x14ac:dyDescent="0.25">
      <c r="F164" s="39"/>
      <c r="J164" s="172"/>
      <c r="K164" s="172"/>
      <c r="L164" s="172"/>
      <c r="M164" s="172"/>
      <c r="N164" s="172"/>
      <c r="O164" s="172"/>
      <c r="P164" s="172"/>
      <c r="Q164" s="172"/>
      <c r="R164" s="172"/>
    </row>
    <row r="165" spans="2:18" x14ac:dyDescent="0.25">
      <c r="B165" s="33" t="s">
        <v>319</v>
      </c>
      <c r="F165" s="39"/>
      <c r="J165" s="172"/>
    </row>
    <row r="166" spans="2:18" ht="30" x14ac:dyDescent="0.25">
      <c r="C166" s="15" t="s">
        <v>1</v>
      </c>
      <c r="D166" s="15" t="s">
        <v>320</v>
      </c>
      <c r="E166" s="15" t="s">
        <v>321</v>
      </c>
      <c r="F166" s="15" t="s">
        <v>322</v>
      </c>
      <c r="H166" s="251"/>
      <c r="I166" s="251"/>
    </row>
    <row r="167" spans="2:18" x14ac:dyDescent="0.25">
      <c r="C167" s="180" t="s">
        <v>256</v>
      </c>
      <c r="D167" s="28">
        <f>E5</f>
        <v>778217.89229999995</v>
      </c>
      <c r="E167" s="221">
        <f>D5</f>
        <v>2560409</v>
      </c>
      <c r="F167" s="37">
        <f>F5</f>
        <v>3338626.8922999999</v>
      </c>
      <c r="H167" s="52"/>
      <c r="J167" s="251"/>
      <c r="K167" s="251"/>
    </row>
    <row r="168" spans="2:18" x14ac:dyDescent="0.25">
      <c r="C168" s="180" t="s">
        <v>257</v>
      </c>
      <c r="D168" s="28">
        <f t="shared" ref="D168:D189" si="20">E6</f>
        <v>2090131.1079333334</v>
      </c>
      <c r="E168" s="221">
        <f t="shared" ref="E168:E189" si="21">D6</f>
        <v>3895928</v>
      </c>
      <c r="F168" s="37">
        <f t="shared" ref="F168:F189" si="22">F6</f>
        <v>5986059.1079333331</v>
      </c>
      <c r="H168" s="52"/>
      <c r="I168" s="172"/>
    </row>
    <row r="169" spans="2:18" x14ac:dyDescent="0.25">
      <c r="C169" s="180" t="s">
        <v>258</v>
      </c>
      <c r="D169" s="28">
        <f t="shared" si="20"/>
        <v>3341140.2002666667</v>
      </c>
      <c r="E169" s="221">
        <f t="shared" si="21"/>
        <v>3895928</v>
      </c>
      <c r="F169" s="37">
        <f t="shared" si="22"/>
        <v>7237068.2002666667</v>
      </c>
      <c r="H169" s="52"/>
      <c r="I169" s="172"/>
      <c r="J169" s="21"/>
      <c r="K169" s="39"/>
    </row>
    <row r="170" spans="2:18" x14ac:dyDescent="0.25">
      <c r="C170" s="180" t="s">
        <v>259</v>
      </c>
      <c r="D170" s="28">
        <f t="shared" si="20"/>
        <v>3956911.9221383333</v>
      </c>
      <c r="E170" s="221">
        <f t="shared" si="21"/>
        <v>3895928</v>
      </c>
      <c r="F170" s="37">
        <f t="shared" si="22"/>
        <v>7852839.9221383333</v>
      </c>
      <c r="H170" s="52"/>
      <c r="I170" s="172"/>
      <c r="J170" s="21"/>
      <c r="K170" s="39"/>
    </row>
    <row r="171" spans="2:18" x14ac:dyDescent="0.25">
      <c r="C171" s="180" t="s">
        <v>260</v>
      </c>
      <c r="D171" s="28">
        <f t="shared" si="20"/>
        <v>4638050.2654006416</v>
      </c>
      <c r="E171" s="221">
        <f t="shared" si="21"/>
        <v>3895928</v>
      </c>
      <c r="F171" s="37">
        <f t="shared" si="22"/>
        <v>8533978.2654006407</v>
      </c>
      <c r="H171" s="52"/>
      <c r="I171" s="172"/>
      <c r="J171" s="21"/>
      <c r="K171" s="39"/>
    </row>
    <row r="172" spans="2:18" x14ac:dyDescent="0.25">
      <c r="C172" s="180" t="s">
        <v>261</v>
      </c>
      <c r="D172" s="28">
        <f t="shared" si="20"/>
        <v>8502352.2219466381</v>
      </c>
      <c r="E172" s="221">
        <f t="shared" si="21"/>
        <v>3895928</v>
      </c>
      <c r="F172" s="37">
        <f t="shared" si="22"/>
        <v>12398280.221946638</v>
      </c>
      <c r="H172" s="52"/>
      <c r="I172" s="172"/>
      <c r="J172" s="21"/>
      <c r="K172" s="39"/>
    </row>
    <row r="173" spans="2:18" x14ac:dyDescent="0.25">
      <c r="C173" s="180" t="s">
        <v>262</v>
      </c>
      <c r="D173" s="28">
        <f t="shared" si="20"/>
        <v>11067357.178709906</v>
      </c>
      <c r="E173" s="221">
        <f t="shared" si="21"/>
        <v>3895928</v>
      </c>
      <c r="F173" s="37">
        <f t="shared" si="22"/>
        <v>14963285.178709906</v>
      </c>
      <c r="H173" s="52"/>
      <c r="I173" s="172"/>
      <c r="J173" s="21"/>
      <c r="K173" s="39"/>
    </row>
    <row r="174" spans="2:18" x14ac:dyDescent="0.25">
      <c r="C174" s="180" t="s">
        <v>263</v>
      </c>
      <c r="D174" s="28">
        <f t="shared" si="20"/>
        <v>11954170.980689354</v>
      </c>
      <c r="E174" s="221">
        <f t="shared" si="21"/>
        <v>5082908</v>
      </c>
      <c r="F174" s="37">
        <f t="shared" si="22"/>
        <v>17037078.980689354</v>
      </c>
      <c r="H174" s="52"/>
      <c r="I174" s="172"/>
      <c r="J174" s="21"/>
      <c r="K174" s="39"/>
    </row>
    <row r="175" spans="2:18" x14ac:dyDescent="0.25">
      <c r="C175" s="180" t="s">
        <v>264</v>
      </c>
      <c r="D175" s="28">
        <f t="shared" si="20"/>
        <v>11989457.603658909</v>
      </c>
      <c r="E175" s="221">
        <f t="shared" si="21"/>
        <v>5082908</v>
      </c>
      <c r="F175" s="37">
        <f t="shared" si="22"/>
        <v>17072365.603658907</v>
      </c>
      <c r="H175" s="52"/>
      <c r="I175" s="172"/>
      <c r="J175" s="21"/>
      <c r="K175" s="39"/>
    </row>
    <row r="176" spans="2:18" x14ac:dyDescent="0.25">
      <c r="C176" s="180" t="s">
        <v>265</v>
      </c>
      <c r="D176" s="28">
        <f t="shared" si="20"/>
        <v>12024593.923513616</v>
      </c>
      <c r="E176" s="221">
        <f t="shared" si="21"/>
        <v>5082908</v>
      </c>
      <c r="F176" s="37">
        <f t="shared" si="22"/>
        <v>17107501.923513614</v>
      </c>
      <c r="H176" s="52"/>
      <c r="I176" s="172"/>
      <c r="J176" s="21"/>
      <c r="K176" s="39"/>
    </row>
    <row r="177" spans="2:11" x14ac:dyDescent="0.25">
      <c r="C177" s="180" t="s">
        <v>266</v>
      </c>
      <c r="D177" s="28">
        <f t="shared" si="20"/>
        <v>11974522.426769046</v>
      </c>
      <c r="E177" s="221">
        <f t="shared" si="21"/>
        <v>5082908</v>
      </c>
      <c r="F177" s="37">
        <f t="shared" si="22"/>
        <v>17057430.426769048</v>
      </c>
      <c r="H177" s="52"/>
      <c r="I177" s="172"/>
      <c r="J177" s="21"/>
      <c r="K177" s="39"/>
    </row>
    <row r="178" spans="2:11" x14ac:dyDescent="0.25">
      <c r="C178" s="180" t="s">
        <v>267</v>
      </c>
      <c r="D178" s="28">
        <f t="shared" si="20"/>
        <v>11924793.592508199</v>
      </c>
      <c r="E178" s="221">
        <f t="shared" si="21"/>
        <v>5082908</v>
      </c>
      <c r="F178" s="37">
        <f t="shared" si="22"/>
        <v>17007701.592508197</v>
      </c>
      <c r="H178" s="52"/>
      <c r="I178" s="172"/>
      <c r="J178" s="21"/>
      <c r="K178" s="39"/>
    </row>
    <row r="179" spans="2:11" x14ac:dyDescent="0.25">
      <c r="C179" s="180" t="s">
        <v>268</v>
      </c>
      <c r="D179" s="28">
        <f t="shared" si="20"/>
        <v>11843602.76741866</v>
      </c>
      <c r="E179" s="221">
        <f t="shared" si="21"/>
        <v>3252499</v>
      </c>
      <c r="F179" s="37">
        <f t="shared" si="22"/>
        <v>15096101.76741866</v>
      </c>
      <c r="H179" s="52"/>
      <c r="I179" s="172"/>
      <c r="J179" s="21"/>
      <c r="K179" s="39"/>
    </row>
    <row r="180" spans="2:11" x14ac:dyDescent="0.25">
      <c r="C180" s="180" t="s">
        <v>269</v>
      </c>
      <c r="D180" s="28">
        <f t="shared" si="20"/>
        <v>11794061.301454565</v>
      </c>
      <c r="E180" s="221">
        <f t="shared" si="21"/>
        <v>2822499</v>
      </c>
      <c r="F180" s="37">
        <f t="shared" si="22"/>
        <v>14616560.301454565</v>
      </c>
      <c r="H180" s="52"/>
      <c r="I180" s="172"/>
      <c r="J180" s="21"/>
      <c r="K180" s="39"/>
    </row>
    <row r="181" spans="2:11" x14ac:dyDescent="0.25">
      <c r="C181" s="180" t="s">
        <v>270</v>
      </c>
      <c r="D181" s="28">
        <f t="shared" si="20"/>
        <v>11201212.547820294</v>
      </c>
      <c r="E181" s="221">
        <f t="shared" si="21"/>
        <v>2822499</v>
      </c>
      <c r="F181" s="37">
        <f t="shared" si="22"/>
        <v>14023711.547820294</v>
      </c>
      <c r="H181" s="52"/>
      <c r="I181" s="172"/>
      <c r="J181" s="21"/>
      <c r="K181" s="39"/>
    </row>
    <row r="182" spans="2:11" x14ac:dyDescent="0.25">
      <c r="C182" s="180" t="s">
        <v>271</v>
      </c>
      <c r="D182" s="28">
        <f t="shared" si="20"/>
        <v>11076578.570654191</v>
      </c>
      <c r="E182" s="221">
        <f t="shared" si="21"/>
        <v>2522499</v>
      </c>
      <c r="F182" s="37">
        <f t="shared" si="22"/>
        <v>13599077.570654191</v>
      </c>
      <c r="H182" s="52"/>
      <c r="I182" s="172"/>
      <c r="J182" s="21"/>
      <c r="K182" s="39"/>
    </row>
    <row r="183" spans="2:11" x14ac:dyDescent="0.25">
      <c r="C183" s="180" t="s">
        <v>272</v>
      </c>
      <c r="D183" s="28">
        <f t="shared" si="20"/>
        <v>8683409.0319124218</v>
      </c>
      <c r="E183" s="221">
        <f t="shared" si="21"/>
        <v>1186980</v>
      </c>
      <c r="F183" s="37">
        <f t="shared" si="22"/>
        <v>9870389.0319124218</v>
      </c>
      <c r="H183" s="52"/>
      <c r="I183" s="172"/>
      <c r="J183" s="21"/>
      <c r="K183" s="39"/>
    </row>
    <row r="184" spans="2:11" x14ac:dyDescent="0.25">
      <c r="C184" s="180" t="s">
        <v>273</v>
      </c>
      <c r="D184" s="28">
        <f t="shared" si="20"/>
        <v>8450755.5667528585</v>
      </c>
      <c r="E184" s="221">
        <f t="shared" si="21"/>
        <v>1186980</v>
      </c>
      <c r="F184" s="37">
        <f t="shared" si="22"/>
        <v>9637735.5667528585</v>
      </c>
      <c r="H184" s="52"/>
      <c r="I184" s="172"/>
      <c r="J184" s="21"/>
      <c r="K184" s="39"/>
    </row>
    <row r="185" spans="2:11" x14ac:dyDescent="0.25">
      <c r="C185" s="180" t="s">
        <v>274</v>
      </c>
      <c r="D185" s="28">
        <f t="shared" si="20"/>
        <v>8030017.2589190947</v>
      </c>
      <c r="E185" s="221">
        <f t="shared" si="21"/>
        <v>1186980</v>
      </c>
      <c r="F185" s="37">
        <f t="shared" si="22"/>
        <v>9216997.2589190938</v>
      </c>
      <c r="H185" s="52"/>
      <c r="I185" s="172"/>
      <c r="J185" s="21"/>
      <c r="K185" s="39"/>
    </row>
    <row r="186" spans="2:11" x14ac:dyDescent="0.25">
      <c r="C186" s="180" t="s">
        <v>275</v>
      </c>
      <c r="D186" s="28">
        <f t="shared" si="20"/>
        <v>7674817.4776244992</v>
      </c>
      <c r="E186" s="221">
        <f t="shared" si="21"/>
        <v>1186980</v>
      </c>
      <c r="F186" s="37">
        <f t="shared" si="22"/>
        <v>8861797.4776244983</v>
      </c>
      <c r="H186" s="52"/>
      <c r="I186" s="172"/>
      <c r="J186" s="21"/>
      <c r="K186" s="39"/>
    </row>
    <row r="187" spans="2:11" x14ac:dyDescent="0.25">
      <c r="C187" s="180" t="s">
        <v>276</v>
      </c>
      <c r="D187" s="28">
        <f t="shared" si="20"/>
        <v>7281818.5952363759</v>
      </c>
      <c r="E187" s="221">
        <f t="shared" si="21"/>
        <v>1186980</v>
      </c>
      <c r="F187" s="37">
        <f t="shared" si="22"/>
        <v>8468798.5952363759</v>
      </c>
      <c r="H187" s="52"/>
      <c r="I187" s="172"/>
      <c r="J187" s="21"/>
      <c r="K187" s="39"/>
    </row>
    <row r="188" spans="2:11" x14ac:dyDescent="0.25">
      <c r="C188" s="180" t="s">
        <v>277</v>
      </c>
      <c r="D188" s="28">
        <f t="shared" si="20"/>
        <v>7216841.9872601945</v>
      </c>
      <c r="E188" s="221">
        <f t="shared" si="21"/>
        <v>1186980</v>
      </c>
      <c r="F188" s="37">
        <f t="shared" si="22"/>
        <v>8403821.9872601945</v>
      </c>
      <c r="H188" s="52"/>
      <c r="I188" s="172"/>
      <c r="J188" s="21"/>
      <c r="K188" s="39"/>
    </row>
    <row r="189" spans="2:11" x14ac:dyDescent="0.25">
      <c r="C189" s="180" t="s">
        <v>278</v>
      </c>
      <c r="D189" s="28">
        <f t="shared" si="20"/>
        <v>7180702.0323238932</v>
      </c>
      <c r="E189" s="221">
        <f t="shared" si="21"/>
        <v>1186980</v>
      </c>
      <c r="F189" s="37">
        <f t="shared" si="22"/>
        <v>8367682.0323238932</v>
      </c>
      <c r="H189" s="52"/>
      <c r="I189" s="172"/>
      <c r="J189" s="21"/>
      <c r="K189" s="39"/>
    </row>
    <row r="190" spans="2:11" x14ac:dyDescent="0.25">
      <c r="J190" s="21"/>
      <c r="K190" s="39"/>
    </row>
    <row r="192" spans="2:11" ht="15.75" thickBot="1" x14ac:dyDescent="0.3">
      <c r="B192" t="s">
        <v>323</v>
      </c>
    </row>
    <row r="193" spans="2:9" ht="45.75" thickBot="1" x14ac:dyDescent="0.3">
      <c r="C193" s="222" t="s">
        <v>3</v>
      </c>
      <c r="D193" s="224" t="s">
        <v>324</v>
      </c>
      <c r="E193" s="224" t="s">
        <v>325</v>
      </c>
      <c r="F193" s="224" t="s">
        <v>326</v>
      </c>
      <c r="G193" s="223" t="s">
        <v>327</v>
      </c>
    </row>
    <row r="194" spans="2:9" ht="15.75" thickBot="1" x14ac:dyDescent="0.3">
      <c r="C194" s="225" t="s">
        <v>328</v>
      </c>
      <c r="D194" s="226">
        <f>'Collections and ACP'!E43</f>
        <v>33963264.598822832</v>
      </c>
      <c r="E194" s="227">
        <v>4.5754999999999999</v>
      </c>
      <c r="F194" s="228">
        <f>E194*D194</f>
        <v>155398917.17191386</v>
      </c>
      <c r="G194" s="229">
        <f>D194/$D$197</f>
        <v>0.28917572081192372</v>
      </c>
    </row>
    <row r="195" spans="2:9" ht="15.75" thickBot="1" x14ac:dyDescent="0.3">
      <c r="C195" s="225" t="s">
        <v>44</v>
      </c>
      <c r="D195" s="226">
        <f>'Collections and ACP'!E76</f>
        <v>82956872.015999988</v>
      </c>
      <c r="E195" s="227">
        <v>5.0247999999999999</v>
      </c>
      <c r="F195" s="228">
        <f>E195*D195</f>
        <v>416841690.5059967</v>
      </c>
      <c r="G195" s="229">
        <f>D195/$D$197</f>
        <v>0.70632530602964361</v>
      </c>
    </row>
    <row r="196" spans="2:9" ht="15.75" thickBot="1" x14ac:dyDescent="0.3">
      <c r="C196" s="230" t="s">
        <v>329</v>
      </c>
      <c r="D196" s="226">
        <f>'Collections and ACP'!E109</f>
        <v>528397.803846856</v>
      </c>
      <c r="E196" s="227">
        <v>2.625</v>
      </c>
      <c r="F196" s="228">
        <f>E196*D196</f>
        <v>1387044.2350979969</v>
      </c>
      <c r="G196" s="229">
        <f>D196/$D$197</f>
        <v>4.4989731584327173E-3</v>
      </c>
    </row>
    <row r="197" spans="2:9" x14ac:dyDescent="0.25">
      <c r="D197" s="21">
        <f>SUM(D194:D196)</f>
        <v>117448534.41866967</v>
      </c>
    </row>
    <row r="198" spans="2:9" ht="15.75" thickBot="1" x14ac:dyDescent="0.3">
      <c r="B198" t="s">
        <v>330</v>
      </c>
      <c r="D198" s="21"/>
    </row>
    <row r="199" spans="2:9" ht="26.25" thickBot="1" x14ac:dyDescent="0.3">
      <c r="C199" s="311" t="s">
        <v>1</v>
      </c>
      <c r="D199" s="311" t="s">
        <v>291</v>
      </c>
      <c r="E199" s="311" t="s">
        <v>331</v>
      </c>
      <c r="F199" s="311" t="s">
        <v>332</v>
      </c>
      <c r="G199" s="311" t="s">
        <v>333</v>
      </c>
      <c r="H199" s="311" t="s">
        <v>334</v>
      </c>
      <c r="I199" s="311" t="s">
        <v>335</v>
      </c>
    </row>
    <row r="200" spans="2:9" x14ac:dyDescent="0.25">
      <c r="C200" s="312" t="s">
        <v>259</v>
      </c>
      <c r="D200" s="292">
        <f>SUM('REC Spend projected'!B7:G7)</f>
        <v>474532867.56999999</v>
      </c>
      <c r="E200" s="292">
        <f>SUM('REC Spend projected'!H7:L7)</f>
        <v>40315921.562919624</v>
      </c>
      <c r="F200" s="292"/>
      <c r="G200" s="292"/>
      <c r="H200" s="292">
        <f>SUM('REC Spend projected'!M7:O7)</f>
        <v>67322647.088471591</v>
      </c>
      <c r="I200" s="292">
        <f>SUM(D200:H200)</f>
        <v>582171436.2213912</v>
      </c>
    </row>
    <row r="201" spans="2:9" x14ac:dyDescent="0.25">
      <c r="C201" s="312" t="s">
        <v>260</v>
      </c>
      <c r="D201" s="292">
        <f>SUM('REC Spend projected'!B8:G8)</f>
        <v>328712076.17000002</v>
      </c>
      <c r="E201" s="292">
        <f>SUM('REC Spend projected'!H8:L8)</f>
        <v>87132336.347629622</v>
      </c>
      <c r="F201" s="292"/>
      <c r="G201" s="292"/>
      <c r="H201" s="292">
        <f>SUM('REC Spend projected'!M8:O8)</f>
        <v>77208829.557390258</v>
      </c>
      <c r="I201" s="292">
        <f t="shared" ref="I201:I219" si="23">SUM(D201:H201)</f>
        <v>493053242.0750199</v>
      </c>
    </row>
    <row r="202" spans="2:9" x14ac:dyDescent="0.25">
      <c r="C202" s="312" t="s">
        <v>261</v>
      </c>
      <c r="D202" s="292">
        <f>SUM('REC Spend projected'!B9:G9)</f>
        <v>239179173.25</v>
      </c>
      <c r="E202" s="292">
        <f>SUM('REC Spend projected'!H9:L9)</f>
        <v>152698539.00921479</v>
      </c>
      <c r="F202" s="292">
        <f>'Projected ABP Spend'!C187</f>
        <v>204284231.95154271</v>
      </c>
      <c r="G202" s="292"/>
      <c r="H202" s="292">
        <f>SUM('REC Spend projected'!M9:O9)</f>
        <v>67147929.289274544</v>
      </c>
      <c r="I202" s="292">
        <f t="shared" si="23"/>
        <v>663309873.50003207</v>
      </c>
    </row>
    <row r="203" spans="2:9" x14ac:dyDescent="0.25">
      <c r="C203" s="312" t="s">
        <v>262</v>
      </c>
      <c r="D203" s="292">
        <f>SUM('REC Spend projected'!B10:G10)</f>
        <v>209542605.91000003</v>
      </c>
      <c r="E203" s="292">
        <f>SUM('REC Spend projected'!H10:L10)</f>
        <v>195202277.815999</v>
      </c>
      <c r="F203" s="292">
        <f>'Projected ABP Spend'!C188</f>
        <v>257496414.97674048</v>
      </c>
      <c r="G203" s="292"/>
      <c r="H203" s="292">
        <f>SUM('REC Spend projected'!M10:O10)</f>
        <v>66888811.399599314</v>
      </c>
      <c r="I203" s="292">
        <f t="shared" si="23"/>
        <v>729130110.10233879</v>
      </c>
    </row>
    <row r="204" spans="2:9" x14ac:dyDescent="0.25">
      <c r="C204" s="312" t="s">
        <v>263</v>
      </c>
      <c r="D204" s="292">
        <f>SUM('REC Spend projected'!B11:G11)</f>
        <v>184487053.99000001</v>
      </c>
      <c r="E204" s="292">
        <f>SUM('REC Spend projected'!H11:L11)</f>
        <v>178172630.2296983</v>
      </c>
      <c r="F204" s="292">
        <f>'Projected ABP Spend'!C189</f>
        <v>119886791.65324765</v>
      </c>
      <c r="G204" s="292">
        <f>'REC Spend projected'!Z11-'Ch. 3 Tables and Graphs'!F204</f>
        <v>236789442.54604536</v>
      </c>
      <c r="H204" s="292">
        <f>SUM('REC Spend projected'!M11:O11)</f>
        <v>76862404.659270331</v>
      </c>
      <c r="I204" s="292">
        <f t="shared" si="23"/>
        <v>796198323.07826161</v>
      </c>
    </row>
    <row r="205" spans="2:9" x14ac:dyDescent="0.25">
      <c r="C205" s="312" t="s">
        <v>264</v>
      </c>
      <c r="D205" s="292">
        <f>SUM('REC Spend projected'!B12:G12)</f>
        <v>166436240.09</v>
      </c>
      <c r="E205" s="292">
        <f>SUM('REC Spend projected'!H12:L12)</f>
        <v>171133503.07385418</v>
      </c>
      <c r="F205" s="292">
        <f>'Projected ABP Spend'!C190</f>
        <v>119367538.15672907</v>
      </c>
      <c r="G205" s="292">
        <f>'REC Spend projected'!Z12-'Ch. 3 Tables and Graphs'!F205</f>
        <v>337140996.58441341</v>
      </c>
      <c r="H205" s="292">
        <f>SUM('REC Spend projected'!M12:O12)</f>
        <v>66906426.967615873</v>
      </c>
      <c r="I205" s="292">
        <f t="shared" si="23"/>
        <v>860984704.87261248</v>
      </c>
    </row>
    <row r="206" spans="2:9" x14ac:dyDescent="0.25">
      <c r="C206" s="312" t="s">
        <v>265</v>
      </c>
      <c r="D206" s="292">
        <f>SUM('REC Spend projected'!B13:G13)</f>
        <v>164894031.40000001</v>
      </c>
      <c r="E206" s="292">
        <f>SUM('REC Spend projected'!H13:L13)</f>
        <v>160537808.4023242</v>
      </c>
      <c r="F206" s="292">
        <f>'Projected ABP Spend'!C191</f>
        <v>119149982.88322468</v>
      </c>
      <c r="G206" s="292">
        <f>'REC Spend projected'!Z13-'Ch. 3 Tables and Graphs'!F206</f>
        <v>426819077.81593162</v>
      </c>
      <c r="H206" s="292">
        <f>SUM('REC Spend projected'!M13:O13)</f>
        <v>66920397.125927687</v>
      </c>
      <c r="I206" s="292">
        <f t="shared" si="23"/>
        <v>938321297.62740815</v>
      </c>
    </row>
    <row r="207" spans="2:9" x14ac:dyDescent="0.25">
      <c r="C207" s="312" t="s">
        <v>266</v>
      </c>
      <c r="D207" s="292">
        <f>SUM('REC Spend projected'!B14:G14)</f>
        <v>161635348.48999998</v>
      </c>
      <c r="E207" s="292">
        <f>SUM('REC Spend projected'!H14:L14)</f>
        <v>150822693.603322</v>
      </c>
      <c r="F207" s="292">
        <f>'Projected ABP Spend'!C192</f>
        <v>118933515.38608779</v>
      </c>
      <c r="G207" s="292">
        <f>'REC Spend projected'!Z14-'Ch. 3 Tables and Graphs'!F207</f>
        <v>499501138.43841064</v>
      </c>
      <c r="H207" s="292">
        <f>SUM('REC Spend projected'!M14:O14)</f>
        <v>77023386.929470733</v>
      </c>
      <c r="I207" s="292">
        <f t="shared" si="23"/>
        <v>1007916082.8472912</v>
      </c>
    </row>
    <row r="208" spans="2:9" x14ac:dyDescent="0.25">
      <c r="C208" s="312" t="s">
        <v>267</v>
      </c>
      <c r="D208" s="292">
        <f>SUM('REC Spend projected'!B15:G15)</f>
        <v>100947285.54000001</v>
      </c>
      <c r="E208" s="292">
        <f>SUM('REC Spend projected'!H15:L15)</f>
        <v>152391321.05768043</v>
      </c>
      <c r="F208" s="292">
        <f>'Projected ABP Spend'!C193</f>
        <v>118718130.2264366</v>
      </c>
      <c r="G208" s="292">
        <f>'REC Spend projected'!Z15-'Ch. 3 Tables and Graphs'!F208</f>
        <v>518748212.74039948</v>
      </c>
      <c r="H208" s="292">
        <f>SUM('REC Spend projected'!M15:O15)</f>
        <v>67120451.256649822</v>
      </c>
      <c r="I208" s="292">
        <f t="shared" si="23"/>
        <v>957925400.8211664</v>
      </c>
    </row>
    <row r="209" spans="2:9" x14ac:dyDescent="0.25">
      <c r="C209" s="312" t="s">
        <v>268</v>
      </c>
      <c r="D209" s="292">
        <f>SUM('REC Spend projected'!B16:G16)</f>
        <v>100514091.81</v>
      </c>
      <c r="E209" s="292">
        <f>SUM('REC Spend projected'!H16:L16)</f>
        <v>142550758.04475012</v>
      </c>
      <c r="F209" s="292">
        <f>'Projected ABP Spend'!C194</f>
        <v>85124747.710290551</v>
      </c>
      <c r="G209" s="292">
        <f>'REC Spend projected'!Z16-'Ch. 3 Tables and Graphs'!F209</f>
        <v>589869377.47224236</v>
      </c>
      <c r="H209" s="292">
        <f>SUM('REC Spend projected'!M16:O16)</f>
        <v>67234402.603198841</v>
      </c>
      <c r="I209" s="292">
        <f t="shared" si="23"/>
        <v>985293377.64048195</v>
      </c>
    </row>
    <row r="210" spans="2:9" x14ac:dyDescent="0.25">
      <c r="C210" s="312" t="s">
        <v>269</v>
      </c>
      <c r="D210" s="292">
        <f>SUM('REC Spend projected'!B17:G17)</f>
        <v>67820767.510000005</v>
      </c>
      <c r="E210" s="292">
        <f>SUM('REC Spend projected'!H17:L17)</f>
        <v>133683073.95511538</v>
      </c>
      <c r="F210" s="292">
        <f>'Projected ABP Spend'!C195</f>
        <v>47544386.511424586</v>
      </c>
      <c r="G210" s="292">
        <f>'REC Spend projected'!Z17-'Ch. 3 Tables and Graphs'!F210</f>
        <v>560380146.73926198</v>
      </c>
      <c r="H210" s="292">
        <f>SUM('REC Spend projected'!M17:O17)</f>
        <v>67289396.046359867</v>
      </c>
      <c r="I210" s="292">
        <f t="shared" si="23"/>
        <v>876717770.76216185</v>
      </c>
    </row>
    <row r="211" spans="2:9" x14ac:dyDescent="0.25">
      <c r="C211" s="312" t="s">
        <v>270</v>
      </c>
      <c r="D211" s="292">
        <f>SUM('REC Spend projected'!B18:G18)</f>
        <v>67481458.819999993</v>
      </c>
      <c r="E211" s="292">
        <f>SUM('REC Spend projected'!H18:L18)</f>
        <v>125040553.62539452</v>
      </c>
      <c r="F211" s="292">
        <f>'Projected ABP Spend'!C196</f>
        <v>42221931.334830657</v>
      </c>
      <c r="G211" s="292">
        <f>'REC Spend projected'!Z18-'Ch. 3 Tables and Graphs'!F211</f>
        <v>541598311.79462552</v>
      </c>
      <c r="H211" s="292">
        <f>SUM('REC Spend projected'!M18:O18)</f>
        <v>67378693.799014568</v>
      </c>
      <c r="I211" s="292">
        <f t="shared" si="23"/>
        <v>843720949.37386525</v>
      </c>
    </row>
    <row r="212" spans="2:9" x14ac:dyDescent="0.25">
      <c r="C212" s="312" t="s">
        <v>271</v>
      </c>
      <c r="D212" s="292">
        <f>SUM('REC Spend projected'!B19:G19)</f>
        <v>67144280.819999993</v>
      </c>
      <c r="E212" s="292">
        <f>SUM('REC Spend projected'!H19:L19)</f>
        <v>112895589.55770867</v>
      </c>
      <c r="F212" s="292">
        <f>'Projected ABP Spend'!C197</f>
        <v>42010821.678156503</v>
      </c>
      <c r="G212" s="292">
        <f>'REC Spend projected'!Z19-'Ch. 3 Tables and Graphs'!F212</f>
        <v>508550668.39166689</v>
      </c>
      <c r="H212" s="292">
        <f>SUM('REC Spend projected'!M19:O19)</f>
        <v>67444210.839039311</v>
      </c>
      <c r="I212" s="292">
        <f t="shared" si="23"/>
        <v>798045571.28657138</v>
      </c>
    </row>
    <row r="213" spans="2:9" x14ac:dyDescent="0.25">
      <c r="C213" s="312" t="s">
        <v>272</v>
      </c>
      <c r="D213" s="292">
        <f>SUM('REC Spend projected'!B20:G20)</f>
        <v>66808661.590000004</v>
      </c>
      <c r="E213" s="292">
        <f>SUM('REC Spend projected'!H20:L20)</f>
        <v>94864161.190390855</v>
      </c>
      <c r="F213" s="292">
        <f>'Projected ABP Spend'!C198</f>
        <v>41800767.569765717</v>
      </c>
      <c r="G213" s="292">
        <f>'REC Spend projected'!Z20-'Ch. 3 Tables and Graphs'!F213</f>
        <v>470771828.26215279</v>
      </c>
      <c r="H213" s="292">
        <f>SUM('REC Spend projected'!M20:O20)</f>
        <v>67522169.66182524</v>
      </c>
      <c r="I213" s="292">
        <f t="shared" si="23"/>
        <v>741767588.27413464</v>
      </c>
    </row>
    <row r="214" spans="2:9" x14ac:dyDescent="0.25">
      <c r="C214" s="312" t="s">
        <v>273</v>
      </c>
      <c r="D214" s="292">
        <f>SUM('REC Spend projected'!B21:G21)</f>
        <v>66474366.969999999</v>
      </c>
      <c r="E214" s="292">
        <f>SUM('REC Spend projected'!H21:L21)</f>
        <v>80903856.199043646</v>
      </c>
      <c r="F214" s="292">
        <f>'Projected ABP Spend'!C199</f>
        <v>41591763.73191689</v>
      </c>
      <c r="G214" s="292">
        <f>'REC Spend projected'!Z21-'Ch. 3 Tables and Graphs'!F214</f>
        <v>438906308.91335267</v>
      </c>
      <c r="H214" s="292">
        <f>SUM('REC Spend projected'!M21:O21)</f>
        <v>67559698.762090176</v>
      </c>
      <c r="I214" s="292">
        <f t="shared" si="23"/>
        <v>695435994.57640338</v>
      </c>
    </row>
    <row r="215" spans="2:9" x14ac:dyDescent="0.25">
      <c r="C215" s="312" t="s">
        <v>274</v>
      </c>
      <c r="D215" s="292">
        <f>SUM('REC Spend projected'!B22:G22)</f>
        <v>66141902.140000001</v>
      </c>
      <c r="E215" s="292">
        <f>SUM('REC Spend projected'!H22:L22)</f>
        <v>73496944.78020449</v>
      </c>
      <c r="F215" s="292">
        <f>'Projected ABP Spend'!C200</f>
        <v>41383804.913257301</v>
      </c>
      <c r="G215" s="292">
        <f>'REC Spend projected'!Z22-'Ch. 3 Tables and Graphs'!F215</f>
        <v>395611541.72765863</v>
      </c>
      <c r="H215" s="292">
        <f>SUM('REC Spend projected'!M22:O22)</f>
        <v>67642751.566603482</v>
      </c>
      <c r="I215" s="292">
        <f t="shared" si="23"/>
        <v>644276945.12772393</v>
      </c>
    </row>
    <row r="216" spans="2:9" x14ac:dyDescent="0.25">
      <c r="C216" s="312" t="s">
        <v>275</v>
      </c>
      <c r="D216" s="292">
        <f>SUM('REC Spend projected'!B23:G23)</f>
        <v>65811349.339999996</v>
      </c>
      <c r="E216" s="292">
        <f>SUM('REC Spend projected'!H23:L23)</f>
        <v>66633871.293017104</v>
      </c>
      <c r="F216" s="292">
        <f>'Projected ABP Spend'!C201</f>
        <v>41176885.888691016</v>
      </c>
      <c r="G216" s="292">
        <f>'REC Spend projected'!Z23-'Ch. 3 Tables and Graphs'!F216</f>
        <v>351496072.13160914</v>
      </c>
      <c r="H216" s="292">
        <f>SUM('REC Spend projected'!M23:O23)</f>
        <v>67710238.723197311</v>
      </c>
      <c r="I216" s="292">
        <f t="shared" si="23"/>
        <v>592828417.37651455</v>
      </c>
    </row>
    <row r="217" spans="2:9" x14ac:dyDescent="0.25">
      <c r="C217" s="312" t="s">
        <v>276</v>
      </c>
      <c r="D217" s="292">
        <f>SUM('REC Spend projected'!B24:G24)</f>
        <v>65481993.539999999</v>
      </c>
      <c r="E217" s="292">
        <f>SUM('REC Spend projected'!H24:L24)</f>
        <v>59402162.29492186</v>
      </c>
      <c r="F217" s="292">
        <f>'Projected ABP Spend'!C202</f>
        <v>40971001.459247559</v>
      </c>
      <c r="G217" s="292">
        <f>'REC Spend projected'!Z24-'Ch. 3 Tables and Graphs'!F217</f>
        <v>317971517.9343605</v>
      </c>
      <c r="H217" s="292">
        <f>SUM('REC Spend projected'!M24:O24)</f>
        <v>67790826.711418763</v>
      </c>
      <c r="I217" s="292">
        <f t="shared" si="23"/>
        <v>551617501.93994868</v>
      </c>
    </row>
    <row r="218" spans="2:9" x14ac:dyDescent="0.25">
      <c r="C218" s="312" t="s">
        <v>277</v>
      </c>
      <c r="D218" s="292">
        <f>SUM('REC Spend projected'!B25:G25)</f>
        <v>65155095.07</v>
      </c>
      <c r="E218" s="292">
        <f>SUM('REC Spend projected'!H25:L25)</f>
        <v>52227698.622920126</v>
      </c>
      <c r="F218" s="292">
        <f>'Projected ABP Spend'!C203</f>
        <v>40766146.451951325</v>
      </c>
      <c r="G218" s="292">
        <f>'REC Spend projected'!Z25-'Ch. 3 Tables and Graphs'!F218</f>
        <v>228938596.71891093</v>
      </c>
      <c r="H218" s="292">
        <f>SUM('REC Spend projected'!M25:O25)</f>
        <v>67846294.061737657</v>
      </c>
      <c r="I218" s="292">
        <f t="shared" si="23"/>
        <v>454933830.92552006</v>
      </c>
    </row>
    <row r="219" spans="2:9" x14ac:dyDescent="0.25">
      <c r="C219" s="312" t="s">
        <v>278</v>
      </c>
      <c r="D219" s="292">
        <f>SUM('REC Spend projected'!B26:G26)</f>
        <v>64829309.030000001</v>
      </c>
      <c r="E219" s="292">
        <f>SUM('REC Spend projected'!H26:L26)</f>
        <v>-44743105.602602378</v>
      </c>
      <c r="F219" s="292">
        <f>'Projected ABP Spend'!C204</f>
        <v>40562315.719691567</v>
      </c>
      <c r="G219" s="292">
        <f>'REC Spend projected'!Z26-'Ch. 3 Tables and Graphs'!F219</f>
        <v>173490025.25765771</v>
      </c>
      <c r="H219" s="292">
        <f>SUM('REC Spend projected'!M26:O26)</f>
        <v>67902792.45759207</v>
      </c>
      <c r="I219" s="292">
        <f t="shared" si="23"/>
        <v>302041336.86233896</v>
      </c>
    </row>
    <row r="220" spans="2:9" x14ac:dyDescent="0.25">
      <c r="D220" s="3"/>
      <c r="E220" s="3"/>
      <c r="F220" s="3"/>
      <c r="G220" s="3"/>
      <c r="H220" s="3"/>
      <c r="I220" s="3"/>
    </row>
    <row r="223" spans="2:9" ht="15.75" thickBot="1" x14ac:dyDescent="0.3"/>
    <row r="224" spans="2:9" ht="26.25" thickBot="1" x14ac:dyDescent="0.3">
      <c r="B224" t="s">
        <v>336</v>
      </c>
      <c r="C224" s="232" t="s">
        <v>1</v>
      </c>
      <c r="D224" s="233" t="s">
        <v>337</v>
      </c>
      <c r="E224" s="233" t="s">
        <v>338</v>
      </c>
      <c r="F224" s="233" t="s">
        <v>339</v>
      </c>
      <c r="G224" s="233" t="s">
        <v>340</v>
      </c>
      <c r="H224" s="233" t="s">
        <v>341</v>
      </c>
    </row>
    <row r="225" spans="3:8" x14ac:dyDescent="0.25">
      <c r="C225" s="180" t="s">
        <v>259</v>
      </c>
      <c r="D225" s="182">
        <f>'REC Spend projected'!AA7</f>
        <v>607245523.51881266</v>
      </c>
      <c r="E225" s="182">
        <f>'REC Spend projected'!AB7</f>
        <v>577421569.61571968</v>
      </c>
      <c r="F225" s="182">
        <f>'REC Spend projected'!AC7</f>
        <v>1184667093.1345325</v>
      </c>
      <c r="G225" s="182">
        <f>'REC Spend projected'!AD7</f>
        <v>582171436.2213912</v>
      </c>
      <c r="H225" s="182">
        <f>'REC Spend projected'!AE7</f>
        <v>602495656.91314125</v>
      </c>
    </row>
    <row r="226" spans="3:8" x14ac:dyDescent="0.25">
      <c r="C226" s="180" t="s">
        <v>260</v>
      </c>
      <c r="D226" s="182">
        <f>'REC Spend projected'!AA8</f>
        <v>602495656.91314125</v>
      </c>
      <c r="E226" s="182">
        <f>'REC Spend projected'!AB8</f>
        <v>573627651.91300857</v>
      </c>
      <c r="F226" s="182">
        <f>'REC Spend projected'!AC8</f>
        <v>1176123308.8261499</v>
      </c>
      <c r="G226" s="182">
        <f>'REC Spend projected'!AD8</f>
        <v>697337474.02656257</v>
      </c>
      <c r="H226" s="182">
        <f>'REC Spend projected'!AE8</f>
        <v>478785834.79958737</v>
      </c>
    </row>
    <row r="227" spans="3:8" x14ac:dyDescent="0.25">
      <c r="C227" s="180" t="s">
        <v>261</v>
      </c>
      <c r="D227" s="182">
        <f>'REC Spend projected'!AA9</f>
        <v>478785834.79958737</v>
      </c>
      <c r="E227" s="182">
        <f>'REC Spend projected'!AB9</f>
        <v>571597642.97581804</v>
      </c>
      <c r="F227" s="182">
        <f>'REC Spend projected'!AC9</f>
        <v>1050383477.7754054</v>
      </c>
      <c r="G227" s="182">
        <f>'REC Spend projected'!AD9</f>
        <v>716522056.52522981</v>
      </c>
      <c r="H227" s="182">
        <f>'REC Spend projected'!AE9</f>
        <v>333861421.2501756</v>
      </c>
    </row>
    <row r="228" spans="3:8" x14ac:dyDescent="0.25">
      <c r="C228" s="180" t="s">
        <v>262</v>
      </c>
      <c r="D228" s="182">
        <f>'REC Spend projected'!AA10</f>
        <v>333861421.2501756</v>
      </c>
      <c r="E228" s="182">
        <f>'REC Spend projected'!AB10</f>
        <v>562960379.98664391</v>
      </c>
      <c r="F228" s="182">
        <f>'REC Spend projected'!AC10</f>
        <v>896821801.23681951</v>
      </c>
      <c r="G228" s="182">
        <f>'REC Spend projected'!AD10</f>
        <v>779788834.94538772</v>
      </c>
      <c r="H228" s="182">
        <f>'REC Spend projected'!AE10</f>
        <v>117032966.29143178</v>
      </c>
    </row>
    <row r="229" spans="3:8" x14ac:dyDescent="0.25">
      <c r="C229" s="180" t="s">
        <v>263</v>
      </c>
      <c r="D229" s="182">
        <f>'REC Spend projected'!AA11</f>
        <v>117032966.29143178</v>
      </c>
      <c r="E229" s="182">
        <f>'REC Spend projected'!AB11</f>
        <v>562080155.30901098</v>
      </c>
      <c r="F229" s="182">
        <f>'REC Spend projected'!AC11</f>
        <v>679113121.60044277</v>
      </c>
      <c r="G229" s="182">
        <f>'REC Spend projected'!AD11</f>
        <v>796198323.07826161</v>
      </c>
      <c r="H229" s="182">
        <f>'REC Spend projected'!AE11</f>
        <v>-117085201.47781885</v>
      </c>
    </row>
    <row r="230" spans="3:8" x14ac:dyDescent="0.25">
      <c r="C230" s="180" t="s">
        <v>264</v>
      </c>
      <c r="D230" s="182">
        <f>'REC Spend projected'!AA12</f>
        <v>-117085201.47781885</v>
      </c>
      <c r="E230" s="182">
        <f>'REC Spend projected'!AB12</f>
        <v>563547565.58719575</v>
      </c>
      <c r="F230" s="182">
        <f>'REC Spend projected'!AC12</f>
        <v>446462364.10937691</v>
      </c>
      <c r="G230" s="182">
        <f>'REC Spend projected'!AD12</f>
        <v>860984704.87261248</v>
      </c>
      <c r="H230" s="182">
        <f>'REC Spend projected'!AE12</f>
        <v>-414522340.76323557</v>
      </c>
    </row>
    <row r="231" spans="3:8" x14ac:dyDescent="0.25">
      <c r="C231" s="180" t="s">
        <v>265</v>
      </c>
      <c r="D231" s="182">
        <f>'REC Spend projected'!AA13</f>
        <v>-414522340.76323557</v>
      </c>
      <c r="E231" s="182">
        <f>'REC Spend projected'!AB13</f>
        <v>564013237.53092301</v>
      </c>
      <c r="F231" s="182">
        <f>'REC Spend projected'!AC13</f>
        <v>149490896.76768744</v>
      </c>
      <c r="G231" s="182">
        <f>'REC Spend projected'!AD13</f>
        <v>938321297.62740827</v>
      </c>
      <c r="H231" s="182">
        <f>'REC Spend projected'!AE13</f>
        <v>-788830400.85972083</v>
      </c>
    </row>
    <row r="232" spans="3:8" x14ac:dyDescent="0.25">
      <c r="C232" s="180" t="s">
        <v>266</v>
      </c>
      <c r="D232" s="182">
        <f>'REC Spend projected'!AA14</f>
        <v>-788830400.85972083</v>
      </c>
      <c r="E232" s="182">
        <f>'REC Spend projected'!AB14</f>
        <v>567446230.98235762</v>
      </c>
      <c r="F232" s="182">
        <f>'REC Spend projected'!AC14</f>
        <v>-221384169.8773632</v>
      </c>
      <c r="G232" s="182">
        <f>'REC Spend projected'!AD14</f>
        <v>1007916082.8472911</v>
      </c>
      <c r="H232" s="182">
        <f>'REC Spend projected'!AE14</f>
        <v>-1229300252.7246542</v>
      </c>
    </row>
    <row r="233" spans="3:8" x14ac:dyDescent="0.25">
      <c r="C233" s="180" t="s">
        <v>267</v>
      </c>
      <c r="D233" s="182">
        <f>'REC Spend projected'!AA15</f>
        <v>-1229300252.7246542</v>
      </c>
      <c r="E233" s="182">
        <f>'REC Spend projected'!AB15</f>
        <v>570681708.55499411</v>
      </c>
      <c r="F233" s="182">
        <f>'REC Spend projected'!AC15</f>
        <v>-658618544.16966009</v>
      </c>
      <c r="G233" s="182">
        <f>'REC Spend projected'!AD15</f>
        <v>957925400.82116628</v>
      </c>
      <c r="H233" s="182">
        <f>'REC Spend projected'!AE15</f>
        <v>-1616543944.9908264</v>
      </c>
    </row>
    <row r="234" spans="3:8" x14ac:dyDescent="0.25">
      <c r="C234" s="180" t="s">
        <v>268</v>
      </c>
      <c r="D234" s="182">
        <f>'REC Spend projected'!AA16</f>
        <v>-1616543944.9908264</v>
      </c>
      <c r="E234" s="182">
        <f>'REC Spend projected'!AB16</f>
        <v>574480086.77329481</v>
      </c>
      <c r="F234" s="182">
        <f>'REC Spend projected'!AC16</f>
        <v>-1042063858.2175316</v>
      </c>
      <c r="G234" s="182">
        <f>'REC Spend projected'!AD16</f>
        <v>985293377.64048195</v>
      </c>
      <c r="H234" s="182">
        <f>'REC Spend projected'!AE16</f>
        <v>-2027357235.8580136</v>
      </c>
    </row>
    <row r="235" spans="3:8" x14ac:dyDescent="0.25">
      <c r="C235" s="180" t="s">
        <v>269</v>
      </c>
      <c r="D235" s="182">
        <f>'REC Spend projected'!AA17</f>
        <v>-2027357235.8580136</v>
      </c>
      <c r="E235" s="182">
        <f>'REC Spend projected'!AB17</f>
        <v>576313201.54532886</v>
      </c>
      <c r="F235" s="182">
        <f>'REC Spend projected'!AC17</f>
        <v>-1451044034.3126848</v>
      </c>
      <c r="G235" s="182">
        <f>'REC Spend projected'!AD17</f>
        <v>876717770.76216173</v>
      </c>
      <c r="H235" s="182">
        <f>'REC Spend projected'!AE17</f>
        <v>-2327761805.0748463</v>
      </c>
    </row>
    <row r="236" spans="3:8" x14ac:dyDescent="0.25">
      <c r="C236" s="180" t="s">
        <v>270</v>
      </c>
      <c r="D236" s="182">
        <f>'REC Spend projected'!AA18</f>
        <v>-2327761805.0748463</v>
      </c>
      <c r="E236" s="182">
        <f>'REC Spend projected'!AB18</f>
        <v>579289793.30048537</v>
      </c>
      <c r="F236" s="182">
        <f>'REC Spend projected'!AC18</f>
        <v>-1748472011.7743609</v>
      </c>
      <c r="G236" s="182">
        <f>'REC Spend projected'!AD18</f>
        <v>843720949.37386525</v>
      </c>
      <c r="H236" s="182">
        <f>'REC Spend projected'!AE18</f>
        <v>-2592192961.1482263</v>
      </c>
    </row>
    <row r="237" spans="3:8" x14ac:dyDescent="0.25">
      <c r="C237" s="180" t="s">
        <v>271</v>
      </c>
      <c r="D237" s="182">
        <f>'REC Spend projected'!AA19</f>
        <v>-2592192961.1482263</v>
      </c>
      <c r="E237" s="182">
        <f>'REC Spend projected'!AB19</f>
        <v>581473694.63464355</v>
      </c>
      <c r="F237" s="182">
        <f>'REC Spend projected'!AC19</f>
        <v>-2010719266.5135827</v>
      </c>
      <c r="G237" s="182">
        <f>'REC Spend projected'!AD19</f>
        <v>798045571.28657126</v>
      </c>
      <c r="H237" s="182">
        <f>'REC Spend projected'!AE19</f>
        <v>-2808764837.8001537</v>
      </c>
    </row>
    <row r="238" spans="3:8" x14ac:dyDescent="0.25">
      <c r="C238" s="180" t="s">
        <v>272</v>
      </c>
      <c r="D238" s="182">
        <f>'REC Spend projected'!AA20</f>
        <v>-2808764837.8001537</v>
      </c>
      <c r="E238" s="182">
        <f>'REC Spend projected'!AB20</f>
        <v>584072322.06084108</v>
      </c>
      <c r="F238" s="182">
        <f>'REC Spend projected'!AC20</f>
        <v>-2224692515.7393126</v>
      </c>
      <c r="G238" s="182">
        <f>'REC Spend projected'!AD20</f>
        <v>741767588.27413464</v>
      </c>
      <c r="H238" s="182">
        <f>'REC Spend projected'!AE20</f>
        <v>-2966460104.0134473</v>
      </c>
    </row>
    <row r="239" spans="3:8" x14ac:dyDescent="0.25">
      <c r="C239" s="180" t="s">
        <v>273</v>
      </c>
      <c r="D239" s="182">
        <f>'REC Spend projected'!AA21</f>
        <v>-2966460104.0134473</v>
      </c>
      <c r="E239" s="182">
        <f>'REC Spend projected'!AB21</f>
        <v>585323292.06967258</v>
      </c>
      <c r="F239" s="182">
        <f>'REC Spend projected'!AC21</f>
        <v>-2381136811.9437747</v>
      </c>
      <c r="G239" s="182">
        <f>'REC Spend projected'!AD21</f>
        <v>695435994.57640338</v>
      </c>
      <c r="H239" s="182">
        <f>'REC Spend projected'!AE21</f>
        <v>-3076572806.5201778</v>
      </c>
    </row>
    <row r="240" spans="3:8" x14ac:dyDescent="0.25">
      <c r="C240" s="180" t="s">
        <v>274</v>
      </c>
      <c r="D240" s="182">
        <f>'REC Spend projected'!AA22</f>
        <v>-3076572806.5201778</v>
      </c>
      <c r="E240" s="182">
        <f>'REC Spend projected'!AB22</f>
        <v>588091718.88678288</v>
      </c>
      <c r="F240" s="182">
        <f>'REC Spend projected'!AC22</f>
        <v>-2488481087.6333952</v>
      </c>
      <c r="G240" s="182">
        <f>'REC Spend projected'!AD22</f>
        <v>644276945.12772393</v>
      </c>
      <c r="H240" s="182">
        <f>'REC Spend projected'!AE22</f>
        <v>-3132758032.7611189</v>
      </c>
    </row>
    <row r="241" spans="2:8" x14ac:dyDescent="0.25">
      <c r="C241" s="180" t="s">
        <v>275</v>
      </c>
      <c r="D241" s="182">
        <f>'REC Spend projected'!AA23</f>
        <v>-3132758032.7611189</v>
      </c>
      <c r="E241" s="182">
        <f>'REC Spend projected'!AB23</f>
        <v>590341290.77324343</v>
      </c>
      <c r="F241" s="182">
        <f>'REC Spend projected'!AC23</f>
        <v>-2542416741.9878755</v>
      </c>
      <c r="G241" s="182">
        <f>'REC Spend projected'!AD23</f>
        <v>592828417.37651455</v>
      </c>
      <c r="H241" s="182">
        <f>'REC Spend projected'!AE23</f>
        <v>-3135245159.3643899</v>
      </c>
    </row>
    <row r="242" spans="2:8" x14ac:dyDescent="0.25">
      <c r="C242" s="180" t="s">
        <v>276</v>
      </c>
      <c r="D242" s="182">
        <f>'REC Spend projected'!AA24</f>
        <v>-3135245159.3643899</v>
      </c>
      <c r="E242" s="182">
        <f>'REC Spend projected'!AB24</f>
        <v>593027557.04729199</v>
      </c>
      <c r="F242" s="182">
        <f>'REC Spend projected'!AC24</f>
        <v>-2542217602.3170977</v>
      </c>
      <c r="G242" s="182">
        <f>'REC Spend projected'!AD24</f>
        <v>551617501.93994868</v>
      </c>
      <c r="H242" s="182">
        <f>'REC Spend projected'!AE24</f>
        <v>-3093835104.2570462</v>
      </c>
    </row>
    <row r="243" spans="2:8" x14ac:dyDescent="0.25">
      <c r="C243" s="180" t="s">
        <v>277</v>
      </c>
      <c r="D243" s="182">
        <f>'REC Spend projected'!AA25</f>
        <v>-3093835104.2570462</v>
      </c>
      <c r="E243" s="182">
        <f>'REC Spend projected'!AB25</f>
        <v>594876468.72458827</v>
      </c>
      <c r="F243" s="182">
        <f>'REC Spend projected'!AC25</f>
        <v>-2498958635.5324578</v>
      </c>
      <c r="G243" s="182">
        <f>'REC Spend projected'!AD25</f>
        <v>454933830.92552006</v>
      </c>
      <c r="H243" s="182">
        <f>'REC Spend projected'!AE25</f>
        <v>-2953892466.4579778</v>
      </c>
    </row>
    <row r="244" spans="2:8" x14ac:dyDescent="0.25">
      <c r="C244" s="180" t="s">
        <v>278</v>
      </c>
      <c r="D244" s="182">
        <f>'REC Spend projected'!AA26</f>
        <v>-2953892466.4579778</v>
      </c>
      <c r="E244" s="182">
        <f>'REC Spend projected'!AB26</f>
        <v>596759748.58640218</v>
      </c>
      <c r="F244" s="182">
        <f>'REC Spend projected'!AC26</f>
        <v>-2357132717.8715754</v>
      </c>
      <c r="G244" s="182">
        <f>'REC Spend projected'!AD26</f>
        <v>302041336.86233896</v>
      </c>
      <c r="H244" s="182">
        <f>'REC Spend projected'!AE26</f>
        <v>-2659174054.7339144</v>
      </c>
    </row>
    <row r="247" spans="2:8" ht="25.5" x14ac:dyDescent="0.25">
      <c r="B247" t="s">
        <v>342</v>
      </c>
      <c r="C247" s="234" t="s">
        <v>1</v>
      </c>
      <c r="D247" s="234" t="s">
        <v>343</v>
      </c>
      <c r="E247" s="234" t="s">
        <v>344</v>
      </c>
      <c r="F247" s="234" t="s">
        <v>345</v>
      </c>
    </row>
    <row r="248" spans="2:8" x14ac:dyDescent="0.25">
      <c r="C248" s="180" t="s">
        <v>259</v>
      </c>
      <c r="D248" s="182">
        <v>604656241.99530864</v>
      </c>
      <c r="E248" s="182">
        <v>604656241.99530864</v>
      </c>
      <c r="F248" s="182">
        <v>604656241.99530864</v>
      </c>
      <c r="G248" s="4"/>
      <c r="H248" t="s">
        <v>346</v>
      </c>
    </row>
    <row r="249" spans="2:8" x14ac:dyDescent="0.25">
      <c r="C249" s="180" t="s">
        <v>260</v>
      </c>
      <c r="D249" s="182">
        <v>468642630.45007873</v>
      </c>
      <c r="E249" s="182">
        <v>482723674.84044647</v>
      </c>
      <c r="F249" s="182">
        <v>454561586.05971098</v>
      </c>
      <c r="H249" t="s">
        <v>347</v>
      </c>
    </row>
    <row r="250" spans="2:8" x14ac:dyDescent="0.25">
      <c r="C250" s="180" t="s">
        <v>261</v>
      </c>
      <c r="D250" s="182">
        <v>333254583.3620677</v>
      </c>
      <c r="E250" s="182">
        <v>377730043.76061523</v>
      </c>
      <c r="F250" s="182">
        <v>288779122.96352005</v>
      </c>
    </row>
    <row r="251" spans="2:8" x14ac:dyDescent="0.25">
      <c r="C251" s="180" t="s">
        <v>262</v>
      </c>
      <c r="D251" s="182">
        <v>203593725.46508837</v>
      </c>
      <c r="E251" s="182">
        <v>284316562.82055759</v>
      </c>
      <c r="F251" s="182">
        <v>122870888.1096189</v>
      </c>
    </row>
    <row r="252" spans="2:8" x14ac:dyDescent="0.25">
      <c r="C252" s="180" t="s">
        <v>263</v>
      </c>
      <c r="D252" s="182">
        <v>31891499.106424332</v>
      </c>
      <c r="E252" s="182">
        <v>189825569.13809967</v>
      </c>
      <c r="F252" s="182">
        <v>-126042570.92525125</v>
      </c>
    </row>
    <row r="253" spans="2:8" x14ac:dyDescent="0.25">
      <c r="C253" s="180" t="s">
        <v>264</v>
      </c>
      <c r="D253" s="182">
        <v>-167344967.04357708</v>
      </c>
      <c r="E253" s="182">
        <v>95257334.579501987</v>
      </c>
      <c r="F253" s="182">
        <v>-429947268.66665649</v>
      </c>
    </row>
    <row r="254" spans="2:8" x14ac:dyDescent="0.25">
      <c r="C254" s="180" t="s">
        <v>265</v>
      </c>
      <c r="D254" s="182">
        <v>-413828076.31385303</v>
      </c>
      <c r="E254" s="182">
        <v>-17321068.729015946</v>
      </c>
      <c r="F254" s="182">
        <v>-810335083.89869046</v>
      </c>
    </row>
    <row r="255" spans="2:8" x14ac:dyDescent="0.25">
      <c r="C255" s="180" t="s">
        <v>266</v>
      </c>
      <c r="D255" s="182">
        <v>-676206743.40501845</v>
      </c>
      <c r="E255" s="182">
        <v>-112886492.49810696</v>
      </c>
      <c r="F255" s="182">
        <v>-1239526994.3119302</v>
      </c>
    </row>
    <row r="256" spans="2:8" x14ac:dyDescent="0.25">
      <c r="C256" s="180" t="s">
        <v>267</v>
      </c>
      <c r="D256" s="182">
        <v>-933272625.60694325</v>
      </c>
      <c r="E256" s="182">
        <v>-183813439.54228592</v>
      </c>
      <c r="F256" s="182">
        <v>-1682731811.6716006</v>
      </c>
    </row>
    <row r="257" spans="3:6" x14ac:dyDescent="0.25">
      <c r="C257" s="180" t="s">
        <v>268</v>
      </c>
      <c r="D257" s="182">
        <v>-1278286086.428921</v>
      </c>
      <c r="E257" s="182">
        <v>-329318165.70337951</v>
      </c>
      <c r="F257" s="182">
        <v>-2227254007.1544628</v>
      </c>
    </row>
    <row r="258" spans="3:6" x14ac:dyDescent="0.25">
      <c r="C258" s="180" t="s">
        <v>269</v>
      </c>
      <c r="D258" s="182">
        <v>-1570910717.7168217</v>
      </c>
      <c r="E258" s="182">
        <v>-422330881.20032537</v>
      </c>
      <c r="F258" s="182">
        <v>-2719490554.2333193</v>
      </c>
    </row>
    <row r="259" spans="3:6" x14ac:dyDescent="0.25">
      <c r="C259" s="180" t="s">
        <v>270</v>
      </c>
      <c r="D259" s="182">
        <v>-1812779719.217381</v>
      </c>
      <c r="E259" s="182">
        <v>-447680864.14543927</v>
      </c>
      <c r="F259" s="182">
        <v>-3177878574.2893238</v>
      </c>
    </row>
    <row r="260" spans="3:6" x14ac:dyDescent="0.25">
      <c r="C260" s="180" t="s">
        <v>271</v>
      </c>
      <c r="D260" s="182">
        <v>-1964677868.139348</v>
      </c>
      <c r="E260" s="182">
        <v>-351142033.75452673</v>
      </c>
      <c r="F260" s="182">
        <v>-3578213702.5241709</v>
      </c>
    </row>
    <row r="261" spans="3:6" x14ac:dyDescent="0.25">
      <c r="C261" s="180" t="s">
        <v>272</v>
      </c>
      <c r="D261" s="182">
        <v>-2038366983.1641808</v>
      </c>
      <c r="E261" s="182">
        <v>-167468269.52080619</v>
      </c>
      <c r="F261" s="182">
        <v>-3909265696.8075571</v>
      </c>
    </row>
    <row r="262" spans="3:6" x14ac:dyDescent="0.25">
      <c r="C262" s="180" t="s">
        <v>273</v>
      </c>
      <c r="D262" s="182">
        <v>-2046321754.8185134</v>
      </c>
      <c r="E262" s="182">
        <v>100399685.50890219</v>
      </c>
      <c r="F262" s="182">
        <v>-4193043195.1459308</v>
      </c>
    </row>
    <row r="263" spans="3:6" x14ac:dyDescent="0.25">
      <c r="C263" s="180" t="s">
        <v>274</v>
      </c>
      <c r="D263" s="182">
        <v>-1988196866.708487</v>
      </c>
      <c r="E263" s="182">
        <v>453465425.51983714</v>
      </c>
      <c r="F263" s="182">
        <v>-4429859158.9368134</v>
      </c>
    </row>
    <row r="264" spans="3:6" x14ac:dyDescent="0.25">
      <c r="C264" s="180" t="s">
        <v>275</v>
      </c>
      <c r="D264" s="182">
        <v>-1869002163.2465363</v>
      </c>
      <c r="E264" s="182">
        <v>886170951.81474829</v>
      </c>
      <c r="F264" s="182">
        <v>-4624175278.3078232</v>
      </c>
    </row>
    <row r="265" spans="3:6" x14ac:dyDescent="0.25">
      <c r="C265" s="180" t="s">
        <v>276</v>
      </c>
      <c r="D265" s="182">
        <v>-1698224950.725493</v>
      </c>
      <c r="E265" s="182">
        <v>1389278146.1640034</v>
      </c>
      <c r="F265" s="182">
        <v>-4785728047.6149921</v>
      </c>
    </row>
    <row r="266" spans="3:6" x14ac:dyDescent="0.25">
      <c r="C266" s="180" t="s">
        <v>277</v>
      </c>
      <c r="D266" s="182">
        <v>-1401526054.7433996</v>
      </c>
      <c r="E266" s="182">
        <v>2050672018.7957058</v>
      </c>
      <c r="F266" s="182">
        <v>-4853724128.2825079</v>
      </c>
    </row>
    <row r="267" spans="3:6" x14ac:dyDescent="0.25">
      <c r="C267" s="180" t="s">
        <v>278</v>
      </c>
      <c r="D267" s="182">
        <v>-965568633.12917709</v>
      </c>
      <c r="E267" s="182">
        <v>2859581186.906673</v>
      </c>
      <c r="F267" s="182">
        <v>-4790718453.1650305</v>
      </c>
    </row>
  </sheetData>
  <mergeCells count="4">
    <mergeCell ref="C58:C59"/>
    <mergeCell ref="D58:E58"/>
    <mergeCell ref="F58:G58"/>
    <mergeCell ref="H58:I58"/>
  </mergeCells>
  <phoneticPr fontId="13" type="noConversion"/>
  <hyperlinks>
    <hyperlink ref="D193" location="_ftn1" display="_ftn1" xr:uid="{990F3C04-FDF9-4C55-A792-C7210237C7DE}"/>
    <hyperlink ref="E193" location="_ftn2" display="_ftn2" xr:uid="{926B6FB1-9714-46D0-8048-07331A1AF539}"/>
    <hyperlink ref="F193" location="_ftn3" display="_ftn3" xr:uid="{17F3EAC8-164F-404E-9F70-4BA588F9115B}"/>
    <hyperlink ref="C196" location="_ftn4" display="_ftn4" xr:uid="{7AC0BF0F-3BB2-45C1-8339-C7AB2CE36FB2}"/>
  </hyperlinks>
  <printOptions horizontalCentered="1" verticalCentered="1"/>
  <pageMargins left="0.7" right="0.7" top="0.75" bottom="0.75" header="0.3" footer="0.3"/>
  <pageSetup scale="40" orientation="landscape" r:id="rId1"/>
  <headerFooter>
    <oddHeader>&amp;A</oddHeader>
  </headerFooter>
  <rowBreaks count="1" manualBreakCount="1">
    <brk id="84" max="16383" man="1"/>
  </rowBreaks>
  <customProperties>
    <customPr name="GU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FF027-ED16-483C-9250-E109D7860407}">
  <dimension ref="B1:AA175"/>
  <sheetViews>
    <sheetView zoomScale="90" zoomScaleNormal="90" workbookViewId="0">
      <selection activeCell="AD29" sqref="AD29"/>
    </sheetView>
  </sheetViews>
  <sheetFormatPr defaultRowHeight="15" x14ac:dyDescent="0.25"/>
  <cols>
    <col min="1" max="1" width="4.42578125" customWidth="1"/>
    <col min="2" max="2" width="10.5703125" bestFit="1" customWidth="1"/>
    <col min="3" max="3" width="13.42578125" bestFit="1" customWidth="1"/>
    <col min="4" max="4" width="14.42578125" bestFit="1" customWidth="1"/>
    <col min="5" max="5" width="13.5703125" customWidth="1"/>
    <col min="6" max="6" width="15" bestFit="1" customWidth="1"/>
    <col min="7" max="7" width="17.5703125" bestFit="1" customWidth="1"/>
    <col min="8" max="8" width="14.42578125" bestFit="1" customWidth="1"/>
    <col min="9" max="9" width="13.5703125" bestFit="1" customWidth="1"/>
    <col min="10" max="10" width="14.5703125" bestFit="1" customWidth="1"/>
    <col min="11" max="12" width="13.42578125" bestFit="1" customWidth="1"/>
    <col min="13" max="13" width="14.5703125" bestFit="1" customWidth="1"/>
    <col min="14" max="14" width="16.140625" bestFit="1" customWidth="1"/>
    <col min="15" max="15" width="16.140625" customWidth="1"/>
    <col min="16" max="16" width="15.5703125" bestFit="1" customWidth="1"/>
    <col min="17" max="18" width="22.42578125" bestFit="1" customWidth="1"/>
    <col min="19" max="19" width="16.140625" bestFit="1" customWidth="1"/>
    <col min="20" max="20" width="14.5703125" bestFit="1" customWidth="1"/>
    <col min="21" max="21" width="14.42578125" bestFit="1" customWidth="1"/>
    <col min="22" max="22" width="14.5703125" bestFit="1" customWidth="1"/>
    <col min="23" max="23" width="13.42578125" bestFit="1" customWidth="1"/>
    <col min="24" max="24" width="16.140625" bestFit="1" customWidth="1"/>
    <col min="25" max="25" width="13.85546875" bestFit="1" customWidth="1"/>
    <col min="26" max="26" width="16.140625" bestFit="1" customWidth="1"/>
    <col min="27" max="27" width="8.28515625" customWidth="1"/>
  </cols>
  <sheetData>
    <row r="1" spans="2:26" ht="15.75" thickBot="1" x14ac:dyDescent="0.3">
      <c r="B1" s="1" t="s">
        <v>0</v>
      </c>
    </row>
    <row r="2" spans="2:26" ht="15.75" thickBot="1" x14ac:dyDescent="0.3">
      <c r="B2" s="326"/>
      <c r="C2" s="327"/>
      <c r="D2" s="327"/>
      <c r="E2" s="328"/>
      <c r="F2" s="329"/>
      <c r="G2" s="327"/>
      <c r="H2" s="330"/>
      <c r="I2" s="331"/>
      <c r="J2" s="333"/>
      <c r="K2" s="331"/>
      <c r="L2" s="81"/>
      <c r="M2" s="314"/>
      <c r="N2" s="315"/>
      <c r="O2" s="315"/>
      <c r="P2" s="314"/>
      <c r="Q2" s="314"/>
      <c r="R2" s="314"/>
      <c r="S2" s="314"/>
    </row>
    <row r="3" spans="2:26" ht="63.6" customHeight="1" thickBot="1" x14ac:dyDescent="0.3">
      <c r="B3" s="82" t="s">
        <v>1</v>
      </c>
      <c r="C3" s="83" t="s">
        <v>291</v>
      </c>
      <c r="D3" s="83" t="s">
        <v>331</v>
      </c>
      <c r="E3" s="84" t="s">
        <v>99</v>
      </c>
      <c r="F3" s="84" t="s">
        <v>100</v>
      </c>
      <c r="G3" s="84" t="s">
        <v>101</v>
      </c>
      <c r="H3" s="84" t="s">
        <v>102</v>
      </c>
      <c r="I3" s="84" t="s">
        <v>103</v>
      </c>
      <c r="J3" s="84" t="s">
        <v>104</v>
      </c>
      <c r="K3" s="84" t="s">
        <v>105</v>
      </c>
      <c r="L3" s="84" t="s">
        <v>106</v>
      </c>
      <c r="M3" s="201" t="s">
        <v>107</v>
      </c>
      <c r="N3" s="201" t="s">
        <v>333</v>
      </c>
      <c r="O3" s="84" t="s">
        <v>348</v>
      </c>
      <c r="P3" s="84" t="s">
        <v>335</v>
      </c>
      <c r="Q3" s="84" t="s">
        <v>349</v>
      </c>
      <c r="R3" s="84" t="s">
        <v>245</v>
      </c>
      <c r="T3" s="86" t="s">
        <v>1</v>
      </c>
      <c r="U3" s="85" t="s">
        <v>200</v>
      </c>
      <c r="V3" s="85" t="s">
        <v>350</v>
      </c>
      <c r="W3" s="85" t="s">
        <v>351</v>
      </c>
      <c r="X3" s="85" t="s">
        <v>352</v>
      </c>
      <c r="Y3" s="85" t="s">
        <v>353</v>
      </c>
      <c r="Z3" s="85" t="s">
        <v>354</v>
      </c>
    </row>
    <row r="4" spans="2:26" ht="15.75" thickBot="1" x14ac:dyDescent="0.3">
      <c r="B4" s="87" t="s">
        <v>17</v>
      </c>
      <c r="C4" s="88">
        <f>SUM('ABP Under Contract'!K4:P4)</f>
        <v>216567147.49000001</v>
      </c>
      <c r="D4" s="88">
        <f>'REC Spend projected'!H4+'REC Spend projected'!I4+'REC Spend projected'!J4+'REC Spend projected'!K4+'REC Spend projected'!L4</f>
        <v>36245650.070711426</v>
      </c>
      <c r="E4" s="88"/>
      <c r="F4" s="88"/>
      <c r="G4" s="88"/>
      <c r="H4" s="88"/>
      <c r="I4" s="88"/>
      <c r="J4" s="88"/>
      <c r="K4" s="88"/>
      <c r="L4" s="88"/>
      <c r="M4" s="88"/>
      <c r="N4" s="88">
        <f>SUM(F4:M4)</f>
        <v>0</v>
      </c>
      <c r="O4" s="88">
        <f>'REC Spend projected'!M4+'REC Spend projected'!N4+'REC Spend projected'!N4+'REC Spend projected'!O4</f>
        <v>18018880.058405567</v>
      </c>
      <c r="P4" s="88">
        <f>C4+D4+E4+N4+O4</f>
        <v>270831677.61911702</v>
      </c>
      <c r="Q4" s="88">
        <f>'REC Spend projected'!AA4</f>
        <v>293790554.98094952</v>
      </c>
      <c r="R4" s="88">
        <f>'REC Spend projected'!AE4</f>
        <v>248194878.09190208</v>
      </c>
      <c r="S4" s="91"/>
      <c r="T4" s="87" t="s">
        <v>17</v>
      </c>
      <c r="U4" s="220">
        <f t="shared" ref="U4:U26" si="0">SUM(C4:D4)</f>
        <v>252812797.56071144</v>
      </c>
      <c r="V4" s="220" t="e">
        <f>#REF!</f>
        <v>#REF!</v>
      </c>
      <c r="W4" s="220">
        <f>E4</f>
        <v>0</v>
      </c>
      <c r="X4" s="220">
        <f>SUM(F4:M4)</f>
        <v>0</v>
      </c>
      <c r="Y4" s="220">
        <f t="shared" ref="Y4" si="1">O4</f>
        <v>18018880.058405567</v>
      </c>
      <c r="Z4" s="220">
        <f t="shared" ref="Z4:Z26" si="2">Q4</f>
        <v>293790554.98094952</v>
      </c>
    </row>
    <row r="5" spans="2:26" ht="15.75" thickBot="1" x14ac:dyDescent="0.3">
      <c r="B5" s="87" t="s">
        <v>18</v>
      </c>
      <c r="C5" s="88">
        <f>SUM('ABP Under Contract'!K5:P5)</f>
        <v>206866678.70000002</v>
      </c>
      <c r="D5" s="88">
        <f>'REC Spend projected'!H5+'REC Spend projected'!I5+'REC Spend projected'!J5+'REC Spend projected'!K5+'REC Spend projected'!L5</f>
        <v>43402846.540514499</v>
      </c>
      <c r="E5" s="88"/>
      <c r="F5" s="88"/>
      <c r="G5" s="88"/>
      <c r="H5" s="88"/>
      <c r="I5" s="88"/>
      <c r="J5" s="88"/>
      <c r="K5" s="88"/>
      <c r="L5" s="88"/>
      <c r="M5" s="88"/>
      <c r="N5" s="88">
        <f t="shared" ref="N5:N26" si="3">SUM(F5:M5)</f>
        <v>0</v>
      </c>
      <c r="O5" s="88">
        <f>'REC Spend projected'!M5+'REC Spend projected'!N5+'REC Spend projected'!N5+'REC Spend projected'!O5</f>
        <v>83942135.092404008</v>
      </c>
      <c r="P5" s="88">
        <f t="shared" ref="P5:P26" si="4">C5+D5+E5+N5+O5</f>
        <v>334211660.33291852</v>
      </c>
      <c r="Q5" s="88">
        <f>'REC Spend projected'!AA5</f>
        <v>248194878.09190208</v>
      </c>
      <c r="R5" s="88">
        <f>'REC Spend projected'!AE5</f>
        <v>388721054.17245066</v>
      </c>
      <c r="S5" s="91"/>
      <c r="T5" s="87" t="s">
        <v>18</v>
      </c>
      <c r="U5" s="220">
        <f t="shared" si="0"/>
        <v>250269525.24051452</v>
      </c>
      <c r="V5" s="220" t="e">
        <f>#REF!</f>
        <v>#REF!</v>
      </c>
      <c r="W5" s="220">
        <f t="shared" ref="W5:W26" si="5">E5</f>
        <v>0</v>
      </c>
      <c r="X5" s="220">
        <f t="shared" ref="X5:X26" si="6">SUM(F5:M5)</f>
        <v>0</v>
      </c>
      <c r="Y5" s="220">
        <f t="shared" ref="Y5:Y26" si="7">O5</f>
        <v>83942135.092404008</v>
      </c>
      <c r="Z5" s="220">
        <f t="shared" si="2"/>
        <v>248194878.09190208</v>
      </c>
    </row>
    <row r="6" spans="2:26" ht="15.75" thickBot="1" x14ac:dyDescent="0.3">
      <c r="B6" s="87" t="s">
        <v>19</v>
      </c>
      <c r="C6" s="88">
        <f>SUM('ABP Under Contract'!K6:P6)</f>
        <v>256276878.41</v>
      </c>
      <c r="D6" s="88">
        <f>'REC Spend projected'!H6+'REC Spend projected'!I6+'REC Spend projected'!J6+'REC Spend projected'!K6+'REC Spend projected'!L6</f>
        <v>45037755.807743326</v>
      </c>
      <c r="E6" s="88"/>
      <c r="F6" s="88">
        <f>'REC Spend projected'!Q6+'REC Spend projected'!R6+'REC Spend projected'!S6+'REC Spend projected'!T6+'REC Spend projected'!U6+'REC Spend projected'!V6</f>
        <v>0</v>
      </c>
      <c r="G6" s="88"/>
      <c r="H6" s="88"/>
      <c r="I6" s="88"/>
      <c r="J6" s="88"/>
      <c r="K6" s="88"/>
      <c r="L6" s="88"/>
      <c r="M6" s="88"/>
      <c r="N6" s="88">
        <f t="shared" si="3"/>
        <v>0</v>
      </c>
      <c r="O6" s="88">
        <f>'REC Spend projected'!M6+'REC Spend projected'!N6+'REC Spend projected'!N6+'REC Spend projected'!O6</f>
        <v>67623889.800951704</v>
      </c>
      <c r="P6" s="88">
        <f t="shared" si="4"/>
        <v>368938524.01869506</v>
      </c>
      <c r="Q6" s="88">
        <f>'REC Spend projected'!AA6</f>
        <v>388721054.17245066</v>
      </c>
      <c r="R6" s="88">
        <f>'REC Spend projected'!AE6</f>
        <v>607245523.51881266</v>
      </c>
      <c r="S6" s="91"/>
      <c r="T6" s="87" t="s">
        <v>19</v>
      </c>
      <c r="U6" s="220">
        <f t="shared" si="0"/>
        <v>301314634.21774334</v>
      </c>
      <c r="V6" s="220" t="e">
        <f>#REF!</f>
        <v>#REF!</v>
      </c>
      <c r="W6" s="220">
        <f t="shared" si="5"/>
        <v>0</v>
      </c>
      <c r="X6" s="220">
        <f t="shared" si="6"/>
        <v>0</v>
      </c>
      <c r="Y6" s="220">
        <f t="shared" si="7"/>
        <v>67623889.800951704</v>
      </c>
      <c r="Z6" s="220">
        <f t="shared" si="2"/>
        <v>388721054.17245066</v>
      </c>
    </row>
    <row r="7" spans="2:26" ht="15.75" thickBot="1" x14ac:dyDescent="0.3">
      <c r="B7" s="87" t="s">
        <v>20</v>
      </c>
      <c r="C7" s="88">
        <f>SUM('ABP Under Contract'!K7:P7)</f>
        <v>474532867.56999999</v>
      </c>
      <c r="D7" s="88">
        <f>'REC Spend projected'!H7+'REC Spend projected'!I7+'REC Spend projected'!J7+'REC Spend projected'!K7+'REC Spend projected'!L7</f>
        <v>40315921.562919624</v>
      </c>
      <c r="E7" s="88"/>
      <c r="F7" s="88"/>
      <c r="G7" s="94"/>
      <c r="H7" s="94"/>
      <c r="I7" s="94"/>
      <c r="J7" s="94"/>
      <c r="K7" s="94"/>
      <c r="L7" s="88"/>
      <c r="M7" s="88"/>
      <c r="N7" s="88">
        <f t="shared" si="3"/>
        <v>0</v>
      </c>
      <c r="O7" s="88">
        <f>'REC Spend projected'!M7+'REC Spend projected'!N7+'REC Spend projected'!N7+'REC Spend projected'!O7</f>
        <v>67322647.088471591</v>
      </c>
      <c r="P7" s="88">
        <f t="shared" si="4"/>
        <v>582171436.2213912</v>
      </c>
      <c r="Q7" s="88">
        <f>'REC Spend projected'!AA7</f>
        <v>607245523.51881266</v>
      </c>
      <c r="R7" s="88">
        <f>'REC Spend projected'!AE7</f>
        <v>602495656.91314125</v>
      </c>
      <c r="S7" s="91"/>
      <c r="T7" s="87" t="s">
        <v>20</v>
      </c>
      <c r="U7" s="220">
        <f t="shared" si="0"/>
        <v>514848789.13291961</v>
      </c>
      <c r="V7" s="220" t="e">
        <f>#REF!</f>
        <v>#REF!</v>
      </c>
      <c r="W7" s="220">
        <f t="shared" si="5"/>
        <v>0</v>
      </c>
      <c r="X7" s="220">
        <f t="shared" si="6"/>
        <v>0</v>
      </c>
      <c r="Y7" s="220">
        <f t="shared" si="7"/>
        <v>67322647.088471591</v>
      </c>
      <c r="Z7" s="220">
        <f t="shared" si="2"/>
        <v>607245523.51881266</v>
      </c>
    </row>
    <row r="8" spans="2:26" ht="15.75" thickBot="1" x14ac:dyDescent="0.3">
      <c r="B8" s="87" t="s">
        <v>22</v>
      </c>
      <c r="C8" s="88">
        <f>SUM('ABP Under Contract'!K8:P8)</f>
        <v>328712076.17000002</v>
      </c>
      <c r="D8" s="88">
        <f>'REC Spend projected'!H8+'REC Spend projected'!I8+'REC Spend projected'!J8+'REC Spend projected'!K8+'REC Spend projected'!L8</f>
        <v>87132336.347629622</v>
      </c>
      <c r="E8" s="88"/>
      <c r="F8" s="88"/>
      <c r="G8" s="88"/>
      <c r="H8" s="88"/>
      <c r="I8" s="88"/>
      <c r="J8" s="88"/>
      <c r="K8" s="88"/>
      <c r="L8" s="88"/>
      <c r="M8" s="88"/>
      <c r="N8" s="88">
        <f t="shared" si="3"/>
        <v>0</v>
      </c>
      <c r="O8" s="88">
        <f>'REC Spend projected'!M8+'REC Spend projected'!N8+'REC Spend projected'!N8+'REC Spend projected'!O8</f>
        <v>87208829.557390258</v>
      </c>
      <c r="P8" s="88">
        <f t="shared" si="4"/>
        <v>503053242.0750199</v>
      </c>
      <c r="Q8" s="88">
        <f>'REC Spend projected'!AA8</f>
        <v>602495656.91314125</v>
      </c>
      <c r="R8" s="88">
        <f>'REC Spend projected'!AE8</f>
        <v>478785834.79958737</v>
      </c>
      <c r="S8" s="91"/>
      <c r="T8" s="87" t="s">
        <v>22</v>
      </c>
      <c r="U8" s="220">
        <f t="shared" si="0"/>
        <v>415844412.51762962</v>
      </c>
      <c r="V8" s="220" t="e">
        <f>#REF!</f>
        <v>#REF!</v>
      </c>
      <c r="W8" s="220">
        <f t="shared" si="5"/>
        <v>0</v>
      </c>
      <c r="X8" s="220">
        <f t="shared" si="6"/>
        <v>0</v>
      </c>
      <c r="Y8" s="220">
        <f t="shared" si="7"/>
        <v>87208829.557390258</v>
      </c>
      <c r="Z8" s="220">
        <f t="shared" si="2"/>
        <v>602495656.91314125</v>
      </c>
    </row>
    <row r="9" spans="2:26" ht="15.75" thickBot="1" x14ac:dyDescent="0.3">
      <c r="B9" s="87" t="s">
        <v>23</v>
      </c>
      <c r="C9" s="88">
        <f>SUM('ABP Under Contract'!K9:P9)</f>
        <v>392305539</v>
      </c>
      <c r="D9" s="88">
        <f>'REC Spend projected'!H9+'REC Spend projected'!I9+'REC Spend projected'!J9+'REC Spend projected'!K9+'REC Spend projected'!L9</f>
        <v>152698539.00921479</v>
      </c>
      <c r="E9" s="88">
        <f>'Projected ABP Spend'!C186</f>
        <v>0</v>
      </c>
      <c r="F9" s="88"/>
      <c r="G9" s="94"/>
      <c r="H9" s="94"/>
      <c r="I9" s="94"/>
      <c r="J9" s="94"/>
      <c r="K9" s="94"/>
      <c r="L9" s="88"/>
      <c r="M9" s="88"/>
      <c r="N9" s="88">
        <f t="shared" si="3"/>
        <v>0</v>
      </c>
      <c r="O9" s="88">
        <f>'REC Spend projected'!M9+'REC Spend projected'!N9+'REC Spend projected'!N9+'REC Spend projected'!O9</f>
        <v>67147929.289274544</v>
      </c>
      <c r="P9" s="88">
        <f t="shared" si="4"/>
        <v>612152007.29848933</v>
      </c>
      <c r="Q9" s="88">
        <f>'REC Spend projected'!AA9</f>
        <v>478785834.79958737</v>
      </c>
      <c r="R9" s="88">
        <f>'REC Spend projected'!AE9</f>
        <v>333861421.2501756</v>
      </c>
      <c r="S9" s="91"/>
      <c r="T9" s="87" t="s">
        <v>23</v>
      </c>
      <c r="U9" s="220">
        <f t="shared" si="0"/>
        <v>545004078.00921476</v>
      </c>
      <c r="V9" s="220" t="e">
        <f>#REF!</f>
        <v>#REF!</v>
      </c>
      <c r="W9" s="220">
        <f t="shared" si="5"/>
        <v>0</v>
      </c>
      <c r="X9" s="220">
        <f t="shared" si="6"/>
        <v>0</v>
      </c>
      <c r="Y9" s="220">
        <f t="shared" si="7"/>
        <v>67147929.289274544</v>
      </c>
      <c r="Z9" s="220">
        <f t="shared" si="2"/>
        <v>478785834.79958737</v>
      </c>
    </row>
    <row r="10" spans="2:26" ht="15.75" thickBot="1" x14ac:dyDescent="0.3">
      <c r="B10" s="87" t="s">
        <v>24</v>
      </c>
      <c r="C10" s="88">
        <f>SUM('ABP Under Contract'!K10:P10)</f>
        <v>247182099.31000003</v>
      </c>
      <c r="D10" s="88">
        <f>'REC Spend projected'!H10+'REC Spend projected'!I10+'REC Spend projected'!J10+'REC Spend projected'!K10+'REC Spend projected'!L10</f>
        <v>195202277.815999</v>
      </c>
      <c r="E10" s="88">
        <f>'Projected ABP Spend'!C187</f>
        <v>204284231.95154271</v>
      </c>
      <c r="F10" s="88"/>
      <c r="G10" s="88"/>
      <c r="H10" s="88"/>
      <c r="I10" s="88"/>
      <c r="J10" s="88"/>
      <c r="K10" s="88"/>
      <c r="L10" s="88"/>
      <c r="M10" s="88"/>
      <c r="N10" s="88">
        <f>SUM(F10:M10)</f>
        <v>0</v>
      </c>
      <c r="O10" s="88">
        <f>'REC Spend projected'!M10+'REC Spend projected'!N10+'REC Spend projected'!N10+'REC Spend projected'!O10</f>
        <v>66888811.399599314</v>
      </c>
      <c r="P10" s="88">
        <f t="shared" si="4"/>
        <v>713557420.47714102</v>
      </c>
      <c r="Q10" s="88">
        <f>'REC Spend projected'!AA10</f>
        <v>333861421.2501756</v>
      </c>
      <c r="R10" s="88">
        <f>'REC Spend projected'!AE10</f>
        <v>117032966.29143178</v>
      </c>
      <c r="S10" s="91"/>
      <c r="T10" s="87" t="s">
        <v>24</v>
      </c>
      <c r="U10" s="220">
        <f t="shared" si="0"/>
        <v>442384377.12599903</v>
      </c>
      <c r="V10" s="220" t="e">
        <f>#REF!</f>
        <v>#REF!</v>
      </c>
      <c r="W10" s="220">
        <f t="shared" si="5"/>
        <v>204284231.95154271</v>
      </c>
      <c r="X10" s="220">
        <f t="shared" si="6"/>
        <v>0</v>
      </c>
      <c r="Y10" s="220">
        <f t="shared" si="7"/>
        <v>66888811.399599314</v>
      </c>
      <c r="Z10" s="220">
        <f t="shared" si="2"/>
        <v>333861421.2501756</v>
      </c>
    </row>
    <row r="11" spans="2:26" ht="15.75" thickBot="1" x14ac:dyDescent="0.3">
      <c r="B11" s="87" t="s">
        <v>25</v>
      </c>
      <c r="C11" s="88">
        <f>SUM('ABP Under Contract'!K11:P11)</f>
        <v>221941086.20000002</v>
      </c>
      <c r="D11" s="88">
        <f>'REC Spend projected'!H11+'REC Spend projected'!I11+'REC Spend projected'!J11+'REC Spend projected'!K11+'REC Spend projected'!L11</f>
        <v>178172630.2296983</v>
      </c>
      <c r="E11" s="88">
        <f>'Projected ABP Spend'!C188+'Indexed REC Spend'!H102</f>
        <v>355629652.78074044</v>
      </c>
      <c r="F11" s="88">
        <f>'Projected ABP Spend'!D188+'Indexed REC Spend'!J102</f>
        <v>0</v>
      </c>
      <c r="G11" s="88">
        <f>'Projected ABP Spend'!E188+'Indexed REC Spend'!K102</f>
        <v>0</v>
      </c>
      <c r="H11" s="88">
        <f>'Projected ABP Spend'!F188+'Indexed REC Spend'!L102</f>
        <v>0</v>
      </c>
      <c r="I11" s="88">
        <f>'Projected ABP Spend'!G188+'Indexed REC Spend'!M102</f>
        <v>0</v>
      </c>
      <c r="J11" s="88">
        <f>'Projected ABP Spend'!H188+'Indexed REC Spend'!N102</f>
        <v>0</v>
      </c>
      <c r="K11" s="88">
        <f>'Projected ABP Spend'!I188+'Indexed REC Spend'!O102</f>
        <v>0</v>
      </c>
      <c r="L11" s="88">
        <f>'Projected ABP Spend'!J188+'Indexed REC Spend'!P102</f>
        <v>0</v>
      </c>
      <c r="M11" s="88">
        <f>'Projected ABP Spend'!K188+'Indexed REC Spend'!Q102</f>
        <v>0</v>
      </c>
      <c r="N11" s="88">
        <f>SUM(F11:M11)</f>
        <v>0</v>
      </c>
      <c r="O11" s="88">
        <f>'REC Spend projected'!M11+'REC Spend projected'!N11+'REC Spend projected'!N11+'REC Spend projected'!O11</f>
        <v>86862404.659270331</v>
      </c>
      <c r="P11" s="88">
        <f t="shared" si="4"/>
        <v>842605773.86970901</v>
      </c>
      <c r="Q11" s="88">
        <f>'REC Spend projected'!AA11</f>
        <v>117032966.29143178</v>
      </c>
      <c r="R11" s="88">
        <f>'REC Spend projected'!AE11</f>
        <v>-117085201.47781885</v>
      </c>
      <c r="S11" s="91"/>
      <c r="T11" s="87" t="s">
        <v>25</v>
      </c>
      <c r="U11" s="220">
        <f t="shared" si="0"/>
        <v>400113716.42969835</v>
      </c>
      <c r="V11" s="220" t="e">
        <f>#REF!</f>
        <v>#REF!</v>
      </c>
      <c r="W11" s="220">
        <f t="shared" si="5"/>
        <v>355629652.78074044</v>
      </c>
      <c r="X11" s="220">
        <f t="shared" si="6"/>
        <v>0</v>
      </c>
      <c r="Y11" s="220">
        <f t="shared" si="7"/>
        <v>86862404.659270331</v>
      </c>
      <c r="Z11" s="220">
        <f t="shared" si="2"/>
        <v>117032966.29143178</v>
      </c>
    </row>
    <row r="12" spans="2:26" ht="15.75" thickBot="1" x14ac:dyDescent="0.3">
      <c r="B12" s="90" t="s">
        <v>26</v>
      </c>
      <c r="C12" s="88">
        <f>SUM('ABP Under Contract'!K12:P12)</f>
        <v>203706066.11000001</v>
      </c>
      <c r="D12" s="88">
        <f>'REC Spend projected'!H12+'REC Spend projected'!I12+'REC Spend projected'!J12+'REC Spend projected'!K12+'REC Spend projected'!L12</f>
        <v>171133503.07385418</v>
      </c>
      <c r="E12" s="88">
        <f>'Projected ABP Spend'!C189+'Indexed REC Spend'!H103</f>
        <v>211386246.42050368</v>
      </c>
      <c r="F12" s="88">
        <f>'Projected ABP Spend'!D189+'Indexed REC Spend'!J103</f>
        <v>188268348.16654176</v>
      </c>
      <c r="G12" s="88">
        <f>'Projected ABP Spend'!E189+'Indexed REC Spend'!K103</f>
        <v>0</v>
      </c>
      <c r="H12" s="88">
        <f>'Projected ABP Spend'!F189+'Indexed REC Spend'!L103</f>
        <v>0</v>
      </c>
      <c r="I12" s="88">
        <f>'Projected ABP Spend'!G189+'Indexed REC Spend'!M103</f>
        <v>0</v>
      </c>
      <c r="J12" s="88">
        <f>'Projected ABP Spend'!H189+'Indexed REC Spend'!N103</f>
        <v>0</v>
      </c>
      <c r="K12" s="88">
        <f>'Projected ABP Spend'!I189+'Indexed REC Spend'!O103</f>
        <v>0</v>
      </c>
      <c r="L12" s="88">
        <f>'Projected ABP Spend'!J189+'Indexed REC Spend'!P103</f>
        <v>0</v>
      </c>
      <c r="M12" s="88">
        <f>'Projected ABP Spend'!K189+'Indexed REC Spend'!Q103</f>
        <v>0</v>
      </c>
      <c r="N12" s="88">
        <f t="shared" si="3"/>
        <v>188268348.16654176</v>
      </c>
      <c r="O12" s="88">
        <f>'REC Spend projected'!M12+'REC Spend projected'!N12+'REC Spend projected'!N12+'REC Spend projected'!O12</f>
        <v>66906426.967615873</v>
      </c>
      <c r="P12" s="88">
        <f t="shared" si="4"/>
        <v>841400590.73851562</v>
      </c>
      <c r="Q12" s="88">
        <f>'REC Spend projected'!AA12</f>
        <v>-117085201.47781885</v>
      </c>
      <c r="R12" s="88">
        <f>'REC Spend projected'!AE12</f>
        <v>-414522340.76323557</v>
      </c>
      <c r="S12" s="91"/>
      <c r="T12" s="90" t="s">
        <v>26</v>
      </c>
      <c r="U12" s="220">
        <f t="shared" si="0"/>
        <v>374839569.18385422</v>
      </c>
      <c r="V12" s="220" t="e">
        <f>#REF!</f>
        <v>#REF!</v>
      </c>
      <c r="W12" s="220">
        <f t="shared" si="5"/>
        <v>211386246.42050368</v>
      </c>
      <c r="X12" s="220">
        <f t="shared" si="6"/>
        <v>188268348.16654176</v>
      </c>
      <c r="Y12" s="220">
        <f t="shared" si="7"/>
        <v>66906426.967615873</v>
      </c>
      <c r="Z12" s="220">
        <f t="shared" si="2"/>
        <v>-117085201.47781885</v>
      </c>
    </row>
    <row r="13" spans="2:26" ht="15.75" thickBot="1" x14ac:dyDescent="0.3">
      <c r="B13" s="87" t="s">
        <v>27</v>
      </c>
      <c r="C13" s="88">
        <f>SUM('ABP Under Contract'!K13:P13)</f>
        <v>201979989.78</v>
      </c>
      <c r="D13" s="88">
        <f>'REC Spend projected'!H13+'REC Spend projected'!I13+'REC Spend projected'!J13+'REC Spend projected'!K13+'REC Spend projected'!L13</f>
        <v>160537808.4023242</v>
      </c>
      <c r="E13" s="88">
        <f>'Projected ABP Spend'!C190+'Indexed REC Spend'!H104</f>
        <v>207336815.10472474</v>
      </c>
      <c r="F13" s="88">
        <f>'Projected ABP Spend'!D190+'Indexed REC Spend'!J104</f>
        <v>286545621.04256403</v>
      </c>
      <c r="G13" s="88">
        <f>'Projected ABP Spend'!E190+'Indexed REC Spend'!K104</f>
        <v>0</v>
      </c>
      <c r="H13" s="88">
        <f>'Projected ABP Spend'!F190+'Indexed REC Spend'!L104</f>
        <v>0</v>
      </c>
      <c r="I13" s="88">
        <f>'Projected ABP Spend'!G190+'Indexed REC Spend'!M104</f>
        <v>0</v>
      </c>
      <c r="J13" s="88">
        <f>'Projected ABP Spend'!H190+'Indexed REC Spend'!N104</f>
        <v>0</v>
      </c>
      <c r="K13" s="88">
        <f>'Projected ABP Spend'!I190+'Indexed REC Spend'!O104</f>
        <v>0</v>
      </c>
      <c r="L13" s="88">
        <f>'Projected ABP Spend'!J190+'Indexed REC Spend'!P104</f>
        <v>0</v>
      </c>
      <c r="M13" s="88">
        <f>'Projected ABP Spend'!K190+'Indexed REC Spend'!Q104</f>
        <v>0</v>
      </c>
      <c r="N13" s="88">
        <f t="shared" si="3"/>
        <v>286545621.04256403</v>
      </c>
      <c r="O13" s="88">
        <f>'REC Spend projected'!M13+'REC Spend projected'!N13+'REC Spend projected'!N13+'REC Spend projected'!O13</f>
        <v>66920397.125927687</v>
      </c>
      <c r="P13" s="88">
        <f t="shared" si="4"/>
        <v>923320631.45554066</v>
      </c>
      <c r="Q13" s="88">
        <f>'REC Spend projected'!AA13</f>
        <v>-414522340.76323557</v>
      </c>
      <c r="R13" s="88">
        <f>'REC Spend projected'!AE13</f>
        <v>-788830400.85972083</v>
      </c>
      <c r="S13" s="91"/>
      <c r="T13" s="87" t="s">
        <v>27</v>
      </c>
      <c r="U13" s="220">
        <f t="shared" si="0"/>
        <v>362517798.18232417</v>
      </c>
      <c r="V13" s="220" t="e">
        <f>#REF!</f>
        <v>#REF!</v>
      </c>
      <c r="W13" s="220">
        <f t="shared" si="5"/>
        <v>207336815.10472474</v>
      </c>
      <c r="X13" s="220">
        <f t="shared" si="6"/>
        <v>286545621.04256403</v>
      </c>
      <c r="Y13" s="220">
        <f t="shared" si="7"/>
        <v>66920397.125927687</v>
      </c>
      <c r="Z13" s="220">
        <f t="shared" si="2"/>
        <v>-414522340.76323557</v>
      </c>
    </row>
    <row r="14" spans="2:26" ht="15.75" thickBot="1" x14ac:dyDescent="0.3">
      <c r="B14" s="87" t="s">
        <v>28</v>
      </c>
      <c r="C14" s="88">
        <f>SUM('ABP Under Contract'!K14:P14)</f>
        <v>198538935.28999996</v>
      </c>
      <c r="D14" s="88">
        <f>'REC Spend projected'!H14+'REC Spend projected'!I14+'REC Spend projected'!J14+'REC Spend projected'!K14+'REC Spend projected'!L14</f>
        <v>150822693.603322</v>
      </c>
      <c r="E14" s="88">
        <f>'Projected ABP Spend'!C191+'Indexed REC Spend'!H105</f>
        <v>201888135.36493108</v>
      </c>
      <c r="F14" s="88">
        <f>'Projected ABP Spend'!D191+'Indexed REC Spend'!J105</f>
        <v>196077558.06263304</v>
      </c>
      <c r="G14" s="88">
        <f>'Projected ABP Spend'!E191+'Indexed REC Spend'!K105</f>
        <v>173508109.67028487</v>
      </c>
      <c r="H14" s="88">
        <f>'Projected ABP Spend'!F191+'Indexed REC Spend'!L105</f>
        <v>0</v>
      </c>
      <c r="I14" s="88">
        <f>'Projected ABP Spend'!G191+'Indexed REC Spend'!M105</f>
        <v>0</v>
      </c>
      <c r="J14" s="88">
        <f>'Projected ABP Spend'!H191+'Indexed REC Spend'!N105</f>
        <v>0</v>
      </c>
      <c r="K14" s="88">
        <f>'Projected ABP Spend'!I191+'Indexed REC Spend'!O105</f>
        <v>0</v>
      </c>
      <c r="L14" s="88">
        <f>'Projected ABP Spend'!J191+'Indexed REC Spend'!P105</f>
        <v>0</v>
      </c>
      <c r="M14" s="88">
        <f>'Projected ABP Spend'!K191+'Indexed REC Spend'!Q105</f>
        <v>0</v>
      </c>
      <c r="N14" s="88">
        <f t="shared" si="3"/>
        <v>369585667.7329179</v>
      </c>
      <c r="O14" s="88">
        <f>'REC Spend projected'!M14+'REC Spend projected'!N14+'REC Spend projected'!N14+'REC Spend projected'!O14</f>
        <v>87023386.929470733</v>
      </c>
      <c r="P14" s="88">
        <f t="shared" si="4"/>
        <v>1007858818.9206418</v>
      </c>
      <c r="Q14" s="88">
        <f>'REC Spend projected'!AA14</f>
        <v>-788830400.85972083</v>
      </c>
      <c r="R14" s="88">
        <f>'REC Spend projected'!AE14</f>
        <v>-1229300252.7246542</v>
      </c>
      <c r="S14" s="91"/>
      <c r="T14" s="87" t="s">
        <v>28</v>
      </c>
      <c r="U14" s="220">
        <f t="shared" si="0"/>
        <v>349361628.89332199</v>
      </c>
      <c r="V14" s="220" t="e">
        <f>#REF!</f>
        <v>#REF!</v>
      </c>
      <c r="W14" s="220">
        <f t="shared" si="5"/>
        <v>201888135.36493108</v>
      </c>
      <c r="X14" s="220">
        <f t="shared" si="6"/>
        <v>369585667.7329179</v>
      </c>
      <c r="Y14" s="220">
        <f t="shared" si="7"/>
        <v>87023386.929470733</v>
      </c>
      <c r="Z14" s="220">
        <f t="shared" si="2"/>
        <v>-788830400.85972083</v>
      </c>
    </row>
    <row r="15" spans="2:26" ht="15.75" thickBot="1" x14ac:dyDescent="0.3">
      <c r="B15" s="87" t="s">
        <v>29</v>
      </c>
      <c r="C15" s="88">
        <f>SUM('ABP Under Contract'!K15:P15)</f>
        <v>174231480.35000002</v>
      </c>
      <c r="D15" s="88">
        <f>'REC Spend projected'!H15+'REC Spend projected'!I15+'REC Spend projected'!J15+'REC Spend projected'!K15+'REC Spend projected'!L15</f>
        <v>152391321.05768043</v>
      </c>
      <c r="E15" s="88">
        <f>'Projected ABP Spend'!C192+'Indexed REC Spend'!H106</f>
        <v>196822211.84238029</v>
      </c>
      <c r="F15" s="88">
        <f>'Projected ABP Spend'!D192+'Indexed REC Spend'!J106</f>
        <v>183510105.8796165</v>
      </c>
      <c r="G15" s="88">
        <f>'Projected ABP Spend'!E192+'Indexed REC Spend'!K106</f>
        <v>248432269.272827</v>
      </c>
      <c r="H15" s="88">
        <f>'Projected ABP Spend'!F192+'Indexed REC Spend'!L106</f>
        <v>0</v>
      </c>
      <c r="I15" s="88">
        <f>'Projected ABP Spend'!G192+'Indexed REC Spend'!M106</f>
        <v>0</v>
      </c>
      <c r="J15" s="88">
        <f>'Projected ABP Spend'!H192+'Indexed REC Spend'!N106</f>
        <v>0</v>
      </c>
      <c r="K15" s="88">
        <f>'Projected ABP Spend'!I192+'Indexed REC Spend'!O106</f>
        <v>0</v>
      </c>
      <c r="L15" s="88">
        <f>'Projected ABP Spend'!J192+'Indexed REC Spend'!P106</f>
        <v>0</v>
      </c>
      <c r="M15" s="88">
        <f>'Projected ABP Spend'!K192+'Indexed REC Spend'!Q106</f>
        <v>0</v>
      </c>
      <c r="N15" s="88">
        <f>SUM(F15:M15)</f>
        <v>431942375.15244353</v>
      </c>
      <c r="O15" s="88">
        <f>'REC Spend projected'!M15+'REC Spend projected'!N15+'REC Spend projected'!N15+'REC Spend projected'!O15</f>
        <v>67120451.256649822</v>
      </c>
      <c r="P15" s="88">
        <f t="shared" si="4"/>
        <v>1022507839.6591541</v>
      </c>
      <c r="Q15" s="88">
        <f>'REC Spend projected'!AA15</f>
        <v>-1229300252.7246542</v>
      </c>
      <c r="R15" s="88">
        <f>'REC Spend projected'!AE15</f>
        <v>-1616543944.9908264</v>
      </c>
      <c r="S15" s="91"/>
      <c r="T15" s="87" t="s">
        <v>29</v>
      </c>
      <c r="U15" s="220">
        <f t="shared" si="0"/>
        <v>326622801.40768045</v>
      </c>
      <c r="V15" s="220" t="e">
        <f>#REF!</f>
        <v>#REF!</v>
      </c>
      <c r="W15" s="220">
        <f t="shared" si="5"/>
        <v>196822211.84238029</v>
      </c>
      <c r="X15" s="220">
        <f t="shared" si="6"/>
        <v>431942375.15244353</v>
      </c>
      <c r="Y15" s="220">
        <f t="shared" si="7"/>
        <v>67120451.256649822</v>
      </c>
      <c r="Z15" s="220">
        <f t="shared" si="2"/>
        <v>-1229300252.7246542</v>
      </c>
    </row>
    <row r="16" spans="2:26" ht="15.75" thickBot="1" x14ac:dyDescent="0.3">
      <c r="B16" s="87" t="s">
        <v>30</v>
      </c>
      <c r="C16" s="88">
        <f>SUM('ABP Under Contract'!K16:P16)</f>
        <v>140860845.59</v>
      </c>
      <c r="D16" s="88">
        <f>'REC Spend projected'!H16+'REC Spend projected'!I16+'REC Spend projected'!J16+'REC Spend projected'!K16+'REC Spend projected'!L16</f>
        <v>142550758.04475012</v>
      </c>
      <c r="E16" s="88">
        <f>'Projected ABP Spend'!C193+'Indexed REC Spend'!H107</f>
        <v>197368823.85208559</v>
      </c>
      <c r="F16" s="88">
        <f>'Projected ABP Spend'!D193+'Indexed REC Spend'!J107</f>
        <v>185821358.3486205</v>
      </c>
      <c r="G16" s="88">
        <f>'Projected ABP Spend'!E193+'Indexed REC Spend'!K107</f>
        <v>163627334.20512259</v>
      </c>
      <c r="H16" s="88">
        <f>'Projected ABP Spend'!F193+'Indexed REC Spend'!L107</f>
        <v>159905073.87213451</v>
      </c>
      <c r="I16" s="88">
        <f>'Projected ABP Spend'!G193+'Indexed REC Spend'!M107</f>
        <v>0</v>
      </c>
      <c r="J16" s="88">
        <f>'Projected ABP Spend'!H193+'Indexed REC Spend'!N107</f>
        <v>0</v>
      </c>
      <c r="K16" s="88">
        <f>'Projected ABP Spend'!I193+'Indexed REC Spend'!O107</f>
        <v>0</v>
      </c>
      <c r="L16" s="88">
        <f>'Projected ABP Spend'!J193+'Indexed REC Spend'!P107</f>
        <v>0</v>
      </c>
      <c r="M16" s="88">
        <f>'Projected ABP Spend'!K193+'Indexed REC Spend'!Q107</f>
        <v>0</v>
      </c>
      <c r="N16" s="88">
        <f t="shared" si="3"/>
        <v>509353766.42587763</v>
      </c>
      <c r="O16" s="88">
        <f>'REC Spend projected'!M16+'REC Spend projected'!N16+'REC Spend projected'!N16+'REC Spend projected'!O16</f>
        <v>67234402.603198841</v>
      </c>
      <c r="P16" s="88">
        <f t="shared" si="4"/>
        <v>1057368596.5159122</v>
      </c>
      <c r="Q16" s="88">
        <f>'REC Spend projected'!AA16</f>
        <v>-1616543944.9908264</v>
      </c>
      <c r="R16" s="88">
        <f>'REC Spend projected'!AE16</f>
        <v>-2027357235.8580136</v>
      </c>
      <c r="S16" s="91"/>
      <c r="T16" s="87" t="s">
        <v>30</v>
      </c>
      <c r="U16" s="220">
        <f t="shared" si="0"/>
        <v>283411603.63475013</v>
      </c>
      <c r="V16" s="220" t="e">
        <f>#REF!</f>
        <v>#REF!</v>
      </c>
      <c r="W16" s="220">
        <f t="shared" si="5"/>
        <v>197368823.85208559</v>
      </c>
      <c r="X16" s="220">
        <f t="shared" si="6"/>
        <v>509353766.42587763</v>
      </c>
      <c r="Y16" s="220">
        <f t="shared" si="7"/>
        <v>67234402.603198841</v>
      </c>
      <c r="Z16" s="220">
        <f t="shared" si="2"/>
        <v>-1616543944.9908264</v>
      </c>
    </row>
    <row r="17" spans="2:26" ht="15.75" thickBot="1" x14ac:dyDescent="0.3">
      <c r="B17" s="87" t="s">
        <v>31</v>
      </c>
      <c r="C17" s="88">
        <f>SUM('ABP Under Contract'!K17:P17)</f>
        <v>103606582.73</v>
      </c>
      <c r="D17" s="88">
        <f>'REC Spend projected'!H17+'REC Spend projected'!I17+'REC Spend projected'!J17+'REC Spend projected'!K17+'REC Spend projected'!L17</f>
        <v>133683073.95511538</v>
      </c>
      <c r="E17" s="88">
        <f>'Projected ABP Spend'!C194+'Indexed REC Spend'!H108</f>
        <v>160961600.05732954</v>
      </c>
      <c r="F17" s="88">
        <f>'Projected ABP Spend'!D194+'Indexed REC Spend'!J108</f>
        <v>178792119.91799575</v>
      </c>
      <c r="G17" s="88">
        <f>'Projected ABP Spend'!E194+'Indexed REC Spend'!K108</f>
        <v>157206134.31221157</v>
      </c>
      <c r="H17" s="88">
        <f>'Projected ABP Spend'!F194+'Indexed REC Spend'!L108</f>
        <v>219924699.64183736</v>
      </c>
      <c r="I17" s="88">
        <f>'Projected ABP Spend'!G194+'Indexed REC Spend'!M108</f>
        <v>0</v>
      </c>
      <c r="J17" s="88">
        <f>'Projected ABP Spend'!H194+'Indexed REC Spend'!N108</f>
        <v>0</v>
      </c>
      <c r="K17" s="88">
        <f>'Projected ABP Spend'!I194+'Indexed REC Spend'!O108</f>
        <v>0</v>
      </c>
      <c r="L17" s="88">
        <f>'Projected ABP Spend'!J194+'Indexed REC Spend'!P108</f>
        <v>0</v>
      </c>
      <c r="M17" s="88">
        <f>'Projected ABP Spend'!K194+'Indexed REC Spend'!Q108</f>
        <v>0</v>
      </c>
      <c r="N17" s="88">
        <f t="shared" si="3"/>
        <v>555922953.87204468</v>
      </c>
      <c r="O17" s="88">
        <f>'REC Spend projected'!M17+'REC Spend projected'!N17+'REC Spend projected'!N17+'REC Spend projected'!O17</f>
        <v>67289396.046359867</v>
      </c>
      <c r="P17" s="88">
        <f t="shared" si="4"/>
        <v>1021463606.6608495</v>
      </c>
      <c r="Q17" s="88">
        <f>'REC Spend projected'!AA17</f>
        <v>-2027357235.8580136</v>
      </c>
      <c r="R17" s="88">
        <f>'REC Spend projected'!AE17</f>
        <v>-2327761805.0748463</v>
      </c>
      <c r="S17" s="91"/>
      <c r="T17" s="87" t="s">
        <v>31</v>
      </c>
      <c r="U17" s="220">
        <f t="shared" si="0"/>
        <v>237289656.6851154</v>
      </c>
      <c r="V17" s="220" t="e">
        <f>#REF!</f>
        <v>#REF!</v>
      </c>
      <c r="W17" s="220">
        <f t="shared" si="5"/>
        <v>160961600.05732954</v>
      </c>
      <c r="X17" s="220">
        <f t="shared" si="6"/>
        <v>555922953.87204468</v>
      </c>
      <c r="Y17" s="220">
        <f t="shared" si="7"/>
        <v>67289396.046359867</v>
      </c>
      <c r="Z17" s="220">
        <f t="shared" si="2"/>
        <v>-2027357235.8580136</v>
      </c>
    </row>
    <row r="18" spans="2:26" ht="15.75" thickBot="1" x14ac:dyDescent="0.3">
      <c r="B18" s="87" t="s">
        <v>32</v>
      </c>
      <c r="C18" s="88">
        <f>SUM('ABP Under Contract'!K18:P18)</f>
        <v>103088344.61999999</v>
      </c>
      <c r="D18" s="88">
        <f>'REC Spend projected'!H18+'REC Spend projected'!I18+'REC Spend projected'!J18+'REC Spend projected'!K18+'REC Spend projected'!L18</f>
        <v>125040553.62539452</v>
      </c>
      <c r="E18" s="88">
        <f>'Projected ABP Spend'!C195+'Indexed REC Spend'!H109</f>
        <v>119752331.12859929</v>
      </c>
      <c r="F18" s="88">
        <f>'Projected ABP Spend'!D195+'Indexed REC Spend'!J109</f>
        <v>169603580.26340646</v>
      </c>
      <c r="G18" s="88">
        <f>'Projected ABP Spend'!E195+'Indexed REC Spend'!K109</f>
        <v>149130948.82351014</v>
      </c>
      <c r="H18" s="88">
        <f>'Projected ABP Spend'!F195+'Indexed REC Spend'!L109</f>
        <v>126546767.17324097</v>
      </c>
      <c r="I18" s="88">
        <f>'Projected ABP Spend'!G195+'Indexed REC Spend'!M109</f>
        <v>147368516.08055916</v>
      </c>
      <c r="J18" s="88">
        <f>'Projected ABP Spend'!H195+'Indexed REC Spend'!N109</f>
        <v>0</v>
      </c>
      <c r="K18" s="88">
        <f>'Projected ABP Spend'!I195+'Indexed REC Spend'!O109</f>
        <v>0</v>
      </c>
      <c r="L18" s="88">
        <f>'Projected ABP Spend'!J195+'Indexed REC Spend'!P109</f>
        <v>0</v>
      </c>
      <c r="M18" s="88">
        <f>'Projected ABP Spend'!K195+'Indexed REC Spend'!Q109</f>
        <v>0</v>
      </c>
      <c r="N18" s="88">
        <f t="shared" si="3"/>
        <v>592649812.34071672</v>
      </c>
      <c r="O18" s="88">
        <f>'REC Spend projected'!M18+'REC Spend projected'!N18+'REC Spend projected'!N18+'REC Spend projected'!O18</f>
        <v>67378693.799014568</v>
      </c>
      <c r="P18" s="88">
        <f t="shared" si="4"/>
        <v>1007909735.513725</v>
      </c>
      <c r="Q18" s="88">
        <f>'REC Spend projected'!AA18</f>
        <v>-2327761805.0748463</v>
      </c>
      <c r="R18" s="88">
        <f>'REC Spend projected'!AE18</f>
        <v>-2592192961.1482263</v>
      </c>
      <c r="S18" s="91"/>
      <c r="T18" s="87" t="s">
        <v>32</v>
      </c>
      <c r="U18" s="220">
        <f t="shared" si="0"/>
        <v>228128898.24539453</v>
      </c>
      <c r="V18" s="220" t="e">
        <f>#REF!</f>
        <v>#REF!</v>
      </c>
      <c r="W18" s="220">
        <f t="shared" si="5"/>
        <v>119752331.12859929</v>
      </c>
      <c r="X18" s="220">
        <f t="shared" si="6"/>
        <v>592649812.34071672</v>
      </c>
      <c r="Y18" s="220">
        <f t="shared" si="7"/>
        <v>67378693.799014568</v>
      </c>
      <c r="Z18" s="220">
        <f t="shared" si="2"/>
        <v>-2327761805.0748463</v>
      </c>
    </row>
    <row r="19" spans="2:26" ht="15.75" thickBot="1" x14ac:dyDescent="0.3">
      <c r="B19" s="87" t="s">
        <v>33</v>
      </c>
      <c r="C19" s="88">
        <f>SUM('ABP Under Contract'!K19:P19)</f>
        <v>102572870.72999999</v>
      </c>
      <c r="D19" s="88">
        <f>'REC Spend projected'!H19+'REC Spend projected'!I19+'REC Spend projected'!J19+'REC Spend projected'!K19+'REC Spend projected'!L19</f>
        <v>112895589.55770867</v>
      </c>
      <c r="E19" s="88">
        <f>'Projected ABP Spend'!C196+'Indexed REC Spend'!H110</f>
        <v>110087363.44081269</v>
      </c>
      <c r="F19" s="88">
        <f>'Projected ABP Spend'!D196+'Indexed REC Spend'!J110</f>
        <v>127748450.37393588</v>
      </c>
      <c r="G19" s="88">
        <f>'Projected ABP Spend'!E196+'Indexed REC Spend'!K110</f>
        <v>139368966.94500706</v>
      </c>
      <c r="H19" s="88">
        <f>'Projected ABP Spend'!F196+'Indexed REC Spend'!L110</f>
        <v>121179350.66338918</v>
      </c>
      <c r="I19" s="88">
        <f>'Projected ABP Spend'!G196+'Indexed REC Spend'!M110</f>
        <v>128981717.6712489</v>
      </c>
      <c r="J19" s="88">
        <f>'Projected ABP Spend'!H196+'Indexed REC Spend'!N110</f>
        <v>0</v>
      </c>
      <c r="K19" s="88">
        <f>'Projected ABP Spend'!I196+'Indexed REC Spend'!O110</f>
        <v>0</v>
      </c>
      <c r="L19" s="88">
        <f>'Projected ABP Spend'!J196+'Indexed REC Spend'!P110</f>
        <v>0</v>
      </c>
      <c r="M19" s="88">
        <f>'Projected ABP Spend'!K196+'Indexed REC Spend'!Q110</f>
        <v>0</v>
      </c>
      <c r="N19" s="88">
        <f t="shared" si="3"/>
        <v>517278485.65358102</v>
      </c>
      <c r="O19" s="88">
        <f>'REC Spend projected'!M19+'REC Spend projected'!N19+'REC Spend projected'!N19+'REC Spend projected'!O19</f>
        <v>67444210.839039311</v>
      </c>
      <c r="P19" s="88">
        <f t="shared" si="4"/>
        <v>910278520.2211417</v>
      </c>
      <c r="Q19" s="88">
        <f>'REC Spend projected'!AA19</f>
        <v>-2592192961.1482263</v>
      </c>
      <c r="R19" s="88">
        <f>'REC Spend projected'!AE19</f>
        <v>-2808764837.8001537</v>
      </c>
      <c r="S19" s="91"/>
      <c r="T19" s="87" t="s">
        <v>33</v>
      </c>
      <c r="U19" s="220">
        <f t="shared" si="0"/>
        <v>215468460.28770864</v>
      </c>
      <c r="V19" s="220" t="e">
        <f>#REF!</f>
        <v>#REF!</v>
      </c>
      <c r="W19" s="220">
        <f t="shared" si="5"/>
        <v>110087363.44081269</v>
      </c>
      <c r="X19" s="220">
        <f t="shared" si="6"/>
        <v>517278485.65358102</v>
      </c>
      <c r="Y19" s="220">
        <f t="shared" si="7"/>
        <v>67444210.839039311</v>
      </c>
      <c r="Z19" s="220">
        <f t="shared" si="2"/>
        <v>-2592192961.1482263</v>
      </c>
    </row>
    <row r="20" spans="2:26" ht="15.75" thickBot="1" x14ac:dyDescent="0.3">
      <c r="B20" s="87" t="s">
        <v>34</v>
      </c>
      <c r="C20" s="88">
        <f>SUM('ABP Under Contract'!K20:P20)</f>
        <v>102060199.62</v>
      </c>
      <c r="D20" s="88">
        <f>'REC Spend projected'!H20+'REC Spend projected'!I20+'REC Spend projected'!J20+'REC Spend projected'!K20+'REC Spend projected'!L20</f>
        <v>94864161.190390855</v>
      </c>
      <c r="E20" s="88">
        <f>'Projected ABP Spend'!C197+'Indexed REC Spend'!H111</f>
        <v>105503454.55051669</v>
      </c>
      <c r="F20" s="88">
        <f>'Projected ABP Spend'!D197+'Indexed REC Spend'!J111</f>
        <v>82099383.604259938</v>
      </c>
      <c r="G20" s="88">
        <f>'Projected ABP Spend'!E197+'Indexed REC Spend'!K111</f>
        <v>129494435.80554408</v>
      </c>
      <c r="H20" s="88">
        <f>'Projected ABP Spend'!F197+'Indexed REC Spend'!L111</f>
        <v>115997650.92655481</v>
      </c>
      <c r="I20" s="88">
        <f>'Projected ABP Spend'!G197+'Indexed REC Spend'!M111</f>
        <v>88183336.404220253</v>
      </c>
      <c r="J20" s="88">
        <f>'Projected ABP Spend'!H197+'Indexed REC Spend'!N111</f>
        <v>67907412.209921643</v>
      </c>
      <c r="K20" s="88">
        <f>'Projected ABP Spend'!I197+'Indexed REC Spend'!O111</f>
        <v>0</v>
      </c>
      <c r="L20" s="88">
        <f>'Projected ABP Spend'!J197+'Indexed REC Spend'!P111</f>
        <v>0</v>
      </c>
      <c r="M20" s="88">
        <f>'Projected ABP Spend'!K197+'Indexed REC Spend'!Q111</f>
        <v>0</v>
      </c>
      <c r="N20" s="88">
        <f t="shared" si="3"/>
        <v>483682218.95050079</v>
      </c>
      <c r="O20" s="88">
        <f>'REC Spend projected'!M20+'REC Spend projected'!N20+'REC Spend projected'!N20+'REC Spend projected'!O20</f>
        <v>67522169.66182524</v>
      </c>
      <c r="P20" s="88">
        <f t="shared" si="4"/>
        <v>853632203.97323346</v>
      </c>
      <c r="Q20" s="88">
        <f>'REC Spend projected'!AA20</f>
        <v>-2808764837.8001537</v>
      </c>
      <c r="R20" s="88">
        <f>'REC Spend projected'!AE20</f>
        <v>-2966460104.0134473</v>
      </c>
      <c r="S20" s="91"/>
      <c r="T20" s="87" t="s">
        <v>34</v>
      </c>
      <c r="U20" s="220">
        <f t="shared" si="0"/>
        <v>196924360.81039086</v>
      </c>
      <c r="V20" s="220" t="e">
        <f>#REF!</f>
        <v>#REF!</v>
      </c>
      <c r="W20" s="220">
        <f t="shared" si="5"/>
        <v>105503454.55051669</v>
      </c>
      <c r="X20" s="220">
        <f t="shared" si="6"/>
        <v>483682218.95050079</v>
      </c>
      <c r="Y20" s="220">
        <f t="shared" si="7"/>
        <v>67522169.66182524</v>
      </c>
      <c r="Z20" s="220">
        <f t="shared" si="2"/>
        <v>-2808764837.8001537</v>
      </c>
    </row>
    <row r="21" spans="2:26" ht="15.75" thickBot="1" x14ac:dyDescent="0.3">
      <c r="B21" s="87" t="s">
        <v>35</v>
      </c>
      <c r="C21" s="88">
        <f>SUM('ABP Under Contract'!K21:P21)</f>
        <v>101549865.53999999</v>
      </c>
      <c r="D21" s="88">
        <f>'REC Spend projected'!H21+'REC Spend projected'!I21+'REC Spend projected'!J21+'REC Spend projected'!K21+'REC Spend projected'!L21</f>
        <v>80903856.199043646</v>
      </c>
      <c r="E21" s="88">
        <f>'Projected ABP Spend'!C198+'Indexed REC Spend'!H112</f>
        <v>102053095.73580331</v>
      </c>
      <c r="F21" s="88">
        <f>'Projected ABP Spend'!D198+'Indexed REC Spend'!J112</f>
        <v>69120433.803259373</v>
      </c>
      <c r="G21" s="88">
        <f>'Projected ABP Spend'!E198+'Indexed REC Spend'!K112</f>
        <v>93859549.836857826</v>
      </c>
      <c r="H21" s="88">
        <f>'Projected ABP Spend'!F198+'Indexed REC Spend'!L112</f>
        <v>112150255.83196813</v>
      </c>
      <c r="I21" s="88">
        <f>'Projected ABP Spend'!G198+'Indexed REC Spend'!M112</f>
        <v>84260643.006643295</v>
      </c>
      <c r="J21" s="88">
        <f>'Projected ABP Spend'!H198+'Indexed REC Spend'!N112</f>
        <v>95302185.163673878</v>
      </c>
      <c r="K21" s="88">
        <f>'Projected ABP Spend'!I198+'Indexed REC Spend'!O112</f>
        <v>0</v>
      </c>
      <c r="L21" s="88">
        <f>'Projected ABP Spend'!J198+'Indexed REC Spend'!P112</f>
        <v>0</v>
      </c>
      <c r="M21" s="88">
        <f>'Projected ABP Spend'!K198+'Indexed REC Spend'!Q112</f>
        <v>0</v>
      </c>
      <c r="N21" s="88">
        <f t="shared" si="3"/>
        <v>454693067.64240253</v>
      </c>
      <c r="O21" s="88">
        <f>'REC Spend projected'!M21+'REC Spend projected'!N21+'REC Spend projected'!N21+'REC Spend projected'!O21</f>
        <v>67559698.762090176</v>
      </c>
      <c r="P21" s="88">
        <f t="shared" si="4"/>
        <v>806759583.87933969</v>
      </c>
      <c r="Q21" s="88">
        <f>'REC Spend projected'!AA21</f>
        <v>-2966460104.0134473</v>
      </c>
      <c r="R21" s="88">
        <f>'REC Spend projected'!AE21</f>
        <v>-3076572806.5201778</v>
      </c>
      <c r="S21" s="91"/>
      <c r="T21" s="87" t="s">
        <v>35</v>
      </c>
      <c r="U21" s="220">
        <f t="shared" si="0"/>
        <v>182453721.73904365</v>
      </c>
      <c r="V21" s="220" t="e">
        <f>#REF!</f>
        <v>#REF!</v>
      </c>
      <c r="W21" s="220">
        <f t="shared" si="5"/>
        <v>102053095.73580331</v>
      </c>
      <c r="X21" s="220">
        <f t="shared" si="6"/>
        <v>454693067.64240253</v>
      </c>
      <c r="Y21" s="220">
        <f t="shared" si="7"/>
        <v>67559698.762090176</v>
      </c>
      <c r="Z21" s="220">
        <f t="shared" si="2"/>
        <v>-2966460104.0134473</v>
      </c>
    </row>
    <row r="22" spans="2:26" ht="15.75" thickBot="1" x14ac:dyDescent="0.3">
      <c r="B22" s="87" t="s">
        <v>36</v>
      </c>
      <c r="C22" s="88">
        <f>SUM('ABP Under Contract'!K22:P22)</f>
        <v>101041572.49000001</v>
      </c>
      <c r="D22" s="88">
        <f>'REC Spend projected'!H22+'REC Spend projected'!I22+'REC Spend projected'!J22+'REC Spend projected'!K22+'REC Spend projected'!L22</f>
        <v>73496944.78020449</v>
      </c>
      <c r="E22" s="88">
        <f>'Projected ABP Spend'!C199+'Indexed REC Spend'!H113</f>
        <v>97773520.188038558</v>
      </c>
      <c r="F22" s="88">
        <f>'Projected ABP Spend'!D199+'Indexed REC Spend'!J113</f>
        <v>58632349.479980715</v>
      </c>
      <c r="G22" s="88">
        <f>'Projected ABP Spend'!E199+'Indexed REC Spend'!K113</f>
        <v>52871569.10425809</v>
      </c>
      <c r="H22" s="88">
        <f>'Projected ABP Spend'!F199+'Indexed REC Spend'!L113</f>
        <v>107303166.31666127</v>
      </c>
      <c r="I22" s="88">
        <f>'Projected ABP Spend'!G199+'Indexed REC Spend'!M113</f>
        <v>79441990.971953824</v>
      </c>
      <c r="J22" s="88">
        <f>'Projected ABP Spend'!H199+'Indexed REC Spend'!N113</f>
        <v>54594230.482696258</v>
      </c>
      <c r="K22" s="88">
        <f>'Projected ABP Spend'!I199+'Indexed REC Spend'!O113</f>
        <v>62583471.092663795</v>
      </c>
      <c r="L22" s="88">
        <f>'Projected ABP Spend'!J199+'Indexed REC Spend'!P113</f>
        <v>0</v>
      </c>
      <c r="M22" s="88">
        <f>'Projected ABP Spend'!K199+'Indexed REC Spend'!Q113</f>
        <v>0</v>
      </c>
      <c r="N22" s="88">
        <f t="shared" si="3"/>
        <v>415426777.44821393</v>
      </c>
      <c r="O22" s="88">
        <f>'REC Spend projected'!M22+'REC Spend projected'!N22+'REC Spend projected'!N22+'REC Spend projected'!O22</f>
        <v>67642751.566603482</v>
      </c>
      <c r="P22" s="88">
        <f t="shared" si="4"/>
        <v>755381566.47306037</v>
      </c>
      <c r="Q22" s="88">
        <f>'REC Spend projected'!AA22</f>
        <v>-3076572806.5201778</v>
      </c>
      <c r="R22" s="88">
        <f>'REC Spend projected'!AE22</f>
        <v>-3132758032.7611189</v>
      </c>
      <c r="S22" s="91"/>
      <c r="T22" s="87" t="s">
        <v>36</v>
      </c>
      <c r="U22" s="220">
        <f t="shared" si="0"/>
        <v>174538517.27020448</v>
      </c>
      <c r="V22" s="220" t="e">
        <f>#REF!</f>
        <v>#REF!</v>
      </c>
      <c r="W22" s="220">
        <f t="shared" si="5"/>
        <v>97773520.188038558</v>
      </c>
      <c r="X22" s="220">
        <f t="shared" si="6"/>
        <v>415426777.44821393</v>
      </c>
      <c r="Y22" s="220">
        <f t="shared" si="7"/>
        <v>67642751.566603482</v>
      </c>
      <c r="Z22" s="220">
        <f t="shared" si="2"/>
        <v>-3076572806.5201778</v>
      </c>
    </row>
    <row r="23" spans="2:26" ht="15.75" thickBot="1" x14ac:dyDescent="0.3">
      <c r="B23" s="87" t="s">
        <v>37</v>
      </c>
      <c r="C23" s="88">
        <f>SUM('ABP Under Contract'!K23:P23)</f>
        <v>100536861.27</v>
      </c>
      <c r="D23" s="88">
        <f>'REC Spend projected'!H23+'REC Spend projected'!I23+'REC Spend projected'!J23+'REC Spend projected'!K23+'REC Spend projected'!L23</f>
        <v>66633871.293017104</v>
      </c>
      <c r="E23" s="88">
        <f>'Projected ABP Spend'!C200+'Indexed REC Spend'!H114</f>
        <v>93827757.838770658</v>
      </c>
      <c r="F23" s="88">
        <f>'Projected ABP Spend'!D200+'Indexed REC Spend'!J114</f>
        <v>48986603.067938209</v>
      </c>
      <c r="G23" s="88">
        <f>'Projected ABP Spend'!E200+'Indexed REC Spend'!K114</f>
        <v>40017803.018678002</v>
      </c>
      <c r="H23" s="88">
        <f>'Projected ABP Spend'!F200+'Indexed REC Spend'!L114</f>
        <v>76712727.589555338</v>
      </c>
      <c r="I23" s="88">
        <f>'Projected ABP Spend'!G200+'Indexed REC Spend'!M114</f>
        <v>75009318.445694908</v>
      </c>
      <c r="J23" s="88">
        <f>'Projected ABP Spend'!H200+'Indexed REC Spend'!N114</f>
        <v>50086667.40915212</v>
      </c>
      <c r="K23" s="88">
        <f>'Projected ABP Spend'!I200+'Indexed REC Spend'!O114</f>
        <v>84150757.966841832</v>
      </c>
      <c r="L23" s="88">
        <f>'Projected ABP Spend'!J200+'Indexed REC Spend'!P114</f>
        <v>0</v>
      </c>
      <c r="M23" s="88">
        <f>'Projected ABP Spend'!K200+'Indexed REC Spend'!Q114</f>
        <v>0</v>
      </c>
      <c r="N23" s="88">
        <f t="shared" si="3"/>
        <v>374963877.49786043</v>
      </c>
      <c r="O23" s="88">
        <f>'REC Spend projected'!M23+'REC Spend projected'!N23+'REC Spend projected'!N23+'REC Spend projected'!O23</f>
        <v>67710238.723197311</v>
      </c>
      <c r="P23" s="88">
        <f t="shared" si="4"/>
        <v>703672606.62284553</v>
      </c>
      <c r="Q23" s="88">
        <f>'REC Spend projected'!AA23</f>
        <v>-3132758032.7611189</v>
      </c>
      <c r="R23" s="88">
        <f>'REC Spend projected'!AE23</f>
        <v>-3135245159.3643899</v>
      </c>
      <c r="S23" s="91"/>
      <c r="T23" s="87" t="s">
        <v>37</v>
      </c>
      <c r="U23" s="220">
        <f t="shared" si="0"/>
        <v>167170732.5630171</v>
      </c>
      <c r="V23" s="220" t="e">
        <f>#REF!</f>
        <v>#REF!</v>
      </c>
      <c r="W23" s="220">
        <f t="shared" si="5"/>
        <v>93827757.838770658</v>
      </c>
      <c r="X23" s="220">
        <f t="shared" si="6"/>
        <v>374963877.49786043</v>
      </c>
      <c r="Y23" s="220">
        <f t="shared" si="7"/>
        <v>67710238.723197311</v>
      </c>
      <c r="Z23" s="220">
        <f t="shared" si="2"/>
        <v>-3132758032.7611189</v>
      </c>
    </row>
    <row r="24" spans="2:26" ht="15.75" thickBot="1" x14ac:dyDescent="0.3">
      <c r="B24" s="87" t="s">
        <v>38</v>
      </c>
      <c r="C24" s="88">
        <f>SUM('ABP Under Contract'!K24:P24)</f>
        <v>100033998.59999999</v>
      </c>
      <c r="D24" s="88">
        <f>'REC Spend projected'!H24+'REC Spend projected'!I24+'REC Spend projected'!J24+'REC Spend projected'!K24+'REC Spend projected'!L24</f>
        <v>59402162.29492186</v>
      </c>
      <c r="E24" s="88">
        <f>'Projected ABP Spend'!C201+'Indexed REC Spend'!H115</f>
        <v>90151765.910062924</v>
      </c>
      <c r="F24" s="88">
        <f>'Projected ABP Spend'!D201+'Indexed REC Spend'!J115</f>
        <v>40018214.961542569</v>
      </c>
      <c r="G24" s="88">
        <f>'Projected ABP Spend'!E201+'Indexed REC Spend'!K115</f>
        <v>32096487.487203542</v>
      </c>
      <c r="H24" s="88">
        <f>'Projected ABP Spend'!F201+'Indexed REC Spend'!L115</f>
        <v>43310065.332206339</v>
      </c>
      <c r="I24" s="88">
        <f>'Projected ABP Spend'!G201+'Indexed REC Spend'!M115</f>
        <v>70887347.467068747</v>
      </c>
      <c r="J24" s="88">
        <f>'Projected ABP Spend'!H201+'Indexed REC Spend'!N115</f>
        <v>45991018.669463858</v>
      </c>
      <c r="K24" s="88">
        <f>'Projected ABP Spend'!I201+'Indexed REC Spend'!O115</f>
        <v>43258360.135452852</v>
      </c>
      <c r="L24" s="88">
        <f>'Projected ABP Spend'!J201+'Indexed REC Spend'!P115</f>
        <v>57676926.958998948</v>
      </c>
      <c r="M24" s="88">
        <f>'Projected ABP Spend'!K201+'Indexed REC Spend'!Q115</f>
        <v>0</v>
      </c>
      <c r="N24" s="88">
        <f t="shared" si="3"/>
        <v>333238421.0119369</v>
      </c>
      <c r="O24" s="88">
        <f>'REC Spend projected'!M24+'REC Spend projected'!N24+'REC Spend projected'!N24+'REC Spend projected'!O24</f>
        <v>67790826.711418763</v>
      </c>
      <c r="P24" s="88">
        <f t="shared" si="4"/>
        <v>650617174.52834046</v>
      </c>
      <c r="Q24" s="88">
        <f>'REC Spend projected'!AA24</f>
        <v>-3135245159.3643899</v>
      </c>
      <c r="R24" s="88">
        <f>'REC Spend projected'!AE24</f>
        <v>-3093835104.2570462</v>
      </c>
      <c r="S24" s="91"/>
      <c r="T24" s="87" t="s">
        <v>38</v>
      </c>
      <c r="U24" s="220">
        <f t="shared" si="0"/>
        <v>159436160.89492184</v>
      </c>
      <c r="V24" s="220" t="e">
        <f>#REF!</f>
        <v>#REF!</v>
      </c>
      <c r="W24" s="220">
        <f t="shared" si="5"/>
        <v>90151765.910062924</v>
      </c>
      <c r="X24" s="220">
        <f t="shared" si="6"/>
        <v>333238421.0119369</v>
      </c>
      <c r="Y24" s="220">
        <f t="shared" si="7"/>
        <v>67790826.711418763</v>
      </c>
      <c r="Z24" s="220">
        <f t="shared" si="2"/>
        <v>-3135245159.3643899</v>
      </c>
    </row>
    <row r="25" spans="2:26" ht="15.75" thickBot="1" x14ac:dyDescent="0.3">
      <c r="B25" s="87" t="s">
        <v>39</v>
      </c>
      <c r="C25" s="88">
        <f>SUM('ABP Under Contract'!K25:P25)</f>
        <v>99534364.5</v>
      </c>
      <c r="D25" s="88">
        <f>'REC Spend projected'!H25+'REC Spend projected'!I25+'REC Spend projected'!J25+'REC Spend projected'!K25+'REC Spend projected'!L25</f>
        <v>52227698.622920126</v>
      </c>
      <c r="E25" s="88">
        <f>'Projected ABP Spend'!C202+'Indexed REC Spend'!H116</f>
        <v>86290528.319301993</v>
      </c>
      <c r="F25" s="88">
        <f>'Projected ABP Spend'!D202+'Indexed REC Spend'!J116</f>
        <v>30524438.105076734</v>
      </c>
      <c r="G25" s="88">
        <f>'Projected ABP Spend'!E202+'Indexed REC Spend'!K116</f>
        <v>23704171.163083222</v>
      </c>
      <c r="H25" s="88">
        <f>'Projected ABP Spend'!F202+'Indexed REC Spend'!L116</f>
        <v>34922803.754057162</v>
      </c>
      <c r="I25" s="88">
        <f>'Projected ABP Spend'!G202+'Indexed REC Spend'!M116</f>
        <v>42450965.327896476</v>
      </c>
      <c r="J25" s="88">
        <f>'Projected ABP Spend'!H202+'Indexed REC Spend'!N116</f>
        <v>41659086.534055129</v>
      </c>
      <c r="K25" s="88">
        <f>'Projected ABP Spend'!I202+'Indexed REC Spend'!O116</f>
        <v>38819561.754155599</v>
      </c>
      <c r="L25" s="88">
        <f>'Projected ABP Spend'!J202+'Indexed REC Spend'!P116</f>
        <v>73874101.782241434</v>
      </c>
      <c r="M25" s="88">
        <f>'Projected ABP Spend'!K202+'Indexed REC Spend'!Q116</f>
        <v>0</v>
      </c>
      <c r="N25" s="88">
        <f t="shared" si="3"/>
        <v>285955128.42056578</v>
      </c>
      <c r="O25" s="88">
        <f>'REC Spend projected'!M25+'REC Spend projected'!N25+'REC Spend projected'!N25+'REC Spend projected'!O25</f>
        <v>67846294.061737657</v>
      </c>
      <c r="P25" s="88">
        <f t="shared" si="4"/>
        <v>591854013.9245255</v>
      </c>
      <c r="Q25" s="88">
        <f>'REC Spend projected'!AA25</f>
        <v>-3093835104.2570462</v>
      </c>
      <c r="R25" s="88">
        <f>'REC Spend projected'!AE25</f>
        <v>-2953892466.4579778</v>
      </c>
      <c r="S25" s="91"/>
      <c r="T25" s="87" t="s">
        <v>39</v>
      </c>
      <c r="U25" s="220">
        <f t="shared" si="0"/>
        <v>151762063.12292013</v>
      </c>
      <c r="V25" s="220" t="e">
        <f>#REF!</f>
        <v>#REF!</v>
      </c>
      <c r="W25" s="220">
        <f t="shared" si="5"/>
        <v>86290528.319301993</v>
      </c>
      <c r="X25" s="220">
        <f t="shared" si="6"/>
        <v>285955128.42056578</v>
      </c>
      <c r="Y25" s="220">
        <f t="shared" si="7"/>
        <v>67846294.061737657</v>
      </c>
      <c r="Z25" s="220">
        <f t="shared" si="2"/>
        <v>-3093835104.2570462</v>
      </c>
    </row>
    <row r="26" spans="2:26" ht="15.75" thickBot="1" x14ac:dyDescent="0.3">
      <c r="B26" s="87" t="s">
        <v>40</v>
      </c>
      <c r="C26" s="88">
        <f>SUM('ABP Under Contract'!K26:P26)</f>
        <v>99036539.469999999</v>
      </c>
      <c r="D26" s="88">
        <f>'REC Spend projected'!H26+'REC Spend projected'!I26+'REC Spend projected'!J26+'REC Spend projected'!K26+'REC Spend projected'!L26</f>
        <v>-44743105.602602378</v>
      </c>
      <c r="E26" s="88">
        <f>'Projected ABP Spend'!C203+'Indexed REC Spend'!H117</f>
        <v>82456403.041873693</v>
      </c>
      <c r="F26" s="88">
        <f>'Projected ABP Spend'!D203+'Indexed REC Spend'!J117</f>
        <v>21066586.686801516</v>
      </c>
      <c r="G26" s="88">
        <f>'Projected ABP Spend'!E203+'Indexed REC Spend'!K117</f>
        <v>15336963.715016931</v>
      </c>
      <c r="H26" s="88">
        <f>'Projected ABP Spend'!F203+'Indexed REC Spend'!L117</f>
        <v>30555341.272575721</v>
      </c>
      <c r="I26" s="88">
        <f>'Projected ABP Spend'!G203+'Indexed REC Spend'!M117</f>
        <v>22715343.904631171</v>
      </c>
      <c r="J26" s="88">
        <f>'Projected ABP Spend'!H203+'Indexed REC Spend'!N117</f>
        <v>37346749.592856921</v>
      </c>
      <c r="K26" s="88">
        <f>'Projected ABP Spend'!I203+'Indexed REC Spend'!O117</f>
        <v>34492619.309341379</v>
      </c>
      <c r="L26" s="88">
        <f>'Projected ABP Spend'!J203+'Indexed REC Spend'!P117</f>
        <v>31947495.000233356</v>
      </c>
      <c r="M26" s="88">
        <f>'Projected ABP Spend'!K203+'Indexed REC Spend'!Q117</f>
        <v>106310111.77082686</v>
      </c>
      <c r="N26" s="88">
        <f t="shared" si="3"/>
        <v>299771211.25228387</v>
      </c>
      <c r="O26" s="88">
        <f>'REC Spend projected'!M26+'REC Spend projected'!N26+'REC Spend projected'!N26+'REC Spend projected'!O26</f>
        <v>67902792.45759207</v>
      </c>
      <c r="P26" s="88">
        <f t="shared" si="4"/>
        <v>504423840.61914724</v>
      </c>
      <c r="Q26" s="88">
        <f>'REC Spend projected'!AA26</f>
        <v>-2953892466.4579778</v>
      </c>
      <c r="R26" s="88">
        <f>'REC Spend projected'!AE26</f>
        <v>-2659174054.7339144</v>
      </c>
      <c r="S26" s="91"/>
      <c r="T26" s="87" t="s">
        <v>40</v>
      </c>
      <c r="U26" s="220">
        <f t="shared" si="0"/>
        <v>54293433.867397621</v>
      </c>
      <c r="V26" s="220" t="e">
        <f>#REF!</f>
        <v>#REF!</v>
      </c>
      <c r="W26" s="220">
        <f t="shared" si="5"/>
        <v>82456403.041873693</v>
      </c>
      <c r="X26" s="220">
        <f t="shared" si="6"/>
        <v>299771211.25228387</v>
      </c>
      <c r="Y26" s="220">
        <f t="shared" si="7"/>
        <v>67902792.45759207</v>
      </c>
      <c r="Z26" s="220">
        <f t="shared" si="2"/>
        <v>-2953892466.4579778</v>
      </c>
    </row>
    <row r="27" spans="2:26" x14ac:dyDescent="0.25">
      <c r="T27">
        <v>-170020128.74536878</v>
      </c>
    </row>
    <row r="29" spans="2:26" ht="15.75" thickBot="1" x14ac:dyDescent="0.3">
      <c r="B29" s="1" t="s">
        <v>41</v>
      </c>
    </row>
    <row r="30" spans="2:26" ht="15.75" customHeight="1" thickBot="1" x14ac:dyDescent="0.3">
      <c r="B30" s="326"/>
      <c r="C30" s="327"/>
      <c r="D30" s="327"/>
      <c r="E30" s="328"/>
      <c r="F30" s="329"/>
      <c r="G30" s="332"/>
      <c r="H30" s="330"/>
      <c r="I30" s="331"/>
      <c r="J30" s="330"/>
      <c r="K30" s="331"/>
      <c r="L30" s="81"/>
      <c r="M30" s="314"/>
      <c r="N30" s="314"/>
      <c r="O30" s="314"/>
      <c r="P30" s="314"/>
      <c r="Q30" s="314"/>
      <c r="R30" s="314"/>
      <c r="S30" s="314"/>
    </row>
    <row r="31" spans="2:26" ht="23.25" thickBot="1" x14ac:dyDescent="0.3">
      <c r="B31" s="82" t="s">
        <v>1</v>
      </c>
      <c r="C31" s="83" t="s">
        <v>291</v>
      </c>
      <c r="D31" s="83" t="s">
        <v>331</v>
      </c>
      <c r="E31" s="84" t="s">
        <v>99</v>
      </c>
      <c r="F31" s="84" t="s">
        <v>100</v>
      </c>
      <c r="G31" s="84" t="s">
        <v>101</v>
      </c>
      <c r="H31" s="84" t="s">
        <v>102</v>
      </c>
      <c r="I31" s="84" t="s">
        <v>103</v>
      </c>
      <c r="J31" s="84" t="s">
        <v>104</v>
      </c>
      <c r="K31" s="84" t="s">
        <v>105</v>
      </c>
      <c r="L31" s="84" t="s">
        <v>106</v>
      </c>
      <c r="M31" s="84" t="s">
        <v>107</v>
      </c>
      <c r="N31" s="84"/>
      <c r="O31" s="84" t="s">
        <v>348</v>
      </c>
      <c r="P31" s="83" t="s">
        <v>335</v>
      </c>
      <c r="Q31" s="83" t="s">
        <v>349</v>
      </c>
      <c r="R31" s="85" t="s">
        <v>245</v>
      </c>
      <c r="T31" s="86" t="s">
        <v>1</v>
      </c>
      <c r="U31" s="85" t="s">
        <v>200</v>
      </c>
      <c r="V31" s="85" t="s">
        <v>355</v>
      </c>
      <c r="W31" s="85" t="s">
        <v>99</v>
      </c>
      <c r="X31" s="85" t="s">
        <v>356</v>
      </c>
      <c r="Y31" s="85" t="s">
        <v>353</v>
      </c>
      <c r="Z31" s="85" t="s">
        <v>357</v>
      </c>
    </row>
    <row r="32" spans="2:26" ht="15.75" thickBot="1" x14ac:dyDescent="0.3">
      <c r="B32" s="87" t="s">
        <v>17</v>
      </c>
      <c r="C32" s="88">
        <f>SUM('ABP Under Contract'!K32:P32)</f>
        <v>56125561.980000004</v>
      </c>
      <c r="D32" s="88">
        <f>'REC Spend projected'!H31+'REC Spend projected'!I31+'REC Spend projected'!J31+'REC Spend projected'!K31+'REC Spend projected'!L31</f>
        <v>9118128.2799999993</v>
      </c>
      <c r="E32" s="88">
        <f>E4*'REC Spend projected'!$B$29</f>
        <v>0</v>
      </c>
      <c r="F32" s="88">
        <f>F4*'REC Spend projected'!$B$29</f>
        <v>0</v>
      </c>
      <c r="G32" s="88">
        <f>G4*'REC Spend projected'!$B$29</f>
        <v>0</v>
      </c>
      <c r="H32" s="88">
        <f>H4*'REC Spend projected'!$B$29</f>
        <v>0</v>
      </c>
      <c r="I32" s="88">
        <f>I4*'REC Spend projected'!$B$29</f>
        <v>0</v>
      </c>
      <c r="J32" s="88">
        <f>J4*'REC Spend projected'!$B$29</f>
        <v>0</v>
      </c>
      <c r="K32" s="88">
        <f>K4*'REC Spend projected'!$B$29</f>
        <v>0</v>
      </c>
      <c r="L32" s="88">
        <f>L4*'REC Spend projected'!$B$29</f>
        <v>0</v>
      </c>
      <c r="M32" s="88">
        <f>M4*'REC Spend projected'!$B$29</f>
        <v>0</v>
      </c>
      <c r="N32" s="88"/>
      <c r="O32" s="88">
        <f>O4*'REC Spend projected'!$B$29</f>
        <v>5218525.3698853292</v>
      </c>
      <c r="P32" s="88">
        <f t="shared" ref="P32:P54" si="8">SUM(C32:O32)</f>
        <v>70462215.629885331</v>
      </c>
      <c r="Q32" s="88">
        <f>'REC Spend projected'!AA31</f>
        <v>87829264.295962796</v>
      </c>
      <c r="R32" s="88">
        <f>'REC Spend projected'!AE31</f>
        <v>75081522.698230952</v>
      </c>
      <c r="T32" s="87" t="s">
        <v>17</v>
      </c>
      <c r="U32" s="220">
        <f t="shared" ref="U32:U54" si="9">SUM(C32:D32)</f>
        <v>65243690.260000005</v>
      </c>
      <c r="V32" s="220" t="e">
        <f>#REF!</f>
        <v>#REF!</v>
      </c>
      <c r="W32" s="220">
        <f>E32</f>
        <v>0</v>
      </c>
      <c r="X32" s="220">
        <f>SUM(F32:M32)</f>
        <v>0</v>
      </c>
      <c r="Y32" s="220">
        <f t="shared" ref="Y32:Y54" si="10">O32</f>
        <v>5218525.3698853292</v>
      </c>
      <c r="Z32" s="220">
        <f t="shared" ref="Z32:Z54" si="11">Q32</f>
        <v>87829264.295962796</v>
      </c>
    </row>
    <row r="33" spans="2:26" ht="15.75" thickBot="1" x14ac:dyDescent="0.3">
      <c r="B33" s="87" t="s">
        <v>18</v>
      </c>
      <c r="C33" s="88">
        <f>SUM('ABP Under Contract'!K33:P33)</f>
        <v>63474112.25</v>
      </c>
      <c r="D33" s="88">
        <f>'REC Spend projected'!H32+'REC Spend projected'!I32+'REC Spend projected'!J32+'REC Spend projected'!K32+'REC Spend projected'!L32</f>
        <v>10985217.937169807</v>
      </c>
      <c r="E33" s="88">
        <f>E5*'REC Spend projected'!$B$29</f>
        <v>0</v>
      </c>
      <c r="F33" s="88">
        <f>F5*'REC Spend projected'!$B$29</f>
        <v>0</v>
      </c>
      <c r="G33" s="88">
        <f>G5*'REC Spend projected'!$B$29</f>
        <v>0</v>
      </c>
      <c r="H33" s="88">
        <f>H5*'REC Spend projected'!$B$29</f>
        <v>0</v>
      </c>
      <c r="I33" s="88">
        <f>I5*'REC Spend projected'!$B$29</f>
        <v>0</v>
      </c>
      <c r="J33" s="88">
        <f>J5*'REC Spend projected'!$B$29</f>
        <v>0</v>
      </c>
      <c r="K33" s="88">
        <f>K5*'REC Spend projected'!$B$29</f>
        <v>0</v>
      </c>
      <c r="L33" s="88">
        <f>L5*'REC Spend projected'!$B$29</f>
        <v>0</v>
      </c>
      <c r="M33" s="88">
        <f>M5*'REC Spend projected'!$B$29</f>
        <v>0</v>
      </c>
      <c r="N33" s="88"/>
      <c r="O33" s="88">
        <f>O5*'REC Spend projected'!$B$29</f>
        <v>24310842.858277723</v>
      </c>
      <c r="P33" s="88">
        <f t="shared" si="8"/>
        <v>98770173.045447528</v>
      </c>
      <c r="Q33" s="88">
        <f>'REC Spend projected'!AA32</f>
        <v>75081522.698230952</v>
      </c>
      <c r="R33" s="88">
        <f>'REC Spend projected'!AE32</f>
        <v>115165774.38172951</v>
      </c>
      <c r="T33" s="87" t="s">
        <v>18</v>
      </c>
      <c r="U33" s="220">
        <f t="shared" si="9"/>
        <v>74459330.187169805</v>
      </c>
      <c r="V33" s="220" t="e">
        <f>#REF!</f>
        <v>#REF!</v>
      </c>
      <c r="W33" s="220">
        <f t="shared" ref="W33:W54" si="12">E33</f>
        <v>0</v>
      </c>
      <c r="X33" s="220">
        <f t="shared" ref="X33:X54" si="13">SUM(F33:M33)</f>
        <v>0</v>
      </c>
      <c r="Y33" s="220">
        <f t="shared" si="10"/>
        <v>24310842.858277723</v>
      </c>
      <c r="Z33" s="220">
        <f t="shared" si="11"/>
        <v>75081522.698230952</v>
      </c>
    </row>
    <row r="34" spans="2:26" ht="15.75" thickBot="1" x14ac:dyDescent="0.3">
      <c r="B34" s="87" t="s">
        <v>19</v>
      </c>
      <c r="C34" s="88">
        <f>SUM('ABP Under Contract'!K34:P34)</f>
        <v>71213075</v>
      </c>
      <c r="D34" s="88">
        <f>'REC Spend projected'!H33+'REC Spend projected'!I33+'REC Spend projected'!J33+'REC Spend projected'!K33+'REC Spend projected'!L33</f>
        <v>11508673.347169807</v>
      </c>
      <c r="E34" s="88">
        <f>E6*'REC Spend projected'!$B$29</f>
        <v>0</v>
      </c>
      <c r="F34" s="88">
        <f>F6*'REC Spend projected'!$B$29</f>
        <v>0</v>
      </c>
      <c r="G34" s="88">
        <f>G6*'REC Spend projected'!$B$29</f>
        <v>0</v>
      </c>
      <c r="H34" s="88">
        <f>H6*'REC Spend projected'!$B$29</f>
        <v>0</v>
      </c>
      <c r="I34" s="88">
        <f>I6*'REC Spend projected'!$B$29</f>
        <v>0</v>
      </c>
      <c r="J34" s="88">
        <f>J6*'REC Spend projected'!$B$29</f>
        <v>0</v>
      </c>
      <c r="K34" s="88">
        <f>K6*'REC Spend projected'!$B$29</f>
        <v>0</v>
      </c>
      <c r="L34" s="88">
        <f>L6*'REC Spend projected'!$B$29</f>
        <v>0</v>
      </c>
      <c r="M34" s="88">
        <f>M6*'REC Spend projected'!$B$29</f>
        <v>0</v>
      </c>
      <c r="N34" s="88"/>
      <c r="O34" s="88">
        <f>O6*'REC Spend projected'!$B$29</f>
        <v>19584845.639281254</v>
      </c>
      <c r="P34" s="88">
        <f t="shared" si="8"/>
        <v>102306593.98645106</v>
      </c>
      <c r="Q34" s="88">
        <f>'REC Spend projected'!AA33</f>
        <v>115165774.38172951</v>
      </c>
      <c r="R34" s="88">
        <f>'REC Spend projected'!AE33</f>
        <v>170334148.87228286</v>
      </c>
      <c r="T34" s="87" t="s">
        <v>19</v>
      </c>
      <c r="U34" s="220">
        <f t="shared" si="9"/>
        <v>82721748.347169802</v>
      </c>
      <c r="V34" s="220" t="e">
        <f>#REF!</f>
        <v>#REF!</v>
      </c>
      <c r="W34" s="220">
        <f t="shared" si="12"/>
        <v>0</v>
      </c>
      <c r="X34" s="220">
        <f t="shared" si="13"/>
        <v>0</v>
      </c>
      <c r="Y34" s="220">
        <f t="shared" si="10"/>
        <v>19584845.639281254</v>
      </c>
      <c r="Z34" s="220">
        <f t="shared" si="11"/>
        <v>115165774.38172951</v>
      </c>
    </row>
    <row r="35" spans="2:26" ht="15.75" thickBot="1" x14ac:dyDescent="0.3">
      <c r="B35" s="87" t="s">
        <v>20</v>
      </c>
      <c r="C35" s="88">
        <f>SUM('ABP Under Contract'!K35:P35)</f>
        <v>97285435.189999998</v>
      </c>
      <c r="D35" s="88">
        <f>'REC Spend projected'!H34+'REC Spend projected'!I34+'REC Spend projected'!J34+'REC Spend projected'!K34+'REC Spend projected'!L34</f>
        <v>10028071.880758878</v>
      </c>
      <c r="E35" s="88">
        <f>E7*'REC Spend projected'!$B$29</f>
        <v>0</v>
      </c>
      <c r="F35" s="88">
        <f>F7*'REC Spend projected'!$B$29</f>
        <v>0</v>
      </c>
      <c r="G35" s="88">
        <f>G7*'REC Spend projected'!$B$29</f>
        <v>0</v>
      </c>
      <c r="H35" s="88">
        <f>H7*'REC Spend projected'!$B$29</f>
        <v>0</v>
      </c>
      <c r="I35" s="88">
        <f>I7*'REC Spend projected'!$B$29</f>
        <v>0</v>
      </c>
      <c r="J35" s="88">
        <f>J7*'REC Spend projected'!$B$29</f>
        <v>0</v>
      </c>
      <c r="K35" s="88">
        <f>K7*'REC Spend projected'!$B$29</f>
        <v>0</v>
      </c>
      <c r="L35" s="88">
        <f>L7*'REC Spend projected'!$B$29</f>
        <v>0</v>
      </c>
      <c r="M35" s="88">
        <f>M7*'REC Spend projected'!$B$29</f>
        <v>0</v>
      </c>
      <c r="N35" s="88"/>
      <c r="O35" s="88">
        <f>O7*'REC Spend projected'!$B$29</f>
        <v>19497601.441391319</v>
      </c>
      <c r="P35" s="88">
        <f t="shared" si="8"/>
        <v>126811108.5121502</v>
      </c>
      <c r="Q35" s="88">
        <f>'REC Spend projected'!AA34</f>
        <v>170334148.87228286</v>
      </c>
      <c r="R35" s="88">
        <f>'REC Spend projected'!AE34</f>
        <v>160338569.89697835</v>
      </c>
      <c r="T35" s="87" t="s">
        <v>20</v>
      </c>
      <c r="U35" s="220">
        <f t="shared" si="9"/>
        <v>107313507.07075888</v>
      </c>
      <c r="V35" s="220" t="e">
        <f>#REF!</f>
        <v>#REF!</v>
      </c>
      <c r="W35" s="220">
        <f t="shared" si="12"/>
        <v>0</v>
      </c>
      <c r="X35" s="220">
        <f t="shared" si="13"/>
        <v>0</v>
      </c>
      <c r="Y35" s="220">
        <f t="shared" si="10"/>
        <v>19497601.441391319</v>
      </c>
      <c r="Z35" s="220">
        <f t="shared" si="11"/>
        <v>170334148.87228286</v>
      </c>
    </row>
    <row r="36" spans="2:26" ht="15.75" thickBot="1" x14ac:dyDescent="0.3">
      <c r="B36" s="87" t="s">
        <v>22</v>
      </c>
      <c r="C36" s="88">
        <f>SUM('ABP Under Contract'!K36:P36)</f>
        <v>69150702.439999998</v>
      </c>
      <c r="D36" s="88">
        <f>'REC Spend projected'!H35+'REC Spend projected'!I35+'REC Spend projected'!J35+'REC Spend projected'!K35+'REC Spend projected'!L35</f>
        <v>23531504.726476483</v>
      </c>
      <c r="E36" s="88">
        <f>E8*'REC Spend projected'!$B$29</f>
        <v>0</v>
      </c>
      <c r="F36" s="88">
        <f>F8*'REC Spend projected'!$B$29</f>
        <v>0</v>
      </c>
      <c r="G36" s="88">
        <f>G8*'REC Spend projected'!$B$29</f>
        <v>0</v>
      </c>
      <c r="H36" s="88">
        <f>H8*'REC Spend projected'!$B$29</f>
        <v>0</v>
      </c>
      <c r="I36" s="88">
        <f>I8*'REC Spend projected'!$B$29</f>
        <v>0</v>
      </c>
      <c r="J36" s="88">
        <f>J8*'REC Spend projected'!$B$29</f>
        <v>0</v>
      </c>
      <c r="K36" s="88">
        <f>K8*'REC Spend projected'!$B$29</f>
        <v>0</v>
      </c>
      <c r="L36" s="88">
        <f>L8*'REC Spend projected'!$B$29</f>
        <v>0</v>
      </c>
      <c r="M36" s="88">
        <f>M8*'REC Spend projected'!$B$29</f>
        <v>0</v>
      </c>
      <c r="N36" s="88"/>
      <c r="O36" s="88">
        <f>O8*'REC Spend projected'!$B$29</f>
        <v>25256924.295411348</v>
      </c>
      <c r="P36" s="88">
        <f t="shared" si="8"/>
        <v>117939131.46188784</v>
      </c>
      <c r="Q36" s="88">
        <f>'REC Spend projected'!AA35</f>
        <v>160338569.89697835</v>
      </c>
      <c r="R36" s="88">
        <f>'REC Spend projected'!AE35</f>
        <v>177541625.60607436</v>
      </c>
      <c r="T36" s="87" t="s">
        <v>22</v>
      </c>
      <c r="U36" s="220">
        <f t="shared" si="9"/>
        <v>92682207.166476488</v>
      </c>
      <c r="V36" s="220" t="e">
        <f>#REF!</f>
        <v>#REF!</v>
      </c>
      <c r="W36" s="220">
        <f t="shared" si="12"/>
        <v>0</v>
      </c>
      <c r="X36" s="220">
        <f t="shared" si="13"/>
        <v>0</v>
      </c>
      <c r="Y36" s="220">
        <f t="shared" si="10"/>
        <v>25256924.295411348</v>
      </c>
      <c r="Z36" s="220">
        <f t="shared" si="11"/>
        <v>160338569.89697835</v>
      </c>
    </row>
    <row r="37" spans="2:26" ht="15.75" thickBot="1" x14ac:dyDescent="0.3">
      <c r="B37" s="87" t="s">
        <v>23</v>
      </c>
      <c r="C37" s="88">
        <f>SUM('ABP Under Contract'!K37:P37)</f>
        <v>72543915.739999995</v>
      </c>
      <c r="D37" s="88">
        <f>'REC Spend projected'!H36+'REC Spend projected'!I36+'REC Spend projected'!J36+'REC Spend projected'!K36+'REC Spend projected'!L36</f>
        <v>42280924.694058567</v>
      </c>
      <c r="E37" s="88">
        <f>E9*'REC Spend projected'!$B$29</f>
        <v>0</v>
      </c>
      <c r="F37" s="88">
        <f>F9*'REC Spend projected'!$B$29</f>
        <v>0</v>
      </c>
      <c r="G37" s="88">
        <f>G9*'REC Spend projected'!$B$29</f>
        <v>0</v>
      </c>
      <c r="H37" s="88">
        <f>H9*'REC Spend projected'!$B$29</f>
        <v>0</v>
      </c>
      <c r="I37" s="88">
        <f>I9*'REC Spend projected'!$B$29</f>
        <v>0</v>
      </c>
      <c r="J37" s="88">
        <f>J9*'REC Spend projected'!$B$29</f>
        <v>0</v>
      </c>
      <c r="K37" s="88">
        <f>K9*'REC Spend projected'!$B$29</f>
        <v>0</v>
      </c>
      <c r="L37" s="88">
        <f>L9*'REC Spend projected'!$B$29</f>
        <v>0</v>
      </c>
      <c r="M37" s="88">
        <f>M9*'REC Spend projected'!$B$29</f>
        <v>0</v>
      </c>
      <c r="N37" s="88"/>
      <c r="O37" s="88">
        <f>O9*'REC Spend projected'!$B$29</f>
        <v>19447000.667940084</v>
      </c>
      <c r="P37" s="88">
        <f t="shared" si="8"/>
        <v>134271841.10199866</v>
      </c>
      <c r="Q37" s="88">
        <f>'REC Spend projected'!AA36</f>
        <v>177541625.60607436</v>
      </c>
      <c r="R37" s="88">
        <f>'REC Spend projected'!AE36</f>
        <v>130476241.98368526</v>
      </c>
      <c r="T37" s="87" t="s">
        <v>23</v>
      </c>
      <c r="U37" s="220">
        <f t="shared" si="9"/>
        <v>114824840.43405856</v>
      </c>
      <c r="V37" s="220" t="e">
        <f>#REF!</f>
        <v>#REF!</v>
      </c>
      <c r="W37" s="220">
        <f t="shared" si="12"/>
        <v>0</v>
      </c>
      <c r="X37" s="220">
        <f t="shared" si="13"/>
        <v>0</v>
      </c>
      <c r="Y37" s="220">
        <f t="shared" si="10"/>
        <v>19447000.667940084</v>
      </c>
      <c r="Z37" s="220">
        <f t="shared" si="11"/>
        <v>177541625.60607436</v>
      </c>
    </row>
    <row r="38" spans="2:26" ht="15.75" thickBot="1" x14ac:dyDescent="0.3">
      <c r="B38" s="87" t="s">
        <v>24</v>
      </c>
      <c r="C38" s="88">
        <f>SUM('ABP Under Contract'!K38:P38)</f>
        <v>61374630.060000002</v>
      </c>
      <c r="D38" s="88">
        <f>'REC Spend projected'!H37+'REC Spend projected'!I37+'REC Spend projected'!J37+'REC Spend projected'!K37+'REC Spend projected'!L37</f>
        <v>54440326.499758542</v>
      </c>
      <c r="E38" s="88">
        <f>E10*'REC Spend projected'!$B$29</f>
        <v>59163635.234330826</v>
      </c>
      <c r="F38" s="88">
        <f>F10*'REC Spend projected'!$B$29</f>
        <v>0</v>
      </c>
      <c r="G38" s="88">
        <f>G10*'REC Spend projected'!$B$29</f>
        <v>0</v>
      </c>
      <c r="H38" s="88">
        <f>H10*'REC Spend projected'!$B$29</f>
        <v>0</v>
      </c>
      <c r="I38" s="88">
        <f>I10*'REC Spend projected'!$B$29</f>
        <v>0</v>
      </c>
      <c r="J38" s="88">
        <f>J10*'REC Spend projected'!$B$29</f>
        <v>0</v>
      </c>
      <c r="K38" s="88">
        <f>K10*'REC Spend projected'!$B$29</f>
        <v>0</v>
      </c>
      <c r="L38" s="88">
        <f>L10*'REC Spend projected'!$B$29</f>
        <v>0</v>
      </c>
      <c r="M38" s="88">
        <f>M10*'REC Spend projected'!$B$29</f>
        <v>0</v>
      </c>
      <c r="N38" s="88"/>
      <c r="O38" s="88">
        <f>O10*'REC Spend projected'!$B$29</f>
        <v>19371956.421201203</v>
      </c>
      <c r="P38" s="88">
        <f t="shared" si="8"/>
        <v>194350548.21529058</v>
      </c>
      <c r="Q38" s="88">
        <f>'REC Spend projected'!AA37</f>
        <v>130476241.98368526</v>
      </c>
      <c r="R38" s="88">
        <f>'REC Spend projected'!AE37</f>
        <v>58475465.828304052</v>
      </c>
      <c r="T38" s="87" t="s">
        <v>24</v>
      </c>
      <c r="U38" s="220">
        <f t="shared" si="9"/>
        <v>115814956.55975854</v>
      </c>
      <c r="V38" s="220" t="e">
        <f>#REF!</f>
        <v>#REF!</v>
      </c>
      <c r="W38" s="220">
        <f t="shared" si="12"/>
        <v>59163635.234330826</v>
      </c>
      <c r="X38" s="220">
        <f t="shared" si="13"/>
        <v>0</v>
      </c>
      <c r="Y38" s="220">
        <f t="shared" si="10"/>
        <v>19371956.421201203</v>
      </c>
      <c r="Z38" s="220">
        <f t="shared" si="11"/>
        <v>130476241.98368526</v>
      </c>
    </row>
    <row r="39" spans="2:26" ht="15.75" thickBot="1" x14ac:dyDescent="0.3">
      <c r="B39" s="87" t="s">
        <v>25</v>
      </c>
      <c r="C39" s="88">
        <f>SUM('ABP Under Contract'!K39:P39)</f>
        <v>55822391.68</v>
      </c>
      <c r="D39" s="88">
        <f>'REC Spend projected'!H38+'REC Spend projected'!I38+'REC Spend projected'!J38+'REC Spend projected'!K38+'REC Spend projected'!L38</f>
        <v>50589991.630502664</v>
      </c>
      <c r="E39" s="88">
        <f>E11*'REC Spend projected'!$B$29</f>
        <v>102995433.6398432</v>
      </c>
      <c r="F39" s="88">
        <f>F11*'REC Spend projected'!$B$29</f>
        <v>0</v>
      </c>
      <c r="G39" s="88">
        <f>G11*'REC Spend projected'!$B$29</f>
        <v>0</v>
      </c>
      <c r="H39" s="88">
        <f>H11*'REC Spend projected'!$B$29</f>
        <v>0</v>
      </c>
      <c r="I39" s="88">
        <f>I11*'REC Spend projected'!$B$29</f>
        <v>0</v>
      </c>
      <c r="J39" s="88">
        <f>J11*'REC Spend projected'!$B$29</f>
        <v>0</v>
      </c>
      <c r="K39" s="88">
        <f>K11*'REC Spend projected'!$B$29</f>
        <v>0</v>
      </c>
      <c r="L39" s="88">
        <f>L11*'REC Spend projected'!$B$29</f>
        <v>0</v>
      </c>
      <c r="M39" s="88">
        <f>M11*'REC Spend projected'!$B$29</f>
        <v>0</v>
      </c>
      <c r="N39" s="88"/>
      <c r="O39" s="88">
        <f>O11*'REC Spend projected'!$B$29</f>
        <v>25156594.69036714</v>
      </c>
      <c r="P39" s="88">
        <f t="shared" si="8"/>
        <v>234564411.64071301</v>
      </c>
      <c r="Q39" s="88">
        <f>'REC Spend projected'!AA38</f>
        <v>58475465.828304052</v>
      </c>
      <c r="R39" s="88">
        <f>'REC Spend projected'!AE38</f>
        <v>-17507841.892732084</v>
      </c>
      <c r="T39" s="87" t="s">
        <v>25</v>
      </c>
      <c r="U39" s="220">
        <f t="shared" si="9"/>
        <v>106412383.31050266</v>
      </c>
      <c r="V39" s="220" t="e">
        <f>#REF!</f>
        <v>#REF!</v>
      </c>
      <c r="W39" s="220">
        <f t="shared" si="12"/>
        <v>102995433.6398432</v>
      </c>
      <c r="X39" s="220">
        <f t="shared" si="13"/>
        <v>0</v>
      </c>
      <c r="Y39" s="220">
        <f t="shared" si="10"/>
        <v>25156594.69036714</v>
      </c>
      <c r="Z39" s="220">
        <f t="shared" si="11"/>
        <v>58475465.828304052</v>
      </c>
    </row>
    <row r="40" spans="2:26" ht="15.75" thickBot="1" x14ac:dyDescent="0.3">
      <c r="B40" s="90" t="s">
        <v>26</v>
      </c>
      <c r="C40" s="88">
        <f>SUM('ABP Under Contract'!K40:P40)</f>
        <v>50475409.449999996</v>
      </c>
      <c r="D40" s="88">
        <f>'REC Spend projected'!H39+'REC Spend projected'!I39+'REC Spend projected'!J39+'REC Spend projected'!K39+'REC Spend projected'!L39</f>
        <v>48552040.475948595</v>
      </c>
      <c r="E40" s="88">
        <f>E12*'REC Spend projected'!$B$29</f>
        <v>61220480.197138406</v>
      </c>
      <c r="F40" s="88">
        <f>F12*'REC Spend projected'!$B$29</f>
        <v>54525206.231959291</v>
      </c>
      <c r="G40" s="88">
        <f>G12*'REC Spend projected'!$B$29</f>
        <v>0</v>
      </c>
      <c r="H40" s="88">
        <f>H12*'REC Spend projected'!$B$29</f>
        <v>0</v>
      </c>
      <c r="I40" s="88">
        <f>I12*'REC Spend projected'!$B$29</f>
        <v>0</v>
      </c>
      <c r="J40" s="88">
        <f>J12*'REC Spend projected'!$B$29</f>
        <v>0</v>
      </c>
      <c r="K40" s="88">
        <f>K12*'REC Spend projected'!$B$29</f>
        <v>0</v>
      </c>
      <c r="L40" s="88">
        <f>L12*'REC Spend projected'!$B$29</f>
        <v>0</v>
      </c>
      <c r="M40" s="88">
        <f>M12*'REC Spend projected'!$B$29</f>
        <v>0</v>
      </c>
      <c r="N40" s="88"/>
      <c r="O40" s="88">
        <f>O12*'REC Spend projected'!$B$29</f>
        <v>19377058.141635623</v>
      </c>
      <c r="P40" s="88">
        <f t="shared" si="8"/>
        <v>234150194.4966819</v>
      </c>
      <c r="Q40" s="88">
        <f>'REC Spend projected'!AA39</f>
        <v>-17507841.892732084</v>
      </c>
      <c r="R40" s="88">
        <f>'REC Spend projected'!AE39</f>
        <v>-115151036.11484459</v>
      </c>
      <c r="T40" s="90" t="s">
        <v>26</v>
      </c>
      <c r="U40" s="220">
        <f t="shared" si="9"/>
        <v>99027449.92594859</v>
      </c>
      <c r="V40" s="220" t="e">
        <f>#REF!</f>
        <v>#REF!</v>
      </c>
      <c r="W40" s="220">
        <f t="shared" si="12"/>
        <v>61220480.197138406</v>
      </c>
      <c r="X40" s="220">
        <f t="shared" si="13"/>
        <v>54525206.231959291</v>
      </c>
      <c r="Y40" s="220">
        <f t="shared" si="10"/>
        <v>19377058.141635623</v>
      </c>
      <c r="Z40" s="220">
        <f t="shared" si="11"/>
        <v>-17507841.892732084</v>
      </c>
    </row>
    <row r="41" spans="2:26" ht="15.75" thickBot="1" x14ac:dyDescent="0.3">
      <c r="B41" s="87" t="s">
        <v>27</v>
      </c>
      <c r="C41" s="88">
        <f>SUM('ABP Under Contract'!K41:P41)</f>
        <v>49122737.640000001</v>
      </c>
      <c r="D41" s="88">
        <f>'REC Spend projected'!H40+'REC Spend projected'!I40+'REC Spend projected'!J40+'REC Spend projected'!K40+'REC Spend projected'!L40</f>
        <v>45523957.561752304</v>
      </c>
      <c r="E41" s="88">
        <f>E13*'REC Spend projected'!$B$29</f>
        <v>60047706.97335846</v>
      </c>
      <c r="F41" s="88">
        <f>F13*'REC Spend projected'!$B$29</f>
        <v>82987710.012676895</v>
      </c>
      <c r="G41" s="88">
        <f>G13*'REC Spend projected'!$B$29</f>
        <v>0</v>
      </c>
      <c r="H41" s="88">
        <f>H13*'REC Spend projected'!$B$29</f>
        <v>0</v>
      </c>
      <c r="I41" s="88">
        <f>I13*'REC Spend projected'!$B$29</f>
        <v>0</v>
      </c>
      <c r="J41" s="88">
        <f>J13*'REC Spend projected'!$B$29</f>
        <v>0</v>
      </c>
      <c r="K41" s="88">
        <f>K13*'REC Spend projected'!$B$29</f>
        <v>0</v>
      </c>
      <c r="L41" s="88">
        <f>L13*'REC Spend projected'!$B$29</f>
        <v>0</v>
      </c>
      <c r="M41" s="88">
        <f>M13*'REC Spend projected'!$B$29</f>
        <v>0</v>
      </c>
      <c r="N41" s="88"/>
      <c r="O41" s="88">
        <f>O13*'REC Spend projected'!$B$29</f>
        <v>19381104.099283114</v>
      </c>
      <c r="P41" s="88">
        <f t="shared" si="8"/>
        <v>257063216.28707075</v>
      </c>
      <c r="Q41" s="88">
        <f>'REC Spend projected'!AA40</f>
        <v>-115151036.11484459</v>
      </c>
      <c r="R41" s="88">
        <f>'REC Spend projected'!AE40</f>
        <v>-235232595.46386805</v>
      </c>
      <c r="T41" s="87" t="s">
        <v>27</v>
      </c>
      <c r="U41" s="220">
        <f t="shared" si="9"/>
        <v>94646695.201752305</v>
      </c>
      <c r="V41" s="220" t="e">
        <f>#REF!</f>
        <v>#REF!</v>
      </c>
      <c r="W41" s="220">
        <f t="shared" si="12"/>
        <v>60047706.97335846</v>
      </c>
      <c r="X41" s="220">
        <f t="shared" si="13"/>
        <v>82987710.012676895</v>
      </c>
      <c r="Y41" s="220">
        <f t="shared" si="10"/>
        <v>19381104.099283114</v>
      </c>
      <c r="Z41" s="220">
        <f t="shared" si="11"/>
        <v>-115151036.11484459</v>
      </c>
    </row>
    <row r="42" spans="2:26" ht="15.75" thickBot="1" x14ac:dyDescent="0.3">
      <c r="B42" s="87" t="s">
        <v>28</v>
      </c>
      <c r="C42" s="88">
        <f>SUM('ABP Under Contract'!K42:P42)</f>
        <v>48174442.180000007</v>
      </c>
      <c r="D42" s="88">
        <f>'REC Spend projected'!H41+'REC Spend projected'!I41+'REC Spend projected'!J41+'REC Spend projected'!K41+'REC Spend projected'!L41</f>
        <v>42720328.984445184</v>
      </c>
      <c r="E42" s="88">
        <f>E14*'REC Spend projected'!$B$29</f>
        <v>58469691.394014545</v>
      </c>
      <c r="F42" s="88">
        <f>F14*'REC Spend projected'!$B$29</f>
        <v>56786865.104731537</v>
      </c>
      <c r="G42" s="88">
        <f>G14*'REC Spend projected'!$B$29</f>
        <v>50250430.063373677</v>
      </c>
      <c r="H42" s="88">
        <f>H14*'REC Spend projected'!$B$29</f>
        <v>0</v>
      </c>
      <c r="I42" s="88">
        <f>I14*'REC Spend projected'!$B$29</f>
        <v>0</v>
      </c>
      <c r="J42" s="88">
        <f>J14*'REC Spend projected'!$B$29</f>
        <v>0</v>
      </c>
      <c r="K42" s="88">
        <f>K14*'REC Spend projected'!$B$29</f>
        <v>0</v>
      </c>
      <c r="L42" s="88">
        <f>L14*'REC Spend projected'!$B$29</f>
        <v>0</v>
      </c>
      <c r="M42" s="88">
        <f>M14*'REC Spend projected'!$B$29</f>
        <v>0</v>
      </c>
      <c r="N42" s="88"/>
      <c r="O42" s="88">
        <f>O14*'REC Spend projected'!$B$29</f>
        <v>25203217.458176211</v>
      </c>
      <c r="P42" s="88">
        <f t="shared" si="8"/>
        <v>281604975.18474114</v>
      </c>
      <c r="Q42" s="88">
        <f>'REC Spend projected'!AA41</f>
        <v>-235232595.46386805</v>
      </c>
      <c r="R42" s="88">
        <f>'REC Spend projected'!AE41</f>
        <v>-372583664.54719889</v>
      </c>
      <c r="T42" s="87" t="s">
        <v>28</v>
      </c>
      <c r="U42" s="220">
        <f t="shared" si="9"/>
        <v>90894771.164445192</v>
      </c>
      <c r="V42" s="220" t="e">
        <f>#REF!</f>
        <v>#REF!</v>
      </c>
      <c r="W42" s="220">
        <f t="shared" si="12"/>
        <v>58469691.394014545</v>
      </c>
      <c r="X42" s="220">
        <f t="shared" si="13"/>
        <v>107037295.16810521</v>
      </c>
      <c r="Y42" s="220">
        <f t="shared" si="10"/>
        <v>25203217.458176211</v>
      </c>
      <c r="Z42" s="220">
        <f t="shared" si="11"/>
        <v>-235232595.46386805</v>
      </c>
    </row>
    <row r="43" spans="2:26" ht="15.75" thickBot="1" x14ac:dyDescent="0.3">
      <c r="B43" s="87" t="s">
        <v>29</v>
      </c>
      <c r="C43" s="88">
        <f>SUM('ABP Under Contract'!K43:P43)</f>
        <v>46793908.600000001</v>
      </c>
      <c r="D43" s="88">
        <f>'REC Spend projected'!H42+'REC Spend projected'!I42+'REC Spend projected'!J42+'REC Spend projected'!K42+'REC Spend projected'!L42</f>
        <v>43186898.042168461</v>
      </c>
      <c r="E43" s="88">
        <f>E15*'REC Spend projected'!$B$29</f>
        <v>57002527.489341244</v>
      </c>
      <c r="F43" s="88">
        <f>F15*'REC Spend projected'!$B$29</f>
        <v>53147151.21356222</v>
      </c>
      <c r="G43" s="88">
        <f>G15*'REC Spend projected'!$B$29</f>
        <v>71949538.245228201</v>
      </c>
      <c r="H43" s="88">
        <f>H15*'REC Spend projected'!$B$29</f>
        <v>0</v>
      </c>
      <c r="I43" s="88">
        <f>I15*'REC Spend projected'!$B$29</f>
        <v>0</v>
      </c>
      <c r="J43" s="88">
        <f>J15*'REC Spend projected'!$B$29</f>
        <v>0</v>
      </c>
      <c r="K43" s="88">
        <f>K15*'REC Spend projected'!$B$29</f>
        <v>0</v>
      </c>
      <c r="L43" s="88">
        <f>L15*'REC Spend projected'!$B$29</f>
        <v>0</v>
      </c>
      <c r="M43" s="88">
        <f>M15*'REC Spend projected'!$B$29</f>
        <v>0</v>
      </c>
      <c r="N43" s="88"/>
      <c r="O43" s="88">
        <f>O15*'REC Spend projected'!$B$29</f>
        <v>19439042.636702746</v>
      </c>
      <c r="P43" s="88">
        <f t="shared" si="8"/>
        <v>291519066.22700286</v>
      </c>
      <c r="Q43" s="88">
        <f>'REC Spend projected'!AA42</f>
        <v>-372583664.54719889</v>
      </c>
      <c r="R43" s="88">
        <f>'REC Spend projected'!AE42</f>
        <v>-498365132.28388613</v>
      </c>
      <c r="T43" s="87" t="s">
        <v>29</v>
      </c>
      <c r="U43" s="220">
        <f t="shared" si="9"/>
        <v>89980806.642168462</v>
      </c>
      <c r="V43" s="220" t="e">
        <f>#REF!</f>
        <v>#REF!</v>
      </c>
      <c r="W43" s="220">
        <f t="shared" si="12"/>
        <v>57002527.489341244</v>
      </c>
      <c r="X43" s="220">
        <f t="shared" si="13"/>
        <v>125096689.45879042</v>
      </c>
      <c r="Y43" s="220">
        <f t="shared" si="10"/>
        <v>19439042.636702746</v>
      </c>
      <c r="Z43" s="220">
        <f t="shared" si="11"/>
        <v>-372583664.54719889</v>
      </c>
    </row>
    <row r="44" spans="2:26" ht="15.75" thickBot="1" x14ac:dyDescent="0.3">
      <c r="B44" s="87" t="s">
        <v>30</v>
      </c>
      <c r="C44" s="88">
        <f>SUM('ABP Under Contract'!K44:P44)</f>
        <v>41325103.310000002</v>
      </c>
      <c r="D44" s="88">
        <f>'REC Spend projected'!H43+'REC Spend projected'!I43+'REC Spend projected'!J43+'REC Spend projected'!K43+'REC Spend projected'!L43</f>
        <v>41570999.875020511</v>
      </c>
      <c r="E44" s="88">
        <f>E16*'REC Spend projected'!$B$29</f>
        <v>57160834.144964963</v>
      </c>
      <c r="F44" s="88">
        <f>F16*'REC Spend projected'!$B$29</f>
        <v>53816522.983983718</v>
      </c>
      <c r="G44" s="88">
        <f>G16*'REC Spend projected'!$B$29</f>
        <v>47388816.174388587</v>
      </c>
      <c r="H44" s="88">
        <f>H16*'REC Spend projected'!$B$29</f>
        <v>46310796.346405171</v>
      </c>
      <c r="I44" s="88">
        <f>I16*'REC Spend projected'!$B$29</f>
        <v>0</v>
      </c>
      <c r="J44" s="88">
        <f>J16*'REC Spend projected'!$B$29</f>
        <v>0</v>
      </c>
      <c r="K44" s="88">
        <f>K16*'REC Spend projected'!$B$29</f>
        <v>0</v>
      </c>
      <c r="L44" s="88">
        <f>L16*'REC Spend projected'!$B$29</f>
        <v>0</v>
      </c>
      <c r="M44" s="88">
        <f>M16*'REC Spend projected'!$B$29</f>
        <v>0</v>
      </c>
      <c r="N44" s="88"/>
      <c r="O44" s="88">
        <f>O16*'REC Spend projected'!$B$29</f>
        <v>19472044.576388851</v>
      </c>
      <c r="P44" s="88">
        <f t="shared" si="8"/>
        <v>307045117.41115177</v>
      </c>
      <c r="Q44" s="88">
        <f>'REC Spend projected'!AA43</f>
        <v>-498365132.28388613</v>
      </c>
      <c r="R44" s="88">
        <f>'REC Spend projected'!AE43</f>
        <v>-633306827.14320922</v>
      </c>
      <c r="T44" s="87" t="s">
        <v>30</v>
      </c>
      <c r="U44" s="220">
        <f t="shared" si="9"/>
        <v>82896103.185020506</v>
      </c>
      <c r="V44" s="220" t="e">
        <f>#REF!</f>
        <v>#REF!</v>
      </c>
      <c r="W44" s="220">
        <f t="shared" si="12"/>
        <v>57160834.144964963</v>
      </c>
      <c r="X44" s="220">
        <f t="shared" si="13"/>
        <v>147516135.50477749</v>
      </c>
      <c r="Y44" s="220">
        <f t="shared" si="10"/>
        <v>19472044.576388851</v>
      </c>
      <c r="Z44" s="220">
        <f t="shared" si="11"/>
        <v>-498365132.28388613</v>
      </c>
    </row>
    <row r="45" spans="2:26" ht="15.75" thickBot="1" x14ac:dyDescent="0.3">
      <c r="B45" s="87" t="s">
        <v>31</v>
      </c>
      <c r="C45" s="88">
        <f>SUM('ABP Under Contract'!K45:P45)</f>
        <v>32466197.68</v>
      </c>
      <c r="D45" s="88">
        <f>'REC Spend projected'!H44+'REC Spend projected'!I44+'REC Spend projected'!J44+'REC Spend projected'!K44+'REC Spend projected'!L44</f>
        <v>38996696.256827995</v>
      </c>
      <c r="E45" s="88">
        <f>E17*'REC Spend projected'!$B$29</f>
        <v>46616781.440013498</v>
      </c>
      <c r="F45" s="88">
        <f>F17*'REC Spend projected'!$B$29</f>
        <v>51780755.002716959</v>
      </c>
      <c r="G45" s="88">
        <f>G17*'REC Spend projected'!$B$29</f>
        <v>45529144.849775404</v>
      </c>
      <c r="H45" s="88">
        <f>H17*'REC Spend projected'!$B$29</f>
        <v>63693338.366496339</v>
      </c>
      <c r="I45" s="88">
        <f>I17*'REC Spend projected'!$B$29</f>
        <v>0</v>
      </c>
      <c r="J45" s="88">
        <f>J17*'REC Spend projected'!$B$29</f>
        <v>0</v>
      </c>
      <c r="K45" s="88">
        <f>K17*'REC Spend projected'!$B$29</f>
        <v>0</v>
      </c>
      <c r="L45" s="88">
        <f>L17*'REC Spend projected'!$B$29</f>
        <v>0</v>
      </c>
      <c r="M45" s="88">
        <f>M17*'REC Spend projected'!$B$29</f>
        <v>0</v>
      </c>
      <c r="N45" s="88"/>
      <c r="O45" s="88">
        <f>O17*'REC Spend projected'!$B$29</f>
        <v>19487971.4640413</v>
      </c>
      <c r="P45" s="88">
        <f t="shared" si="8"/>
        <v>298570885.05987149</v>
      </c>
      <c r="Q45" s="88">
        <f>'REC Spend projected'!AA44</f>
        <v>-633306827.14320922</v>
      </c>
      <c r="R45" s="88">
        <f>'REC Spend projected'!AE44</f>
        <v>-736797377.92784333</v>
      </c>
      <c r="T45" s="87" t="s">
        <v>31</v>
      </c>
      <c r="U45" s="220">
        <f t="shared" si="9"/>
        <v>71462893.936827987</v>
      </c>
      <c r="V45" s="220" t="e">
        <f>#REF!</f>
        <v>#REF!</v>
      </c>
      <c r="W45" s="220">
        <f t="shared" si="12"/>
        <v>46616781.440013498</v>
      </c>
      <c r="X45" s="220">
        <f t="shared" si="13"/>
        <v>161003238.21898872</v>
      </c>
      <c r="Y45" s="220">
        <f t="shared" si="10"/>
        <v>19487971.4640413</v>
      </c>
      <c r="Z45" s="220">
        <f t="shared" si="11"/>
        <v>-633306827.14320922</v>
      </c>
    </row>
    <row r="46" spans="2:26" ht="15.75" thickBot="1" x14ac:dyDescent="0.3">
      <c r="B46" s="87" t="s">
        <v>32</v>
      </c>
      <c r="C46" s="88">
        <f>SUM('ABP Under Contract'!K46:P46)</f>
        <v>32304265.490000002</v>
      </c>
      <c r="D46" s="88">
        <f>'REC Spend projected'!H45+'REC Spend projected'!I45+'REC Spend projected'!J45+'REC Spend projected'!K45+'REC Spend projected'!L45</f>
        <v>36493698.764519423</v>
      </c>
      <c r="E46" s="88">
        <f>E18*'REC Spend projected'!$B$29</f>
        <v>34681987.785693832</v>
      </c>
      <c r="F46" s="88">
        <f>F18*'REC Spend projected'!$B$29</f>
        <v>49119622.504789963</v>
      </c>
      <c r="G46" s="88">
        <f>G18*'REC Spend projected'!$B$29</f>
        <v>43190455.641415849</v>
      </c>
      <c r="H46" s="88">
        <f>H18*'REC Spend projected'!$B$29</f>
        <v>36649753.637849875</v>
      </c>
      <c r="I46" s="88">
        <f>I18*'REC Spend projected'!$B$29</f>
        <v>42680029.912847005</v>
      </c>
      <c r="J46" s="88">
        <f>J18*'REC Spend projected'!$B$29</f>
        <v>0</v>
      </c>
      <c r="K46" s="88">
        <f>K18*'REC Spend projected'!$B$29</f>
        <v>0</v>
      </c>
      <c r="L46" s="88">
        <f>L18*'REC Spend projected'!$B$29</f>
        <v>0</v>
      </c>
      <c r="M46" s="88">
        <f>M18*'REC Spend projected'!$B$29</f>
        <v>0</v>
      </c>
      <c r="N46" s="88"/>
      <c r="O46" s="88">
        <f>O18*'REC Spend projected'!$B$29</f>
        <v>19513833.370341349</v>
      </c>
      <c r="P46" s="88">
        <f t="shared" si="8"/>
        <v>294633647.10745728</v>
      </c>
      <c r="Q46" s="88">
        <f>'REC Spend projected'!AA45</f>
        <v>-736797377.92784333</v>
      </c>
      <c r="R46" s="88">
        <f>'REC Spend projected'!AE45</f>
        <v>-830731577.31981289</v>
      </c>
      <c r="T46" s="87" t="s">
        <v>32</v>
      </c>
      <c r="U46" s="220">
        <f t="shared" si="9"/>
        <v>68797964.254519433</v>
      </c>
      <c r="V46" s="220" t="e">
        <f>#REF!</f>
        <v>#REF!</v>
      </c>
      <c r="W46" s="220">
        <f t="shared" si="12"/>
        <v>34681987.785693832</v>
      </c>
      <c r="X46" s="220">
        <f t="shared" si="13"/>
        <v>171639861.69690269</v>
      </c>
      <c r="Y46" s="220">
        <f t="shared" si="10"/>
        <v>19513833.370341349</v>
      </c>
      <c r="Z46" s="220">
        <f t="shared" si="11"/>
        <v>-736797377.92784333</v>
      </c>
    </row>
    <row r="47" spans="2:26" ht="15.75" thickBot="1" x14ac:dyDescent="0.3">
      <c r="B47" s="87" t="s">
        <v>33</v>
      </c>
      <c r="C47" s="88">
        <f>SUM('ABP Under Contract'!K47:P47)</f>
        <v>32142292.469999999</v>
      </c>
      <c r="D47" s="88">
        <f>'REC Spend projected'!H46+'REC Spend projected'!I46+'REC Spend projected'!J46+'REC Spend projected'!K46+'REC Spend projected'!L46</f>
        <v>32963638.631904487</v>
      </c>
      <c r="E47" s="88">
        <f>E19*'REC Spend projected'!$B$29</f>
        <v>31882874.915506974</v>
      </c>
      <c r="F47" s="88">
        <f>F19*'REC Spend projected'!$B$29</f>
        <v>36997778.279174127</v>
      </c>
      <c r="G47" s="88">
        <f>G19*'REC Spend projected'!$B$29</f>
        <v>40363246.074106209</v>
      </c>
      <c r="H47" s="88">
        <f>H19*'REC Spend projected'!$B$29</f>
        <v>35095273.052119091</v>
      </c>
      <c r="I47" s="88">
        <f>I19*'REC Spend projected'!$B$29</f>
        <v>37354950.126592897</v>
      </c>
      <c r="J47" s="88">
        <f>J19*'REC Spend projected'!$B$29</f>
        <v>0</v>
      </c>
      <c r="K47" s="88">
        <f>K19*'REC Spend projected'!$B$29</f>
        <v>0</v>
      </c>
      <c r="L47" s="88">
        <f>L19*'REC Spend projected'!$B$29</f>
        <v>0</v>
      </c>
      <c r="M47" s="88">
        <f>M19*'REC Spend projected'!$B$29</f>
        <v>0</v>
      </c>
      <c r="N47" s="88"/>
      <c r="O47" s="88">
        <f>O19*'REC Spend projected'!$B$29</f>
        <v>19532808.042153396</v>
      </c>
      <c r="P47" s="88">
        <f t="shared" si="8"/>
        <v>266332861.5915572</v>
      </c>
      <c r="Q47" s="88">
        <f>'REC Spend projected'!AA46</f>
        <v>-830731577.31981289</v>
      </c>
      <c r="R47" s="88">
        <f>'REC Spend projected'!AE46</f>
        <v>-911424829.12906444</v>
      </c>
      <c r="T47" s="87" t="s">
        <v>33</v>
      </c>
      <c r="U47" s="220">
        <f t="shared" si="9"/>
        <v>65105931.101904482</v>
      </c>
      <c r="V47" s="220" t="e">
        <f>#REF!</f>
        <v>#REF!</v>
      </c>
      <c r="W47" s="220">
        <f t="shared" si="12"/>
        <v>31882874.915506974</v>
      </c>
      <c r="X47" s="220">
        <f t="shared" si="13"/>
        <v>149811247.53199232</v>
      </c>
      <c r="Y47" s="220">
        <f t="shared" si="10"/>
        <v>19532808.042153396</v>
      </c>
      <c r="Z47" s="220">
        <f t="shared" si="11"/>
        <v>-830731577.31981289</v>
      </c>
    </row>
    <row r="48" spans="2:26" ht="15.75" thickBot="1" x14ac:dyDescent="0.3">
      <c r="B48" s="87" t="s">
        <v>34</v>
      </c>
      <c r="C48" s="88">
        <f>SUM('ABP Under Contract'!K48:P48)</f>
        <v>31981690.75</v>
      </c>
      <c r="D48" s="88">
        <f>'REC Spend projected'!H47+'REC Spend projected'!I47+'REC Spend projected'!J47+'REC Spend projected'!K47+'REC Spend projected'!L47</f>
        <v>27698691.246677529</v>
      </c>
      <c r="E48" s="88">
        <f>E20*'REC Spend projected'!$B$29</f>
        <v>30555309.342079803</v>
      </c>
      <c r="F48" s="88">
        <f>F20*'REC Spend projected'!$B$29</f>
        <v>23777155.672386955</v>
      </c>
      <c r="G48" s="88">
        <f>G20*'REC Spend projected'!$B$29</f>
        <v>37503440.631149612</v>
      </c>
      <c r="H48" s="88">
        <f>H20*'REC Spend projected'!$B$29</f>
        <v>33594578.699964613</v>
      </c>
      <c r="I48" s="88">
        <f>I20*'REC Spend projected'!$B$29</f>
        <v>25539155.415593367</v>
      </c>
      <c r="J48" s="88">
        <f>J20*'REC Spend projected'!$B$29</f>
        <v>19666957.783839896</v>
      </c>
      <c r="K48" s="88">
        <f>K20*'REC Spend projected'!$B$29</f>
        <v>0</v>
      </c>
      <c r="L48" s="88">
        <f>L20*'REC Spend projected'!$B$29</f>
        <v>0</v>
      </c>
      <c r="M48" s="88">
        <f>M20*'REC Spend projected'!$B$29</f>
        <v>0</v>
      </c>
      <c r="N48" s="88"/>
      <c r="O48" s="88">
        <f>O20*'REC Spend projected'!$B$29</f>
        <v>19555386.032194737</v>
      </c>
      <c r="P48" s="88">
        <f t="shared" si="8"/>
        <v>249872365.57388651</v>
      </c>
      <c r="Q48" s="88">
        <f>'REC Spend projected'!AA47</f>
        <v>-911424829.12906444</v>
      </c>
      <c r="R48" s="88">
        <f>'REC Spend projected'!AE47</f>
        <v>-975776384.32786989</v>
      </c>
      <c r="T48" s="87" t="s">
        <v>34</v>
      </c>
      <c r="U48" s="220">
        <f t="shared" si="9"/>
        <v>59680381.996677533</v>
      </c>
      <c r="V48" s="220" t="e">
        <f>#REF!</f>
        <v>#REF!</v>
      </c>
      <c r="W48" s="220">
        <f t="shared" si="12"/>
        <v>30555309.342079803</v>
      </c>
      <c r="X48" s="220">
        <f t="shared" si="13"/>
        <v>140081288.20293444</v>
      </c>
      <c r="Y48" s="220">
        <f t="shared" si="10"/>
        <v>19555386.032194737</v>
      </c>
      <c r="Z48" s="220">
        <f t="shared" si="11"/>
        <v>-911424829.12906444</v>
      </c>
    </row>
    <row r="49" spans="2:27" ht="15.75" thickBot="1" x14ac:dyDescent="0.3">
      <c r="B49" s="87" t="s">
        <v>35</v>
      </c>
      <c r="C49" s="88">
        <f>SUM('ABP Under Contract'!K49:P49)</f>
        <v>31821790.48</v>
      </c>
      <c r="D49" s="88">
        <f>'REC Spend projected'!H48+'REC Spend projected'!I48+'REC Spend projected'!J48+'REC Spend projected'!K48+'REC Spend projected'!L48</f>
        <v>23633913.837473132</v>
      </c>
      <c r="E49" s="88">
        <f>E21*'REC Spend projected'!$B$29</f>
        <v>29556036.082508389</v>
      </c>
      <c r="F49" s="88">
        <f>F21*'REC Spend projected'!$B$29</f>
        <v>20018266.185834542</v>
      </c>
      <c r="G49" s="88">
        <f>G21*'REC Spend projected'!$B$29</f>
        <v>27183068.006558478</v>
      </c>
      <c r="H49" s="88">
        <f>H21*'REC Spend projected'!$B$29</f>
        <v>32480318.055352181</v>
      </c>
      <c r="I49" s="88">
        <f>I21*'REC Spend projected'!$B$29</f>
        <v>24403087.305523023</v>
      </c>
      <c r="J49" s="88">
        <f>J21*'REC Spend projected'!$B$29</f>
        <v>27600875.829690665</v>
      </c>
      <c r="K49" s="88">
        <f>K21*'REC Spend projected'!$B$29</f>
        <v>0</v>
      </c>
      <c r="L49" s="88">
        <f>L21*'REC Spend projected'!$B$29</f>
        <v>0</v>
      </c>
      <c r="M49" s="88">
        <f>M21*'REC Spend projected'!$B$29</f>
        <v>0</v>
      </c>
      <c r="N49" s="88"/>
      <c r="O49" s="88">
        <f>O21*'REC Spend projected'!$B$29</f>
        <v>19566254.996370465</v>
      </c>
      <c r="P49" s="88">
        <f t="shared" si="8"/>
        <v>236263610.77931088</v>
      </c>
      <c r="Q49" s="88">
        <f>'REC Spend projected'!AA48</f>
        <v>-975776384.32786989</v>
      </c>
      <c r="R49" s="88">
        <f>'REC Spend projected'!AE48</f>
        <v>-1026687973.9358202</v>
      </c>
      <c r="T49" s="87" t="s">
        <v>35</v>
      </c>
      <c r="U49" s="220">
        <f t="shared" si="9"/>
        <v>55455704.317473128</v>
      </c>
      <c r="V49" s="220" t="e">
        <f>#REF!</f>
        <v>#REF!</v>
      </c>
      <c r="W49" s="220">
        <f t="shared" si="12"/>
        <v>29556036.082508389</v>
      </c>
      <c r="X49" s="220">
        <f t="shared" si="13"/>
        <v>131685615.38295889</v>
      </c>
      <c r="Y49" s="220">
        <f t="shared" si="10"/>
        <v>19566254.996370465</v>
      </c>
      <c r="Z49" s="220">
        <f t="shared" si="11"/>
        <v>-975776384.32786989</v>
      </c>
    </row>
    <row r="50" spans="2:27" ht="15.75" thickBot="1" x14ac:dyDescent="0.3">
      <c r="B50" s="87" t="s">
        <v>36</v>
      </c>
      <c r="C50" s="88">
        <f>SUM('ABP Under Contract'!K50:P50)</f>
        <v>31662656.020000003</v>
      </c>
      <c r="D50" s="88">
        <f>'REC Spend projected'!H49+'REC Spend projected'!I49+'REC Spend projected'!J49+'REC Spend projected'!K49+'REC Spend projected'!L49</f>
        <v>21488766.357362445</v>
      </c>
      <c r="E50" s="88">
        <f>E22*'REC Spend projected'!$B$29</f>
        <v>28316609.797635976</v>
      </c>
      <c r="F50" s="88">
        <f>F22*'REC Spend projected'!$B$29</f>
        <v>16980766.9658431</v>
      </c>
      <c r="G50" s="88">
        <f>G22*'REC Spend projected'!$B$29</f>
        <v>15312362.578689072</v>
      </c>
      <c r="H50" s="88">
        <f>H22*'REC Spend projected'!$B$29</f>
        <v>31076531.608927928</v>
      </c>
      <c r="I50" s="88">
        <f>I22*'REC Spend projected'!$B$29</f>
        <v>23007536.760196753</v>
      </c>
      <c r="J50" s="88">
        <f>J22*'REC Spend projected'!$B$29</f>
        <v>15811269.951287271</v>
      </c>
      <c r="K50" s="88">
        <f>K22*'REC Spend projected'!$B$29</f>
        <v>18125068.29358685</v>
      </c>
      <c r="L50" s="88">
        <f>L22*'REC Spend projected'!$B$29</f>
        <v>0</v>
      </c>
      <c r="M50" s="88">
        <f>M22*'REC Spend projected'!$B$29</f>
        <v>0</v>
      </c>
      <c r="N50" s="88"/>
      <c r="O50" s="88">
        <f>O22*'REC Spend projected'!$B$29</f>
        <v>19590308.276373878</v>
      </c>
      <c r="P50" s="88">
        <f t="shared" si="8"/>
        <v>221371876.60990328</v>
      </c>
      <c r="Q50" s="88">
        <f>'REC Spend projected'!AA49</f>
        <v>-1026687973.9358202</v>
      </c>
      <c r="R50" s="88">
        <f>'REC Spend projected'!AE49</f>
        <v>-1062783171.1496933</v>
      </c>
      <c r="T50" s="87" t="s">
        <v>36</v>
      </c>
      <c r="U50" s="220">
        <f t="shared" si="9"/>
        <v>53151422.377362445</v>
      </c>
      <c r="V50" s="220" t="e">
        <f>#REF!</f>
        <v>#REF!</v>
      </c>
      <c r="W50" s="220">
        <f t="shared" si="12"/>
        <v>28316609.797635976</v>
      </c>
      <c r="X50" s="220">
        <f t="shared" si="13"/>
        <v>120313536.15853098</v>
      </c>
      <c r="Y50" s="220">
        <f t="shared" si="10"/>
        <v>19590308.276373878</v>
      </c>
      <c r="Z50" s="220">
        <f t="shared" si="11"/>
        <v>-1026687973.9358202</v>
      </c>
    </row>
    <row r="51" spans="2:27" ht="15.75" thickBot="1" x14ac:dyDescent="0.3">
      <c r="B51" s="87" t="s">
        <v>37</v>
      </c>
      <c r="C51" s="88">
        <f>SUM('ABP Under Contract'!K51:P51)</f>
        <v>31504149.190000005</v>
      </c>
      <c r="D51" s="88">
        <f>'REC Spend projected'!H50+'REC Spend projected'!I50+'REC Spend projected'!J50+'REC Spend projected'!K50+'REC Spend projected'!L50</f>
        <v>19501122.120196469</v>
      </c>
      <c r="E51" s="88">
        <f>E23*'REC Spend projected'!$B$29</f>
        <v>27173860.589225132</v>
      </c>
      <c r="F51" s="88">
        <f>F23*'REC Spend projected'!$B$29</f>
        <v>14187220.852013296</v>
      </c>
      <c r="G51" s="88">
        <f>G23*'REC Spend projected'!$B$29</f>
        <v>11589728.086492624</v>
      </c>
      <c r="H51" s="88">
        <f>H23*'REC Spend projected'!$B$29</f>
        <v>22217103.050888527</v>
      </c>
      <c r="I51" s="88">
        <f>I23*'REC Spend projected'!$B$29</f>
        <v>21723771.400768373</v>
      </c>
      <c r="J51" s="88">
        <f>J23*'REC Spend projected'!$B$29</f>
        <v>14505815.218284857</v>
      </c>
      <c r="K51" s="88">
        <f>K23*'REC Spend projected'!$B$29</f>
        <v>24371263.026427094</v>
      </c>
      <c r="L51" s="88">
        <f>L23*'REC Spend projected'!$B$29</f>
        <v>0</v>
      </c>
      <c r="M51" s="88">
        <f>M23*'REC Spend projected'!$B$29</f>
        <v>0</v>
      </c>
      <c r="N51" s="88"/>
      <c r="O51" s="88">
        <f>O23*'REC Spend projected'!$B$29</f>
        <v>19609853.52212083</v>
      </c>
      <c r="P51" s="88">
        <f t="shared" si="8"/>
        <v>206383887.0564172</v>
      </c>
      <c r="Q51" s="88">
        <f>'REC Spend projected'!AA50</f>
        <v>-1062783171.1496933</v>
      </c>
      <c r="R51" s="88">
        <f>'REC Spend projected'!AE50</f>
        <v>-1083978138.9129744</v>
      </c>
      <c r="T51" s="87" t="s">
        <v>37</v>
      </c>
      <c r="U51" s="220">
        <f t="shared" si="9"/>
        <v>51005271.310196474</v>
      </c>
      <c r="V51" s="220" t="e">
        <f>#REF!</f>
        <v>#REF!</v>
      </c>
      <c r="W51" s="220">
        <f t="shared" si="12"/>
        <v>27173860.589225132</v>
      </c>
      <c r="X51" s="220">
        <f t="shared" si="13"/>
        <v>108594901.63487476</v>
      </c>
      <c r="Y51" s="220">
        <f t="shared" si="10"/>
        <v>19609853.52212083</v>
      </c>
      <c r="Z51" s="220">
        <f t="shared" si="11"/>
        <v>-1062783171.1496933</v>
      </c>
    </row>
    <row r="52" spans="2:27" ht="15.75" thickBot="1" x14ac:dyDescent="0.3">
      <c r="B52" s="87" t="s">
        <v>38</v>
      </c>
      <c r="C52" s="88">
        <f>SUM('ABP Under Contract'!K52:P52)</f>
        <v>31346984.310000002</v>
      </c>
      <c r="D52" s="88">
        <f>'REC Spend projected'!H51+'REC Spend projected'!I51+'REC Spend projected'!J51+'REC Spend projected'!K51+'REC Spend projected'!L51</f>
        <v>17406715.76686801</v>
      </c>
      <c r="E52" s="88">
        <f>E24*'REC Spend projected'!$B$29</f>
        <v>26109240.752849326</v>
      </c>
      <c r="F52" s="88">
        <f>F24*'REC Spend projected'!$B$29</f>
        <v>11589847.391037785</v>
      </c>
      <c r="G52" s="88">
        <f>G24*'REC Spend projected'!$B$29</f>
        <v>9295601.8183851484</v>
      </c>
      <c r="H52" s="88">
        <f>H24*'REC Spend projected'!$B$29</f>
        <v>12543214.338233912</v>
      </c>
      <c r="I52" s="88">
        <f>I24*'REC Spend projected'!$B$29</f>
        <v>20529989.653169844</v>
      </c>
      <c r="J52" s="88">
        <f>J24*'REC Spend projected'!$B$29</f>
        <v>13319656.767541869</v>
      </c>
      <c r="K52" s="88">
        <f>K24*'REC Spend projected'!$B$29</f>
        <v>12528239.773769397</v>
      </c>
      <c r="L52" s="88">
        <f>L24*'REC Spend projected'!$B$29</f>
        <v>16704062.939369639</v>
      </c>
      <c r="M52" s="88">
        <f>M24*'REC Spend projected'!$B$29</f>
        <v>0</v>
      </c>
      <c r="N52" s="88"/>
      <c r="O52" s="88">
        <f>O24*'REC Spend projected'!$B$29</f>
        <v>19633192.956074465</v>
      </c>
      <c r="P52" s="88">
        <f t="shared" si="8"/>
        <v>191006746.46729943</v>
      </c>
      <c r="Q52" s="88">
        <f>'REC Spend projected'!AA51</f>
        <v>-1083978138.9129744</v>
      </c>
      <c r="R52" s="88">
        <f>'REC Spend projected'!AE51</f>
        <v>-1093237836.1697185</v>
      </c>
      <c r="T52" s="87" t="s">
        <v>38</v>
      </c>
      <c r="U52" s="220">
        <f t="shared" si="9"/>
        <v>48753700.076868013</v>
      </c>
      <c r="V52" s="220" t="e">
        <f>#REF!</f>
        <v>#REF!</v>
      </c>
      <c r="W52" s="220">
        <f t="shared" si="12"/>
        <v>26109240.752849326</v>
      </c>
      <c r="X52" s="220">
        <f t="shared" si="13"/>
        <v>96510612.681507587</v>
      </c>
      <c r="Y52" s="220">
        <f t="shared" si="10"/>
        <v>19633192.956074465</v>
      </c>
      <c r="Z52" s="220">
        <f t="shared" si="11"/>
        <v>-1083978138.9129744</v>
      </c>
    </row>
    <row r="53" spans="2:27" ht="15.75" thickBot="1" x14ac:dyDescent="0.3">
      <c r="B53" s="87" t="s">
        <v>39</v>
      </c>
      <c r="C53" s="88">
        <f>SUM('ABP Under Contract'!K53:P53)</f>
        <v>31190170.220000003</v>
      </c>
      <c r="D53" s="88">
        <f>'REC Spend projected'!H52+'REC Spend projected'!I52+'REC Spend projected'!J52+'REC Spend projected'!K52+'REC Spend projected'!L52</f>
        <v>15328888.478695545</v>
      </c>
      <c r="E53" s="88">
        <f>E25*'REC Spend projected'!$B$29</f>
        <v>24990971.123370267</v>
      </c>
      <c r="F53" s="88">
        <f>F25*'REC Spend projected'!$B$29</f>
        <v>8840313.8339627013</v>
      </c>
      <c r="G53" s="88">
        <f>G25*'REC Spend projected'!$B$29</f>
        <v>6865066.9845015835</v>
      </c>
      <c r="H53" s="88">
        <f>H25*'REC Spend projected'!$B$29</f>
        <v>10114143.431076271</v>
      </c>
      <c r="I53" s="88">
        <f>I25*'REC Spend projected'!$B$29</f>
        <v>12294406.69018765</v>
      </c>
      <c r="J53" s="88">
        <f>J25*'REC Spend projected'!$B$29</f>
        <v>12065067.266086897</v>
      </c>
      <c r="K53" s="88">
        <f>K25*'REC Spend projected'!$B$29</f>
        <v>11242700.279110296</v>
      </c>
      <c r="L53" s="88">
        <f>L25*'REC Spend projected'!$B$29</f>
        <v>21394996.419229776</v>
      </c>
      <c r="M53" s="88">
        <f>M25*'REC Spend projected'!$B$29</f>
        <v>0</v>
      </c>
      <c r="N53" s="88"/>
      <c r="O53" s="88">
        <f>O25*'REC Spend projected'!$B$29</f>
        <v>19649257.094017625</v>
      </c>
      <c r="P53" s="88">
        <f t="shared" si="8"/>
        <v>173975981.82023859</v>
      </c>
      <c r="Q53" s="88">
        <f>'REC Spend projected'!AA52</f>
        <v>-1093237836.1697185</v>
      </c>
      <c r="R53" s="88">
        <f>'REC Spend projected'!AE52</f>
        <v>-1074496559.5364633</v>
      </c>
      <c r="T53" s="87" t="s">
        <v>39</v>
      </c>
      <c r="U53" s="220">
        <f t="shared" si="9"/>
        <v>46519058.698695548</v>
      </c>
      <c r="V53" s="220" t="e">
        <f>#REF!</f>
        <v>#REF!</v>
      </c>
      <c r="W53" s="220">
        <f t="shared" si="12"/>
        <v>24990971.123370267</v>
      </c>
      <c r="X53" s="220">
        <f t="shared" si="13"/>
        <v>82816694.90415518</v>
      </c>
      <c r="Y53" s="220">
        <f t="shared" si="10"/>
        <v>19649257.094017625</v>
      </c>
      <c r="Z53" s="220">
        <f t="shared" si="11"/>
        <v>-1093237836.1697185</v>
      </c>
    </row>
    <row r="54" spans="2:27" ht="15.75" thickBot="1" x14ac:dyDescent="0.3">
      <c r="B54" s="87" t="s">
        <v>40</v>
      </c>
      <c r="C54" s="88">
        <f>SUM('ABP Under Contract'!K54:P54)</f>
        <v>31034214.140000001</v>
      </c>
      <c r="D54" s="88">
        <f>'REC Spend projected'!H53+'REC Spend projected'!I53+'REC Spend projected'!J53+'REC Spend projected'!K53+'REC Spend projected'!L53</f>
        <v>-12755243.295798926</v>
      </c>
      <c r="E54" s="88">
        <f>E26*'REC Spend projected'!$B$29</f>
        <v>23880553.607591059</v>
      </c>
      <c r="F54" s="88">
        <f>F26*'REC Spend projected'!$B$29</f>
        <v>6101184.7975911414</v>
      </c>
      <c r="G54" s="88">
        <f>G26*'REC Spend projected'!$B$29</f>
        <v>4441804.0402289443</v>
      </c>
      <c r="H54" s="88">
        <f>H26*'REC Spend projected'!$B$29</f>
        <v>8849263.8332457058</v>
      </c>
      <c r="I54" s="88">
        <f>I26*'REC Spend projected'!$B$29</f>
        <v>6578688.4683041237</v>
      </c>
      <c r="J54" s="88">
        <f>J26*'REC Spend projected'!$B$29</f>
        <v>10816152.813124616</v>
      </c>
      <c r="K54" s="88">
        <f>K26*'REC Spend projected'!$B$29</f>
        <v>9989555.8634137567</v>
      </c>
      <c r="L54" s="88">
        <f>L26*'REC Spend projected'!$B$29</f>
        <v>9252451.463276729</v>
      </c>
      <c r="M54" s="88">
        <f>M26*'REC Spend projected'!$B$29</f>
        <v>30788928.809846118</v>
      </c>
      <c r="N54" s="88"/>
      <c r="O54" s="88">
        <f>O26*'REC Spend projected'!$B$29</f>
        <v>19665619.837493822</v>
      </c>
      <c r="P54" s="88">
        <f t="shared" si="8"/>
        <v>148643174.37831709</v>
      </c>
      <c r="Q54" s="88">
        <f>'REC Spend projected'!AA52</f>
        <v>-1093237836.1697185</v>
      </c>
      <c r="R54" s="88">
        <f>'REC Spend projected'!AE53</f>
        <v>-1011475429.962983</v>
      </c>
      <c r="T54" s="87" t="s">
        <v>40</v>
      </c>
      <c r="U54" s="220">
        <f t="shared" si="9"/>
        <v>18278970.844201073</v>
      </c>
      <c r="V54" s="220" t="e">
        <f>#REF!</f>
        <v>#REF!</v>
      </c>
      <c r="W54" s="220">
        <f t="shared" si="12"/>
        <v>23880553.607591059</v>
      </c>
      <c r="X54" s="220">
        <f t="shared" si="13"/>
        <v>86818030.08903113</v>
      </c>
      <c r="Y54" s="220">
        <f t="shared" si="10"/>
        <v>19665619.837493822</v>
      </c>
      <c r="Z54" s="220">
        <f t="shared" si="11"/>
        <v>-1093237836.1697185</v>
      </c>
    </row>
    <row r="57" spans="2:27" ht="15.75" thickBot="1" x14ac:dyDescent="0.3">
      <c r="B57" s="1" t="s">
        <v>44</v>
      </c>
    </row>
    <row r="58" spans="2:27" ht="15.75" customHeight="1" thickBot="1" x14ac:dyDescent="0.3">
      <c r="B58" s="326"/>
      <c r="C58" s="327"/>
      <c r="D58" s="327"/>
      <c r="E58" s="328"/>
      <c r="F58" s="329"/>
      <c r="G58" s="332"/>
      <c r="H58" s="330"/>
      <c r="I58" s="331"/>
      <c r="J58" s="330"/>
      <c r="K58" s="331"/>
      <c r="L58" s="81"/>
      <c r="M58" s="314"/>
      <c r="N58" s="314"/>
      <c r="O58" s="314"/>
      <c r="P58" s="314"/>
      <c r="Q58" s="314"/>
      <c r="R58" s="314"/>
      <c r="S58" s="314"/>
    </row>
    <row r="59" spans="2:27" ht="34.5" thickBot="1" x14ac:dyDescent="0.3">
      <c r="B59" s="82" t="s">
        <v>1</v>
      </c>
      <c r="C59" s="83" t="s">
        <v>291</v>
      </c>
      <c r="D59" s="83" t="s">
        <v>331</v>
      </c>
      <c r="E59" s="84" t="s">
        <v>358</v>
      </c>
      <c r="F59" s="84" t="s">
        <v>99</v>
      </c>
      <c r="G59" s="84" t="s">
        <v>100</v>
      </c>
      <c r="H59" s="84" t="s">
        <v>101</v>
      </c>
      <c r="I59" s="84" t="s">
        <v>102</v>
      </c>
      <c r="J59" s="84" t="s">
        <v>103</v>
      </c>
      <c r="K59" s="84" t="s">
        <v>104</v>
      </c>
      <c r="L59" s="84" t="s">
        <v>105</v>
      </c>
      <c r="M59" s="84" t="s">
        <v>106</v>
      </c>
      <c r="N59" s="84" t="s">
        <v>107</v>
      </c>
      <c r="O59" s="84"/>
      <c r="P59" s="84" t="s">
        <v>348</v>
      </c>
      <c r="Q59" s="83" t="s">
        <v>335</v>
      </c>
      <c r="R59" s="83" t="s">
        <v>349</v>
      </c>
      <c r="S59" s="85" t="s">
        <v>245</v>
      </c>
      <c r="U59" s="202" t="s">
        <v>1</v>
      </c>
      <c r="V59" s="85" t="s">
        <v>200</v>
      </c>
      <c r="W59" s="85" t="s">
        <v>355</v>
      </c>
      <c r="X59" s="85" t="s">
        <v>99</v>
      </c>
      <c r="Y59" s="85" t="s">
        <v>356</v>
      </c>
      <c r="Z59" s="85" t="s">
        <v>353</v>
      </c>
      <c r="AA59" s="85" t="s">
        <v>357</v>
      </c>
    </row>
    <row r="60" spans="2:27" ht="15.75" thickBot="1" x14ac:dyDescent="0.3">
      <c r="B60" s="87" t="s">
        <v>17</v>
      </c>
      <c r="C60" s="88">
        <f>SUM('ABP Under Contract'!K62:P62)</f>
        <v>160401463.97</v>
      </c>
      <c r="D60" s="88">
        <f>'REC Spend projected'!H58+'REC Spend projected'!I58+'REC Spend projected'!J58+'REC Spend projected'!K58+'REC Spend projected'!L58</f>
        <v>27118112.830711424</v>
      </c>
      <c r="E60" s="88">
        <f>E4*'REC Spend projected'!$B$56</f>
        <v>0</v>
      </c>
      <c r="F60" s="88">
        <f>F4*'REC Spend projected'!$B$56</f>
        <v>0</v>
      </c>
      <c r="G60" s="88">
        <f>G4*'REC Spend projected'!$B$56</f>
        <v>0</v>
      </c>
      <c r="H60" s="88">
        <f>H4*'REC Spend projected'!$B$56</f>
        <v>0</v>
      </c>
      <c r="I60" s="88">
        <f>I4*'REC Spend projected'!$B$56</f>
        <v>0</v>
      </c>
      <c r="J60" s="88">
        <f>J4*'REC Spend projected'!$B$56</f>
        <v>0</v>
      </c>
      <c r="K60" s="88">
        <f>K4*'REC Spend projected'!$B$56</f>
        <v>0</v>
      </c>
      <c r="L60" s="88">
        <f>L4*'REC Spend projected'!$B$56</f>
        <v>0</v>
      </c>
      <c r="M60" s="88">
        <f>M4*'REC Spend projected'!$B$56</f>
        <v>0</v>
      </c>
      <c r="N60" s="88"/>
      <c r="O60" s="88">
        <f>O4*'REC Spend projected'!$B$56</f>
        <v>12710186.330507539</v>
      </c>
      <c r="P60" s="88">
        <f t="shared" ref="P60:P82" si="14">SUM(C60:O60)</f>
        <v>200229763.13121897</v>
      </c>
      <c r="Q60" s="88">
        <f>'REC Spend projected'!AA58</f>
        <v>204555086.45917991</v>
      </c>
      <c r="R60" s="88">
        <f>'REC Spend projected'!AE58</f>
        <v>172305146.1389721</v>
      </c>
      <c r="T60" s="203" t="s">
        <v>17</v>
      </c>
      <c r="U60" s="220">
        <f t="shared" ref="U60:U82" si="15">SUM(C60:D60)</f>
        <v>187519576.80071142</v>
      </c>
      <c r="V60" s="220" t="e">
        <f>#REF!</f>
        <v>#REF!</v>
      </c>
      <c r="W60" s="220">
        <f>E60</f>
        <v>0</v>
      </c>
      <c r="X60" s="220">
        <f>SUM(F60:M60)</f>
        <v>0</v>
      </c>
      <c r="Y60" s="220">
        <f t="shared" ref="Y60:Y82" si="16">O60</f>
        <v>12710186.330507539</v>
      </c>
      <c r="Z60" s="220">
        <f t="shared" ref="Z60:Z82" si="17">Q60</f>
        <v>204555086.45917991</v>
      </c>
    </row>
    <row r="61" spans="2:27" ht="15.75" thickBot="1" x14ac:dyDescent="0.3">
      <c r="B61" s="87" t="s">
        <v>18</v>
      </c>
      <c r="C61" s="88">
        <f>SUM('ABP Under Contract'!K63:P63)</f>
        <v>143019807.66999999</v>
      </c>
      <c r="D61" s="88">
        <f>'REC Spend projected'!H59+'REC Spend projected'!I59+'REC Spend projected'!J59+'REC Spend projected'!K59+'REC Spend projected'!L59</f>
        <v>32362467.661667578</v>
      </c>
      <c r="E61" s="88">
        <f>E5*'REC Spend projected'!$B$56</f>
        <v>0</v>
      </c>
      <c r="F61" s="88">
        <f>F5*'REC Spend projected'!$B$56</f>
        <v>0</v>
      </c>
      <c r="G61" s="88">
        <f>G5*'REC Spend projected'!$B$56</f>
        <v>0</v>
      </c>
      <c r="H61" s="88">
        <f>H5*'REC Spend projected'!$B$56</f>
        <v>0</v>
      </c>
      <c r="I61" s="88">
        <f>I5*'REC Spend projected'!$B$56</f>
        <v>0</v>
      </c>
      <c r="J61" s="88">
        <f>J5*'REC Spend projected'!$B$56</f>
        <v>0</v>
      </c>
      <c r="K61" s="88">
        <f>K5*'REC Spend projected'!$B$56</f>
        <v>0</v>
      </c>
      <c r="L61" s="88">
        <f>L5*'REC Spend projected'!$B$56</f>
        <v>0</v>
      </c>
      <c r="M61" s="88">
        <f>M5*'REC Spend projected'!$B$56</f>
        <v>0</v>
      </c>
      <c r="N61" s="88"/>
      <c r="O61" s="88">
        <f>O5*'REC Spend projected'!$B$56</f>
        <v>59211237.02176965</v>
      </c>
      <c r="P61" s="88">
        <f t="shared" si="14"/>
        <v>234593512.35343722</v>
      </c>
      <c r="Q61" s="88">
        <f>'REC Spend projected'!AA58</f>
        <v>204555086.45917991</v>
      </c>
      <c r="R61" s="88">
        <f>'REC Spend projected'!AE59</f>
        <v>273003953.54766035</v>
      </c>
      <c r="T61" s="203" t="s">
        <v>18</v>
      </c>
      <c r="U61" s="220">
        <f t="shared" si="15"/>
        <v>175382275.33166757</v>
      </c>
      <c r="V61" s="220" t="e">
        <f>#REF!</f>
        <v>#REF!</v>
      </c>
      <c r="W61" s="220">
        <f t="shared" ref="W61:W82" si="18">E61</f>
        <v>0</v>
      </c>
      <c r="X61" s="220">
        <f t="shared" ref="X61:X82" si="19">SUM(F61:M61)</f>
        <v>0</v>
      </c>
      <c r="Y61" s="220">
        <f t="shared" si="16"/>
        <v>59211237.02176965</v>
      </c>
      <c r="Z61" s="220">
        <f t="shared" si="17"/>
        <v>204555086.45917991</v>
      </c>
    </row>
    <row r="62" spans="2:27" ht="15.75" thickBot="1" x14ac:dyDescent="0.3">
      <c r="B62" s="87" t="s">
        <v>19</v>
      </c>
      <c r="C62" s="88">
        <f>SUM('ABP Under Contract'!K64:P64)</f>
        <v>184330524.92000002</v>
      </c>
      <c r="D62" s="88">
        <f>'REC Spend projected'!H60+'REC Spend projected'!I60+'REC Spend projected'!J60+'REC Spend projected'!K60+'REC Spend projected'!L60</f>
        <v>33454514.518896408</v>
      </c>
      <c r="E62" s="88">
        <f>E6*'REC Spend projected'!$B$56</f>
        <v>0</v>
      </c>
      <c r="F62" s="88">
        <f>F6*'REC Spend projected'!$B$56</f>
        <v>0</v>
      </c>
      <c r="G62" s="88">
        <f>G6*'REC Spend projected'!$B$56</f>
        <v>0</v>
      </c>
      <c r="H62" s="88">
        <f>H6*'REC Spend projected'!$B$56</f>
        <v>0</v>
      </c>
      <c r="I62" s="88">
        <f>I6*'REC Spend projected'!$B$56</f>
        <v>0</v>
      </c>
      <c r="J62" s="88">
        <f>J6*'REC Spend projected'!$B$56</f>
        <v>0</v>
      </c>
      <c r="K62" s="88">
        <f>K6*'REC Spend projected'!$B$56</f>
        <v>0</v>
      </c>
      <c r="L62" s="88">
        <f>L6*'REC Spend projected'!$B$56</f>
        <v>0</v>
      </c>
      <c r="M62" s="88">
        <f>M6*'REC Spend projected'!$B$56</f>
        <v>0</v>
      </c>
      <c r="N62" s="88"/>
      <c r="O62" s="88">
        <f>O6*'REC Spend projected'!$B$56</f>
        <v>47700647.153309263</v>
      </c>
      <c r="P62" s="88">
        <f t="shared" si="14"/>
        <v>265485686.59220567</v>
      </c>
      <c r="Q62" s="88">
        <f>'REC Spend projected'!AA59</f>
        <v>172305146.1389721</v>
      </c>
      <c r="R62" s="88">
        <f>'REC Spend projected'!AE60</f>
        <v>436662801.39721036</v>
      </c>
      <c r="T62" s="203" t="s">
        <v>19</v>
      </c>
      <c r="U62" s="220">
        <f t="shared" si="15"/>
        <v>217785039.43889642</v>
      </c>
      <c r="V62" s="220" t="e">
        <f>#REF!</f>
        <v>#REF!</v>
      </c>
      <c r="W62" s="220">
        <f t="shared" si="18"/>
        <v>0</v>
      </c>
      <c r="X62" s="220">
        <f t="shared" si="19"/>
        <v>0</v>
      </c>
      <c r="Y62" s="220">
        <f t="shared" si="16"/>
        <v>47700647.153309263</v>
      </c>
      <c r="Z62" s="220">
        <f t="shared" si="17"/>
        <v>172305146.1389721</v>
      </c>
    </row>
    <row r="63" spans="2:27" ht="15.75" thickBot="1" x14ac:dyDescent="0.3">
      <c r="B63" s="87" t="s">
        <v>20</v>
      </c>
      <c r="C63" s="88">
        <f>SUM('ABP Under Contract'!K65:P65)</f>
        <v>371458642.00999999</v>
      </c>
      <c r="D63" s="88">
        <f>'REC Spend projected'!H61+'REC Spend projected'!I61+'REC Spend projected'!J61+'REC Spend projected'!K61+'REC Spend projected'!L61</f>
        <v>30213283.199631654</v>
      </c>
      <c r="E63" s="88">
        <f>E7*'REC Spend projected'!$B$56</f>
        <v>0</v>
      </c>
      <c r="F63" s="88">
        <f>F7*'REC Spend projected'!$B$56</f>
        <v>0</v>
      </c>
      <c r="G63" s="88">
        <f>G7*'REC Spend projected'!$B$56</f>
        <v>0</v>
      </c>
      <c r="H63" s="88">
        <f>H7*'REC Spend projected'!$B$56</f>
        <v>0</v>
      </c>
      <c r="I63" s="88">
        <f>I7*'REC Spend projected'!$B$56</f>
        <v>0</v>
      </c>
      <c r="J63" s="88">
        <f>J7*'REC Spend projected'!$B$56</f>
        <v>0</v>
      </c>
      <c r="K63" s="88">
        <f>K7*'REC Spend projected'!$B$56</f>
        <v>0</v>
      </c>
      <c r="L63" s="88">
        <f>L7*'REC Spend projected'!$B$56</f>
        <v>0</v>
      </c>
      <c r="M63" s="88">
        <f>M7*'REC Spend projected'!$B$56</f>
        <v>0</v>
      </c>
      <c r="N63" s="88"/>
      <c r="O63" s="88">
        <f>O7*'REC Spend projected'!$B$56</f>
        <v>47488156.088719279</v>
      </c>
      <c r="P63" s="88">
        <f t="shared" si="14"/>
        <v>449160081.29835093</v>
      </c>
      <c r="Q63" s="88">
        <f>'REC Spend projected'!AA60</f>
        <v>273003953.54766035</v>
      </c>
      <c r="R63" s="88">
        <f>'REC Spend projected'!AE61</f>
        <v>443311357.40626478</v>
      </c>
      <c r="T63" s="203" t="s">
        <v>20</v>
      </c>
      <c r="U63" s="220">
        <f t="shared" si="15"/>
        <v>401671925.20963162</v>
      </c>
      <c r="V63" s="220" t="e">
        <f>#REF!</f>
        <v>#REF!</v>
      </c>
      <c r="W63" s="220">
        <f t="shared" si="18"/>
        <v>0</v>
      </c>
      <c r="X63" s="220">
        <f t="shared" si="19"/>
        <v>0</v>
      </c>
      <c r="Y63" s="220">
        <f t="shared" si="16"/>
        <v>47488156.088719279</v>
      </c>
      <c r="Z63" s="220">
        <f t="shared" si="17"/>
        <v>273003953.54766035</v>
      </c>
    </row>
    <row r="64" spans="2:27" ht="15.75" thickBot="1" x14ac:dyDescent="0.3">
      <c r="B64" s="87" t="s">
        <v>22</v>
      </c>
      <c r="C64" s="88">
        <f>SUM('ABP Under Contract'!K66:P66)</f>
        <v>255218727.31000003</v>
      </c>
      <c r="D64" s="88">
        <f>'REC Spend projected'!H62+'REC Spend projected'!I62+'REC Spend projected'!J62+'REC Spend projected'!K62+'REC Spend projected'!L62</f>
        <v>63290492.350937478</v>
      </c>
      <c r="E64" s="88">
        <f>E8*'REC Spend projected'!$B$56</f>
        <v>0</v>
      </c>
      <c r="F64" s="88">
        <f>F8*'REC Spend projected'!$B$56</f>
        <v>0</v>
      </c>
      <c r="G64" s="88">
        <f>G8*'REC Spend projected'!$B$56</f>
        <v>0</v>
      </c>
      <c r="H64" s="88">
        <f>H8*'REC Spend projected'!$B$56</f>
        <v>0</v>
      </c>
      <c r="I64" s="88">
        <f>I8*'REC Spend projected'!$B$56</f>
        <v>0</v>
      </c>
      <c r="J64" s="88">
        <f>J8*'REC Spend projected'!$B$56</f>
        <v>0</v>
      </c>
      <c r="K64" s="88">
        <f>K8*'REC Spend projected'!$B$56</f>
        <v>0</v>
      </c>
      <c r="L64" s="88">
        <f>L8*'REC Spend projected'!$B$56</f>
        <v>0</v>
      </c>
      <c r="M64" s="88">
        <f>M8*'REC Spend projected'!$B$56</f>
        <v>0</v>
      </c>
      <c r="N64" s="88"/>
      <c r="O64" s="88">
        <f>O8*'REC Spend projected'!$B$56</f>
        <v>61515503.169289969</v>
      </c>
      <c r="P64" s="88">
        <f t="shared" si="14"/>
        <v>380024722.83022743</v>
      </c>
      <c r="Q64" s="88">
        <f>'REC Spend projected'!AA61</f>
        <v>436662801.39721036</v>
      </c>
      <c r="R64" s="88">
        <f>'REC Spend projected'!AE62</f>
        <v>363488899.05771279</v>
      </c>
      <c r="T64" s="203" t="s">
        <v>22</v>
      </c>
      <c r="U64" s="220">
        <f t="shared" si="15"/>
        <v>318509219.66093749</v>
      </c>
      <c r="V64" s="220" t="e">
        <f>#REF!</f>
        <v>#REF!</v>
      </c>
      <c r="W64" s="220">
        <f t="shared" si="18"/>
        <v>0</v>
      </c>
      <c r="X64" s="220">
        <f t="shared" si="19"/>
        <v>0</v>
      </c>
      <c r="Y64" s="220">
        <f t="shared" si="16"/>
        <v>61515503.169289969</v>
      </c>
      <c r="Z64" s="220">
        <f t="shared" si="17"/>
        <v>436662801.39721036</v>
      </c>
    </row>
    <row r="65" spans="2:26" ht="15.75" thickBot="1" x14ac:dyDescent="0.3">
      <c r="B65" s="87" t="s">
        <v>23</v>
      </c>
      <c r="C65" s="88">
        <f>SUM('ABP Under Contract'!K67:P67)</f>
        <v>316389348.82999998</v>
      </c>
      <c r="D65" s="88">
        <f>'REC Spend projected'!H63+'REC Spend projected'!I63+'REC Spend projected'!J63+'REC Spend projected'!K63+'REC Spend projected'!L63</f>
        <v>109749049.65872428</v>
      </c>
      <c r="E65" s="88">
        <f>E9*'REC Spend projected'!$B$56</f>
        <v>0</v>
      </c>
      <c r="F65" s="88">
        <f>F9*'REC Spend projected'!$B$56</f>
        <v>0</v>
      </c>
      <c r="G65" s="88">
        <f>G9*'REC Spend projected'!$B$56</f>
        <v>0</v>
      </c>
      <c r="H65" s="88">
        <f>H9*'REC Spend projected'!$B$56</f>
        <v>0</v>
      </c>
      <c r="I65" s="88">
        <f>I9*'REC Spend projected'!$B$56</f>
        <v>0</v>
      </c>
      <c r="J65" s="88">
        <f>J9*'REC Spend projected'!$B$56</f>
        <v>0</v>
      </c>
      <c r="K65" s="88">
        <f>K9*'REC Spend projected'!$B$56</f>
        <v>0</v>
      </c>
      <c r="L65" s="88">
        <f>L9*'REC Spend projected'!$B$56</f>
        <v>0</v>
      </c>
      <c r="M65" s="88">
        <f>M9*'REC Spend projected'!$B$56</f>
        <v>0</v>
      </c>
      <c r="N65" s="88"/>
      <c r="O65" s="88">
        <f>O9*'REC Spend projected'!$B$56</f>
        <v>47364913.369091168</v>
      </c>
      <c r="P65" s="88">
        <f t="shared" si="14"/>
        <v>473503311.85781538</v>
      </c>
      <c r="Q65" s="88">
        <f>'REC Spend projected'!AA62</f>
        <v>443311357.40626478</v>
      </c>
      <c r="R65" s="88">
        <f>'REC Spend projected'!AE63</f>
        <v>267733708.97260296</v>
      </c>
      <c r="T65" s="203" t="s">
        <v>23</v>
      </c>
      <c r="U65" s="220">
        <f t="shared" si="15"/>
        <v>426138398.48872423</v>
      </c>
      <c r="V65" s="220" t="e">
        <f>#REF!</f>
        <v>#REF!</v>
      </c>
      <c r="W65" s="220">
        <f t="shared" si="18"/>
        <v>0</v>
      </c>
      <c r="X65" s="220">
        <f t="shared" si="19"/>
        <v>0</v>
      </c>
      <c r="Y65" s="220">
        <f t="shared" si="16"/>
        <v>47364913.369091168</v>
      </c>
      <c r="Z65" s="220">
        <f t="shared" si="17"/>
        <v>443311357.40626478</v>
      </c>
    </row>
    <row r="66" spans="2:26" ht="15.75" thickBot="1" x14ac:dyDescent="0.3">
      <c r="B66" s="87" t="s">
        <v>24</v>
      </c>
      <c r="C66" s="88">
        <f>SUM('ABP Under Contract'!K68:P68)</f>
        <v>184251320.69000003</v>
      </c>
      <c r="D66" s="88">
        <f>'REC Spend projected'!H64+'REC Spend projected'!I64+'REC Spend projected'!J64+'REC Spend projected'!K64+'REC Spend projected'!L64</f>
        <v>139864750.43428215</v>
      </c>
      <c r="E66" s="88">
        <f>E10*'REC Spend projected'!$B$56</f>
        <v>144098337.08158246</v>
      </c>
      <c r="F66" s="88">
        <f>F10*'REC Spend projected'!$B$56</f>
        <v>0</v>
      </c>
      <c r="G66" s="88">
        <f>G10*'REC Spend projected'!$B$56</f>
        <v>0</v>
      </c>
      <c r="H66" s="88">
        <f>H10*'REC Spend projected'!$B$56</f>
        <v>0</v>
      </c>
      <c r="I66" s="88">
        <f>I10*'REC Spend projected'!$B$56</f>
        <v>0</v>
      </c>
      <c r="J66" s="88">
        <f>J10*'REC Spend projected'!$B$56</f>
        <v>0</v>
      </c>
      <c r="K66" s="88">
        <f>K10*'REC Spend projected'!$B$56</f>
        <v>0</v>
      </c>
      <c r="L66" s="88">
        <f>L10*'REC Spend projected'!$B$56</f>
        <v>0</v>
      </c>
      <c r="M66" s="88">
        <f>M10*'REC Spend projected'!$B$56</f>
        <v>0</v>
      </c>
      <c r="N66" s="88"/>
      <c r="O66" s="88">
        <f>O10*'REC Spend projected'!$B$56</f>
        <v>47182136.379141465</v>
      </c>
      <c r="P66" s="88">
        <f t="shared" si="14"/>
        <v>515396544.58500612</v>
      </c>
      <c r="Q66" s="88">
        <f>'REC Spend projected'!AA63</f>
        <v>363488899.05771279</v>
      </c>
      <c r="R66" s="88">
        <f>'REC Spend projected'!AE64</f>
        <v>125337706.33150351</v>
      </c>
      <c r="T66" s="203" t="s">
        <v>24</v>
      </c>
      <c r="U66" s="220">
        <f t="shared" si="15"/>
        <v>324116071.12428218</v>
      </c>
      <c r="V66" s="220" t="e">
        <f>#REF!</f>
        <v>#REF!</v>
      </c>
      <c r="W66" s="220">
        <f t="shared" si="18"/>
        <v>144098337.08158246</v>
      </c>
      <c r="X66" s="220">
        <f t="shared" si="19"/>
        <v>0</v>
      </c>
      <c r="Y66" s="220">
        <f t="shared" si="16"/>
        <v>47182136.379141465</v>
      </c>
      <c r="Z66" s="220">
        <f t="shared" si="17"/>
        <v>363488899.05771279</v>
      </c>
    </row>
    <row r="67" spans="2:26" ht="15.75" thickBot="1" x14ac:dyDescent="0.3">
      <c r="B67" s="87" t="s">
        <v>25</v>
      </c>
      <c r="C67" s="88">
        <f>SUM('ABP Under Contract'!K69:P69)</f>
        <v>164627806.59</v>
      </c>
      <c r="D67" s="88">
        <f>'REC Spend projected'!H65+'REC Spend projected'!I65+'REC Spend projected'!J65+'REC Spend projected'!K65+'REC Spend projected'!L65</f>
        <v>126954965.77801161</v>
      </c>
      <c r="E67" s="88">
        <f>E11*'REC Spend projected'!$B$56</f>
        <v>250854611.21033069</v>
      </c>
      <c r="F67" s="88">
        <f>F11*'REC Spend projected'!$B$56</f>
        <v>0</v>
      </c>
      <c r="G67" s="88">
        <f>G11*'REC Spend projected'!$B$56</f>
        <v>0</v>
      </c>
      <c r="H67" s="88">
        <f>H11*'REC Spend projected'!$B$56</f>
        <v>0</v>
      </c>
      <c r="I67" s="88">
        <f>I11*'REC Spend projected'!$B$56</f>
        <v>0</v>
      </c>
      <c r="J67" s="88">
        <f>J11*'REC Spend projected'!$B$56</f>
        <v>0</v>
      </c>
      <c r="K67" s="88">
        <f>K11*'REC Spend projected'!$B$56</f>
        <v>0</v>
      </c>
      <c r="L67" s="88">
        <f>L11*'REC Spend projected'!$B$56</f>
        <v>0</v>
      </c>
      <c r="M67" s="88">
        <f>M11*'REC Spend projected'!$B$56</f>
        <v>0</v>
      </c>
      <c r="N67" s="88"/>
      <c r="O67" s="88">
        <f>O11*'REC Spend projected'!$B$56</f>
        <v>61271141.422590993</v>
      </c>
      <c r="P67" s="88">
        <f t="shared" si="14"/>
        <v>603708525.00093329</v>
      </c>
      <c r="Q67" s="88">
        <f>'REC Spend projected'!AA64</f>
        <v>267733708.97260296</v>
      </c>
      <c r="R67" s="88">
        <f>'REC Spend projected'!AE65</f>
        <v>-30519233.477358043</v>
      </c>
      <c r="T67" s="203" t="s">
        <v>25</v>
      </c>
      <c r="U67" s="220">
        <f t="shared" si="15"/>
        <v>291582772.36801159</v>
      </c>
      <c r="V67" s="220" t="e">
        <f>#REF!</f>
        <v>#REF!</v>
      </c>
      <c r="W67" s="220">
        <f t="shared" si="18"/>
        <v>250854611.21033069</v>
      </c>
      <c r="X67" s="220">
        <f t="shared" si="19"/>
        <v>0</v>
      </c>
      <c r="Y67" s="220">
        <f t="shared" si="16"/>
        <v>61271141.422590993</v>
      </c>
      <c r="Z67" s="220">
        <f t="shared" si="17"/>
        <v>267733708.97260296</v>
      </c>
    </row>
    <row r="68" spans="2:26" ht="15.75" thickBot="1" x14ac:dyDescent="0.3">
      <c r="B68" s="90" t="s">
        <v>26</v>
      </c>
      <c r="C68" s="88">
        <f>SUM('ABP Under Contract'!K70:P70)</f>
        <v>152454151.09</v>
      </c>
      <c r="D68" s="88">
        <f>'REC Spend projected'!H66+'REC Spend projected'!I66+'REC Spend projected'!J66+'REC Spend projected'!K66+'REC Spend projected'!L66</f>
        <v>121989002.54207028</v>
      </c>
      <c r="E68" s="88">
        <f>E12*'REC Spend projected'!$B$56</f>
        <v>149107967.36547714</v>
      </c>
      <c r="F68" s="88">
        <f>F12*'REC Spend projected'!$B$56</f>
        <v>132801027.45438638</v>
      </c>
      <c r="G68" s="88">
        <f>G12*'REC Spend projected'!$B$56</f>
        <v>0</v>
      </c>
      <c r="H68" s="88">
        <f>H12*'REC Spend projected'!$B$56</f>
        <v>0</v>
      </c>
      <c r="I68" s="88">
        <f>I12*'REC Spend projected'!$B$56</f>
        <v>0</v>
      </c>
      <c r="J68" s="88">
        <f>J12*'REC Spend projected'!$B$56</f>
        <v>0</v>
      </c>
      <c r="K68" s="88">
        <f>K12*'REC Spend projected'!$B$56</f>
        <v>0</v>
      </c>
      <c r="L68" s="88">
        <f>L12*'REC Spend projected'!$B$56</f>
        <v>0</v>
      </c>
      <c r="M68" s="88">
        <f>M12*'REC Spend projected'!$B$56</f>
        <v>0</v>
      </c>
      <c r="N68" s="88"/>
      <c r="O68" s="88">
        <f>O12*'REC Spend projected'!$B$56</f>
        <v>47194562.07658118</v>
      </c>
      <c r="P68" s="88">
        <f t="shared" si="14"/>
        <v>603546710.5285151</v>
      </c>
      <c r="Q68" s="88">
        <f>'REC Spend projected'!AA65</f>
        <v>125337706.33150351</v>
      </c>
      <c r="R68" s="88">
        <f>'REC Spend projected'!AE66</f>
        <v>-227663465.20749617</v>
      </c>
      <c r="T68" s="204" t="s">
        <v>26</v>
      </c>
      <c r="U68" s="220">
        <f t="shared" si="15"/>
        <v>274443153.6320703</v>
      </c>
      <c r="V68" s="220" t="e">
        <f>#REF!</f>
        <v>#REF!</v>
      </c>
      <c r="W68" s="220">
        <f t="shared" si="18"/>
        <v>149107967.36547714</v>
      </c>
      <c r="X68" s="220">
        <f t="shared" si="19"/>
        <v>132801027.45438638</v>
      </c>
      <c r="Y68" s="220">
        <f t="shared" si="16"/>
        <v>47194562.07658118</v>
      </c>
      <c r="Z68" s="220">
        <f t="shared" si="17"/>
        <v>125337706.33150351</v>
      </c>
    </row>
    <row r="69" spans="2:26" ht="15.75" thickBot="1" x14ac:dyDescent="0.3">
      <c r="B69" s="87" t="s">
        <v>27</v>
      </c>
      <c r="C69" s="88">
        <f>SUM('ABP Under Contract'!K71:P71)</f>
        <v>152080746.57999998</v>
      </c>
      <c r="D69" s="88">
        <f>'REC Spend projected'!H67+'REC Spend projected'!I67+'REC Spend projected'!J67+'REC Spend projected'!K67+'REC Spend projected'!L67</f>
        <v>114473711.55448413</v>
      </c>
      <c r="E69" s="88">
        <f>E13*'REC Spend projected'!$B$56</f>
        <v>146251573.05077425</v>
      </c>
      <c r="F69" s="88">
        <f>F13*'REC Spend projected'!$B$56</f>
        <v>202124006.81045789</v>
      </c>
      <c r="G69" s="88">
        <f>G13*'REC Spend projected'!$B$56</f>
        <v>0</v>
      </c>
      <c r="H69" s="88">
        <f>H13*'REC Spend projected'!$B$56</f>
        <v>0</v>
      </c>
      <c r="I69" s="88">
        <f>I13*'REC Spend projected'!$B$56</f>
        <v>0</v>
      </c>
      <c r="J69" s="88">
        <f>J13*'REC Spend projected'!$B$56</f>
        <v>0</v>
      </c>
      <c r="K69" s="88">
        <f>K13*'REC Spend projected'!$B$56</f>
        <v>0</v>
      </c>
      <c r="L69" s="88">
        <f>L13*'REC Spend projected'!$B$56</f>
        <v>0</v>
      </c>
      <c r="M69" s="88">
        <f>M13*'REC Spend projected'!$B$56</f>
        <v>0</v>
      </c>
      <c r="N69" s="88"/>
      <c r="O69" s="88">
        <f>O13*'REC Spend projected'!$B$56</f>
        <v>47204416.369114026</v>
      </c>
      <c r="P69" s="88">
        <f t="shared" si="14"/>
        <v>662134454.36483037</v>
      </c>
      <c r="Q69" s="88">
        <f>'REC Spend projected'!AA66</f>
        <v>-30519233.477358043</v>
      </c>
      <c r="R69" s="88">
        <f>'REC Spend projected'!AE67</f>
        <v>-478852979.11348706</v>
      </c>
      <c r="T69" s="203" t="s">
        <v>27</v>
      </c>
      <c r="U69" s="220">
        <f t="shared" si="15"/>
        <v>266554458.13448411</v>
      </c>
      <c r="V69" s="220" t="e">
        <f>#REF!</f>
        <v>#REF!</v>
      </c>
      <c r="W69" s="220">
        <f t="shared" si="18"/>
        <v>146251573.05077425</v>
      </c>
      <c r="X69" s="220">
        <f t="shared" si="19"/>
        <v>202124006.81045789</v>
      </c>
      <c r="Y69" s="220">
        <f t="shared" si="16"/>
        <v>47204416.369114026</v>
      </c>
      <c r="Z69" s="220">
        <f t="shared" si="17"/>
        <v>-30519233.477358043</v>
      </c>
    </row>
    <row r="70" spans="2:26" ht="15.75" thickBot="1" x14ac:dyDescent="0.3">
      <c r="B70" s="87" t="s">
        <v>28</v>
      </c>
      <c r="C70" s="88">
        <f>SUM('ABP Under Contract'!K72:P72)</f>
        <v>149640337.38999999</v>
      </c>
      <c r="D70" s="88">
        <f>'REC Spend projected'!H68+'REC Spend projected'!I68+'REC Spend projected'!J68+'REC Spend projected'!K68+'REC Spend projected'!L68</f>
        <v>107610667.86537734</v>
      </c>
      <c r="E70" s="88">
        <f>E14*'REC Spend projected'!$B$56</f>
        <v>142408174.65289587</v>
      </c>
      <c r="F70" s="88">
        <f>F14*'REC Spend projected'!$B$56</f>
        <v>138309500.37565774</v>
      </c>
      <c r="G70" s="88">
        <f>G14*'REC Spend projected'!$B$56</f>
        <v>122389426.90196249</v>
      </c>
      <c r="H70" s="88">
        <f>H14*'REC Spend projected'!$B$56</f>
        <v>0</v>
      </c>
      <c r="I70" s="88">
        <f>I14*'REC Spend projected'!$B$56</f>
        <v>0</v>
      </c>
      <c r="J70" s="88">
        <f>J14*'REC Spend projected'!$B$56</f>
        <v>0</v>
      </c>
      <c r="K70" s="88">
        <f>K14*'REC Spend projected'!$B$56</f>
        <v>0</v>
      </c>
      <c r="L70" s="88">
        <f>L14*'REC Spend projected'!$B$56</f>
        <v>0</v>
      </c>
      <c r="M70" s="88">
        <f>M14*'REC Spend projected'!$B$56</f>
        <v>0</v>
      </c>
      <c r="N70" s="88"/>
      <c r="O70" s="88">
        <f>O14*'REC Spend projected'!$B$56</f>
        <v>61384695.352886498</v>
      </c>
      <c r="P70" s="88">
        <f t="shared" si="14"/>
        <v>721742802.53877997</v>
      </c>
      <c r="Q70" s="88">
        <f>'REC Spend projected'!AA67</f>
        <v>-227663465.20749617</v>
      </c>
      <c r="R70" s="88">
        <f>'REC Spend projected'!AE68</f>
        <v>-778638739.11144793</v>
      </c>
      <c r="T70" s="203" t="s">
        <v>28</v>
      </c>
      <c r="U70" s="220">
        <f t="shared" si="15"/>
        <v>257251005.25537732</v>
      </c>
      <c r="V70" s="220" t="e">
        <f>#REF!</f>
        <v>#REF!</v>
      </c>
      <c r="W70" s="220">
        <f t="shared" si="18"/>
        <v>142408174.65289587</v>
      </c>
      <c r="X70" s="220">
        <f t="shared" si="19"/>
        <v>260698927.27762023</v>
      </c>
      <c r="Y70" s="220">
        <f t="shared" si="16"/>
        <v>61384695.352886498</v>
      </c>
      <c r="Z70" s="220">
        <f t="shared" si="17"/>
        <v>-227663465.20749617</v>
      </c>
    </row>
    <row r="71" spans="2:26" ht="15.75" thickBot="1" x14ac:dyDescent="0.3">
      <c r="B71" s="87" t="s">
        <v>29</v>
      </c>
      <c r="C71" s="88">
        <f>SUM('ABP Under Contract'!K73:P73)</f>
        <v>127148872.44</v>
      </c>
      <c r="D71" s="88">
        <f>'REC Spend projected'!H69+'REC Spend projected'!I69+'REC Spend projected'!J69+'REC Spend projected'!K69+'REC Spend projected'!L69</f>
        <v>108704664.64252178</v>
      </c>
      <c r="E71" s="88">
        <f>E15*'REC Spend projected'!$B$56</f>
        <v>138834765.44549704</v>
      </c>
      <c r="F71" s="88">
        <f>F15*'REC Spend projected'!$B$56</f>
        <v>129444650.92729428</v>
      </c>
      <c r="G71" s="88">
        <f>G15*'REC Spend projected'!$B$56</f>
        <v>175239550.00163653</v>
      </c>
      <c r="H71" s="88">
        <f>H15*'REC Spend projected'!$B$56</f>
        <v>0</v>
      </c>
      <c r="I71" s="88">
        <f>I15*'REC Spend projected'!$B$56</f>
        <v>0</v>
      </c>
      <c r="J71" s="88">
        <f>J15*'REC Spend projected'!$B$56</f>
        <v>0</v>
      </c>
      <c r="K71" s="88">
        <f>K15*'REC Spend projected'!$B$56</f>
        <v>0</v>
      </c>
      <c r="L71" s="88">
        <f>L15*'REC Spend projected'!$B$56</f>
        <v>0</v>
      </c>
      <c r="M71" s="88">
        <f>M15*'REC Spend projected'!$B$56</f>
        <v>0</v>
      </c>
      <c r="N71" s="88"/>
      <c r="O71" s="88">
        <f>O15*'REC Spend projected'!$B$56</f>
        <v>47345530.870649315</v>
      </c>
      <c r="P71" s="88">
        <f t="shared" si="14"/>
        <v>726718034.32759893</v>
      </c>
      <c r="Q71" s="88">
        <f>'REC Spend projected'!AA68</f>
        <v>-478852979.11348706</v>
      </c>
      <c r="R71" s="88">
        <f>'REC Spend projected'!AE69</f>
        <v>-1036969367.6056712</v>
      </c>
      <c r="T71" s="203" t="s">
        <v>29</v>
      </c>
      <c r="U71" s="220">
        <f t="shared" si="15"/>
        <v>235853537.0825218</v>
      </c>
      <c r="V71" s="220" t="e">
        <f>#REF!</f>
        <v>#REF!</v>
      </c>
      <c r="W71" s="220">
        <f t="shared" si="18"/>
        <v>138834765.44549704</v>
      </c>
      <c r="X71" s="220">
        <f t="shared" si="19"/>
        <v>304684200.92893082</v>
      </c>
      <c r="Y71" s="220">
        <f t="shared" si="16"/>
        <v>47345530.870649315</v>
      </c>
      <c r="Z71" s="220">
        <f t="shared" si="17"/>
        <v>-478852979.11348706</v>
      </c>
    </row>
    <row r="72" spans="2:26" ht="15.75" thickBot="1" x14ac:dyDescent="0.3">
      <c r="B72" s="87" t="s">
        <v>30</v>
      </c>
      <c r="C72" s="88">
        <f>SUM('ABP Under Contract'!K74:P74)</f>
        <v>99535742.269999996</v>
      </c>
      <c r="D72" s="88">
        <f>'REC Spend projected'!H70+'REC Spend projected'!I70+'REC Spend projected'!J70+'REC Spend projected'!K70+'REC Spend projected'!L70</f>
        <v>104768999.80622581</v>
      </c>
      <c r="E72" s="88">
        <f>E16*'REC Spend projected'!$B$56</f>
        <v>139220335.49598455</v>
      </c>
      <c r="F72" s="88">
        <f>F16*'REC Spend projected'!$B$56</f>
        <v>131074965.87709512</v>
      </c>
      <c r="G72" s="88">
        <f>G16*'REC Spend projected'!$B$56</f>
        <v>115419709.75833039</v>
      </c>
      <c r="H72" s="88">
        <f>H16*'REC Spend projected'!$B$56</f>
        <v>112794095.83284861</v>
      </c>
      <c r="I72" s="88">
        <f>I16*'REC Spend projected'!$B$56</f>
        <v>0</v>
      </c>
      <c r="J72" s="88">
        <f>J16*'REC Spend projected'!$B$56</f>
        <v>0</v>
      </c>
      <c r="K72" s="88">
        <f>K16*'REC Spend projected'!$B$56</f>
        <v>0</v>
      </c>
      <c r="L72" s="88">
        <f>L16*'REC Spend projected'!$B$56</f>
        <v>0</v>
      </c>
      <c r="M72" s="88">
        <f>M16*'REC Spend projected'!$B$56</f>
        <v>0</v>
      </c>
      <c r="N72" s="88"/>
      <c r="O72" s="88">
        <f>O16*'REC Spend projected'!$B$56</f>
        <v>47425910.053071067</v>
      </c>
      <c r="P72" s="88">
        <f t="shared" si="14"/>
        <v>750239759.09355545</v>
      </c>
      <c r="Q72" s="88">
        <f>'REC Spend projected'!AA69</f>
        <v>-778638739.11144793</v>
      </c>
      <c r="R72" s="88">
        <f>'REC Spend projected'!AE70</f>
        <v>-1313814139.4898133</v>
      </c>
      <c r="T72" s="203" t="s">
        <v>30</v>
      </c>
      <c r="U72" s="220">
        <f t="shared" si="15"/>
        <v>204304742.07622582</v>
      </c>
      <c r="V72" s="220" t="e">
        <f>#REF!</f>
        <v>#REF!</v>
      </c>
      <c r="W72" s="220">
        <f t="shared" si="18"/>
        <v>139220335.49598455</v>
      </c>
      <c r="X72" s="220">
        <f t="shared" si="19"/>
        <v>359288771.46827412</v>
      </c>
      <c r="Y72" s="220">
        <f t="shared" si="16"/>
        <v>47425910.053071067</v>
      </c>
      <c r="Z72" s="220">
        <f t="shared" si="17"/>
        <v>-778638739.11144793</v>
      </c>
    </row>
    <row r="73" spans="2:26" ht="15.75" thickBot="1" x14ac:dyDescent="0.3">
      <c r="B73" s="87" t="s">
        <v>31</v>
      </c>
      <c r="C73" s="88">
        <f>SUM('ABP Under Contract'!K75:P75)</f>
        <v>71140385.049999997</v>
      </c>
      <c r="D73" s="88">
        <f>'REC Spend projected'!H71+'REC Spend projected'!I71+'REC Spend projected'!J71+'REC Spend projected'!K71+'REC Spend projected'!L71</f>
        <v>98517175.87042594</v>
      </c>
      <c r="E73" s="88">
        <f>E17*'REC Spend projected'!$B$56</f>
        <v>113539349.9570429</v>
      </c>
      <c r="F73" s="88">
        <f>F17*'REC Spend projected'!$B$56</f>
        <v>126116670.47109802</v>
      </c>
      <c r="G73" s="88">
        <f>G17*'REC Spend projected'!$B$56</f>
        <v>110890313.54503676</v>
      </c>
      <c r="H73" s="88">
        <f>H17*'REC Spend projected'!$B$56</f>
        <v>155130835.10563105</v>
      </c>
      <c r="I73" s="88">
        <f>I17*'REC Spend projected'!$B$56</f>
        <v>0</v>
      </c>
      <c r="J73" s="88">
        <f>J17*'REC Spend projected'!$B$56</f>
        <v>0</v>
      </c>
      <c r="K73" s="88">
        <f>K17*'REC Spend projected'!$B$56</f>
        <v>0</v>
      </c>
      <c r="L73" s="88">
        <f>L17*'REC Spend projected'!$B$56</f>
        <v>0</v>
      </c>
      <c r="M73" s="88">
        <f>M17*'REC Spend projected'!$B$56</f>
        <v>0</v>
      </c>
      <c r="N73" s="88"/>
      <c r="O73" s="88">
        <f>O17*'REC Spend projected'!$B$56</f>
        <v>47464701.415645614</v>
      </c>
      <c r="P73" s="88">
        <f t="shared" si="14"/>
        <v>722799431.41488028</v>
      </c>
      <c r="Q73" s="88">
        <f>'REC Spend projected'!AA70</f>
        <v>-1036969367.6056712</v>
      </c>
      <c r="R73" s="88">
        <f>'REC Spend projected'!AE71</f>
        <v>-1512242293.1681058</v>
      </c>
      <c r="T73" s="203" t="s">
        <v>31</v>
      </c>
      <c r="U73" s="220">
        <f t="shared" si="15"/>
        <v>169657560.92042595</v>
      </c>
      <c r="V73" s="220" t="e">
        <f>#REF!</f>
        <v>#REF!</v>
      </c>
      <c r="W73" s="220">
        <f t="shared" si="18"/>
        <v>113539349.9570429</v>
      </c>
      <c r="X73" s="220">
        <f t="shared" si="19"/>
        <v>392137819.12176585</v>
      </c>
      <c r="Y73" s="220">
        <f t="shared" si="16"/>
        <v>47464701.415645614</v>
      </c>
      <c r="Z73" s="220">
        <f t="shared" si="17"/>
        <v>-1036969367.6056712</v>
      </c>
    </row>
    <row r="74" spans="2:26" ht="15.75" thickBot="1" x14ac:dyDescent="0.3">
      <c r="B74" s="87" t="s">
        <v>32</v>
      </c>
      <c r="C74" s="88">
        <f>SUM('ABP Under Contract'!K76:P76)</f>
        <v>70784079.13000001</v>
      </c>
      <c r="D74" s="88">
        <f>'REC Spend projected'!H72+'REC Spend projected'!I72+'REC Spend projected'!J72+'REC Spend projected'!K72+'REC Spend projected'!L72</f>
        <v>92420901.107516408</v>
      </c>
      <c r="E74" s="88">
        <f>E18*'REC Spend projected'!$B$56</f>
        <v>84471090.168953523</v>
      </c>
      <c r="F74" s="88">
        <f>F18*'REC Spend projected'!$B$56</f>
        <v>119635243.72667572</v>
      </c>
      <c r="G74" s="88">
        <f>G18*'REC Spend projected'!$B$56</f>
        <v>105194226.33639102</v>
      </c>
      <c r="H74" s="88">
        <f>H18*'REC Spend projected'!$B$56</f>
        <v>89263760.293744504</v>
      </c>
      <c r="I74" s="88">
        <f>I18*'REC Spend projected'!$B$56</f>
        <v>103951038.71955328</v>
      </c>
      <c r="J74" s="88">
        <f>J18*'REC Spend projected'!$B$56</f>
        <v>0</v>
      </c>
      <c r="K74" s="88">
        <f>K18*'REC Spend projected'!$B$56</f>
        <v>0</v>
      </c>
      <c r="L74" s="88">
        <f>L18*'REC Spend projected'!$B$56</f>
        <v>0</v>
      </c>
      <c r="M74" s="88">
        <f>M18*'REC Spend projected'!$B$56</f>
        <v>0</v>
      </c>
      <c r="N74" s="88"/>
      <c r="O74" s="88">
        <f>O18*'REC Spend projected'!$B$56</f>
        <v>47527690.406718194</v>
      </c>
      <c r="P74" s="88">
        <f t="shared" si="14"/>
        <v>713248029.88955259</v>
      </c>
      <c r="Q74" s="88">
        <f>'REC Spend projected'!AA71</f>
        <v>-1313814139.4898133</v>
      </c>
      <c r="R74" s="88">
        <f>'REC Spend projected'!AE72</f>
        <v>-1684419481.9828501</v>
      </c>
      <c r="T74" s="203" t="s">
        <v>32</v>
      </c>
      <c r="U74" s="220">
        <f t="shared" si="15"/>
        <v>163204980.2375164</v>
      </c>
      <c r="V74" s="220" t="e">
        <f>#REF!</f>
        <v>#REF!</v>
      </c>
      <c r="W74" s="220">
        <f t="shared" si="18"/>
        <v>84471090.168953523</v>
      </c>
      <c r="X74" s="220">
        <f t="shared" si="19"/>
        <v>418044269.07636452</v>
      </c>
      <c r="Y74" s="220">
        <f t="shared" si="16"/>
        <v>47527690.406718194</v>
      </c>
      <c r="Z74" s="220">
        <f t="shared" si="17"/>
        <v>-1313814139.4898133</v>
      </c>
    </row>
    <row r="75" spans="2:26" ht="15.75" thickBot="1" x14ac:dyDescent="0.3">
      <c r="B75" s="87" t="s">
        <v>33</v>
      </c>
      <c r="C75" s="88">
        <f>SUM('ABP Under Contract'!K77:P77)</f>
        <v>70430578.260000005</v>
      </c>
      <c r="D75" s="88">
        <f>'REC Spend projected'!H73+'REC Spend projected'!I73+'REC Spend projected'!J73+'REC Spend projected'!K73+'REC Spend projected'!L73</f>
        <v>83860895.069651723</v>
      </c>
      <c r="E75" s="88">
        <f>E19*'REC Spend projected'!$B$56</f>
        <v>77653599.859238222</v>
      </c>
      <c r="F75" s="88">
        <f>F19*'REC Spend projected'!$B$56</f>
        <v>90111405.5048545</v>
      </c>
      <c r="G75" s="88">
        <f>G19*'REC Spend projected'!$B$56</f>
        <v>98308304.002226189</v>
      </c>
      <c r="H75" s="88">
        <f>H19*'REC Spend projected'!$B$56</f>
        <v>85477683.482503697</v>
      </c>
      <c r="I75" s="88">
        <f>I19*'REC Spend projected'!$B$56</f>
        <v>90981329.556369439</v>
      </c>
      <c r="J75" s="88">
        <f>J19*'REC Spend projected'!$B$56</f>
        <v>0</v>
      </c>
      <c r="K75" s="88">
        <f>K19*'REC Spend projected'!$B$56</f>
        <v>0</v>
      </c>
      <c r="L75" s="88">
        <f>L19*'REC Spend projected'!$B$56</f>
        <v>0</v>
      </c>
      <c r="M75" s="88">
        <f>M19*'REC Spend projected'!$B$56</f>
        <v>0</v>
      </c>
      <c r="N75" s="88"/>
      <c r="O75" s="88">
        <f>O19*'REC Spend projected'!$B$56</f>
        <v>47573904.92081888</v>
      </c>
      <c r="P75" s="88">
        <f t="shared" si="14"/>
        <v>644397700.65566266</v>
      </c>
      <c r="Q75" s="88">
        <f>'REC Spend projected'!AA72</f>
        <v>-1512242293.1681058</v>
      </c>
      <c r="R75" s="88">
        <f>'REC Spend projected'!AE73</f>
        <v>-1822201932.6381602</v>
      </c>
      <c r="T75" s="203" t="s">
        <v>33</v>
      </c>
      <c r="U75" s="220">
        <f t="shared" si="15"/>
        <v>154291473.32965171</v>
      </c>
      <c r="V75" s="220" t="e">
        <f>#REF!</f>
        <v>#REF!</v>
      </c>
      <c r="W75" s="220">
        <f t="shared" si="18"/>
        <v>77653599.859238222</v>
      </c>
      <c r="X75" s="220">
        <f t="shared" si="19"/>
        <v>364878722.54595381</v>
      </c>
      <c r="Y75" s="220">
        <f t="shared" si="16"/>
        <v>47573904.92081888</v>
      </c>
      <c r="Z75" s="220">
        <f t="shared" si="17"/>
        <v>-1512242293.1681058</v>
      </c>
    </row>
    <row r="76" spans="2:26" ht="15.75" thickBot="1" x14ac:dyDescent="0.3">
      <c r="B76" s="87" t="s">
        <v>34</v>
      </c>
      <c r="C76" s="88">
        <f>SUM('ABP Under Contract'!K78:P78)</f>
        <v>70078508.86999999</v>
      </c>
      <c r="D76" s="88">
        <f>'REC Spend projected'!H74+'REC Spend projected'!I74+'REC Spend projected'!J74+'REC Spend projected'!K74+'REC Spend projected'!L74</f>
        <v>71164860.126364157</v>
      </c>
      <c r="E76" s="88">
        <f>E20*'REC Spend projected'!$B$56</f>
        <v>74420194.901278377</v>
      </c>
      <c r="F76" s="88">
        <f>F20*'REC Spend projected'!$B$56</f>
        <v>57911394.040451549</v>
      </c>
      <c r="G76" s="88">
        <f>G20*'REC Spend projected'!$B$56</f>
        <v>91342991.491006836</v>
      </c>
      <c r="H76" s="88">
        <f>H20*'REC Spend projected'!$B$56</f>
        <v>81822607.864572406</v>
      </c>
      <c r="I76" s="88">
        <f>I20*'REC Spend projected'!$B$56</f>
        <v>62202902.361882217</v>
      </c>
      <c r="J76" s="88">
        <f>J20*'REC Spend projected'!$B$56</f>
        <v>47900638.641970135</v>
      </c>
      <c r="K76" s="88">
        <f>K20*'REC Spend projected'!$B$56</f>
        <v>0</v>
      </c>
      <c r="L76" s="88">
        <f>L20*'REC Spend projected'!$B$56</f>
        <v>0</v>
      </c>
      <c r="M76" s="88">
        <f>M20*'REC Spend projected'!$B$56</f>
        <v>0</v>
      </c>
      <c r="N76" s="88"/>
      <c r="O76" s="88">
        <f>O20*'REC Spend projected'!$B$56</f>
        <v>47628895.639470898</v>
      </c>
      <c r="P76" s="88">
        <f t="shared" si="14"/>
        <v>604472993.93699658</v>
      </c>
      <c r="Q76" s="88">
        <f>'REC Spend projected'!AA73</f>
        <v>-1684419481.9828501</v>
      </c>
      <c r="R76" s="88">
        <f>'REC Spend projected'!AE74</f>
        <v>-1917712142.6606958</v>
      </c>
      <c r="T76" s="203" t="s">
        <v>34</v>
      </c>
      <c r="U76" s="220">
        <f t="shared" si="15"/>
        <v>141243368.99636415</v>
      </c>
      <c r="V76" s="220" t="e">
        <f>#REF!</f>
        <v>#REF!</v>
      </c>
      <c r="W76" s="220">
        <f t="shared" si="18"/>
        <v>74420194.901278377</v>
      </c>
      <c r="X76" s="220">
        <f t="shared" si="19"/>
        <v>341180534.39988315</v>
      </c>
      <c r="Y76" s="220">
        <f t="shared" si="16"/>
        <v>47628895.639470898</v>
      </c>
      <c r="Z76" s="220">
        <f t="shared" si="17"/>
        <v>-1684419481.9828501</v>
      </c>
    </row>
    <row r="77" spans="2:26" ht="15.75" thickBot="1" x14ac:dyDescent="0.3">
      <c r="B77" s="87" t="s">
        <v>35</v>
      </c>
      <c r="C77" s="88">
        <f>SUM('ABP Under Contract'!K79:P79)</f>
        <v>69728075.060000002</v>
      </c>
      <c r="D77" s="88">
        <f>'REC Spend projected'!H75+'REC Spend projected'!I75+'REC Spend projected'!J75+'REC Spend projected'!K75+'REC Spend projected'!L75</f>
        <v>61329170.706298426</v>
      </c>
      <c r="E77" s="88">
        <f>E21*'REC Spend projected'!$B$56</f>
        <v>71986375.302059799</v>
      </c>
      <c r="F77" s="88">
        <f>F21*'REC Spend projected'!$B$56</f>
        <v>48756281.746551409</v>
      </c>
      <c r="G77" s="88">
        <f>G21*'REC Spend projected'!$B$56</f>
        <v>66206798.838616818</v>
      </c>
      <c r="H77" s="88">
        <f>H21*'REC Spend projected'!$B$56</f>
        <v>79108726.181539297</v>
      </c>
      <c r="I77" s="88">
        <f>I21*'REC Spend projected'!$B$56</f>
        <v>59435906.641890362</v>
      </c>
      <c r="J77" s="88">
        <f>J21*'REC Spend projected'!$B$56</f>
        <v>67224407.244431749</v>
      </c>
      <c r="K77" s="88">
        <f>K21*'REC Spend projected'!$B$56</f>
        <v>0</v>
      </c>
      <c r="L77" s="88">
        <f>L21*'REC Spend projected'!$B$56</f>
        <v>0</v>
      </c>
      <c r="M77" s="88">
        <f>M21*'REC Spend projected'!$B$56</f>
        <v>0</v>
      </c>
      <c r="N77" s="88"/>
      <c r="O77" s="88">
        <f>O21*'REC Spend projected'!$B$56</f>
        <v>47655367.976022199</v>
      </c>
      <c r="P77" s="88">
        <f t="shared" si="14"/>
        <v>571431109.69740999</v>
      </c>
      <c r="Q77" s="88">
        <f>'REC Spend projected'!AA74</f>
        <v>-1822201932.6381602</v>
      </c>
      <c r="R77" s="88">
        <f>'REC Spend projected'!AE75</f>
        <v>-1979302354.7198341</v>
      </c>
      <c r="T77" s="203" t="s">
        <v>35</v>
      </c>
      <c r="U77" s="220">
        <f t="shared" si="15"/>
        <v>131057245.76629843</v>
      </c>
      <c r="V77" s="220" t="e">
        <f>#REF!</f>
        <v>#REF!</v>
      </c>
      <c r="W77" s="220">
        <f t="shared" si="18"/>
        <v>71986375.302059799</v>
      </c>
      <c r="X77" s="220">
        <f t="shared" si="19"/>
        <v>320732120.65302962</v>
      </c>
      <c r="Y77" s="220">
        <f t="shared" si="16"/>
        <v>47655367.976022199</v>
      </c>
      <c r="Z77" s="220">
        <f t="shared" si="17"/>
        <v>-1822201932.6381602</v>
      </c>
    </row>
    <row r="78" spans="2:26" ht="15.75" thickBot="1" x14ac:dyDescent="0.3">
      <c r="B78" s="87" t="s">
        <v>36</v>
      </c>
      <c r="C78" s="88">
        <f>SUM('ABP Under Contract'!K80:P80)</f>
        <v>69378916.469999999</v>
      </c>
      <c r="D78" s="88">
        <f>'REC Spend projected'!H76+'REC Spend projected'!I76+'REC Spend projected'!J76+'REC Spend projected'!K76+'REC Spend projected'!L76</f>
        <v>56104471.726014532</v>
      </c>
      <c r="E78" s="88">
        <f>E22*'REC Spend projected'!$B$56</f>
        <v>68967641.482240647</v>
      </c>
      <c r="F78" s="88">
        <f>F22*'REC Spend projected'!$B$56</f>
        <v>41358180.112773031</v>
      </c>
      <c r="G78" s="88">
        <f>G22*'REC Spend projected'!$B$56</f>
        <v>37294631.670959115</v>
      </c>
      <c r="H78" s="88">
        <f>H22*'REC Spend projected'!$B$56</f>
        <v>75689678.454904318</v>
      </c>
      <c r="I78" s="88">
        <f>I22*'REC Spend projected'!$B$56</f>
        <v>56036918.190651298</v>
      </c>
      <c r="J78" s="88">
        <f>J22*'REC Spend projected'!$B$56</f>
        <v>38509765.299317122</v>
      </c>
      <c r="K78" s="88">
        <f>K22*'REC Spend projected'!$B$56</f>
        <v>44145228.572439685</v>
      </c>
      <c r="L78" s="88">
        <f>L22*'REC Spend projected'!$B$56</f>
        <v>0</v>
      </c>
      <c r="M78" s="88">
        <f>M22*'REC Spend projected'!$B$56</f>
        <v>0</v>
      </c>
      <c r="N78" s="88"/>
      <c r="O78" s="88">
        <f>O22*'REC Spend projected'!$B$56</f>
        <v>47713951.895622842</v>
      </c>
      <c r="P78" s="88">
        <f t="shared" si="14"/>
        <v>535199383.87492257</v>
      </c>
      <c r="Q78" s="88">
        <f>'REC Spend projected'!AA75</f>
        <v>-1917712142.6606958</v>
      </c>
      <c r="R78" s="88">
        <f>'REC Spend projected'!AE76</f>
        <v>-2002038197.969713</v>
      </c>
      <c r="T78" s="203" t="s">
        <v>36</v>
      </c>
      <c r="U78" s="220">
        <f t="shared" si="15"/>
        <v>125483388.19601452</v>
      </c>
      <c r="V78" s="220" t="e">
        <f>#REF!</f>
        <v>#REF!</v>
      </c>
      <c r="W78" s="220">
        <f t="shared" si="18"/>
        <v>68967641.482240647</v>
      </c>
      <c r="X78" s="220">
        <f t="shared" si="19"/>
        <v>293034402.30104458</v>
      </c>
      <c r="Y78" s="220">
        <f t="shared" si="16"/>
        <v>47713951.895622842</v>
      </c>
      <c r="Z78" s="220">
        <f t="shared" si="17"/>
        <v>-1917712142.6606958</v>
      </c>
    </row>
    <row r="79" spans="2:26" ht="15.75" thickBot="1" x14ac:dyDescent="0.3">
      <c r="B79" s="87" t="s">
        <v>37</v>
      </c>
      <c r="C79" s="88">
        <f>SUM('ABP Under Contract'!K81:P81)</f>
        <v>69032712.080000013</v>
      </c>
      <c r="D79" s="88">
        <f>'REC Spend projected'!H77+'REC Spend projected'!I77+'REC Spend projected'!J77+'REC Spend projected'!K77+'REC Spend projected'!L77</f>
        <v>51263386.012619942</v>
      </c>
      <c r="E79" s="88">
        <f>E23*'REC Spend projected'!$B$56</f>
        <v>66184373.348342322</v>
      </c>
      <c r="F79" s="88">
        <f>F23*'REC Spend projected'!$B$56</f>
        <v>34554248.137173146</v>
      </c>
      <c r="G79" s="88">
        <f>G23*'REC Spend projected'!$B$56</f>
        <v>28227821.665735193</v>
      </c>
      <c r="H79" s="88">
        <f>H23*'REC Spend projected'!$B$56</f>
        <v>54111746.03661757</v>
      </c>
      <c r="I79" s="88">
        <f>I23*'REC Spend projected'!$B$56</f>
        <v>52910192.580166392</v>
      </c>
      <c r="J79" s="88">
        <f>J23*'REC Spend projected'!$B$56</f>
        <v>35330213.2752425</v>
      </c>
      <c r="K79" s="88">
        <f>K23*'REC Spend projected'!$B$56</f>
        <v>59358395.757402271</v>
      </c>
      <c r="L79" s="88">
        <f>L23*'REC Spend projected'!$B$56</f>
        <v>0</v>
      </c>
      <c r="M79" s="88">
        <f>M23*'REC Spend projected'!$B$56</f>
        <v>0</v>
      </c>
      <c r="N79" s="88"/>
      <c r="O79" s="88">
        <f>O23*'REC Spend projected'!$B$56</f>
        <v>47761556.093688615</v>
      </c>
      <c r="P79" s="88">
        <f t="shared" si="14"/>
        <v>498734644.98698795</v>
      </c>
      <c r="Q79" s="88">
        <f>'REC Spend projected'!AA76</f>
        <v>-1979302354.7198341</v>
      </c>
      <c r="R79" s="88">
        <f>'REC Spend projected'!AE77</f>
        <v>-1986234274.445514</v>
      </c>
      <c r="T79" s="203" t="s">
        <v>37</v>
      </c>
      <c r="U79" s="220">
        <f t="shared" si="15"/>
        <v>120296098.09261996</v>
      </c>
      <c r="V79" s="220" t="e">
        <f>#REF!</f>
        <v>#REF!</v>
      </c>
      <c r="W79" s="220">
        <f t="shared" si="18"/>
        <v>66184373.348342322</v>
      </c>
      <c r="X79" s="220">
        <f t="shared" si="19"/>
        <v>264492617.45233709</v>
      </c>
      <c r="Y79" s="220">
        <f t="shared" si="16"/>
        <v>47761556.093688615</v>
      </c>
      <c r="Z79" s="220">
        <f t="shared" si="17"/>
        <v>-1979302354.7198341</v>
      </c>
    </row>
    <row r="80" spans="2:26" ht="15.75" thickBot="1" x14ac:dyDescent="0.3">
      <c r="B80" s="87" t="s">
        <v>38</v>
      </c>
      <c r="C80" s="88">
        <f>SUM('ABP Under Contract'!K82:P82)</f>
        <v>68687014.290000007</v>
      </c>
      <c r="D80" s="88">
        <f>'REC Spend projected'!H78+'REC Spend projected'!I78+'REC Spend projected'!J78+'REC Spend projected'!K78+'REC Spend projected'!L78</f>
        <v>46162271.59508317</v>
      </c>
      <c r="E80" s="88">
        <f>E24*'REC Spend projected'!$B$56</f>
        <v>63591396.303605206</v>
      </c>
      <c r="F80" s="88">
        <f>F24*'REC Spend projected'!$B$56</f>
        <v>28228112.242649473</v>
      </c>
      <c r="G80" s="88">
        <f>G24*'REC Spend projected'!$B$56</f>
        <v>22640271.492725566</v>
      </c>
      <c r="H80" s="88">
        <f>H24*'REC Spend projected'!$B$56</f>
        <v>30550122.903005082</v>
      </c>
      <c r="I80" s="88">
        <f>I24*'REC Spend projected'!$B$56</f>
        <v>50002630.122485049</v>
      </c>
      <c r="J80" s="88">
        <f>J24*'REC Spend projected'!$B$56</f>
        <v>32441218.040410325</v>
      </c>
      <c r="K80" s="88">
        <f>K24*'REC Spend projected'!$B$56</f>
        <v>30513651.008921642</v>
      </c>
      <c r="L80" s="88">
        <f>L24*'REC Spend projected'!$B$56</f>
        <v>40684242.652360409</v>
      </c>
      <c r="M80" s="88">
        <f>M24*'REC Spend projected'!$B$56</f>
        <v>0</v>
      </c>
      <c r="N80" s="88"/>
      <c r="O80" s="88">
        <f>O24*'REC Spend projected'!$B$56</f>
        <v>47818401.377245381</v>
      </c>
      <c r="P80" s="88">
        <f t="shared" si="14"/>
        <v>461319332.02849132</v>
      </c>
      <c r="Q80" s="88">
        <f>'REC Spend projected'!AA77</f>
        <v>-2002038197.969713</v>
      </c>
      <c r="R80" s="88">
        <f>'REC Spend projected'!AE78</f>
        <v>-1938675255.5839872</v>
      </c>
      <c r="T80" s="203" t="s">
        <v>38</v>
      </c>
      <c r="U80" s="220">
        <f t="shared" si="15"/>
        <v>114849285.88508317</v>
      </c>
      <c r="V80" s="220" t="e">
        <f>#REF!</f>
        <v>#REF!</v>
      </c>
      <c r="W80" s="220">
        <f t="shared" si="18"/>
        <v>63591396.303605206</v>
      </c>
      <c r="X80" s="220">
        <f t="shared" si="19"/>
        <v>235060248.46255755</v>
      </c>
      <c r="Y80" s="220">
        <f t="shared" si="16"/>
        <v>47818401.377245381</v>
      </c>
      <c r="Z80" s="220">
        <f t="shared" si="17"/>
        <v>-2002038197.969713</v>
      </c>
    </row>
    <row r="81" spans="2:27" ht="15.75" thickBot="1" x14ac:dyDescent="0.3">
      <c r="B81" s="87" t="s">
        <v>39</v>
      </c>
      <c r="C81" s="88">
        <f>SUM('ABP Under Contract'!K83:P83)</f>
        <v>68344194.280000001</v>
      </c>
      <c r="D81" s="88">
        <f>'REC Spend projected'!H79+'REC Spend projected'!I79+'REC Spend projected'!J79+'REC Spend projected'!K79+'REC Spend projected'!L79</f>
        <v>41101536.976892449</v>
      </c>
      <c r="E81" s="88">
        <f>E25*'REC Spend projected'!$B$56</f>
        <v>60867750.378561288</v>
      </c>
      <c r="F81" s="88">
        <f>F25*'REC Spend projected'!$B$56</f>
        <v>21531376.794341128</v>
      </c>
      <c r="G81" s="88">
        <f>G25*'REC Spend projected'!$B$56</f>
        <v>16720486.030011959</v>
      </c>
      <c r="H81" s="88">
        <f>H25*'REC Spend projected'!$B$56</f>
        <v>24633902.96505985</v>
      </c>
      <c r="I81" s="88">
        <f>I25*'REC Spend projected'!$B$56</f>
        <v>29944129.572902165</v>
      </c>
      <c r="J81" s="88">
        <f>J25*'REC Spend projected'!$B$56</f>
        <v>29385552.847363338</v>
      </c>
      <c r="K81" s="88">
        <f>K25*'REC Spend projected'!$B$56</f>
        <v>27382604.333047625</v>
      </c>
      <c r="L81" s="88">
        <f>L25*'REC Spend projected'!$B$56</f>
        <v>52109431.641016908</v>
      </c>
      <c r="M81" s="88">
        <f>M25*'REC Spend projected'!$B$56</f>
        <v>0</v>
      </c>
      <c r="N81" s="88"/>
      <c r="O81" s="88">
        <f>O25*'REC Spend projected'!$B$56</f>
        <v>47857527.025206156</v>
      </c>
      <c r="P81" s="88">
        <f t="shared" si="14"/>
        <v>419878492.84440285</v>
      </c>
      <c r="Q81" s="88">
        <f>'REC Spend projected'!AA78</f>
        <v>-1986234274.445514</v>
      </c>
      <c r="R81" s="88">
        <f>'REC Spend projected'!AE79</f>
        <v>-1821068980.4539266</v>
      </c>
      <c r="T81" s="203" t="s">
        <v>39</v>
      </c>
      <c r="U81" s="220">
        <f t="shared" si="15"/>
        <v>109445731.25689244</v>
      </c>
      <c r="V81" s="220" t="e">
        <f>#REF!</f>
        <v>#REF!</v>
      </c>
      <c r="W81" s="220">
        <f t="shared" si="18"/>
        <v>60867750.378561288</v>
      </c>
      <c r="X81" s="220">
        <f t="shared" si="19"/>
        <v>201707484.18374294</v>
      </c>
      <c r="Y81" s="220">
        <f t="shared" si="16"/>
        <v>47857527.025206156</v>
      </c>
      <c r="Z81" s="220">
        <f t="shared" si="17"/>
        <v>-1986234274.445514</v>
      </c>
    </row>
    <row r="82" spans="2:27" ht="15.75" thickBot="1" x14ac:dyDescent="0.3">
      <c r="B82" s="87" t="s">
        <v>40</v>
      </c>
      <c r="C82" s="88">
        <f>SUM('ABP Under Contract'!K84:P84)</f>
        <v>68002325.329999998</v>
      </c>
      <c r="D82" s="88">
        <f>'REC Spend projected'!H80+'REC Spend projected'!I80+'REC Spend projected'!J80+'REC Spend projected'!K80+'REC Spend projected'!L80</f>
        <v>-27299883.440499477</v>
      </c>
      <c r="E82" s="88">
        <f>E26*'REC Spend projected'!$B$56</f>
        <v>58163228.980302155</v>
      </c>
      <c r="F82" s="88">
        <f>F26*'REC Spend projected'!$B$56</f>
        <v>14859982.488874504</v>
      </c>
      <c r="G82" s="88">
        <f>G26*'REC Spend projected'!$B$56</f>
        <v>10818411.90630288</v>
      </c>
      <c r="H82" s="88">
        <f>H26*'REC Spend projected'!$B$56</f>
        <v>21553175.319878891</v>
      </c>
      <c r="I82" s="88">
        <f>I26*'REC Spend projected'!$B$56</f>
        <v>16022985.482648717</v>
      </c>
      <c r="J82" s="88">
        <f>J26*'REC Spend projected'!$B$56</f>
        <v>26343709.743635494</v>
      </c>
      <c r="K82" s="88">
        <f>K26*'REC Spend projected'!$B$56</f>
        <v>24330458.775903769</v>
      </c>
      <c r="L82" s="88">
        <f>L26*'REC Spend projected'!$B$56</f>
        <v>22535174.934831925</v>
      </c>
      <c r="M82" s="88">
        <f>M26*'REC Spend projected'!$B$56</f>
        <v>74989196.056830704</v>
      </c>
      <c r="N82" s="88"/>
      <c r="O82" s="88">
        <f>O26*'REC Spend projected'!$B$56</f>
        <v>47897379.953709856</v>
      </c>
      <c r="P82" s="88">
        <f t="shared" si="14"/>
        <v>358216145.53241944</v>
      </c>
      <c r="Q82" s="88">
        <f>'REC Spend projected'!AA79</f>
        <v>-1938675255.5839872</v>
      </c>
      <c r="R82" s="88">
        <f>'REC Spend projected'!AE80</f>
        <v>-1593732357.3959069</v>
      </c>
      <c r="T82" s="203" t="s">
        <v>40</v>
      </c>
      <c r="U82" s="220">
        <f t="shared" si="15"/>
        <v>40702441.889500521</v>
      </c>
      <c r="V82" s="220" t="e">
        <f>#REF!</f>
        <v>#REF!</v>
      </c>
      <c r="W82" s="220">
        <f t="shared" si="18"/>
        <v>58163228.980302155</v>
      </c>
      <c r="X82" s="220">
        <f t="shared" si="19"/>
        <v>211453094.70890689</v>
      </c>
      <c r="Y82" s="220">
        <f t="shared" si="16"/>
        <v>47897379.953709856</v>
      </c>
      <c r="Z82" s="220">
        <f t="shared" si="17"/>
        <v>-1938675255.5839872</v>
      </c>
    </row>
    <row r="85" spans="2:27" ht="15.75" thickBot="1" x14ac:dyDescent="0.3">
      <c r="B85" s="1" t="s">
        <v>230</v>
      </c>
    </row>
    <row r="86" spans="2:27" ht="15.75" customHeight="1" thickBot="1" x14ac:dyDescent="0.3">
      <c r="B86" s="326"/>
      <c r="C86" s="327"/>
      <c r="D86" s="327"/>
      <c r="E86" s="328"/>
      <c r="F86" s="329"/>
      <c r="G86" s="332"/>
      <c r="H86" s="330"/>
      <c r="I86" s="331"/>
      <c r="J86" s="330"/>
      <c r="K86" s="331"/>
      <c r="L86" s="81"/>
      <c r="M86" s="314"/>
      <c r="N86" s="314"/>
      <c r="O86" s="314"/>
      <c r="P86" s="314"/>
      <c r="Q86" s="314"/>
      <c r="R86" s="314"/>
      <c r="S86" s="314"/>
    </row>
    <row r="87" spans="2:27" ht="34.5" thickBot="1" x14ac:dyDescent="0.3">
      <c r="B87" s="82" t="s">
        <v>1</v>
      </c>
      <c r="C87" s="83" t="s">
        <v>291</v>
      </c>
      <c r="D87" s="83" t="s">
        <v>331</v>
      </c>
      <c r="E87" s="84" t="s">
        <v>358</v>
      </c>
      <c r="F87" s="84" t="s">
        <v>99</v>
      </c>
      <c r="G87" s="84" t="s">
        <v>100</v>
      </c>
      <c r="H87" s="84" t="s">
        <v>101</v>
      </c>
      <c r="I87" s="84" t="s">
        <v>102</v>
      </c>
      <c r="J87" s="84" t="s">
        <v>103</v>
      </c>
      <c r="K87" s="84" t="s">
        <v>104</v>
      </c>
      <c r="L87" s="84" t="s">
        <v>105</v>
      </c>
      <c r="M87" s="84" t="s">
        <v>106</v>
      </c>
      <c r="N87" s="84" t="s">
        <v>107</v>
      </c>
      <c r="O87" s="84"/>
      <c r="P87" s="84" t="s">
        <v>348</v>
      </c>
      <c r="Q87" s="83" t="s">
        <v>335</v>
      </c>
      <c r="R87" s="83" t="s">
        <v>349</v>
      </c>
      <c r="S87" s="85" t="s">
        <v>245</v>
      </c>
      <c r="U87" s="202" t="s">
        <v>1</v>
      </c>
      <c r="V87" s="85" t="s">
        <v>200</v>
      </c>
      <c r="W87" s="85" t="s">
        <v>355</v>
      </c>
      <c r="X87" s="85" t="s">
        <v>99</v>
      </c>
      <c r="Y87" s="85" t="s">
        <v>356</v>
      </c>
      <c r="Z87" s="85" t="s">
        <v>353</v>
      </c>
      <c r="AA87" s="85" t="s">
        <v>357</v>
      </c>
    </row>
    <row r="88" spans="2:27" ht="15.75" thickBot="1" x14ac:dyDescent="0.3">
      <c r="B88" s="87" t="s">
        <v>17</v>
      </c>
      <c r="C88" s="88">
        <f>SUM('ABP Under Contract'!K92:P92)</f>
        <v>40121.54</v>
      </c>
      <c r="D88" s="88">
        <f>'REC Spend projected'!H87+'REC Spend projected'!I87+'REC Spend projected'!J87+'REC Spend projected'!K87+'REC Spend projected'!L87</f>
        <v>74567.941677111041</v>
      </c>
      <c r="E88" s="88">
        <f>E4*'REC Spend projected'!$B$83</f>
        <v>0</v>
      </c>
      <c r="F88" s="88">
        <f>F4*'REC Spend projected'!$B$83</f>
        <v>0</v>
      </c>
      <c r="G88" s="88">
        <f>G4*'REC Spend projected'!$B$83</f>
        <v>0</v>
      </c>
      <c r="H88" s="88">
        <f>H4*'REC Spend projected'!$B$83</f>
        <v>0</v>
      </c>
      <c r="I88" s="88">
        <f>I4*'REC Spend projected'!$B$83</f>
        <v>0</v>
      </c>
      <c r="J88" s="88">
        <f>J4*'REC Spend projected'!$B$83</f>
        <v>0</v>
      </c>
      <c r="K88" s="88">
        <f>K4*'REC Spend projected'!$B$83</f>
        <v>0</v>
      </c>
      <c r="L88" s="88">
        <f>L4*'REC Spend projected'!$B$83</f>
        <v>0</v>
      </c>
      <c r="M88" s="88">
        <f>M4*'REC Spend projected'!$B$83</f>
        <v>0</v>
      </c>
      <c r="N88" s="88"/>
      <c r="O88" s="88">
        <f>O4*'REC Spend projected'!$B$83</f>
        <v>90168.358012699129</v>
      </c>
      <c r="P88" s="88">
        <f t="shared" ref="P88:P110" si="20">SUM(C88:O88)</f>
        <v>204857.83968981018</v>
      </c>
      <c r="Q88" s="88">
        <f>'REC Spend projected'!AC85</f>
        <v>1991511.2007337115</v>
      </c>
      <c r="R88" s="88">
        <f>'REC Spend projected'!AE85</f>
        <v>808209.25469908305</v>
      </c>
      <c r="T88" s="203" t="s">
        <v>17</v>
      </c>
      <c r="U88" s="220">
        <f t="shared" ref="U88:U110" si="21">SUM(C88:D88)</f>
        <v>114689.48167711103</v>
      </c>
      <c r="V88" s="220" t="e">
        <f>#REF!</f>
        <v>#REF!</v>
      </c>
      <c r="W88" s="220">
        <f>E88</f>
        <v>0</v>
      </c>
      <c r="X88" s="220">
        <f>SUM(F88:M88)</f>
        <v>0</v>
      </c>
      <c r="Y88" s="220">
        <f t="shared" ref="Y88:Y110" si="22">O88</f>
        <v>90168.358012699129</v>
      </c>
      <c r="Z88" s="220">
        <f t="shared" ref="Z88:Z110" si="23">Q88</f>
        <v>1991511.2007337115</v>
      </c>
    </row>
    <row r="89" spans="2:27" ht="15.75" thickBot="1" x14ac:dyDescent="0.3">
      <c r="B89" s="87" t="s">
        <v>18</v>
      </c>
      <c r="C89" s="88">
        <f>SUM('ABP Under Contract'!K93:P93)</f>
        <v>372758.78</v>
      </c>
      <c r="D89" s="88">
        <f>'REC Spend projected'!H88+'REC Spend projected'!I88+'REC Spend projected'!J88+'REC Spend projected'!K88+'REC Spend projected'!L88</f>
        <v>74566.48252909616</v>
      </c>
      <c r="E89" s="88">
        <f>E5*'REC Spend projected'!$B$83</f>
        <v>0</v>
      </c>
      <c r="F89" s="88">
        <f>F5*'REC Spend projected'!$B$83</f>
        <v>0</v>
      </c>
      <c r="G89" s="88">
        <f>G5*'REC Spend projected'!$B$83</f>
        <v>0</v>
      </c>
      <c r="H89" s="88">
        <f>H5*'REC Spend projected'!$B$83</f>
        <v>0</v>
      </c>
      <c r="I89" s="88">
        <f>I5*'REC Spend projected'!$B$83</f>
        <v>0</v>
      </c>
      <c r="J89" s="88">
        <f>J5*'REC Spend projected'!$B$83</f>
        <v>0</v>
      </c>
      <c r="K89" s="88">
        <f>K5*'REC Spend projected'!$B$83</f>
        <v>0</v>
      </c>
      <c r="L89" s="88">
        <f>L5*'REC Spend projected'!$B$83</f>
        <v>0</v>
      </c>
      <c r="M89" s="88">
        <f>M5*'REC Spend projected'!$B$83</f>
        <v>0</v>
      </c>
      <c r="N89" s="88"/>
      <c r="O89" s="88">
        <f>O5*'REC Spend projected'!$B$83</f>
        <v>420055.2123566324</v>
      </c>
      <c r="P89" s="88">
        <f t="shared" si="20"/>
        <v>867380.47488572868</v>
      </c>
      <c r="Q89" s="88">
        <f>'REC Spend projected'!AC86</f>
        <v>1961642.7768657496</v>
      </c>
      <c r="R89" s="88">
        <f>'REC Spend projected'!AE86</f>
        <v>551326.2430608687</v>
      </c>
      <c r="T89" s="203" t="s">
        <v>18</v>
      </c>
      <c r="U89" s="220">
        <f t="shared" si="21"/>
        <v>447325.26252909622</v>
      </c>
      <c r="V89" s="220" t="e">
        <f>#REF!</f>
        <v>#REF!</v>
      </c>
      <c r="W89" s="220">
        <f t="shared" ref="W89:W110" si="24">E89</f>
        <v>0</v>
      </c>
      <c r="X89" s="220">
        <f t="shared" ref="X89:X110" si="25">SUM(F89:M89)</f>
        <v>0</v>
      </c>
      <c r="Y89" s="220">
        <f t="shared" si="22"/>
        <v>420055.2123566324</v>
      </c>
      <c r="Z89" s="220">
        <f t="shared" si="23"/>
        <v>1961642.7768657496</v>
      </c>
    </row>
    <row r="90" spans="2:27" ht="15.75" thickBot="1" x14ac:dyDescent="0.3">
      <c r="B90" s="87" t="s">
        <v>19</v>
      </c>
      <c r="C90" s="88">
        <f>SUM('ABP Under Contract'!K94:P94)</f>
        <v>733278.48</v>
      </c>
      <c r="D90" s="88">
        <f>'REC Spend projected'!H89+'REC Spend projected'!I89+'REC Spend projected'!J89+'REC Spend projected'!K89+'REC Spend projected'!L89</f>
        <v>310339.27021565777</v>
      </c>
      <c r="E90" s="88">
        <f>E6*'REC Spend projected'!$B$83</f>
        <v>0</v>
      </c>
      <c r="F90" s="88">
        <f>F6*'REC Spend projected'!$B$83</f>
        <v>0</v>
      </c>
      <c r="G90" s="88">
        <f>G6*'REC Spend projected'!$B$83</f>
        <v>0</v>
      </c>
      <c r="H90" s="88">
        <f>H6*'REC Spend projected'!$B$83</f>
        <v>0</v>
      </c>
      <c r="I90" s="88">
        <f>I6*'REC Spend projected'!$B$83</f>
        <v>0</v>
      </c>
      <c r="J90" s="88">
        <f>J6*'REC Spend projected'!$B$83</f>
        <v>0</v>
      </c>
      <c r="K90" s="88">
        <f>K6*'REC Spend projected'!$B$83</f>
        <v>0</v>
      </c>
      <c r="L90" s="88">
        <f>L6*'REC Spend projected'!$B$83</f>
        <v>0</v>
      </c>
      <c r="M90" s="88">
        <f>M6*'REC Spend projected'!$B$83</f>
        <v>0</v>
      </c>
      <c r="N90" s="88"/>
      <c r="O90" s="88">
        <f>O6*'REC Spend projected'!$B$83</f>
        <v>338397.00836118881</v>
      </c>
      <c r="P90" s="88">
        <f t="shared" si="20"/>
        <v>1382014.7585768467</v>
      </c>
      <c r="Q90" s="88">
        <f>'REC Spend projected'!AC87</f>
        <v>1943974.4688676836</v>
      </c>
      <c r="R90" s="88">
        <f>'REC Spend projected'!AE87</f>
        <v>248573.24931937945</v>
      </c>
      <c r="T90" s="203" t="s">
        <v>19</v>
      </c>
      <c r="U90" s="220">
        <f t="shared" si="21"/>
        <v>1043617.7502156578</v>
      </c>
      <c r="V90" s="220" t="e">
        <f>#REF!</f>
        <v>#REF!</v>
      </c>
      <c r="W90" s="220">
        <f t="shared" si="24"/>
        <v>0</v>
      </c>
      <c r="X90" s="220">
        <f t="shared" si="25"/>
        <v>0</v>
      </c>
      <c r="Y90" s="220">
        <f t="shared" si="22"/>
        <v>338397.00836118881</v>
      </c>
      <c r="Z90" s="220">
        <f t="shared" si="23"/>
        <v>1943974.4688676836</v>
      </c>
    </row>
    <row r="91" spans="2:27" ht="15.75" thickBot="1" x14ac:dyDescent="0.3">
      <c r="B91" s="87" t="s">
        <v>20</v>
      </c>
      <c r="C91" s="88">
        <f>SUM('ABP Under Contract'!K95:P95)</f>
        <v>5788790.3700000001</v>
      </c>
      <c r="D91" s="88">
        <f>'REC Spend projected'!H90+'REC Spend projected'!I90+'REC Spend projected'!J90+'REC Spend projected'!K90+'REC Spend projected'!L90</f>
        <v>668564.65643192735</v>
      </c>
      <c r="E91" s="88">
        <f>E7*'REC Spend projected'!$B$83</f>
        <v>0</v>
      </c>
      <c r="F91" s="88">
        <f>F7*'REC Spend projected'!$B$83</f>
        <v>0</v>
      </c>
      <c r="G91" s="88">
        <f>G7*'REC Spend projected'!$B$83</f>
        <v>0</v>
      </c>
      <c r="H91" s="88">
        <f>H7*'REC Spend projected'!$B$83</f>
        <v>0</v>
      </c>
      <c r="I91" s="88">
        <f>I7*'REC Spend projected'!$B$83</f>
        <v>0</v>
      </c>
      <c r="J91" s="88">
        <f>J7*'REC Spend projected'!$B$83</f>
        <v>0</v>
      </c>
      <c r="K91" s="88">
        <f>K7*'REC Spend projected'!$B$83</f>
        <v>0</v>
      </c>
      <c r="L91" s="88">
        <f>L7*'REC Spend projected'!$B$83</f>
        <v>0</v>
      </c>
      <c r="M91" s="88">
        <f>M7*'REC Spend projected'!$B$83</f>
        <v>0</v>
      </c>
      <c r="N91" s="88"/>
      <c r="O91" s="88">
        <f>O7*'REC Spend projected'!$B$83</f>
        <v>336889.55836099014</v>
      </c>
      <c r="P91" s="88">
        <f t="shared" si="20"/>
        <v>6794244.5847929176</v>
      </c>
      <c r="Q91" s="88">
        <f>'REC Spend projected'!AC88</f>
        <v>1631797.6884481404</v>
      </c>
      <c r="R91" s="88">
        <f>'REC Spend projected'!AE88</f>
        <v>-1154270.390102108</v>
      </c>
      <c r="T91" s="203" t="s">
        <v>20</v>
      </c>
      <c r="U91" s="220">
        <f t="shared" si="21"/>
        <v>6457355.0264319275</v>
      </c>
      <c r="V91" s="220" t="e">
        <f>#REF!</f>
        <v>#REF!</v>
      </c>
      <c r="W91" s="220">
        <f t="shared" si="24"/>
        <v>0</v>
      </c>
      <c r="X91" s="220">
        <f t="shared" si="25"/>
        <v>0</v>
      </c>
      <c r="Y91" s="220">
        <f t="shared" si="22"/>
        <v>336889.55836099014</v>
      </c>
      <c r="Z91" s="220">
        <f t="shared" si="23"/>
        <v>1631797.6884481404</v>
      </c>
    </row>
    <row r="92" spans="2:27" ht="15.75" thickBot="1" x14ac:dyDescent="0.3">
      <c r="B92" s="87" t="s">
        <v>22</v>
      </c>
      <c r="C92" s="88">
        <f>SUM('ABP Under Contract'!K96:P96)</f>
        <v>4342646.42</v>
      </c>
      <c r="D92" s="88">
        <f>'REC Spend projected'!H91+'REC Spend projected'!I91+'REC Spend projected'!J91+'REC Spend projected'!K91+'REC Spend projected'!L91</f>
        <v>897200.88195830828</v>
      </c>
      <c r="E92" s="88">
        <f>E8*'REC Spend projected'!$B$83</f>
        <v>0</v>
      </c>
      <c r="F92" s="88">
        <f>F8*'REC Spend projected'!$B$83</f>
        <v>0</v>
      </c>
      <c r="G92" s="88">
        <f>G8*'REC Spend projected'!$B$83</f>
        <v>0</v>
      </c>
      <c r="H92" s="88">
        <f>H8*'REC Spend projected'!$B$83</f>
        <v>0</v>
      </c>
      <c r="I92" s="88">
        <f>I8*'REC Spend projected'!$B$83</f>
        <v>0</v>
      </c>
      <c r="J92" s="88">
        <f>J8*'REC Spend projected'!$B$83</f>
        <v>0</v>
      </c>
      <c r="K92" s="88">
        <f>K8*'REC Spend projected'!$B$83</f>
        <v>0</v>
      </c>
      <c r="L92" s="88">
        <f>L8*'REC Spend projected'!$B$83</f>
        <v>0</v>
      </c>
      <c r="M92" s="88">
        <f>M8*'REC Spend projected'!$B$83</f>
        <v>0</v>
      </c>
      <c r="N92" s="88"/>
      <c r="O92" s="88">
        <f>O8*'REC Spend projected'!$B$83</f>
        <v>436402.09268894134</v>
      </c>
      <c r="P92" s="88">
        <f t="shared" si="20"/>
        <v>5676249.39464725</v>
      </c>
      <c r="Q92" s="88">
        <f>'REC Spend projected'!AC89</f>
        <v>232773.84499588888</v>
      </c>
      <c r="R92" s="88">
        <f>'REC Spend projected'!AE89</f>
        <v>-3081054.6298692757</v>
      </c>
      <c r="T92" s="203" t="s">
        <v>22</v>
      </c>
      <c r="U92" s="220">
        <f t="shared" si="21"/>
        <v>5239847.3019583086</v>
      </c>
      <c r="V92" s="220" t="e">
        <f>#REF!</f>
        <v>#REF!</v>
      </c>
      <c r="W92" s="220">
        <f t="shared" si="24"/>
        <v>0</v>
      </c>
      <c r="X92" s="220">
        <f t="shared" si="25"/>
        <v>0</v>
      </c>
      <c r="Y92" s="220">
        <f t="shared" si="22"/>
        <v>436402.09268894134</v>
      </c>
      <c r="Z92" s="220">
        <f t="shared" si="23"/>
        <v>232773.84499588888</v>
      </c>
    </row>
    <row r="93" spans="2:27" ht="15.75" thickBot="1" x14ac:dyDescent="0.3">
      <c r="B93" s="87" t="s">
        <v>23</v>
      </c>
      <c r="C93" s="88">
        <f>SUM('ABP Under Contract'!K97:P97)</f>
        <v>3372274.44</v>
      </c>
      <c r="D93" s="88">
        <f>'REC Spend projected'!H92+'REC Spend projected'!I92+'REC Spend projected'!J92+'REC Spend projected'!K92+'REC Spend projected'!L92</f>
        <v>830672.82118403004</v>
      </c>
      <c r="E93" s="88">
        <f>E9*'REC Spend projected'!$B$83</f>
        <v>0</v>
      </c>
      <c r="F93" s="88">
        <f>F9*'REC Spend projected'!$B$83</f>
        <v>0</v>
      </c>
      <c r="G93" s="88">
        <f>G9*'REC Spend projected'!$B$83</f>
        <v>0</v>
      </c>
      <c r="H93" s="88">
        <f>H9*'REC Spend projected'!$B$83</f>
        <v>0</v>
      </c>
      <c r="I93" s="88">
        <f>I9*'REC Spend projected'!$B$83</f>
        <v>0</v>
      </c>
      <c r="J93" s="88">
        <f>J9*'REC Spend projected'!$B$83</f>
        <v>0</v>
      </c>
      <c r="K93" s="88">
        <f>K9*'REC Spend projected'!$B$83</f>
        <v>0</v>
      </c>
      <c r="L93" s="88">
        <f>L9*'REC Spend projected'!$B$83</f>
        <v>0</v>
      </c>
      <c r="M93" s="88">
        <f>M9*'REC Spend projected'!$B$83</f>
        <v>0</v>
      </c>
      <c r="N93" s="88"/>
      <c r="O93" s="88">
        <f>O9*'REC Spend projected'!$B$83</f>
        <v>336015.25224328879</v>
      </c>
      <c r="P93" s="88">
        <f t="shared" si="20"/>
        <v>4538962.513427319</v>
      </c>
      <c r="Q93" s="88">
        <f>'REC Spend projected'!AC90</f>
        <v>-1694898.0383153348</v>
      </c>
      <c r="R93" s="88">
        <f>'REC Spend projected'!AE90</f>
        <v>-5184894.4717820194</v>
      </c>
      <c r="T93" s="203" t="s">
        <v>23</v>
      </c>
      <c r="U93" s="220">
        <f t="shared" si="21"/>
        <v>4202947.2611840302</v>
      </c>
      <c r="V93" s="220" t="e">
        <f>#REF!</f>
        <v>#REF!</v>
      </c>
      <c r="W93" s="220">
        <f t="shared" si="24"/>
        <v>0</v>
      </c>
      <c r="X93" s="220">
        <f t="shared" si="25"/>
        <v>0</v>
      </c>
      <c r="Y93" s="220">
        <f t="shared" si="22"/>
        <v>336015.25224328879</v>
      </c>
      <c r="Z93" s="220">
        <f t="shared" si="23"/>
        <v>-1694898.0383153348</v>
      </c>
    </row>
    <row r="94" spans="2:27" ht="15.75" thickBot="1" x14ac:dyDescent="0.3">
      <c r="B94" s="87" t="s">
        <v>24</v>
      </c>
      <c r="C94" s="88">
        <f>SUM('ABP Under Contract'!K98:P98)</f>
        <v>1556148.57</v>
      </c>
      <c r="D94" s="88">
        <f>'REC Spend projected'!H93+'REC Spend projected'!I93+'REC Spend projected'!J93+'REC Spend projected'!K93+'REC Spend projected'!L93</f>
        <v>795460.05583528895</v>
      </c>
      <c r="E94" s="88">
        <f>E10*'REC Spend projected'!$B$83</f>
        <v>1022259.6356294242</v>
      </c>
      <c r="F94" s="88">
        <f>F10*'REC Spend projected'!$B$83</f>
        <v>0</v>
      </c>
      <c r="G94" s="88">
        <f>G10*'REC Spend projected'!$B$83</f>
        <v>0</v>
      </c>
      <c r="H94" s="88">
        <f>H10*'REC Spend projected'!$B$83</f>
        <v>0</v>
      </c>
      <c r="I94" s="88">
        <f>I10*'REC Spend projected'!$B$83</f>
        <v>0</v>
      </c>
      <c r="J94" s="88">
        <f>J10*'REC Spend projected'!$B$83</f>
        <v>0</v>
      </c>
      <c r="K94" s="88">
        <f>K10*'REC Spend projected'!$B$83</f>
        <v>0</v>
      </c>
      <c r="L94" s="88">
        <f>L10*'REC Spend projected'!$B$83</f>
        <v>0</v>
      </c>
      <c r="M94" s="88">
        <f>M10*'REC Spend projected'!$B$83</f>
        <v>0</v>
      </c>
      <c r="N94" s="88"/>
      <c r="O94" s="88">
        <f>O10*'REC Spend projected'!$B$83</f>
        <v>334718.59925664368</v>
      </c>
      <c r="P94" s="88">
        <f t="shared" si="20"/>
        <v>3708586.8607213572</v>
      </c>
      <c r="Q94" s="88">
        <f>'REC Spend projected'!AC91</f>
        <v>-3794037.5559793599</v>
      </c>
      <c r="R94" s="88">
        <f>'REC Spend projected'!AE91</f>
        <v>-7616570.6340452079</v>
      </c>
      <c r="T94" s="203" t="s">
        <v>24</v>
      </c>
      <c r="U94" s="220">
        <f t="shared" si="21"/>
        <v>2351608.6258352892</v>
      </c>
      <c r="V94" s="220" t="e">
        <f>#REF!</f>
        <v>#REF!</v>
      </c>
      <c r="W94" s="220">
        <f t="shared" si="24"/>
        <v>1022259.6356294242</v>
      </c>
      <c r="X94" s="220">
        <f t="shared" si="25"/>
        <v>0</v>
      </c>
      <c r="Y94" s="220">
        <f t="shared" si="22"/>
        <v>334718.59925664368</v>
      </c>
      <c r="Z94" s="220">
        <f t="shared" si="23"/>
        <v>-3794037.5559793599</v>
      </c>
    </row>
    <row r="95" spans="2:27" ht="15.75" thickBot="1" x14ac:dyDescent="0.3">
      <c r="B95" s="87" t="s">
        <v>25</v>
      </c>
      <c r="C95" s="88">
        <f>SUM('ABP Under Contract'!K99:P99)</f>
        <v>1490887.91</v>
      </c>
      <c r="D95" s="88">
        <f>'REC Spend projected'!H94+'REC Spend projected'!I94+'REC Spend projected'!J94+'REC Spend projected'!K94+'REC Spend projected'!L94</f>
        <v>743139.28608776396</v>
      </c>
      <c r="E95" s="88">
        <f>E11*'REC Spend projected'!$B$83</f>
        <v>1779607.9305665323</v>
      </c>
      <c r="F95" s="88">
        <f>F11*'REC Spend projected'!$B$83</f>
        <v>0</v>
      </c>
      <c r="G95" s="88">
        <f>G11*'REC Spend projected'!$B$83</f>
        <v>0</v>
      </c>
      <c r="H95" s="88">
        <f>H11*'REC Spend projected'!$B$83</f>
        <v>0</v>
      </c>
      <c r="I95" s="88">
        <f>I11*'REC Spend projected'!$B$83</f>
        <v>0</v>
      </c>
      <c r="J95" s="88">
        <f>J11*'REC Spend projected'!$B$83</f>
        <v>0</v>
      </c>
      <c r="K95" s="88">
        <f>K11*'REC Spend projected'!$B$83</f>
        <v>0</v>
      </c>
      <c r="L95" s="88">
        <f>L11*'REC Spend projected'!$B$83</f>
        <v>0</v>
      </c>
      <c r="M95" s="88">
        <f>M11*'REC Spend projected'!$B$83</f>
        <v>0</v>
      </c>
      <c r="N95" s="88"/>
      <c r="O95" s="88">
        <f>O11*'REC Spend projected'!$B$83</f>
        <v>434668.54631219973</v>
      </c>
      <c r="P95" s="88">
        <f t="shared" si="20"/>
        <v>4448303.6729664961</v>
      </c>
      <c r="Q95" s="88">
        <f>'REC Spend projected'!AC92</f>
        <v>-6224193.9725830797</v>
      </c>
      <c r="R95" s="88">
        <f>'REC Spend projected'!AE92</f>
        <v>-10097490.87339817</v>
      </c>
      <c r="T95" s="203" t="s">
        <v>25</v>
      </c>
      <c r="U95" s="220">
        <f t="shared" si="21"/>
        <v>2234027.1960877636</v>
      </c>
      <c r="V95" s="220" t="e">
        <f>#REF!</f>
        <v>#REF!</v>
      </c>
      <c r="W95" s="220">
        <f t="shared" si="24"/>
        <v>1779607.9305665323</v>
      </c>
      <c r="X95" s="220">
        <f t="shared" si="25"/>
        <v>0</v>
      </c>
      <c r="Y95" s="220">
        <f t="shared" si="22"/>
        <v>434668.54631219973</v>
      </c>
      <c r="Z95" s="220">
        <f t="shared" si="23"/>
        <v>-6224193.9725830797</v>
      </c>
    </row>
    <row r="96" spans="2:27" ht="15.75" thickBot="1" x14ac:dyDescent="0.3">
      <c r="B96" s="90" t="s">
        <v>26</v>
      </c>
      <c r="C96" s="88">
        <f>SUM('ABP Under Contract'!K100:P100)</f>
        <v>776505.54</v>
      </c>
      <c r="D96" s="88">
        <f>'REC Spend projected'!H95+'REC Spend projected'!I95+'REC Spend projected'!J95+'REC Spend projected'!K95+'REC Spend projected'!L95</f>
        <v>694696.7534995171</v>
      </c>
      <c r="E96" s="88">
        <f>E12*'REC Spend projected'!$B$83</f>
        <v>1057798.8578881302</v>
      </c>
      <c r="F96" s="88">
        <f>F12*'REC Spend projected'!$B$83</f>
        <v>942114.48019607738</v>
      </c>
      <c r="G96" s="88">
        <f>G12*'REC Spend projected'!$B$83</f>
        <v>0</v>
      </c>
      <c r="H96" s="88">
        <f>H12*'REC Spend projected'!$B$83</f>
        <v>0</v>
      </c>
      <c r="I96" s="88">
        <f>I12*'REC Spend projected'!$B$83</f>
        <v>0</v>
      </c>
      <c r="J96" s="88">
        <f>J12*'REC Spend projected'!$B$83</f>
        <v>0</v>
      </c>
      <c r="K96" s="88">
        <f>K12*'REC Spend projected'!$B$83</f>
        <v>0</v>
      </c>
      <c r="L96" s="88">
        <f>L12*'REC Spend projected'!$B$83</f>
        <v>0</v>
      </c>
      <c r="M96" s="88">
        <f>M12*'REC Spend projected'!$B$83</f>
        <v>0</v>
      </c>
      <c r="N96" s="88"/>
      <c r="O96" s="88">
        <f>O12*'REC Spend projected'!$B$83</f>
        <v>334806.74939907016</v>
      </c>
      <c r="P96" s="88">
        <f t="shared" si="20"/>
        <v>3805922.3809827953</v>
      </c>
      <c r="Q96" s="88">
        <f>'REC Spend projected'!AC93</f>
        <v>-8702656.6770537291</v>
      </c>
      <c r="R96" s="88">
        <f>'REC Spend projected'!AE93</f>
        <v>-12950204.206564412</v>
      </c>
      <c r="T96" s="204" t="s">
        <v>26</v>
      </c>
      <c r="U96" s="220">
        <f t="shared" si="21"/>
        <v>1471202.2934995173</v>
      </c>
      <c r="V96" s="220" t="e">
        <f>#REF!</f>
        <v>#REF!</v>
      </c>
      <c r="W96" s="220">
        <f t="shared" si="24"/>
        <v>1057798.8578881302</v>
      </c>
      <c r="X96" s="220">
        <f t="shared" si="25"/>
        <v>942114.48019607738</v>
      </c>
      <c r="Y96" s="220">
        <f t="shared" si="22"/>
        <v>334806.74939907016</v>
      </c>
      <c r="Z96" s="220">
        <f t="shared" si="23"/>
        <v>-8702656.6770537291</v>
      </c>
    </row>
    <row r="97" spans="2:26" ht="15.75" thickBot="1" x14ac:dyDescent="0.3">
      <c r="B97" s="87" t="s">
        <v>27</v>
      </c>
      <c r="C97" s="88">
        <f>SUM('ABP Under Contract'!K101:P101)</f>
        <v>776505.54</v>
      </c>
      <c r="D97" s="88">
        <f>'REC Spend projected'!H96+'REC Spend projected'!I96+'REC Spend projected'!J96+'REC Spend projected'!K96+'REC Spend projected'!L96</f>
        <v>702758.37299019028</v>
      </c>
      <c r="E97" s="88">
        <f>E13*'REC Spend projected'!$B$83</f>
        <v>1037535.0805920124</v>
      </c>
      <c r="F97" s="88">
        <f>F13*'REC Spend projected'!$B$83</f>
        <v>1433904.2194292396</v>
      </c>
      <c r="G97" s="88">
        <f>G13*'REC Spend projected'!$B$83</f>
        <v>0</v>
      </c>
      <c r="H97" s="88">
        <f>H13*'REC Spend projected'!$B$83</f>
        <v>0</v>
      </c>
      <c r="I97" s="88">
        <f>I13*'REC Spend projected'!$B$83</f>
        <v>0</v>
      </c>
      <c r="J97" s="88">
        <f>J13*'REC Spend projected'!$B$83</f>
        <v>0</v>
      </c>
      <c r="K97" s="88">
        <f>K13*'REC Spend projected'!$B$83</f>
        <v>0</v>
      </c>
      <c r="L97" s="88">
        <f>L13*'REC Spend projected'!$B$83</f>
        <v>0</v>
      </c>
      <c r="M97" s="88">
        <f>M13*'REC Spend projected'!$B$83</f>
        <v>0</v>
      </c>
      <c r="N97" s="88"/>
      <c r="O97" s="88">
        <f>O13*'REC Spend projected'!$B$83</f>
        <v>334876.65753054508</v>
      </c>
      <c r="P97" s="88">
        <f t="shared" si="20"/>
        <v>4285579.870541987</v>
      </c>
      <c r="Q97" s="88">
        <f>'REC Spend projected'!AC94</f>
        <v>-11554941.936836777</v>
      </c>
      <c r="R97" s="88">
        <f>'REC Spend projected'!AE94</f>
        <v>-16190191.048035359</v>
      </c>
      <c r="T97" s="203" t="s">
        <v>27</v>
      </c>
      <c r="U97" s="220">
        <f t="shared" si="21"/>
        <v>1479263.9129901903</v>
      </c>
      <c r="V97" s="220" t="e">
        <f>#REF!</f>
        <v>#REF!</v>
      </c>
      <c r="W97" s="220">
        <f t="shared" si="24"/>
        <v>1037535.0805920124</v>
      </c>
      <c r="X97" s="220">
        <f t="shared" si="25"/>
        <v>1433904.2194292396</v>
      </c>
      <c r="Y97" s="220">
        <f t="shared" si="22"/>
        <v>334876.65753054508</v>
      </c>
      <c r="Z97" s="220">
        <f t="shared" si="23"/>
        <v>-11554941.936836777</v>
      </c>
    </row>
    <row r="98" spans="2:26" ht="15.75" thickBot="1" x14ac:dyDescent="0.3">
      <c r="B98" s="87" t="s">
        <v>28</v>
      </c>
      <c r="C98" s="88">
        <f>SUM('ABP Under Contract'!K102:P102)</f>
        <v>724155.7</v>
      </c>
      <c r="D98" s="88">
        <f>'REC Spend projected'!H97+'REC Spend projected'!I97+'REC Spend projected'!J97+'REC Spend projected'!K97+'REC Spend projected'!L97</f>
        <v>674838.05563612073</v>
      </c>
      <c r="E98" s="88">
        <f>E14*'REC Spend projected'!$B$83</f>
        <v>1010269.3180206548</v>
      </c>
      <c r="F98" s="88">
        <f>F14*'REC Spend projected'!$B$83</f>
        <v>981192.58224374591</v>
      </c>
      <c r="G98" s="88">
        <f>G14*'REC Spend projected'!$B$83</f>
        <v>868252.70494870481</v>
      </c>
      <c r="H98" s="88">
        <f>H14*'REC Spend projected'!$B$83</f>
        <v>0</v>
      </c>
      <c r="I98" s="88">
        <f>I14*'REC Spend projected'!$B$83</f>
        <v>0</v>
      </c>
      <c r="J98" s="88">
        <f>J14*'REC Spend projected'!$B$83</f>
        <v>0</v>
      </c>
      <c r="K98" s="88">
        <f>K14*'REC Spend projected'!$B$83</f>
        <v>0</v>
      </c>
      <c r="L98" s="88">
        <f>L14*'REC Spend projected'!$B$83</f>
        <v>0</v>
      </c>
      <c r="M98" s="88">
        <f>M14*'REC Spend projected'!$B$83</f>
        <v>0</v>
      </c>
      <c r="N98" s="88"/>
      <c r="O98" s="88">
        <f>O14*'REC Spend projected'!$B$83</f>
        <v>435474.11840802792</v>
      </c>
      <c r="P98" s="88">
        <f t="shared" si="20"/>
        <v>4694182.4792572539</v>
      </c>
      <c r="Q98" s="88">
        <f>'REC Spend projected'!AC95</f>
        <v>-14792573.273459518</v>
      </c>
      <c r="R98" s="88">
        <f>'REC Spend projected'!AE95</f>
        <v>-19726213.831677362</v>
      </c>
      <c r="T98" s="203" t="s">
        <v>28</v>
      </c>
      <c r="U98" s="220">
        <f t="shared" si="21"/>
        <v>1398993.7556361207</v>
      </c>
      <c r="V98" s="220" t="e">
        <f>#REF!</f>
        <v>#REF!</v>
      </c>
      <c r="W98" s="220">
        <f t="shared" si="24"/>
        <v>1010269.3180206548</v>
      </c>
      <c r="X98" s="220">
        <f t="shared" si="25"/>
        <v>1849445.2871924508</v>
      </c>
      <c r="Y98" s="220">
        <f t="shared" si="22"/>
        <v>435474.11840802792</v>
      </c>
      <c r="Z98" s="220">
        <f t="shared" si="23"/>
        <v>-14792573.273459518</v>
      </c>
    </row>
    <row r="99" spans="2:26" ht="15.75" thickBot="1" x14ac:dyDescent="0.3">
      <c r="B99" s="87" t="s">
        <v>29</v>
      </c>
      <c r="C99" s="88">
        <f>SUM('ABP Under Contract'!K103:P103)</f>
        <v>288699.28999999998</v>
      </c>
      <c r="D99" s="88">
        <f>'REC Spend projected'!H98+'REC Spend projected'!I98+'REC Spend projected'!J98+'REC Spend projected'!K98+'REC Spend projected'!L98</f>
        <v>633281.51999374689</v>
      </c>
      <c r="E99" s="88">
        <f>E15*'REC Spend projected'!$B$83</f>
        <v>984918.90754199529</v>
      </c>
      <c r="F99" s="88">
        <f>F15*'REC Spend projected'!$B$83</f>
        <v>918303.73875998578</v>
      </c>
      <c r="G99" s="88">
        <f>G15*'REC Spend projected'!$B$83</f>
        <v>1243181.0259622599</v>
      </c>
      <c r="H99" s="88">
        <f>H15*'REC Spend projected'!$B$83</f>
        <v>0</v>
      </c>
      <c r="I99" s="88">
        <f>I15*'REC Spend projected'!$B$83</f>
        <v>0</v>
      </c>
      <c r="J99" s="88">
        <f>J15*'REC Spend projected'!$B$83</f>
        <v>0</v>
      </c>
      <c r="K99" s="88">
        <f>K15*'REC Spend projected'!$B$83</f>
        <v>0</v>
      </c>
      <c r="L99" s="88">
        <f>L15*'REC Spend projected'!$B$83</f>
        <v>0</v>
      </c>
      <c r="M99" s="88">
        <f>M15*'REC Spend projected'!$B$83</f>
        <v>0</v>
      </c>
      <c r="N99" s="88"/>
      <c r="O99" s="88">
        <f>O15*'REC Spend projected'!$B$83</f>
        <v>335877.74929775833</v>
      </c>
      <c r="P99" s="88">
        <f t="shared" si="20"/>
        <v>4404262.2315557459</v>
      </c>
      <c r="Q99" s="88">
        <f>'REC Spend projected'!AC96</f>
        <v>-18327074.815036897</v>
      </c>
      <c r="R99" s="88">
        <f>'REC Spend projected'!AE96</f>
        <v>-23060809.866939019</v>
      </c>
      <c r="T99" s="203" t="s">
        <v>29</v>
      </c>
      <c r="U99" s="220">
        <f t="shared" si="21"/>
        <v>921980.80999374692</v>
      </c>
      <c r="V99" s="220" t="e">
        <f>#REF!</f>
        <v>#REF!</v>
      </c>
      <c r="W99" s="220">
        <f t="shared" si="24"/>
        <v>984918.90754199529</v>
      </c>
      <c r="X99" s="220">
        <f t="shared" si="25"/>
        <v>2161484.7647222457</v>
      </c>
      <c r="Y99" s="220">
        <f t="shared" si="22"/>
        <v>335877.74929775833</v>
      </c>
      <c r="Z99" s="220">
        <f t="shared" si="23"/>
        <v>-18327074.815036897</v>
      </c>
    </row>
    <row r="100" spans="2:26" ht="15.75" thickBot="1" x14ac:dyDescent="0.3">
      <c r="B100" s="87" t="s">
        <v>30</v>
      </c>
      <c r="C100" s="88">
        <f>SUM('ABP Under Contract'!K104:P104)</f>
        <v>0</v>
      </c>
      <c r="D100" s="88">
        <f>'REC Spend projected'!H99+'REC Spend projected'!I99+'REC Spend projected'!J99+'REC Spend projected'!K99+'REC Spend projected'!L99</f>
        <v>590033.4454909825</v>
      </c>
      <c r="E100" s="88">
        <f>E16*'REC Spend projected'!$B$83</f>
        <v>987654.21113608067</v>
      </c>
      <c r="F100" s="88">
        <f>F16*'REC Spend projected'!$B$83</f>
        <v>929869.48754167394</v>
      </c>
      <c r="G100" s="88">
        <f>G16*'REC Spend projected'!$B$83</f>
        <v>818808.27240361786</v>
      </c>
      <c r="H100" s="88">
        <f>H16*'REC Spend projected'!$B$83</f>
        <v>800181.69288072619</v>
      </c>
      <c r="I100" s="88">
        <f>I16*'REC Spend projected'!$B$83</f>
        <v>0</v>
      </c>
      <c r="J100" s="88">
        <f>J16*'REC Spend projected'!$B$83</f>
        <v>0</v>
      </c>
      <c r="K100" s="88">
        <f>K16*'REC Spend projected'!$B$83</f>
        <v>0</v>
      </c>
      <c r="L100" s="88">
        <f>L16*'REC Spend projected'!$B$83</f>
        <v>0</v>
      </c>
      <c r="M100" s="88">
        <f>M16*'REC Spend projected'!$B$83</f>
        <v>0</v>
      </c>
      <c r="N100" s="88"/>
      <c r="O100" s="88">
        <f>O16*'REC Spend projected'!$B$83</f>
        <v>336447.97373891989</v>
      </c>
      <c r="P100" s="88">
        <f t="shared" si="20"/>
        <v>4462995.0831920011</v>
      </c>
      <c r="Q100" s="88">
        <f>'REC Spend projected'!AC97</f>
        <v>-21659703.528227612</v>
      </c>
      <c r="R100" s="88">
        <f>'REC Spend projected'!AE97</f>
        <v>-26551713.682793386</v>
      </c>
      <c r="T100" s="203" t="s">
        <v>30</v>
      </c>
      <c r="U100" s="220">
        <f t="shared" si="21"/>
        <v>590033.4454909825</v>
      </c>
      <c r="V100" s="220" t="e">
        <f>#REF!</f>
        <v>#REF!</v>
      </c>
      <c r="W100" s="220">
        <f t="shared" si="24"/>
        <v>987654.21113608067</v>
      </c>
      <c r="X100" s="220">
        <f t="shared" si="25"/>
        <v>2548859.452826018</v>
      </c>
      <c r="Y100" s="220">
        <f t="shared" si="22"/>
        <v>336447.97373891989</v>
      </c>
      <c r="Z100" s="220">
        <f t="shared" si="23"/>
        <v>-21659703.528227612</v>
      </c>
    </row>
    <row r="101" spans="2:26" ht="15.75" thickBot="1" x14ac:dyDescent="0.3">
      <c r="B101" s="87" t="s">
        <v>31</v>
      </c>
      <c r="C101" s="88">
        <f>SUM('ABP Under Contract'!K105:P105)</f>
        <v>0</v>
      </c>
      <c r="D101" s="88">
        <f>'REC Spend projected'!H100+'REC Spend projected'!I100+'REC Spend projected'!J100+'REC Spend projected'!K100+'REC Spend projected'!L100</f>
        <v>535135.54828473576</v>
      </c>
      <c r="E101" s="88">
        <f>E17*'REC Spend projected'!$B$83</f>
        <v>805468.6602731318</v>
      </c>
      <c r="F101" s="88">
        <f>F17*'REC Spend projected'!$B$83</f>
        <v>894694.44418077811</v>
      </c>
      <c r="G101" s="88">
        <f>G17*'REC Spend projected'!$B$83</f>
        <v>786675.91739940026</v>
      </c>
      <c r="H101" s="88">
        <f>H17*'REC Spend projected'!$B$83</f>
        <v>1100526.1697099742</v>
      </c>
      <c r="I101" s="88">
        <f>I17*'REC Spend projected'!$B$83</f>
        <v>0</v>
      </c>
      <c r="J101" s="88">
        <f>J17*'REC Spend projected'!$B$83</f>
        <v>0</v>
      </c>
      <c r="K101" s="88">
        <f>K17*'REC Spend projected'!$B$83</f>
        <v>0</v>
      </c>
      <c r="L101" s="88">
        <f>L17*'REC Spend projected'!$B$83</f>
        <v>0</v>
      </c>
      <c r="M101" s="88">
        <f>M17*'REC Spend projected'!$B$83</f>
        <v>0</v>
      </c>
      <c r="N101" s="88"/>
      <c r="O101" s="88">
        <f>O17*'REC Spend projected'!$B$83</f>
        <v>336723.16667295474</v>
      </c>
      <c r="P101" s="88">
        <f t="shared" si="20"/>
        <v>4459223.9065209748</v>
      </c>
      <c r="Q101" s="88">
        <f>'REC Spend projected'!AC98</f>
        <v>-25150153.370746221</v>
      </c>
      <c r="R101" s="88">
        <f>'REC Spend projected'!AE98</f>
        <v>-29501658.128831912</v>
      </c>
      <c r="T101" s="203" t="s">
        <v>31</v>
      </c>
      <c r="U101" s="220">
        <f t="shared" si="21"/>
        <v>535135.54828473576</v>
      </c>
      <c r="V101" s="220" t="e">
        <f>#REF!</f>
        <v>#REF!</v>
      </c>
      <c r="W101" s="220">
        <f t="shared" si="24"/>
        <v>805468.6602731318</v>
      </c>
      <c r="X101" s="220">
        <f t="shared" si="25"/>
        <v>2781896.5312901526</v>
      </c>
      <c r="Y101" s="220">
        <f t="shared" si="22"/>
        <v>336723.16667295474</v>
      </c>
      <c r="Z101" s="220">
        <f t="shared" si="23"/>
        <v>-25150153.370746221</v>
      </c>
    </row>
    <row r="102" spans="2:26" ht="15.75" thickBot="1" x14ac:dyDescent="0.3">
      <c r="B102" s="87" t="s">
        <v>32</v>
      </c>
      <c r="C102" s="88">
        <f>SUM('ABP Under Contract'!K106:P106)</f>
        <v>0</v>
      </c>
      <c r="D102" s="88">
        <f>'REC Spend projected'!H101+'REC Spend projected'!I101+'REC Spend projected'!J101+'REC Spend projected'!K101+'REC Spend projected'!L101</f>
        <v>464689.50948147394</v>
      </c>
      <c r="E102" s="88">
        <f>E18*'REC Spend projected'!$B$83</f>
        <v>599253.17395193898</v>
      </c>
      <c r="F102" s="88">
        <f>F18*'REC Spend projected'!$B$83</f>
        <v>848714.03194076219</v>
      </c>
      <c r="G102" s="88">
        <f>G18*'REC Spend projected'!$B$83</f>
        <v>746266.84570326435</v>
      </c>
      <c r="H102" s="88">
        <f>H18*'REC Spend projected'!$B$83</f>
        <v>633253.24164659285</v>
      </c>
      <c r="I102" s="88">
        <f>I18*'REC Spend projected'!$B$83</f>
        <v>737447.44815887732</v>
      </c>
      <c r="J102" s="88">
        <f>J18*'REC Spend projected'!$B$83</f>
        <v>0</v>
      </c>
      <c r="K102" s="88">
        <f>K18*'REC Spend projected'!$B$83</f>
        <v>0</v>
      </c>
      <c r="L102" s="88">
        <f>L18*'REC Spend projected'!$B$83</f>
        <v>0</v>
      </c>
      <c r="M102" s="88">
        <f>M18*'REC Spend projected'!$B$83</f>
        <v>0</v>
      </c>
      <c r="N102" s="88"/>
      <c r="O102" s="88">
        <f>O18*'REC Spend projected'!$B$83</f>
        <v>337170.0219550255</v>
      </c>
      <c r="P102" s="88">
        <f t="shared" si="20"/>
        <v>4366794.2728379359</v>
      </c>
      <c r="Q102" s="88">
        <f>'REC Spend projected'!AC99</f>
        <v>-28099120.470525071</v>
      </c>
      <c r="R102" s="88">
        <f>'REC Spend projected'!AE99</f>
        <v>-32285505.687630575</v>
      </c>
      <c r="T102" s="203" t="s">
        <v>32</v>
      </c>
      <c r="U102" s="220">
        <f t="shared" si="21"/>
        <v>464689.50948147394</v>
      </c>
      <c r="V102" s="220" t="e">
        <f>#REF!</f>
        <v>#REF!</v>
      </c>
      <c r="W102" s="220">
        <f t="shared" si="24"/>
        <v>599253.17395193898</v>
      </c>
      <c r="X102" s="220">
        <f t="shared" si="25"/>
        <v>2965681.5674494971</v>
      </c>
      <c r="Y102" s="220">
        <f t="shared" si="22"/>
        <v>337170.0219550255</v>
      </c>
      <c r="Z102" s="220">
        <f t="shared" si="23"/>
        <v>-28099120.470525071</v>
      </c>
    </row>
    <row r="103" spans="2:26" ht="15.75" thickBot="1" x14ac:dyDescent="0.3">
      <c r="B103" s="87" t="s">
        <v>33</v>
      </c>
      <c r="C103" s="88">
        <f>SUM('ABP Under Contract'!K107:P107)</f>
        <v>0</v>
      </c>
      <c r="D103" s="88">
        <f>'REC Spend projected'!H102+'REC Spend projected'!I102+'REC Spend projected'!J102+'REC Spend projected'!K102+'REC Spend projected'!L102</f>
        <v>404851.34740437375</v>
      </c>
      <c r="E103" s="88">
        <f>E19*'REC Spend projected'!$B$83</f>
        <v>550888.66606750025</v>
      </c>
      <c r="F103" s="88">
        <f>F19*'REC Spend projected'!$B$83</f>
        <v>639266.58990724455</v>
      </c>
      <c r="G103" s="88">
        <f>G19*'REC Spend projected'!$B$83</f>
        <v>697416.86867465673</v>
      </c>
      <c r="H103" s="88">
        <f>H19*'REC Spend projected'!$B$83</f>
        <v>606394.12876638793</v>
      </c>
      <c r="I103" s="88">
        <f>I19*'REC Spend projected'!$B$83</f>
        <v>645437.98828655726</v>
      </c>
      <c r="J103" s="88">
        <f>J19*'REC Spend projected'!$B$83</f>
        <v>0</v>
      </c>
      <c r="K103" s="88">
        <f>K19*'REC Spend projected'!$B$83</f>
        <v>0</v>
      </c>
      <c r="L103" s="88">
        <f>L19*'REC Spend projected'!$B$83</f>
        <v>0</v>
      </c>
      <c r="M103" s="88">
        <f>M19*'REC Spend projected'!$B$83</f>
        <v>0</v>
      </c>
      <c r="N103" s="88"/>
      <c r="O103" s="88">
        <f>O19*'REC Spend projected'!$B$83</f>
        <v>337497.87606703106</v>
      </c>
      <c r="P103" s="88">
        <f t="shared" si="20"/>
        <v>3881753.4651737516</v>
      </c>
      <c r="Q103" s="88">
        <f>'REC Spend projected'!AC100</f>
        <v>-30882061.941474374</v>
      </c>
      <c r="R103" s="88">
        <f>'REC Spend projected'!AE100</f>
        <v>-34845759.567128807</v>
      </c>
      <c r="T103" s="203" t="s">
        <v>33</v>
      </c>
      <c r="U103" s="220">
        <f t="shared" si="21"/>
        <v>404851.34740437375</v>
      </c>
      <c r="V103" s="220" t="e">
        <f>#REF!</f>
        <v>#REF!</v>
      </c>
      <c r="W103" s="220">
        <f t="shared" si="24"/>
        <v>550888.66606750025</v>
      </c>
      <c r="X103" s="220">
        <f t="shared" si="25"/>
        <v>2588515.5756348465</v>
      </c>
      <c r="Y103" s="220">
        <f t="shared" si="22"/>
        <v>337497.87606703106</v>
      </c>
      <c r="Z103" s="220">
        <f t="shared" si="23"/>
        <v>-30882061.941474374</v>
      </c>
    </row>
    <row r="104" spans="2:26" ht="15.75" thickBot="1" x14ac:dyDescent="0.3">
      <c r="B104" s="87" t="s">
        <v>34</v>
      </c>
      <c r="C104" s="88">
        <f>SUM('ABP Under Contract'!K108:P108)</f>
        <v>0</v>
      </c>
      <c r="D104" s="88">
        <f>'REC Spend projected'!H103+'REC Spend projected'!I103+'REC Spend projected'!J103+'REC Spend projected'!K103+'REC Spend projected'!L103</f>
        <v>367786.388959818</v>
      </c>
      <c r="E104" s="88">
        <f>E20*'REC Spend projected'!$B$83</f>
        <v>527950.30715850729</v>
      </c>
      <c r="F104" s="88">
        <f>F20*'REC Spend projected'!$B$83</f>
        <v>410833.89142143377</v>
      </c>
      <c r="G104" s="88">
        <f>G20*'REC Spend projected'!$B$83</f>
        <v>648003.68338763341</v>
      </c>
      <c r="H104" s="88">
        <f>H20*'REC Spend projected'!$B$83</f>
        <v>580464.36201780278</v>
      </c>
      <c r="I104" s="88">
        <f>I20*'REC Spend projected'!$B$83</f>
        <v>441278.62674466381</v>
      </c>
      <c r="J104" s="88">
        <f>J20*'REC Spend projected'!$B$83</f>
        <v>339815.78411161056</v>
      </c>
      <c r="K104" s="88">
        <f>K20*'REC Spend projected'!$B$83</f>
        <v>0</v>
      </c>
      <c r="L104" s="88">
        <f>L20*'REC Spend projected'!$B$83</f>
        <v>0</v>
      </c>
      <c r="M104" s="88">
        <f>M20*'REC Spend projected'!$B$83</f>
        <v>0</v>
      </c>
      <c r="N104" s="88"/>
      <c r="O104" s="88">
        <f>O20*'REC Spend projected'!$B$83</f>
        <v>337887.9901596065</v>
      </c>
      <c r="P104" s="88">
        <f t="shared" si="20"/>
        <v>3654021.0339610763</v>
      </c>
      <c r="Q104" s="88">
        <f>'REC Spend projected'!AC101</f>
        <v>-33441478.418931883</v>
      </c>
      <c r="R104" s="88">
        <f>'REC Spend projected'!AE101</f>
        <v>-37143340.25121367</v>
      </c>
      <c r="T104" s="203" t="s">
        <v>34</v>
      </c>
      <c r="U104" s="220">
        <f t="shared" si="21"/>
        <v>367786.388959818</v>
      </c>
      <c r="V104" s="220" t="e">
        <f>#REF!</f>
        <v>#REF!</v>
      </c>
      <c r="W104" s="220">
        <f t="shared" si="24"/>
        <v>527950.30715850729</v>
      </c>
      <c r="X104" s="220">
        <f t="shared" si="25"/>
        <v>2420396.3476831443</v>
      </c>
      <c r="Y104" s="220">
        <f t="shared" si="22"/>
        <v>337887.9901596065</v>
      </c>
      <c r="Z104" s="220">
        <f t="shared" si="23"/>
        <v>-33441478.418931883</v>
      </c>
    </row>
    <row r="105" spans="2:26" ht="15.75" thickBot="1" x14ac:dyDescent="0.3">
      <c r="B105" s="87" t="s">
        <v>35</v>
      </c>
      <c r="C105" s="88">
        <f>SUM('ABP Under Contract'!K109:P109)</f>
        <v>0</v>
      </c>
      <c r="D105" s="88">
        <f>'REC Spend projected'!H104+'REC Spend projected'!I104+'REC Spend projected'!J104+'REC Spend projected'!K104+'REC Spend projected'!L104</f>
        <v>333442.85233299533</v>
      </c>
      <c r="E105" s="88">
        <f>E21*'REC Spend projected'!$B$83</f>
        <v>510684.35123511351</v>
      </c>
      <c r="F105" s="88">
        <f>F21*'REC Spend projected'!$B$83</f>
        <v>345885.87087342289</v>
      </c>
      <c r="G105" s="88">
        <f>G21*'REC Spend projected'!$B$83</f>
        <v>469682.99168252805</v>
      </c>
      <c r="H105" s="88">
        <f>H21*'REC Spend projected'!$B$83</f>
        <v>561211.59507665399</v>
      </c>
      <c r="I105" s="88">
        <f>I21*'REC Spend projected'!$B$83</f>
        <v>421649.05922990741</v>
      </c>
      <c r="J105" s="88">
        <f>J21*'REC Spend projected'!$B$83</f>
        <v>476902.08955145674</v>
      </c>
      <c r="K105" s="88">
        <f>K21*'REC Spend projected'!$B$83</f>
        <v>0</v>
      </c>
      <c r="L105" s="88">
        <f>L21*'REC Spend projected'!$B$83</f>
        <v>0</v>
      </c>
      <c r="M105" s="88">
        <f>M21*'REC Spend projected'!$B$83</f>
        <v>0</v>
      </c>
      <c r="N105" s="88"/>
      <c r="O105" s="88">
        <f>O21*'REC Spend projected'!$B$83</f>
        <v>338075.78969751421</v>
      </c>
      <c r="P105" s="88">
        <f t="shared" si="20"/>
        <v>3457534.5996795925</v>
      </c>
      <c r="Q105" s="88">
        <f>'REC Spend projected'!AC102</f>
        <v>-35738286.422882013</v>
      </c>
      <c r="R105" s="88">
        <f>'REC Spend projected'!AE102</f>
        <v>-39218320.782988146</v>
      </c>
      <c r="T105" s="203" t="s">
        <v>35</v>
      </c>
      <c r="U105" s="220">
        <f t="shared" si="21"/>
        <v>333442.85233299533</v>
      </c>
      <c r="V105" s="220" t="e">
        <f>#REF!</f>
        <v>#REF!</v>
      </c>
      <c r="W105" s="220">
        <f t="shared" si="24"/>
        <v>510684.35123511351</v>
      </c>
      <c r="X105" s="220">
        <f t="shared" si="25"/>
        <v>2275331.6064139688</v>
      </c>
      <c r="Y105" s="220">
        <f t="shared" si="22"/>
        <v>338075.78969751421</v>
      </c>
      <c r="Z105" s="220">
        <f t="shared" si="23"/>
        <v>-35738286.422882013</v>
      </c>
    </row>
    <row r="106" spans="2:26" ht="15.75" thickBot="1" x14ac:dyDescent="0.3">
      <c r="B106" s="87" t="s">
        <v>36</v>
      </c>
      <c r="C106" s="88">
        <f>SUM('ABP Under Contract'!K110:P110)</f>
        <v>0</v>
      </c>
      <c r="D106" s="88">
        <f>'REC Spend projected'!H105+'REC Spend projected'!I105+'REC Spend projected'!J105+'REC Spend projected'!K105+'REC Spend projected'!L105</f>
        <v>297254.6251029835</v>
      </c>
      <c r="E106" s="88">
        <f>E22*'REC Spend projected'!$B$83</f>
        <v>489268.90816193342</v>
      </c>
      <c r="F106" s="88">
        <f>F22*'REC Spend projected'!$B$83</f>
        <v>293402.40136458323</v>
      </c>
      <c r="G106" s="88">
        <f>G22*'REC Spend projected'!$B$83</f>
        <v>264574.85460990149</v>
      </c>
      <c r="H106" s="88">
        <f>H22*'REC Spend projected'!$B$83</f>
        <v>536956.25282901479</v>
      </c>
      <c r="I106" s="88">
        <f>I22*'REC Spend projected'!$B$83</f>
        <v>397536.02110577503</v>
      </c>
      <c r="J106" s="88">
        <f>J22*'REC Spend projected'!$B$83</f>
        <v>273195.23209186399</v>
      </c>
      <c r="K106" s="88">
        <f>K22*'REC Spend projected'!$B$83</f>
        <v>313174.22663726035</v>
      </c>
      <c r="L106" s="88">
        <f>L22*'REC Spend projected'!$B$83</f>
        <v>0</v>
      </c>
      <c r="M106" s="88">
        <f>M22*'REC Spend projected'!$B$83</f>
        <v>0</v>
      </c>
      <c r="N106" s="88"/>
      <c r="O106" s="88">
        <f>O22*'REC Spend projected'!$B$83</f>
        <v>338491.3946067561</v>
      </c>
      <c r="P106" s="88">
        <f t="shared" si="20"/>
        <v>3203853.9165100721</v>
      </c>
      <c r="Q106" s="88">
        <f>'REC Spend projected'!AC103</f>
        <v>-37812557.119571768</v>
      </c>
      <c r="R106" s="88">
        <f>'REC Spend projected'!AE103</f>
        <v>-41036586.252309397</v>
      </c>
      <c r="T106" s="203" t="s">
        <v>36</v>
      </c>
      <c r="U106" s="220">
        <f t="shared" si="21"/>
        <v>297254.6251029835</v>
      </c>
      <c r="V106" s="220" t="e">
        <f>#REF!</f>
        <v>#REF!</v>
      </c>
      <c r="W106" s="220">
        <f t="shared" si="24"/>
        <v>489268.90816193342</v>
      </c>
      <c r="X106" s="220">
        <f t="shared" si="25"/>
        <v>2078838.9886383989</v>
      </c>
      <c r="Y106" s="220">
        <f t="shared" si="22"/>
        <v>338491.3946067561</v>
      </c>
      <c r="Z106" s="220">
        <f t="shared" si="23"/>
        <v>-37812557.119571768</v>
      </c>
    </row>
    <row r="107" spans="2:26" ht="15.75" thickBot="1" x14ac:dyDescent="0.3">
      <c r="B107" s="87" t="s">
        <v>37</v>
      </c>
      <c r="C107" s="88">
        <f>SUM('ABP Under Contract'!K111:P111)</f>
        <v>0</v>
      </c>
      <c r="D107" s="88">
        <f>'REC Spend projected'!H106+'REC Spend projected'!I106+'REC Spend projected'!J106+'REC Spend projected'!K106+'REC Spend projected'!L106</f>
        <v>261352.8594644258</v>
      </c>
      <c r="E107" s="88">
        <f>E23*'REC Spend projected'!$B$83</f>
        <v>469523.90120319912</v>
      </c>
      <c r="F107" s="88">
        <f>F23*'REC Spend projected'!$B$83</f>
        <v>245134.0787517672</v>
      </c>
      <c r="G107" s="88">
        <f>G23*'REC Spend projected'!$B$83</f>
        <v>200253.26645018582</v>
      </c>
      <c r="H107" s="88">
        <f>H23*'REC Spend projected'!$B$83</f>
        <v>383878.50204924203</v>
      </c>
      <c r="I107" s="88">
        <f>I23*'REC Spend projected'!$B$83</f>
        <v>375354.46476013964</v>
      </c>
      <c r="J107" s="88">
        <f>J23*'REC Spend projected'!$B$83</f>
        <v>250638.91562476192</v>
      </c>
      <c r="K107" s="88">
        <f>K23*'REC Spend projected'!$B$83</f>
        <v>421099.18301246531</v>
      </c>
      <c r="L107" s="88">
        <f>L23*'REC Spend projected'!$B$83</f>
        <v>0</v>
      </c>
      <c r="M107" s="88">
        <f>M23*'REC Spend projected'!$B$83</f>
        <v>0</v>
      </c>
      <c r="N107" s="88"/>
      <c r="O107" s="88">
        <f>O23*'REC Spend projected'!$B$83</f>
        <v>338829.10738786613</v>
      </c>
      <c r="P107" s="88">
        <f t="shared" si="20"/>
        <v>2946064.2787040528</v>
      </c>
      <c r="Q107" s="88">
        <f>'REC Spend projected'!AC104</f>
        <v>-39630172.982925273</v>
      </c>
      <c r="R107" s="88">
        <f>'REC Spend projected'!AE104</f>
        <v>-42596748.308630474</v>
      </c>
      <c r="T107" s="203" t="s">
        <v>37</v>
      </c>
      <c r="U107" s="220">
        <f t="shared" si="21"/>
        <v>261352.8594644258</v>
      </c>
      <c r="V107" s="220" t="e">
        <f>#REF!</f>
        <v>#REF!</v>
      </c>
      <c r="W107" s="220">
        <f t="shared" si="24"/>
        <v>469523.90120319912</v>
      </c>
      <c r="X107" s="220">
        <f t="shared" si="25"/>
        <v>1876358.4106485618</v>
      </c>
      <c r="Y107" s="220">
        <f t="shared" si="22"/>
        <v>338829.10738786613</v>
      </c>
      <c r="Z107" s="220">
        <f t="shared" si="23"/>
        <v>-39630172.982925273</v>
      </c>
    </row>
    <row r="108" spans="2:26" ht="15.75" thickBot="1" x14ac:dyDescent="0.3">
      <c r="B108" s="87" t="s">
        <v>38</v>
      </c>
      <c r="C108" s="88">
        <f>SUM('ABP Under Contract'!K112:P112)</f>
        <v>0</v>
      </c>
      <c r="D108" s="88">
        <f>'REC Spend projected'!H107+'REC Spend projected'!I107+'REC Spend projected'!J107+'REC Spend projected'!K107+'REC Spend projected'!L107</f>
        <v>-223899.17417167421</v>
      </c>
      <c r="E108" s="88">
        <f>E24*'REC Spend projected'!$B$83</f>
        <v>451128.85360839084</v>
      </c>
      <c r="F108" s="88">
        <f>F24*'REC Spend projected'!$B$83</f>
        <v>200255.32785531049</v>
      </c>
      <c r="G108" s="88">
        <f>G24*'REC Spend projected'!$B$83</f>
        <v>160614.17609282734</v>
      </c>
      <c r="H108" s="88">
        <f>H24*'REC Spend projected'!$B$83</f>
        <v>216728.09096734331</v>
      </c>
      <c r="I108" s="88">
        <f>I24*'REC Spend projected'!$B$83</f>
        <v>354727.69141384948</v>
      </c>
      <c r="J108" s="88">
        <f>J24*'REC Spend projected'!$B$83</f>
        <v>230143.86151166243</v>
      </c>
      <c r="K108" s="88">
        <f>K24*'REC Spend projected'!$B$83</f>
        <v>216469.35276181257</v>
      </c>
      <c r="L108" s="88">
        <f>L24*'REC Spend projected'!$B$83</f>
        <v>288621.36726889911</v>
      </c>
      <c r="M108" s="88">
        <f>M24*'REC Spend projected'!$B$83</f>
        <v>0</v>
      </c>
      <c r="N108" s="88"/>
      <c r="O108" s="88">
        <f>O24*'REC Spend projected'!$B$83</f>
        <v>339232.37809891597</v>
      </c>
      <c r="P108" s="88">
        <f t="shared" si="20"/>
        <v>2234021.925407337</v>
      </c>
      <c r="Q108" s="88">
        <f>'REC Spend projected'!AC105</f>
        <v>-41189742.898115434</v>
      </c>
      <c r="R108" s="88">
        <f>'REC Spend projected'!AE105</f>
        <v>-43950094.498202242</v>
      </c>
      <c r="T108" s="203" t="s">
        <v>38</v>
      </c>
      <c r="U108" s="220">
        <f t="shared" si="21"/>
        <v>-223899.17417167421</v>
      </c>
      <c r="V108" s="220" t="e">
        <f>#REF!</f>
        <v>#REF!</v>
      </c>
      <c r="W108" s="220">
        <f t="shared" si="24"/>
        <v>451128.85360839084</v>
      </c>
      <c r="X108" s="220">
        <f t="shared" si="25"/>
        <v>1667559.8678717045</v>
      </c>
      <c r="Y108" s="220">
        <f t="shared" si="22"/>
        <v>339232.37809891597</v>
      </c>
      <c r="Z108" s="220">
        <f t="shared" si="23"/>
        <v>-41189742.898115434</v>
      </c>
    </row>
    <row r="109" spans="2:26" ht="15.75" thickBot="1" x14ac:dyDescent="0.3">
      <c r="B109" s="87" t="s">
        <v>39</v>
      </c>
      <c r="C109" s="88">
        <f>SUM('ABP Under Contract'!K113:P113)</f>
        <v>0</v>
      </c>
      <c r="D109" s="88">
        <f>'REC Spend projected'!H108+'REC Spend projected'!I108+'REC Spend projected'!J108+'REC Spend projected'!K108+'REC Spend projected'!L108</f>
        <v>0</v>
      </c>
      <c r="E109" s="88">
        <f>E25*'REC Spend projected'!$B$83</f>
        <v>431806.81737043883</v>
      </c>
      <c r="F109" s="88">
        <f>F25*'REC Spend projected'!$B$83</f>
        <v>152747.47677290329</v>
      </c>
      <c r="G109" s="88">
        <f>G25*'REC Spend projected'!$B$83</f>
        <v>118618.1485696795</v>
      </c>
      <c r="H109" s="88">
        <f>H25*'REC Spend projected'!$B$83</f>
        <v>174757.35792103931</v>
      </c>
      <c r="I109" s="88">
        <f>I25*'REC Spend projected'!$B$83</f>
        <v>212429.06480665875</v>
      </c>
      <c r="J109" s="88">
        <f>J25*'REC Spend projected'!$B$83</f>
        <v>208466.42060489312</v>
      </c>
      <c r="K109" s="88">
        <f>K25*'REC Spend projected'!$B$83</f>
        <v>194257.14199767611</v>
      </c>
      <c r="L109" s="88">
        <f>L25*'REC Spend projected'!$B$83</f>
        <v>369673.72199474758</v>
      </c>
      <c r="M109" s="88">
        <f>M25*'REC Spend projected'!$B$83</f>
        <v>0</v>
      </c>
      <c r="N109" s="88"/>
      <c r="O109" s="88">
        <f>O25*'REC Spend projected'!$B$83</f>
        <v>339509.94251387176</v>
      </c>
      <c r="P109" s="88">
        <f t="shared" si="20"/>
        <v>2202266.0925519085</v>
      </c>
      <c r="Q109" s="88">
        <f>'REC Spend projected'!AC106</f>
        <v>-42542551.743550114</v>
      </c>
      <c r="R109" s="88">
        <f>'REC Spend projected'!AE106</f>
        <v>-44819088.154582247</v>
      </c>
      <c r="T109" s="203" t="s">
        <v>39</v>
      </c>
      <c r="U109" s="220">
        <f t="shared" si="21"/>
        <v>0</v>
      </c>
      <c r="V109" s="220" t="e">
        <f>#REF!</f>
        <v>#REF!</v>
      </c>
      <c r="W109" s="220">
        <f t="shared" si="24"/>
        <v>431806.81737043883</v>
      </c>
      <c r="X109" s="220">
        <f t="shared" si="25"/>
        <v>1430949.3326675978</v>
      </c>
      <c r="Y109" s="220">
        <f t="shared" si="22"/>
        <v>339509.94251387176</v>
      </c>
      <c r="Z109" s="220">
        <f t="shared" si="23"/>
        <v>-42542551.743550114</v>
      </c>
    </row>
    <row r="110" spans="2:26" ht="15.75" thickBot="1" x14ac:dyDescent="0.3">
      <c r="B110" s="87" t="s">
        <v>40</v>
      </c>
      <c r="C110" s="88">
        <f>SUM('ABP Under Contract'!K114:P114)</f>
        <v>0</v>
      </c>
      <c r="D110" s="88">
        <f>'REC Spend projected'!H109+'REC Spend projected'!I109+'REC Spend projected'!J109+'REC Spend projected'!K109+'REC Spend projected'!L109</f>
        <v>0</v>
      </c>
      <c r="E110" s="88">
        <f>E26*'REC Spend projected'!$B$83</f>
        <v>412620.45398047764</v>
      </c>
      <c r="F110" s="88">
        <f>F26*'REC Spend projected'!$B$83</f>
        <v>105419.40033586996</v>
      </c>
      <c r="G110" s="88">
        <f>G26*'REC Spend projected'!$B$83</f>
        <v>76747.768485107052</v>
      </c>
      <c r="H110" s="88">
        <f>H26*'REC Spend projected'!$B$83</f>
        <v>152902.11945112428</v>
      </c>
      <c r="I110" s="88">
        <f>I26*'REC Spend projected'!$B$83</f>
        <v>113669.95367833119</v>
      </c>
      <c r="J110" s="88">
        <f>J26*'REC Spend projected'!$B$83</f>
        <v>186887.03609681095</v>
      </c>
      <c r="K110" s="88">
        <f>K26*'REC Spend projected'!$B$83</f>
        <v>172604.67002385049</v>
      </c>
      <c r="L110" s="88">
        <f>L26*'REC Spend projected'!$B$83</f>
        <v>159868.60212470146</v>
      </c>
      <c r="M110" s="88">
        <f>M26*'REC Spend projected'!$B$83</f>
        <v>531986.90415003488</v>
      </c>
      <c r="N110" s="88"/>
      <c r="O110" s="88">
        <f>O26*'REC Spend projected'!$B$83</f>
        <v>339792.66638838733</v>
      </c>
      <c r="P110" s="88">
        <f t="shared" si="20"/>
        <v>2252499.5747146951</v>
      </c>
      <c r="Q110" s="88">
        <f>'REC Spend projected'!AC107</f>
        <v>-43411062.35412176</v>
      </c>
      <c r="R110" s="88">
        <f>'REC Spend projected'!AE107</f>
        <v>-44922508.754151106</v>
      </c>
      <c r="T110" s="203" t="s">
        <v>40</v>
      </c>
      <c r="U110" s="220">
        <f t="shared" si="21"/>
        <v>0</v>
      </c>
      <c r="V110" s="220" t="e">
        <f>#REF!</f>
        <v>#REF!</v>
      </c>
      <c r="W110" s="220">
        <f t="shared" si="24"/>
        <v>412620.45398047764</v>
      </c>
      <c r="X110" s="220">
        <f t="shared" si="25"/>
        <v>1500086.4543458303</v>
      </c>
      <c r="Y110" s="220">
        <f t="shared" si="22"/>
        <v>339792.66638838733</v>
      </c>
      <c r="Z110" s="220">
        <f t="shared" si="23"/>
        <v>-43411062.35412176</v>
      </c>
    </row>
    <row r="120" spans="2:15" ht="45.75" thickBot="1" x14ac:dyDescent="0.3">
      <c r="B120" s="92" t="s">
        <v>359</v>
      </c>
    </row>
    <row r="121" spans="2:15" ht="15.75" thickBot="1" x14ac:dyDescent="0.3">
      <c r="B121" s="326" t="s">
        <v>360</v>
      </c>
      <c r="C121" s="327"/>
      <c r="D121" s="327"/>
      <c r="E121" s="328"/>
      <c r="F121" s="329" t="s">
        <v>355</v>
      </c>
      <c r="G121" s="327"/>
      <c r="H121" s="330" t="s">
        <v>361</v>
      </c>
      <c r="I121" s="331"/>
      <c r="J121" s="81"/>
      <c r="K121" s="314"/>
      <c r="L121" s="314"/>
      <c r="M121" s="314"/>
      <c r="N121" s="314"/>
    </row>
    <row r="122" spans="2:15" ht="34.5" thickBot="1" x14ac:dyDescent="0.3">
      <c r="B122" s="82" t="s">
        <v>1</v>
      </c>
      <c r="C122" s="83" t="s">
        <v>362</v>
      </c>
      <c r="D122" s="83" t="s">
        <v>363</v>
      </c>
      <c r="E122" s="84" t="s">
        <v>364</v>
      </c>
      <c r="F122" s="84" t="s">
        <v>365</v>
      </c>
      <c r="G122" s="84" t="s">
        <v>366</v>
      </c>
      <c r="H122" s="83" t="s">
        <v>367</v>
      </c>
      <c r="I122" s="83" t="s">
        <v>368</v>
      </c>
      <c r="J122" s="83" t="s">
        <v>369</v>
      </c>
      <c r="K122" s="83" t="s">
        <v>335</v>
      </c>
      <c r="L122" s="83" t="s">
        <v>349</v>
      </c>
      <c r="M122" s="231" t="s">
        <v>370</v>
      </c>
      <c r="N122" s="85" t="s">
        <v>245</v>
      </c>
    </row>
    <row r="123" spans="2:15" ht="15.75" thickBot="1" x14ac:dyDescent="0.3">
      <c r="B123" s="87" t="s">
        <v>17</v>
      </c>
      <c r="C123" s="89">
        <f>'REC Spend projected'!H4</f>
        <v>30848359.600711424</v>
      </c>
      <c r="D123" s="88">
        <f>'REC Spend projected'!B4+'REC Spend projected'!C4+'REC Spend projected'!D4</f>
        <v>216567147.49000001</v>
      </c>
      <c r="E123" s="88">
        <f>'REC Spend projected'!I4</f>
        <v>5397290.4699999997</v>
      </c>
      <c r="F123" s="88">
        <f>'REC Spend projected'!E4+'REC Spend projected'!F4+'REC Spend projected'!G4</f>
        <v>0</v>
      </c>
      <c r="G123" s="88">
        <f>'REC Spend projected'!J4+'REC Spend projected'!K4+'REC Spend projected'!L4</f>
        <v>0</v>
      </c>
      <c r="H123" s="88">
        <f>'REC Spend projected'!Q4+'REC Spend projected'!R4+'REC Spend projected'!S4+'REC Spend projected'!T4+'REC Spend projected'!U4+'REC Spend projected'!V4</f>
        <v>0</v>
      </c>
      <c r="I123" s="88">
        <f>'REC Spend projected'!W4+'REC Spend projected'!X4+'REC Spend projected'!Y4</f>
        <v>0</v>
      </c>
      <c r="J123" s="88">
        <f>'REC Spend projected'!M4+'REC Spend projected'!N4+'REC Spend projected'!O4</f>
        <v>18018880.058405567</v>
      </c>
      <c r="K123" s="88">
        <f t="shared" ref="K123:K145" si="26">SUM(C123:J123)</f>
        <v>270831677.61911702</v>
      </c>
      <c r="L123" s="88">
        <f>'REC Spend projected'!AC4</f>
        <v>519026555.7110191</v>
      </c>
      <c r="M123" s="88">
        <f>'REC Spend projected'!AD4</f>
        <v>270831677.61911702</v>
      </c>
      <c r="N123" s="88">
        <f>'REC Spend projected'!AE4</f>
        <v>248194878.09190208</v>
      </c>
      <c r="O123" s="91"/>
    </row>
    <row r="124" spans="2:15" ht="15.75" thickBot="1" x14ac:dyDescent="0.3">
      <c r="B124" s="87" t="s">
        <v>18</v>
      </c>
      <c r="C124" s="89">
        <f>'REC Spend projected'!H5</f>
        <v>24142255.383493654</v>
      </c>
      <c r="D124" s="88">
        <f>'REC Spend projected'!B5+'REC Spend projected'!C5+'REC Spend projected'!D5</f>
        <v>206866678.70000002</v>
      </c>
      <c r="E124" s="88">
        <f>'REC Spend projected'!I5</f>
        <v>19260591.157020841</v>
      </c>
      <c r="F124" s="88">
        <f>'REC Spend projected'!E5+'REC Spend projected'!F5+'REC Spend projected'!G5</f>
        <v>0</v>
      </c>
      <c r="G124" s="88">
        <f>'REC Spend projected'!J5+'REC Spend projected'!K5+'REC Spend projected'!L5</f>
        <v>0</v>
      </c>
      <c r="H124" s="88">
        <f>'REC Spend projected'!Q5+'REC Spend projected'!R5+'REC Spend projected'!S5+'REC Spend projected'!T5+'REC Spend projected'!U5+'REC Spend projected'!V5</f>
        <v>0</v>
      </c>
      <c r="I124" s="88">
        <f>'REC Spend projected'!W5+'REC Spend projected'!X5+'REC Spend projected'!Y5</f>
        <v>0</v>
      </c>
      <c r="J124" s="88">
        <f>'REC Spend projected'!M5+'REC Spend projected'!N5+'REC Spend projected'!O5</f>
        <v>73942135.092404008</v>
      </c>
      <c r="K124" s="88">
        <f t="shared" si="26"/>
        <v>324211660.33291852</v>
      </c>
      <c r="L124" s="88">
        <f>'REC Spend projected'!AC5</f>
        <v>712932714.50536919</v>
      </c>
      <c r="M124" s="88">
        <f>'REC Spend projected'!AD5</f>
        <v>324211660.33291852</v>
      </c>
      <c r="N124" s="88">
        <f>'REC Spend projected'!AE5</f>
        <v>388721054.17245066</v>
      </c>
      <c r="O124" s="91"/>
    </row>
    <row r="125" spans="2:15" ht="15.75" thickBot="1" x14ac:dyDescent="0.3">
      <c r="B125" s="87" t="s">
        <v>19</v>
      </c>
      <c r="C125" s="89">
        <f>'REC Spend projected'!H6</f>
        <v>22062344.595163539</v>
      </c>
      <c r="D125" s="88">
        <f>'REC Spend projected'!B6+'REC Spend projected'!C6+'REC Spend projected'!D6</f>
        <v>256276878.41</v>
      </c>
      <c r="E125" s="88">
        <f>'REC Spend projected'!I6</f>
        <v>22975411.212579787</v>
      </c>
      <c r="F125" s="88">
        <f>'REC Spend projected'!E6+'REC Spend projected'!F6+'REC Spend projected'!G6</f>
        <v>0</v>
      </c>
      <c r="G125" s="88">
        <f>'REC Spend projected'!J6+'REC Spend projected'!K6+'REC Spend projected'!L6</f>
        <v>0</v>
      </c>
      <c r="H125" s="88">
        <f>'REC Spend projected'!Q6+'REC Spend projected'!R6+'REC Spend projected'!S6+'REC Spend projected'!T6+'REC Spend projected'!U6+'REC Spend projected'!V6</f>
        <v>0</v>
      </c>
      <c r="I125" s="88">
        <f>'REC Spend projected'!W6+'REC Spend projected'!X6+'REC Spend projected'!Y6</f>
        <v>0</v>
      </c>
      <c r="J125" s="88">
        <f>'REC Spend projected'!M6+'REC Spend projected'!N6+'REC Spend projected'!O6</f>
        <v>67623889.800951704</v>
      </c>
      <c r="K125" s="88">
        <f t="shared" si="26"/>
        <v>368938524.01869506</v>
      </c>
      <c r="L125" s="88">
        <f>'REC Spend projected'!AC6</f>
        <v>976184047.53750765</v>
      </c>
      <c r="M125" s="88">
        <f>'REC Spend projected'!AD6</f>
        <v>368938524.01869506</v>
      </c>
      <c r="N125" s="88">
        <f>'REC Spend projected'!AE6</f>
        <v>607245523.51881266</v>
      </c>
      <c r="O125" s="91"/>
    </row>
    <row r="126" spans="2:15" ht="15.75" thickBot="1" x14ac:dyDescent="0.3">
      <c r="B126" s="87" t="s">
        <v>20</v>
      </c>
      <c r="C126" s="89">
        <f>'REC Spend projected'!H7</f>
        <v>17721007.415898785</v>
      </c>
      <c r="D126" s="88">
        <f>'REC Spend projected'!B7+'REC Spend projected'!C7+'REC Spend projected'!D7</f>
        <v>474532867.56999999</v>
      </c>
      <c r="E126" s="88">
        <f>'REC Spend projected'!I7</f>
        <v>22594914.147020839</v>
      </c>
      <c r="F126" s="88">
        <f>'REC Spend projected'!E7+'REC Spend projected'!F7+'REC Spend projected'!G7</f>
        <v>0</v>
      </c>
      <c r="G126" s="88">
        <f>'REC Spend projected'!J7+'REC Spend projected'!K7+'REC Spend projected'!L7</f>
        <v>0</v>
      </c>
      <c r="H126" s="88">
        <f>'REC Spend projected'!Q7+'REC Spend projected'!R7+'REC Spend projected'!S7+'REC Spend projected'!T7+'REC Spend projected'!U7+'REC Spend projected'!V7</f>
        <v>0</v>
      </c>
      <c r="I126" s="88">
        <f>'REC Spend projected'!W7+'REC Spend projected'!X7+'REC Spend projected'!Y7</f>
        <v>0</v>
      </c>
      <c r="J126" s="88">
        <f>'REC Spend projected'!M7+'REC Spend projected'!N7+'REC Spend projected'!O7</f>
        <v>67322647.088471591</v>
      </c>
      <c r="K126" s="88">
        <f t="shared" si="26"/>
        <v>582171436.2213912</v>
      </c>
      <c r="L126" s="88">
        <f>'REC Spend projected'!AC7</f>
        <v>1184667093.1345325</v>
      </c>
      <c r="M126" s="88">
        <f>'REC Spend projected'!AD7</f>
        <v>582171436.2213912</v>
      </c>
      <c r="N126" s="88">
        <f>'REC Spend projected'!AE7</f>
        <v>602495656.91314125</v>
      </c>
      <c r="O126" s="91"/>
    </row>
    <row r="127" spans="2:15" ht="15.75" thickBot="1" x14ac:dyDescent="0.3">
      <c r="B127" s="87" t="s">
        <v>22</v>
      </c>
      <c r="C127" s="89">
        <f>'REC Spend projected'!H8</f>
        <v>17421541.685608782</v>
      </c>
      <c r="D127" s="88">
        <f>'REC Spend projected'!B8+'REC Spend projected'!C8+'REC Spend projected'!D8</f>
        <v>327724594.00999999</v>
      </c>
      <c r="E127" s="88">
        <f>'REC Spend projected'!I8</f>
        <v>22594914.147020839</v>
      </c>
      <c r="F127" s="88">
        <f>'REC Spend projected'!E8+'REC Spend projected'!F8+'REC Spend projected'!G8</f>
        <v>987482.16</v>
      </c>
      <c r="G127" s="88">
        <f>'REC Spend projected'!J8+'REC Spend projected'!K8+'REC Spend projected'!L8</f>
        <v>47115880.515000001</v>
      </c>
      <c r="H127" s="88">
        <f>'REC Spend projected'!Q8+'REC Spend projected'!R8+'REC Spend projected'!S8+'REC Spend projected'!T8+'REC Spend projected'!U8+'REC Spend projected'!V8</f>
        <v>204284231.95154271</v>
      </c>
      <c r="I127" s="88">
        <f>'REC Spend projected'!W8+'REC Spend projected'!X8+'REC Spend projected'!Y8</f>
        <v>0</v>
      </c>
      <c r="J127" s="88">
        <f>'REC Spend projected'!M8+'REC Spend projected'!N8+'REC Spend projected'!O8</f>
        <v>77208829.557390258</v>
      </c>
      <c r="K127" s="88">
        <f t="shared" si="26"/>
        <v>697337474.02656257</v>
      </c>
      <c r="L127" s="88">
        <f>'REC Spend projected'!AC8</f>
        <v>1176123308.8261499</v>
      </c>
      <c r="M127" s="88">
        <f>'REC Spend projected'!AD8</f>
        <v>697337474.02656257</v>
      </c>
      <c r="N127" s="88">
        <f>'REC Spend projected'!AE8</f>
        <v>478785834.79958737</v>
      </c>
      <c r="O127" s="91"/>
    </row>
    <row r="128" spans="2:15" ht="15.75" thickBot="1" x14ac:dyDescent="0.3">
      <c r="B128" s="87" t="s">
        <v>23</v>
      </c>
      <c r="C128" s="89">
        <f>'REC Spend projected'!H9</f>
        <v>11401431.694168944</v>
      </c>
      <c r="D128" s="88">
        <f>'REC Spend projected'!B9+'REC Spend projected'!C9+'REC Spend projected'!D9</f>
        <v>215261187.25999999</v>
      </c>
      <c r="E128" s="88">
        <f>'REC Spend projected'!I9</f>
        <v>22594914.147020839</v>
      </c>
      <c r="F128" s="88">
        <f>'REC Spend projected'!E9+'REC Spend projected'!F9+'REC Spend projected'!G9</f>
        <v>23917985.990000002</v>
      </c>
      <c r="G128" s="88">
        <f>'REC Spend projected'!J9+'REC Spend projected'!K9+'REC Spend projected'!L9</f>
        <v>118702193.16802499</v>
      </c>
      <c r="H128" s="88">
        <f>'REC Spend projected'!Q9+'REC Spend projected'!R9+'REC Spend projected'!S9+'REC Spend projected'!T9+'REC Spend projected'!U9+'REC Spend projected'!V9</f>
        <v>257496414.97674054</v>
      </c>
      <c r="I128" s="88">
        <f>'REC Spend projected'!W9+'REC Spend projected'!X9+'REC Spend projected'!Y9</f>
        <v>0</v>
      </c>
      <c r="J128" s="88">
        <f>'REC Spend projected'!M9+'REC Spend projected'!N9+'REC Spend projected'!O9</f>
        <v>67147929.289274544</v>
      </c>
      <c r="K128" s="88">
        <f t="shared" si="26"/>
        <v>716522056.52522981</v>
      </c>
      <c r="L128" s="88">
        <f>'REC Spend projected'!AC9</f>
        <v>1050383477.7754054</v>
      </c>
      <c r="M128" s="88">
        <f>'REC Spend projected'!AD9</f>
        <v>716522056.52522981</v>
      </c>
      <c r="N128" s="88">
        <f>'REC Spend projected'!AE9</f>
        <v>333861421.2501756</v>
      </c>
      <c r="O128" s="91"/>
    </row>
    <row r="129" spans="2:15" ht="15.75" thickBot="1" x14ac:dyDescent="0.3">
      <c r="B129" s="87" t="s">
        <v>24</v>
      </c>
      <c r="C129" s="89">
        <f>'REC Spend projected'!H10</f>
        <v>8215431.7104763286</v>
      </c>
      <c r="D129" s="88">
        <f>'REC Spend projected'!B10+'REC Spend projected'!C10+'REC Spend projected'!D10</f>
        <v>181227769.67000002</v>
      </c>
      <c r="E129" s="88">
        <f>'REC Spend projected'!I10</f>
        <v>22594914.147020839</v>
      </c>
      <c r="F129" s="88">
        <f>'REC Spend projected'!E10+'REC Spend projected'!F10+'REC Spend projected'!G10</f>
        <v>28314836.240000002</v>
      </c>
      <c r="G129" s="88">
        <f>'REC Spend projected'!J10+'REC Spend projected'!K10+'REC Spend projected'!L10</f>
        <v>164391931.95850185</v>
      </c>
      <c r="H129" s="88">
        <f>'REC Spend projected'!Q10+'REC Spend projected'!R10+'REC Spend projected'!S10+'REC Spend projected'!T10+'REC Spend projected'!U10+'REC Spend projected'!V10</f>
        <v>308155139.81978941</v>
      </c>
      <c r="I129" s="88">
        <f>'REC Spend projected'!W10+'REC Spend projected'!X10+'REC Spend projected'!Y10</f>
        <v>0</v>
      </c>
      <c r="J129" s="88">
        <f>'REC Spend projected'!M10+'REC Spend projected'!N10+'REC Spend projected'!O10</f>
        <v>66888811.399599314</v>
      </c>
      <c r="K129" s="88">
        <f t="shared" si="26"/>
        <v>779788834.94538784</v>
      </c>
      <c r="L129" s="88">
        <f>'REC Spend projected'!AC10</f>
        <v>896821801.23681951</v>
      </c>
      <c r="M129" s="88">
        <f>'REC Spend projected'!AD10</f>
        <v>779788834.94538772</v>
      </c>
      <c r="N129" s="88">
        <f>'REC Spend projected'!AE10</f>
        <v>117032966.29143178</v>
      </c>
      <c r="O129" s="91"/>
    </row>
    <row r="130" spans="2:15" ht="15.75" thickBot="1" x14ac:dyDescent="0.3">
      <c r="B130" s="87" t="s">
        <v>25</v>
      </c>
      <c r="C130" s="89">
        <f>'REC Spend projected'!H11</f>
        <v>4480482.7749063233</v>
      </c>
      <c r="D130" s="88">
        <f>'REC Spend projected'!B11+'REC Spend projected'!C11+'REC Spend projected'!D11</f>
        <v>156490683.34</v>
      </c>
      <c r="E130" s="88">
        <f>'REC Spend projected'!I11</f>
        <v>22594914.147020839</v>
      </c>
      <c r="F130" s="88">
        <f>'REC Spend projected'!E11+'REC Spend projected'!F11+'REC Spend projected'!G11</f>
        <v>27996370.649999999</v>
      </c>
      <c r="G130" s="88">
        <f>'REC Spend projected'!J11+'REC Spend projected'!K11+'REC Spend projected'!L11</f>
        <v>151097233.30777115</v>
      </c>
      <c r="H130" s="88">
        <f>'REC Spend projected'!Q11+'REC Spend projected'!R11+'REC Spend projected'!S11+'REC Spend projected'!T11+'REC Spend projected'!U11+'REC Spend projected'!V11</f>
        <v>356676234.19929302</v>
      </c>
      <c r="I130" s="88">
        <f>'REC Spend projected'!W11+'REC Spend projected'!X11+'REC Spend projected'!Y11</f>
        <v>0</v>
      </c>
      <c r="J130" s="88">
        <f>'REC Spend projected'!M11+'REC Spend projected'!N11+'REC Spend projected'!O11</f>
        <v>76862404.659270331</v>
      </c>
      <c r="K130" s="88">
        <f t="shared" si="26"/>
        <v>796198323.07826161</v>
      </c>
      <c r="L130" s="88">
        <f>'REC Spend projected'!AC11</f>
        <v>679113121.60044277</v>
      </c>
      <c r="M130" s="88">
        <f>'REC Spend projected'!AD11</f>
        <v>796198323.07826161</v>
      </c>
      <c r="N130" s="88">
        <f>'REC Spend projected'!AE11</f>
        <v>-117085201.47781885</v>
      </c>
      <c r="O130" s="91"/>
    </row>
    <row r="131" spans="2:15" ht="15.75" thickBot="1" x14ac:dyDescent="0.3">
      <c r="B131" s="90" t="s">
        <v>26</v>
      </c>
      <c r="C131" s="89">
        <f>'REC Spend projected'!H12</f>
        <v>4478132.259204451</v>
      </c>
      <c r="D131" s="88">
        <f>'REC Spend projected'!B12+'REC Spend projected'!C12+'REC Spend projected'!D12</f>
        <v>138446590.67000002</v>
      </c>
      <c r="E131" s="88">
        <f>'REC Spend projected'!I12</f>
        <v>22594914.147020839</v>
      </c>
      <c r="F131" s="88">
        <f>'REC Spend projected'!E12+'REC Spend projected'!F12+'REC Spend projected'!G12</f>
        <v>27989649.420000002</v>
      </c>
      <c r="G131" s="88">
        <f>'REC Spend projected'!J12+'REC Spend projected'!K12+'REC Spend projected'!L12</f>
        <v>144060456.66762888</v>
      </c>
      <c r="H131" s="88">
        <f>'REC Spend projected'!Q12+'REC Spend projected'!R12+'REC Spend projected'!S12+'REC Spend projected'!T12+'REC Spend projected'!U12+'REC Spend projected'!V12</f>
        <v>403145759.74114251</v>
      </c>
      <c r="I131" s="88">
        <f>'REC Spend projected'!W12+'REC Spend projected'!X12+'REC Spend projected'!Y12</f>
        <v>53362775</v>
      </c>
      <c r="J131" s="88">
        <f>'REC Spend projected'!M12+'REC Spend projected'!N12+'REC Spend projected'!O12</f>
        <v>66906426.967615873</v>
      </c>
      <c r="K131" s="88">
        <f t="shared" si="26"/>
        <v>860984704.87261248</v>
      </c>
      <c r="L131" s="88">
        <f>'REC Spend projected'!AC12</f>
        <v>446462364.10937691</v>
      </c>
      <c r="M131" s="88">
        <f>'REC Spend projected'!AD12</f>
        <v>860984704.87261248</v>
      </c>
      <c r="N131" s="88">
        <f>'REC Spend projected'!AE12</f>
        <v>-414522340.76323557</v>
      </c>
      <c r="O131" s="91"/>
    </row>
    <row r="132" spans="2:15" ht="15.75" thickBot="1" x14ac:dyDescent="0.3">
      <c r="B132" s="87" t="s">
        <v>27</v>
      </c>
      <c r="C132" s="89">
        <f>'REC Spend projected'!H13</f>
        <v>4338008.6485485407</v>
      </c>
      <c r="D132" s="88">
        <f>'REC Spend projected'!B13+'REC Spend projected'!C13+'REC Spend projected'!D13</f>
        <v>136911153.22</v>
      </c>
      <c r="E132" s="88">
        <f>'REC Spend projected'!I13</f>
        <v>22594914.147020839</v>
      </c>
      <c r="F132" s="88">
        <f>'REC Spend projected'!E13+'REC Spend projected'!F13+'REC Spend projected'!G13</f>
        <v>27982878.18</v>
      </c>
      <c r="G132" s="88">
        <f>'REC Spend projected'!J13+'REC Spend projected'!K13+'REC Spend projected'!L13</f>
        <v>133604885.60675481</v>
      </c>
      <c r="H132" s="88">
        <f>'REC Spend projected'!Q13+'REC Spend projected'!R13+'REC Spend projected'!S13+'REC Spend projected'!T13+'REC Spend projected'!U13+'REC Spend projected'!V13</f>
        <v>447646332.82415628</v>
      </c>
      <c r="I132" s="88">
        <f>'REC Spend projected'!W13+'REC Spend projected'!X13+'REC Spend projected'!Y13</f>
        <v>98322727.87500003</v>
      </c>
      <c r="J132" s="88">
        <f>'REC Spend projected'!M13+'REC Spend projected'!N13+'REC Spend projected'!O13</f>
        <v>66920397.125927687</v>
      </c>
      <c r="K132" s="88">
        <f t="shared" si="26"/>
        <v>938321297.62740815</v>
      </c>
      <c r="L132" s="88">
        <f>'REC Spend projected'!AC13</f>
        <v>149490896.76768744</v>
      </c>
      <c r="M132" s="88">
        <f>'REC Spend projected'!AD13</f>
        <v>938321297.62740827</v>
      </c>
      <c r="N132" s="88">
        <f>'REC Spend projected'!AE13</f>
        <v>-788830400.85972083</v>
      </c>
      <c r="O132" s="91"/>
    </row>
    <row r="133" spans="2:15" ht="15.75" thickBot="1" x14ac:dyDescent="0.3">
      <c r="B133" s="87" t="s">
        <v>28</v>
      </c>
      <c r="C133" s="89">
        <f>'REC Spend projected'!H14</f>
        <v>4303453.6786395097</v>
      </c>
      <c r="D133" s="88">
        <f>'REC Spend projected'!B14+'REC Spend projected'!C14+'REC Spend projected'!D14</f>
        <v>133659230.53999999</v>
      </c>
      <c r="E133" s="88">
        <f>'REC Spend projected'!I14</f>
        <v>22594914.147020839</v>
      </c>
      <c r="F133" s="88">
        <f>'REC Spend projected'!E14+'REC Spend projected'!F14+'REC Spend projected'!G14</f>
        <v>27976117.949999999</v>
      </c>
      <c r="G133" s="88">
        <f>'REC Spend projected'!J14+'REC Spend projected'!K14+'REC Spend projected'!L14</f>
        <v>123924325.77766167</v>
      </c>
      <c r="H133" s="88">
        <f>'REC Spend projected'!Q14+'REC Spend projected'!R14+'REC Spend projected'!S14+'REC Spend projected'!T14+'REC Spend projected'!U14+'REC Spend projected'!V14</f>
        <v>490257262.4038735</v>
      </c>
      <c r="I133" s="88">
        <f>'REC Spend projected'!W14+'REC Spend projected'!X14+'REC Spend projected'!Y14</f>
        <v>128177391.42062502</v>
      </c>
      <c r="J133" s="88">
        <f>'REC Spend projected'!M14+'REC Spend projected'!N14+'REC Spend projected'!O14</f>
        <v>77023386.929470733</v>
      </c>
      <c r="K133" s="88">
        <f t="shared" si="26"/>
        <v>1007916082.8472912</v>
      </c>
      <c r="L133" s="88">
        <f>'REC Spend projected'!AC14</f>
        <v>-221384169.8773632</v>
      </c>
      <c r="M133" s="88">
        <f>'REC Spend projected'!AD14</f>
        <v>1007916082.8472911</v>
      </c>
      <c r="N133" s="88">
        <f>'REC Spend projected'!AE14</f>
        <v>-1229300252.7246542</v>
      </c>
      <c r="O133" s="91"/>
    </row>
    <row r="134" spans="2:15" ht="15.75" thickBot="1" x14ac:dyDescent="0.3">
      <c r="B134" s="87" t="s">
        <v>29</v>
      </c>
      <c r="C134" s="89">
        <f>'REC Spend projected'!H15</f>
        <v>4261079.6921323007</v>
      </c>
      <c r="D134" s="88">
        <f>'REC Spend projected'!B15+'REC Spend projected'!C15+'REC Spend projected'!D15</f>
        <v>98606583.030000001</v>
      </c>
      <c r="E134" s="88">
        <f>'REC Spend projected'!I15</f>
        <v>22594914.147020839</v>
      </c>
      <c r="F134" s="88">
        <f>'REC Spend projected'!E15+'REC Spend projected'!F15+'REC Spend projected'!G15</f>
        <v>2340702.5099999998</v>
      </c>
      <c r="G134" s="88">
        <f>'REC Spend projected'!J15+'REC Spend projected'!K15+'REC Spend projected'!L15</f>
        <v>125535327.21852729</v>
      </c>
      <c r="H134" s="88">
        <f>'REC Spend projected'!Q15+'REC Spend projected'!R15+'REC Spend projected'!S15+'REC Spend projected'!T15+'REC Spend projected'!U15+'REC Spend projected'!V15</f>
        <v>497675608.04103297</v>
      </c>
      <c r="I134" s="88">
        <f>'REC Spend projected'!W15+'REC Spend projected'!X15+'REC Spend projected'!Y15</f>
        <v>139790734.9258031</v>
      </c>
      <c r="J134" s="88">
        <f>'REC Spend projected'!M15+'REC Spend projected'!N15+'REC Spend projected'!O15</f>
        <v>67120451.256649822</v>
      </c>
      <c r="K134" s="88">
        <f t="shared" si="26"/>
        <v>957925400.82116628</v>
      </c>
      <c r="L134" s="88">
        <f>'REC Spend projected'!AC15</f>
        <v>-658618544.16966009</v>
      </c>
      <c r="M134" s="88">
        <f>'REC Spend projected'!AD15</f>
        <v>957925400.82116628</v>
      </c>
      <c r="N134" s="88">
        <f>'REC Spend projected'!AE15</f>
        <v>-1616543944.9908264</v>
      </c>
      <c r="O134" s="91"/>
    </row>
    <row r="135" spans="2:15" ht="15.75" thickBot="1" x14ac:dyDescent="0.3">
      <c r="B135" s="87" t="s">
        <v>30</v>
      </c>
      <c r="C135" s="89">
        <f>'REC Spend projected'!H16</f>
        <v>0</v>
      </c>
      <c r="D135" s="88">
        <f>'REC Spend projected'!B16+'REC Spend projected'!C16+'REC Spend projected'!D16</f>
        <v>98270482.810000002</v>
      </c>
      <c r="E135" s="88">
        <f>'REC Spend projected'!I16</f>
        <v>22594914.147020839</v>
      </c>
      <c r="F135" s="88">
        <f>'REC Spend projected'!E16+'REC Spend projected'!F16+'REC Spend projected'!G16</f>
        <v>2243609</v>
      </c>
      <c r="G135" s="88">
        <f>'REC Spend projected'!J16+'REC Spend projected'!K16+'REC Spend projected'!L16</f>
        <v>119955843.89772931</v>
      </c>
      <c r="H135" s="88">
        <f>'REC Spend projected'!Q16+'REC Spend projected'!R16+'REC Spend projected'!S16+'REC Spend projected'!T16+'REC Spend projected'!U16+'REC Spend projected'!V16</f>
        <v>499365479.54283446</v>
      </c>
      <c r="I135" s="88">
        <f>'REC Spend projected'!W16+'REC Spend projected'!X16+'REC Spend projected'!Y16</f>
        <v>175628645.63969845</v>
      </c>
      <c r="J135" s="88">
        <f>'REC Spend projected'!M16+'REC Spend projected'!N16+'REC Spend projected'!O16</f>
        <v>67234402.603198841</v>
      </c>
      <c r="K135" s="88">
        <f t="shared" si="26"/>
        <v>985293377.64048207</v>
      </c>
      <c r="L135" s="88">
        <f>'REC Spend projected'!AC16</f>
        <v>-1042063858.2175316</v>
      </c>
      <c r="M135" s="88">
        <f>'REC Spend projected'!AD16</f>
        <v>985293377.64048195</v>
      </c>
      <c r="N135" s="88">
        <f>'REC Spend projected'!AE16</f>
        <v>-2027357235.8580136</v>
      </c>
      <c r="O135" s="91"/>
    </row>
    <row r="136" spans="2:15" ht="15.75" thickBot="1" x14ac:dyDescent="0.3">
      <c r="B136" s="87" t="s">
        <v>31</v>
      </c>
      <c r="C136" s="89">
        <f>'REC Spend projected'!H17</f>
        <v>0</v>
      </c>
      <c r="D136" s="88">
        <f>'REC Spend projected'!B17+'REC Spend projected'!C17+'REC Spend projected'!D17</f>
        <v>66500890.43</v>
      </c>
      <c r="E136" s="88">
        <f>'REC Spend projected'!I17</f>
        <v>20941094.263402294</v>
      </c>
      <c r="F136" s="88">
        <f>'REC Spend projected'!E17+'REC Spend projected'!F17+'REC Spend projected'!G17</f>
        <v>1319877.08</v>
      </c>
      <c r="G136" s="88">
        <f>'REC Spend projected'!J17+'REC Spend projected'!K17+'REC Spend projected'!L17</f>
        <v>112741979.69171308</v>
      </c>
      <c r="H136" s="88">
        <f>'REC Spend projected'!Q17+'REC Spend projected'!R17+'REC Spend projected'!S17+'REC Spend projected'!T17+'REC Spend projected'!U17+'REC Spend projected'!V17</f>
        <v>430142883.9867782</v>
      </c>
      <c r="I136" s="88">
        <f>'REC Spend projected'!W17+'REC Spend projected'!X17+'REC Spend projected'!Y17</f>
        <v>177781649.26390827</v>
      </c>
      <c r="J136" s="88">
        <f>'REC Spend projected'!M17+'REC Spend projected'!N17+'REC Spend projected'!O17</f>
        <v>67289396.046359867</v>
      </c>
      <c r="K136" s="88">
        <f t="shared" si="26"/>
        <v>876717770.76216173</v>
      </c>
      <c r="L136" s="88">
        <f>'REC Spend projected'!AC17</f>
        <v>-1451044034.3126848</v>
      </c>
      <c r="M136" s="88">
        <f>'REC Spend projected'!AD17</f>
        <v>876717770.76216173</v>
      </c>
      <c r="N136" s="88">
        <f>'REC Spend projected'!AE17</f>
        <v>-2327761805.0748463</v>
      </c>
      <c r="O136" s="91"/>
    </row>
    <row r="137" spans="2:15" ht="15.75" thickBot="1" x14ac:dyDescent="0.3">
      <c r="B137" s="87" t="s">
        <v>32</v>
      </c>
      <c r="C137" s="89">
        <f>'REC Spend projected'!H18</f>
        <v>0</v>
      </c>
      <c r="D137" s="88">
        <f>'REC Spend projected'!B18+'REC Spend projected'!C18+'REC Spend projected'!D18</f>
        <v>66168272.43</v>
      </c>
      <c r="E137" s="88">
        <f>'REC Spend projected'!I18</f>
        <v>20941094.263402294</v>
      </c>
      <c r="F137" s="88">
        <f>'REC Spend projected'!E18+'REC Spend projected'!F18+'REC Spend projected'!G18</f>
        <v>1313186.3899999999</v>
      </c>
      <c r="G137" s="88">
        <f>'REC Spend projected'!J18+'REC Spend projected'!K18+'REC Spend projected'!L18</f>
        <v>104099459.36199223</v>
      </c>
      <c r="H137" s="88">
        <f>'REC Spend projected'!Q18+'REC Spend projected'!R18+'REC Spend projected'!S18+'REC Spend projected'!T18+'REC Spend projected'!U18+'REC Spend projected'!V18</f>
        <v>413063537.0376724</v>
      </c>
      <c r="I137" s="88">
        <f>'REC Spend projected'!W18+'REC Spend projected'!X18+'REC Spend projected'!Y18</f>
        <v>170756706.09178379</v>
      </c>
      <c r="J137" s="88">
        <f>'REC Spend projected'!M18+'REC Spend projected'!N18+'REC Spend projected'!O18</f>
        <v>67378693.799014568</v>
      </c>
      <c r="K137" s="88">
        <f t="shared" si="26"/>
        <v>843720949.37386525</v>
      </c>
      <c r="L137" s="88">
        <f>'REC Spend projected'!AC18</f>
        <v>-1748472011.7743609</v>
      </c>
      <c r="M137" s="88">
        <f>'REC Spend projected'!AD18</f>
        <v>843720949.37386525</v>
      </c>
      <c r="N137" s="88">
        <f>'REC Spend projected'!AE18</f>
        <v>-2592192961.1482263</v>
      </c>
      <c r="O137" s="91"/>
    </row>
    <row r="138" spans="2:15" ht="15.75" thickBot="1" x14ac:dyDescent="0.3">
      <c r="B138" s="87" t="s">
        <v>33</v>
      </c>
      <c r="C138" s="89">
        <f>'REC Spend projected'!H19</f>
        <v>0</v>
      </c>
      <c r="D138" s="88">
        <f>'REC Spend projected'!B19+'REC Spend projected'!C19+'REC Spend projected'!D19</f>
        <v>65837667.57</v>
      </c>
      <c r="E138" s="88">
        <f>'REC Spend projected'!I19</f>
        <v>17493544.263402294</v>
      </c>
      <c r="F138" s="88">
        <f>'REC Spend projected'!E19+'REC Spend projected'!F19+'REC Spend projected'!G19</f>
        <v>1306613.25</v>
      </c>
      <c r="G138" s="88">
        <f>'REC Spend projected'!J19+'REC Spend projected'!K19+'REC Spend projected'!L19</f>
        <v>95402045.294306383</v>
      </c>
      <c r="H138" s="88">
        <f>'REC Spend projected'!Q19+'REC Spend projected'!R19+'REC Spend projected'!S19+'REC Spend projected'!T19+'REC Spend projected'!U19+'REC Spend projected'!V19</f>
        <v>396707610.01688027</v>
      </c>
      <c r="I138" s="88">
        <f>'REC Spend projected'!W19+'REC Spend projected'!X19+'REC Spend projected'!Y19</f>
        <v>153853880.05294314</v>
      </c>
      <c r="J138" s="88">
        <f>'REC Spend projected'!M19+'REC Spend projected'!N19+'REC Spend projected'!O19</f>
        <v>67444210.839039311</v>
      </c>
      <c r="K138" s="88">
        <f t="shared" si="26"/>
        <v>798045571.28657138</v>
      </c>
      <c r="L138" s="88">
        <f>'REC Spend projected'!AC19</f>
        <v>-2010719266.5135827</v>
      </c>
      <c r="M138" s="88">
        <f>'REC Spend projected'!AD19</f>
        <v>798045571.28657126</v>
      </c>
      <c r="N138" s="88">
        <f>'REC Spend projected'!AE19</f>
        <v>-2808764837.8001537</v>
      </c>
      <c r="O138" s="91"/>
    </row>
    <row r="139" spans="2:15" ht="15.75" thickBot="1" x14ac:dyDescent="0.3">
      <c r="B139" s="87" t="s">
        <v>34</v>
      </c>
      <c r="C139" s="89">
        <f>'REC Spend projected'!H20</f>
        <v>0</v>
      </c>
      <c r="D139" s="88">
        <f>'REC Spend projected'!B20+'REC Spend projected'!C20+'REC Spend projected'!D20</f>
        <v>65508554.25</v>
      </c>
      <c r="E139" s="88">
        <f>'REC Spend projected'!I20</f>
        <v>5880413.46</v>
      </c>
      <c r="F139" s="88">
        <f>'REC Spend projected'!E20+'REC Spend projected'!F20+'REC Spend projected'!G20</f>
        <v>1300107.3400000001</v>
      </c>
      <c r="G139" s="88">
        <f>'REC Spend projected'!J20+'REC Spend projected'!K20+'REC Spend projected'!L20</f>
        <v>88983747.730390847</v>
      </c>
      <c r="H139" s="88">
        <f>'REC Spend projected'!Q20+'REC Spend projected'!R20+'REC Spend projected'!S20+'REC Spend projected'!T20+'REC Spend projected'!U20+'REC Spend projected'!V20</f>
        <v>380938080.38013041</v>
      </c>
      <c r="I139" s="88">
        <f>'REC Spend projected'!W20+'REC Spend projected'!X20+'REC Spend projected'!Y20</f>
        <v>131634515.45178816</v>
      </c>
      <c r="J139" s="88">
        <f>'REC Spend projected'!M20+'REC Spend projected'!N20+'REC Spend projected'!O20</f>
        <v>67522169.66182524</v>
      </c>
      <c r="K139" s="88">
        <f t="shared" si="26"/>
        <v>741767588.27413464</v>
      </c>
      <c r="L139" s="88">
        <f>'REC Spend projected'!AC20</f>
        <v>-2224692515.7393126</v>
      </c>
      <c r="M139" s="88">
        <f>'REC Spend projected'!AD20</f>
        <v>741767588.27413464</v>
      </c>
      <c r="N139" s="88">
        <f>'REC Spend projected'!AE20</f>
        <v>-2966460104.0134473</v>
      </c>
      <c r="O139" s="91"/>
    </row>
    <row r="140" spans="2:15" ht="15.75" thickBot="1" x14ac:dyDescent="0.3">
      <c r="B140" s="87" t="s">
        <v>35</v>
      </c>
      <c r="C140" s="89">
        <f>'REC Spend projected'!H21</f>
        <v>0</v>
      </c>
      <c r="D140" s="88">
        <f>'REC Spend projected'!B21+'REC Spend projected'!C21+'REC Spend projected'!D21</f>
        <v>65180948.289999999</v>
      </c>
      <c r="E140" s="88">
        <f>'REC Spend projected'!I21</f>
        <v>0</v>
      </c>
      <c r="F140" s="88">
        <f>'REC Spend projected'!E21+'REC Spend projected'!F21+'REC Spend projected'!G21</f>
        <v>1293418.68</v>
      </c>
      <c r="G140" s="88">
        <f>'REC Spend projected'!J21+'REC Spend projected'!K21+'REC Spend projected'!L21</f>
        <v>80903856.199043646</v>
      </c>
      <c r="H140" s="88">
        <f>'REC Spend projected'!Q21+'REC Spend projected'!R21+'REC Spend projected'!S21+'REC Spend projected'!T21+'REC Spend projected'!U21+'REC Spend projected'!V21</f>
        <v>365731831.43054509</v>
      </c>
      <c r="I140" s="88">
        <f>'REC Spend projected'!W21+'REC Spend projected'!X21+'REC Spend projected'!Y21</f>
        <v>114766241.21472448</v>
      </c>
      <c r="J140" s="88">
        <f>'REC Spend projected'!M21+'REC Spend projected'!N21+'REC Spend projected'!O21</f>
        <v>67559698.762090176</v>
      </c>
      <c r="K140" s="88">
        <f t="shared" si="26"/>
        <v>695435994.57640338</v>
      </c>
      <c r="L140" s="88">
        <f>'REC Spend projected'!AC21</f>
        <v>-2381136811.9437747</v>
      </c>
      <c r="M140" s="88">
        <f>'REC Spend projected'!AD21</f>
        <v>695435994.57640338</v>
      </c>
      <c r="N140" s="88">
        <f>'REC Spend projected'!AE21</f>
        <v>-3076572806.5201778</v>
      </c>
      <c r="O140" s="91"/>
    </row>
    <row r="141" spans="2:15" ht="15.75" thickBot="1" x14ac:dyDescent="0.3">
      <c r="B141" s="87" t="s">
        <v>36</v>
      </c>
      <c r="C141" s="89">
        <f>'REC Spend projected'!H22</f>
        <v>0</v>
      </c>
      <c r="D141" s="88">
        <f>'REC Spend projected'!B22+'REC Spend projected'!C22+'REC Spend projected'!D22</f>
        <v>64854829.009999998</v>
      </c>
      <c r="E141" s="88">
        <f>'REC Spend projected'!I22</f>
        <v>0</v>
      </c>
      <c r="F141" s="88">
        <f>'REC Spend projected'!E22+'REC Spend projected'!F22+'REC Spend projected'!G22</f>
        <v>1287073.1299999999</v>
      </c>
      <c r="G141" s="88">
        <f>'REC Spend projected'!J22+'REC Spend projected'!K22+'REC Spend projected'!L22</f>
        <v>73496944.78020449</v>
      </c>
      <c r="H141" s="88">
        <f>'REC Spend projected'!Q22+'REC Spend projected'!R22+'REC Spend projected'!S22+'REC Spend projected'!T22+'REC Spend projected'!U22+'REC Spend projected'!V22</f>
        <v>351066669.44312936</v>
      </c>
      <c r="I141" s="88">
        <f>'REC Spend projected'!W22+'REC Spend projected'!X22+'REC Spend projected'!Y22</f>
        <v>85928677.19778654</v>
      </c>
      <c r="J141" s="88">
        <f>'REC Spend projected'!M22+'REC Spend projected'!N22+'REC Spend projected'!O22</f>
        <v>67642751.566603482</v>
      </c>
      <c r="K141" s="88">
        <f t="shared" si="26"/>
        <v>644276945.12772393</v>
      </c>
      <c r="L141" s="88">
        <f>'REC Spend projected'!AC22</f>
        <v>-2488481087.6333952</v>
      </c>
      <c r="M141" s="88">
        <f>'REC Spend projected'!AD22</f>
        <v>644276945.12772393</v>
      </c>
      <c r="N141" s="88">
        <f>'REC Spend projected'!AE22</f>
        <v>-3132758032.7611189</v>
      </c>
      <c r="O141" s="91"/>
    </row>
    <row r="142" spans="2:15" ht="15.75" thickBot="1" x14ac:dyDescent="0.3">
      <c r="B142" s="87" t="s">
        <v>37</v>
      </c>
      <c r="C142" s="89">
        <f>'REC Spend projected'!H23</f>
        <v>0</v>
      </c>
      <c r="D142" s="88">
        <f>'REC Spend projected'!B23+'REC Spend projected'!C23+'REC Spend projected'!D23</f>
        <v>64530736.049999997</v>
      </c>
      <c r="E142" s="88">
        <f>'REC Spend projected'!I23</f>
        <v>0</v>
      </c>
      <c r="F142" s="88">
        <f>'REC Spend projected'!E23+'REC Spend projected'!F23+'REC Spend projected'!G23</f>
        <v>1280613.29</v>
      </c>
      <c r="G142" s="88">
        <f>'REC Spend projected'!J23+'REC Spend projected'!K23+'REC Spend projected'!L23</f>
        <v>66633871.293017104</v>
      </c>
      <c r="H142" s="88">
        <f>'REC Spend projected'!Q23+'REC Spend projected'!R23+'REC Spend projected'!S23+'REC Spend projected'!T23+'REC Spend projected'!U23+'REC Spend projected'!V23</f>
        <v>336921286.75437534</v>
      </c>
      <c r="I142" s="88">
        <f>'REC Spend projected'!W23+'REC Spend projected'!X23+'REC Spend projected'!Y23</f>
        <v>55751671.265924774</v>
      </c>
      <c r="J142" s="88">
        <f>'REC Spend projected'!M23+'REC Spend projected'!N23+'REC Spend projected'!O23</f>
        <v>67710238.723197311</v>
      </c>
      <c r="K142" s="88">
        <f t="shared" si="26"/>
        <v>592828417.37651443</v>
      </c>
      <c r="L142" s="88">
        <f>'REC Spend projected'!AC23</f>
        <v>-2542416741.9878755</v>
      </c>
      <c r="M142" s="88">
        <f>'REC Spend projected'!AD23</f>
        <v>592828417.37651455</v>
      </c>
      <c r="N142" s="88">
        <f>'REC Spend projected'!AE23</f>
        <v>-3135245159.3643899</v>
      </c>
      <c r="O142" s="91"/>
    </row>
    <row r="143" spans="2:15" ht="15.75" thickBot="1" x14ac:dyDescent="0.3">
      <c r="B143" s="87" t="s">
        <v>38</v>
      </c>
      <c r="C143" s="89">
        <f>'REC Spend projected'!H24</f>
        <v>0</v>
      </c>
      <c r="D143" s="88">
        <f>'REC Spend projected'!B24+'REC Spend projected'!C24+'REC Spend projected'!D24</f>
        <v>64207754.969999999</v>
      </c>
      <c r="E143" s="88">
        <f>'REC Spend projected'!I24</f>
        <v>0</v>
      </c>
      <c r="F143" s="88">
        <f>'REC Spend projected'!E24+'REC Spend projected'!F24+'REC Spend projected'!G24</f>
        <v>1274238.57</v>
      </c>
      <c r="G143" s="88">
        <f>'REC Spend projected'!J24+'REC Spend projected'!K24+'REC Spend projected'!L24</f>
        <v>59402162.29492186</v>
      </c>
      <c r="H143" s="88">
        <f>'REC Spend projected'!Q24+'REC Spend projected'!R24+'REC Spend projected'!S24+'REC Spend projected'!T24+'REC Spend projected'!U24+'REC Spend projected'!V24</f>
        <v>334833298.17306018</v>
      </c>
      <c r="I143" s="88">
        <f>'REC Spend projected'!W24+'REC Spend projected'!X24+'REC Spend projected'!Y24</f>
        <v>24109221.220547915</v>
      </c>
      <c r="J143" s="88">
        <f>'REC Spend projected'!M24+'REC Spend projected'!N24+'REC Spend projected'!O24</f>
        <v>67790826.711418763</v>
      </c>
      <c r="K143" s="88">
        <f t="shared" si="26"/>
        <v>551617501.93994868</v>
      </c>
      <c r="L143" s="88">
        <f>'REC Spend projected'!AC24</f>
        <v>-2542217602.3170977</v>
      </c>
      <c r="M143" s="88">
        <f>'REC Spend projected'!AD24</f>
        <v>551617501.93994868</v>
      </c>
      <c r="N143" s="88">
        <f>'REC Spend projected'!AE24</f>
        <v>-3093835104.2570462</v>
      </c>
      <c r="O143" s="91"/>
    </row>
    <row r="144" spans="2:15" ht="15.75" thickBot="1" x14ac:dyDescent="0.3">
      <c r="B144" s="87" t="s">
        <v>39</v>
      </c>
      <c r="C144" s="89">
        <f>'REC Spend projected'!H25</f>
        <v>0</v>
      </c>
      <c r="D144" s="88">
        <f>'REC Spend projected'!B25+'REC Spend projected'!C25+'REC Spend projected'!D25</f>
        <v>63887135.460000001</v>
      </c>
      <c r="E144" s="88">
        <f>'REC Spend projected'!I25</f>
        <v>0</v>
      </c>
      <c r="F144" s="88">
        <f>'REC Spend projected'!E25+'REC Spend projected'!F25+'REC Spend projected'!G25</f>
        <v>1267959.6100000001</v>
      </c>
      <c r="G144" s="88">
        <f>'REC Spend projected'!J25+'REC Spend projected'!K25+'REC Spend projected'!L25</f>
        <v>52227698.622920126</v>
      </c>
      <c r="H144" s="88">
        <f>'REC Spend projected'!Q25+'REC Spend projected'!R25+'REC Spend projected'!S25+'REC Spend projected'!T25+'REC Spend projected'!U25+'REC Spend projected'!V25</f>
        <v>283577067.95763683</v>
      </c>
      <c r="I144" s="88">
        <f>'REC Spend projected'!W25+'REC Spend projected'!X25+'REC Spend projected'!Y25</f>
        <v>-13872324.786774568</v>
      </c>
      <c r="J144" s="88">
        <f>'REC Spend projected'!M25+'REC Spend projected'!N25+'REC Spend projected'!O25</f>
        <v>67846294.061737657</v>
      </c>
      <c r="K144" s="88">
        <f t="shared" si="26"/>
        <v>454933830.92552</v>
      </c>
      <c r="L144" s="88">
        <f>'REC Spend projected'!AC25</f>
        <v>-2498958635.5324578</v>
      </c>
      <c r="M144" s="88">
        <f>'REC Spend projected'!AD25</f>
        <v>454933830.92552006</v>
      </c>
      <c r="N144" s="88">
        <f>'REC Spend projected'!AE25</f>
        <v>-2953892466.4579778</v>
      </c>
      <c r="O144" s="91"/>
    </row>
    <row r="145" spans="2:15" ht="15.75" thickBot="1" x14ac:dyDescent="0.3">
      <c r="B145" s="87" t="s">
        <v>40</v>
      </c>
      <c r="C145" s="89">
        <f>'REC Spend projected'!H26</f>
        <v>0</v>
      </c>
      <c r="D145" s="88">
        <f>'REC Spend projected'!B26+'REC Spend projected'!C26+'REC Spend projected'!D26</f>
        <v>63567685.530000001</v>
      </c>
      <c r="E145" s="88">
        <f>'REC Spend projected'!I26</f>
        <v>0</v>
      </c>
      <c r="F145" s="88">
        <f>'REC Spend projected'!E26+'REC Spend projected'!F26+'REC Spend projected'!G26</f>
        <v>1261623.5</v>
      </c>
      <c r="G145" s="88">
        <f>'REC Spend projected'!J26+'REC Spend projected'!K26+'REC Spend projected'!L26</f>
        <v>-44743105.602602378</v>
      </c>
      <c r="H145" s="88">
        <f>'REC Spend projected'!Q26+'REC Spend projected'!R26+'REC Spend projected'!S26+'REC Spend projected'!T26+'REC Spend projected'!U26+'REC Spend projected'!V26</f>
        <v>270000904.35440361</v>
      </c>
      <c r="I145" s="88">
        <f>'REC Spend projected'!W26+'REC Spend projected'!X26+'REC Spend projected'!Y26</f>
        <v>-55948563.377054326</v>
      </c>
      <c r="J145" s="88">
        <f>'REC Spend projected'!M26+'REC Spend projected'!N26+'REC Spend projected'!O26</f>
        <v>67902792.45759207</v>
      </c>
      <c r="K145" s="88">
        <f t="shared" si="26"/>
        <v>302041336.86233896</v>
      </c>
      <c r="L145" s="88">
        <f>'REC Spend projected'!AC26</f>
        <v>-2357132717.8715754</v>
      </c>
      <c r="M145" s="88">
        <f>'REC Spend projected'!AD26</f>
        <v>302041336.86233896</v>
      </c>
      <c r="N145" s="88">
        <f>'REC Spend projected'!AE26</f>
        <v>-2659174054.7339144</v>
      </c>
      <c r="O145" s="91"/>
    </row>
    <row r="150" spans="2:15" ht="15.75" thickBot="1" x14ac:dyDescent="0.3"/>
    <row r="151" spans="2:15" ht="15" customHeight="1" thickBot="1" x14ac:dyDescent="0.3">
      <c r="B151" s="326" t="s">
        <v>360</v>
      </c>
      <c r="C151" s="327"/>
      <c r="D151" s="327"/>
      <c r="E151" s="328"/>
      <c r="F151" s="329" t="s">
        <v>355</v>
      </c>
      <c r="G151" s="327"/>
      <c r="H151" s="330" t="s">
        <v>361</v>
      </c>
      <c r="I151" s="331"/>
      <c r="J151" s="81"/>
      <c r="K151" s="314"/>
      <c r="L151" s="314"/>
      <c r="M151" s="314"/>
    </row>
    <row r="152" spans="2:15" ht="34.5" thickBot="1" x14ac:dyDescent="0.3">
      <c r="B152" s="82" t="s">
        <v>1</v>
      </c>
      <c r="C152" s="83" t="s">
        <v>362</v>
      </c>
      <c r="D152" s="83" t="s">
        <v>363</v>
      </c>
      <c r="E152" s="84" t="s">
        <v>364</v>
      </c>
      <c r="F152" s="84" t="s">
        <v>365</v>
      </c>
      <c r="G152" s="84" t="s">
        <v>366</v>
      </c>
      <c r="H152" s="83" t="s">
        <v>367</v>
      </c>
      <c r="I152" s="83" t="s">
        <v>368</v>
      </c>
      <c r="J152" s="83" t="s">
        <v>369</v>
      </c>
      <c r="K152" s="83" t="s">
        <v>335</v>
      </c>
      <c r="L152" s="83" t="s">
        <v>349</v>
      </c>
      <c r="M152" s="243" t="s">
        <v>245</v>
      </c>
    </row>
    <row r="153" spans="2:15" ht="15.75" thickBot="1" x14ac:dyDescent="0.3">
      <c r="B153" s="87" t="s">
        <v>17</v>
      </c>
      <c r="C153" s="93">
        <f>C123/1000000</f>
        <v>30.848359600711422</v>
      </c>
      <c r="D153" s="93">
        <f t="shared" ref="D153:L153" si="27">D123/1000000</f>
        <v>216.56714749</v>
      </c>
      <c r="E153" s="93">
        <f t="shared" si="27"/>
        <v>5.3972904699999997</v>
      </c>
      <c r="F153" s="93">
        <f t="shared" si="27"/>
        <v>0</v>
      </c>
      <c r="G153" s="93">
        <f t="shared" si="27"/>
        <v>0</v>
      </c>
      <c r="H153" s="93">
        <f t="shared" si="27"/>
        <v>0</v>
      </c>
      <c r="I153" s="93">
        <f t="shared" si="27"/>
        <v>0</v>
      </c>
      <c r="J153" s="93">
        <f t="shared" si="27"/>
        <v>18.018880058405568</v>
      </c>
      <c r="K153" s="93">
        <f t="shared" si="27"/>
        <v>270.83167761911704</v>
      </c>
      <c r="L153" s="93">
        <f t="shared" si="27"/>
        <v>519.02655571101911</v>
      </c>
      <c r="M153" s="93">
        <f t="shared" ref="M153:M175" si="28">N123/1000000</f>
        <v>248.19487809190207</v>
      </c>
    </row>
    <row r="154" spans="2:15" ht="15.75" thickBot="1" x14ac:dyDescent="0.3">
      <c r="B154" s="87" t="s">
        <v>18</v>
      </c>
      <c r="C154" s="93">
        <f t="shared" ref="C154:L175" si="29">C124/1000000</f>
        <v>24.142255383493655</v>
      </c>
      <c r="D154" s="93">
        <f t="shared" si="29"/>
        <v>206.86667870000002</v>
      </c>
      <c r="E154" s="93">
        <f t="shared" si="29"/>
        <v>19.260591157020841</v>
      </c>
      <c r="F154" s="93">
        <f t="shared" si="29"/>
        <v>0</v>
      </c>
      <c r="G154" s="93">
        <f t="shared" si="29"/>
        <v>0</v>
      </c>
      <c r="H154" s="93">
        <f t="shared" si="29"/>
        <v>0</v>
      </c>
      <c r="I154" s="93">
        <f t="shared" si="29"/>
        <v>0</v>
      </c>
      <c r="J154" s="93">
        <f t="shared" si="29"/>
        <v>73.942135092404001</v>
      </c>
      <c r="K154" s="93">
        <f t="shared" si="29"/>
        <v>324.21166033291854</v>
      </c>
      <c r="L154" s="93">
        <f t="shared" si="29"/>
        <v>712.93271450536918</v>
      </c>
      <c r="M154" s="93">
        <f t="shared" si="28"/>
        <v>388.72105417245064</v>
      </c>
    </row>
    <row r="155" spans="2:15" ht="15.75" thickBot="1" x14ac:dyDescent="0.3">
      <c r="B155" s="87" t="s">
        <v>19</v>
      </c>
      <c r="C155" s="93">
        <f t="shared" si="29"/>
        <v>22.062344595163538</v>
      </c>
      <c r="D155" s="93">
        <f t="shared" si="29"/>
        <v>256.27687840999999</v>
      </c>
      <c r="E155" s="93">
        <f t="shared" si="29"/>
        <v>22.975411212579786</v>
      </c>
      <c r="F155" s="93">
        <f t="shared" si="29"/>
        <v>0</v>
      </c>
      <c r="G155" s="93">
        <f t="shared" si="29"/>
        <v>0</v>
      </c>
      <c r="H155" s="93">
        <f t="shared" si="29"/>
        <v>0</v>
      </c>
      <c r="I155" s="93">
        <f t="shared" si="29"/>
        <v>0</v>
      </c>
      <c r="J155" s="93">
        <f t="shared" si="29"/>
        <v>67.623889800951702</v>
      </c>
      <c r="K155" s="93">
        <f t="shared" si="29"/>
        <v>368.93852401869503</v>
      </c>
      <c r="L155" s="93">
        <f t="shared" si="29"/>
        <v>976.18404753750769</v>
      </c>
      <c r="M155" s="93">
        <f t="shared" si="28"/>
        <v>607.24552351881266</v>
      </c>
    </row>
    <row r="156" spans="2:15" ht="15.75" thickBot="1" x14ac:dyDescent="0.3">
      <c r="B156" s="87" t="s">
        <v>20</v>
      </c>
      <c r="C156" s="93">
        <f t="shared" si="29"/>
        <v>17.721007415898786</v>
      </c>
      <c r="D156" s="93">
        <f t="shared" si="29"/>
        <v>474.53286757000001</v>
      </c>
      <c r="E156" s="93">
        <f t="shared" si="29"/>
        <v>22.594914147020837</v>
      </c>
      <c r="F156" s="93">
        <f t="shared" si="29"/>
        <v>0</v>
      </c>
      <c r="G156" s="93">
        <f t="shared" si="29"/>
        <v>0</v>
      </c>
      <c r="H156" s="93">
        <f t="shared" si="29"/>
        <v>0</v>
      </c>
      <c r="I156" s="93">
        <f t="shared" si="29"/>
        <v>0</v>
      </c>
      <c r="J156" s="93">
        <f t="shared" si="29"/>
        <v>67.322647088471598</v>
      </c>
      <c r="K156" s="93">
        <f t="shared" si="29"/>
        <v>582.17143622139122</v>
      </c>
      <c r="L156" s="93">
        <f t="shared" si="29"/>
        <v>1184.6670931345325</v>
      </c>
      <c r="M156" s="93">
        <f t="shared" si="28"/>
        <v>602.49565691314126</v>
      </c>
    </row>
    <row r="157" spans="2:15" ht="15.75" thickBot="1" x14ac:dyDescent="0.3">
      <c r="B157" s="87" t="s">
        <v>22</v>
      </c>
      <c r="C157" s="93">
        <f t="shared" si="29"/>
        <v>17.421541685608783</v>
      </c>
      <c r="D157" s="93">
        <f t="shared" si="29"/>
        <v>327.72459400999998</v>
      </c>
      <c r="E157" s="93">
        <f t="shared" si="29"/>
        <v>22.594914147020837</v>
      </c>
      <c r="F157" s="93">
        <f t="shared" si="29"/>
        <v>0.98748216</v>
      </c>
      <c r="G157" s="93">
        <f>G127/1000000</f>
        <v>47.115880515000001</v>
      </c>
      <c r="H157" s="93">
        <f>H127/1000000</f>
        <v>204.28423195154269</v>
      </c>
      <c r="I157" s="93">
        <f t="shared" si="29"/>
        <v>0</v>
      </c>
      <c r="J157" s="93">
        <f t="shared" si="29"/>
        <v>77.20882955739026</v>
      </c>
      <c r="K157" s="93">
        <f t="shared" si="29"/>
        <v>697.33747402656252</v>
      </c>
      <c r="L157" s="93">
        <f t="shared" si="29"/>
        <v>1176.1233088261499</v>
      </c>
      <c r="M157" s="93">
        <f t="shared" si="28"/>
        <v>478.78583479958735</v>
      </c>
    </row>
    <row r="158" spans="2:15" ht="15.75" thickBot="1" x14ac:dyDescent="0.3">
      <c r="B158" s="87" t="s">
        <v>23</v>
      </c>
      <c r="C158" s="93">
        <f t="shared" si="29"/>
        <v>11.401431694168943</v>
      </c>
      <c r="D158" s="93">
        <f t="shared" si="29"/>
        <v>215.26118725999999</v>
      </c>
      <c r="E158" s="93">
        <f t="shared" si="29"/>
        <v>22.594914147020837</v>
      </c>
      <c r="F158" s="93">
        <f t="shared" si="29"/>
        <v>23.917985990000002</v>
      </c>
      <c r="G158" s="93">
        <f t="shared" si="29"/>
        <v>118.70219316802499</v>
      </c>
      <c r="H158" s="93">
        <f t="shared" si="29"/>
        <v>257.49641497674054</v>
      </c>
      <c r="I158" s="93">
        <f t="shared" si="29"/>
        <v>0</v>
      </c>
      <c r="J158" s="93">
        <f t="shared" si="29"/>
        <v>67.147929289274543</v>
      </c>
      <c r="K158" s="93">
        <f t="shared" si="29"/>
        <v>716.5220565252298</v>
      </c>
      <c r="L158" s="93">
        <f t="shared" si="29"/>
        <v>1050.3834777754055</v>
      </c>
      <c r="M158" s="93">
        <f t="shared" si="28"/>
        <v>333.86142125017557</v>
      </c>
    </row>
    <row r="159" spans="2:15" ht="15.75" thickBot="1" x14ac:dyDescent="0.3">
      <c r="B159" s="87" t="s">
        <v>24</v>
      </c>
      <c r="C159" s="93">
        <f t="shared" si="29"/>
        <v>8.215431710476329</v>
      </c>
      <c r="D159" s="93">
        <f t="shared" si="29"/>
        <v>181.22776967000001</v>
      </c>
      <c r="E159" s="93">
        <f t="shared" si="29"/>
        <v>22.594914147020837</v>
      </c>
      <c r="F159" s="93">
        <f t="shared" si="29"/>
        <v>28.314836240000002</v>
      </c>
      <c r="G159" s="93">
        <f t="shared" si="29"/>
        <v>164.39193195850186</v>
      </c>
      <c r="H159" s="93">
        <f t="shared" si="29"/>
        <v>308.15513981978938</v>
      </c>
      <c r="I159" s="93">
        <f t="shared" si="29"/>
        <v>0</v>
      </c>
      <c r="J159" s="93">
        <f t="shared" si="29"/>
        <v>66.888811399599319</v>
      </c>
      <c r="K159" s="93">
        <f t="shared" si="29"/>
        <v>779.78883494538786</v>
      </c>
      <c r="L159" s="93">
        <f t="shared" si="29"/>
        <v>896.82180123681951</v>
      </c>
      <c r="M159" s="93">
        <f t="shared" si="28"/>
        <v>117.03296629143179</v>
      </c>
    </row>
    <row r="160" spans="2:15" ht="15.75" thickBot="1" x14ac:dyDescent="0.3">
      <c r="B160" s="87" t="s">
        <v>25</v>
      </c>
      <c r="C160" s="93">
        <f t="shared" si="29"/>
        <v>4.4804827749063234</v>
      </c>
      <c r="D160" s="93">
        <f t="shared" si="29"/>
        <v>156.49068334</v>
      </c>
      <c r="E160" s="93">
        <f t="shared" si="29"/>
        <v>22.594914147020837</v>
      </c>
      <c r="F160" s="93">
        <f t="shared" si="29"/>
        <v>27.996370649999999</v>
      </c>
      <c r="G160" s="93">
        <f t="shared" si="29"/>
        <v>151.09723330777115</v>
      </c>
      <c r="H160" s="93">
        <f t="shared" si="29"/>
        <v>356.67623419929299</v>
      </c>
      <c r="I160" s="93">
        <f t="shared" si="29"/>
        <v>0</v>
      </c>
      <c r="J160" s="93">
        <f t="shared" si="29"/>
        <v>76.862404659270325</v>
      </c>
      <c r="K160" s="93">
        <f t="shared" si="29"/>
        <v>796.19832307826164</v>
      </c>
      <c r="L160" s="93">
        <f t="shared" si="29"/>
        <v>679.11312160044281</v>
      </c>
      <c r="M160" s="93">
        <f t="shared" si="28"/>
        <v>-117.08520147781884</v>
      </c>
    </row>
    <row r="161" spans="2:13" ht="15.75" thickBot="1" x14ac:dyDescent="0.3">
      <c r="B161" s="90" t="s">
        <v>26</v>
      </c>
      <c r="C161" s="93">
        <f t="shared" si="29"/>
        <v>4.4781322592044512</v>
      </c>
      <c r="D161" s="93">
        <f t="shared" si="29"/>
        <v>138.44659067000001</v>
      </c>
      <c r="E161" s="93">
        <f t="shared" si="29"/>
        <v>22.594914147020837</v>
      </c>
      <c r="F161" s="93">
        <f t="shared" si="29"/>
        <v>27.989649420000003</v>
      </c>
      <c r="G161" s="93">
        <f t="shared" si="29"/>
        <v>144.0604566676289</v>
      </c>
      <c r="H161" s="93">
        <f t="shared" si="29"/>
        <v>403.14575974114251</v>
      </c>
      <c r="I161" s="93">
        <f t="shared" si="29"/>
        <v>53.362774999999999</v>
      </c>
      <c r="J161" s="93">
        <f t="shared" si="29"/>
        <v>66.906426967615872</v>
      </c>
      <c r="K161" s="93">
        <f t="shared" si="29"/>
        <v>860.9847048726125</v>
      </c>
      <c r="L161" s="93">
        <f t="shared" si="29"/>
        <v>446.46236410937689</v>
      </c>
      <c r="M161" s="93">
        <f t="shared" si="28"/>
        <v>-414.52234076323555</v>
      </c>
    </row>
    <row r="162" spans="2:13" ht="15.75" thickBot="1" x14ac:dyDescent="0.3">
      <c r="B162" s="87" t="s">
        <v>27</v>
      </c>
      <c r="C162" s="93">
        <f t="shared" si="29"/>
        <v>4.3380086485485405</v>
      </c>
      <c r="D162" s="93">
        <f t="shared" si="29"/>
        <v>136.91115321999999</v>
      </c>
      <c r="E162" s="93">
        <f t="shared" si="29"/>
        <v>22.594914147020837</v>
      </c>
      <c r="F162" s="93">
        <f t="shared" si="29"/>
        <v>27.98287818</v>
      </c>
      <c r="G162" s="93">
        <f t="shared" si="29"/>
        <v>133.60488560675481</v>
      </c>
      <c r="H162" s="93">
        <f t="shared" si="29"/>
        <v>447.64633282415627</v>
      </c>
      <c r="I162" s="93">
        <f t="shared" si="29"/>
        <v>98.322727875000027</v>
      </c>
      <c r="J162" s="93">
        <f t="shared" si="29"/>
        <v>66.920397125927693</v>
      </c>
      <c r="K162" s="93">
        <f t="shared" si="29"/>
        <v>938.32129762740817</v>
      </c>
      <c r="L162" s="93">
        <f t="shared" si="29"/>
        <v>149.49089676768745</v>
      </c>
      <c r="M162" s="93">
        <f t="shared" si="28"/>
        <v>-788.83040085972084</v>
      </c>
    </row>
    <row r="163" spans="2:13" ht="15.75" thickBot="1" x14ac:dyDescent="0.3">
      <c r="B163" s="87" t="s">
        <v>28</v>
      </c>
      <c r="C163" s="93">
        <f t="shared" si="29"/>
        <v>4.3034536786395101</v>
      </c>
      <c r="D163" s="93">
        <f t="shared" si="29"/>
        <v>133.65923053999998</v>
      </c>
      <c r="E163" s="93">
        <f t="shared" si="29"/>
        <v>22.594914147020837</v>
      </c>
      <c r="F163" s="93">
        <f t="shared" si="29"/>
        <v>27.976117949999999</v>
      </c>
      <c r="G163" s="93">
        <f t="shared" si="29"/>
        <v>123.92432577766166</v>
      </c>
      <c r="H163" s="93">
        <f t="shared" si="29"/>
        <v>490.25726240387348</v>
      </c>
      <c r="I163" s="93">
        <f t="shared" si="29"/>
        <v>128.17739142062501</v>
      </c>
      <c r="J163" s="93">
        <f t="shared" si="29"/>
        <v>77.023386929470732</v>
      </c>
      <c r="K163" s="93">
        <f t="shared" si="29"/>
        <v>1007.9160828472912</v>
      </c>
      <c r="L163" s="93">
        <f t="shared" si="29"/>
        <v>-221.38416987736321</v>
      </c>
      <c r="M163" s="93">
        <f t="shared" si="28"/>
        <v>-1229.3002527246542</v>
      </c>
    </row>
    <row r="164" spans="2:13" ht="15.75" thickBot="1" x14ac:dyDescent="0.3">
      <c r="B164" s="87" t="s">
        <v>29</v>
      </c>
      <c r="C164" s="93">
        <f t="shared" si="29"/>
        <v>4.2610796921323004</v>
      </c>
      <c r="D164" s="93">
        <f t="shared" si="29"/>
        <v>98.606583029999996</v>
      </c>
      <c r="E164" s="93">
        <f t="shared" si="29"/>
        <v>22.594914147020837</v>
      </c>
      <c r="F164" s="93">
        <f t="shared" si="29"/>
        <v>2.3407025099999998</v>
      </c>
      <c r="G164" s="93">
        <f t="shared" si="29"/>
        <v>125.53532721852729</v>
      </c>
      <c r="H164" s="93">
        <f t="shared" si="29"/>
        <v>497.67560804103294</v>
      </c>
      <c r="I164" s="93">
        <f t="shared" si="29"/>
        <v>139.79073492580309</v>
      </c>
      <c r="J164" s="93">
        <f t="shared" si="29"/>
        <v>67.120451256649815</v>
      </c>
      <c r="K164" s="93">
        <f t="shared" si="29"/>
        <v>957.92540082116625</v>
      </c>
      <c r="L164" s="93">
        <f t="shared" si="29"/>
        <v>-658.61854416966014</v>
      </c>
      <c r="M164" s="93">
        <f t="shared" si="28"/>
        <v>-1616.5439449908263</v>
      </c>
    </row>
    <row r="165" spans="2:13" ht="15.75" thickBot="1" x14ac:dyDescent="0.3">
      <c r="B165" s="87" t="s">
        <v>30</v>
      </c>
      <c r="C165" s="93">
        <f t="shared" si="29"/>
        <v>0</v>
      </c>
      <c r="D165" s="93">
        <f t="shared" si="29"/>
        <v>98.270482810000004</v>
      </c>
      <c r="E165" s="93">
        <f t="shared" si="29"/>
        <v>22.594914147020837</v>
      </c>
      <c r="F165" s="93">
        <f t="shared" si="29"/>
        <v>2.2436090000000002</v>
      </c>
      <c r="G165" s="93">
        <f t="shared" si="29"/>
        <v>119.95584389772931</v>
      </c>
      <c r="H165" s="93">
        <f t="shared" si="29"/>
        <v>499.36547954283446</v>
      </c>
      <c r="I165" s="93">
        <f t="shared" si="29"/>
        <v>175.62864563969845</v>
      </c>
      <c r="J165" s="93">
        <f t="shared" si="29"/>
        <v>67.234402603198845</v>
      </c>
      <c r="K165" s="93">
        <f t="shared" si="29"/>
        <v>985.29337764048205</v>
      </c>
      <c r="L165" s="93">
        <f t="shared" si="29"/>
        <v>-1042.0638582175316</v>
      </c>
      <c r="M165" s="93">
        <f t="shared" si="28"/>
        <v>-2027.3572358580136</v>
      </c>
    </row>
    <row r="166" spans="2:13" ht="15.75" thickBot="1" x14ac:dyDescent="0.3">
      <c r="B166" s="87" t="s">
        <v>31</v>
      </c>
      <c r="C166" s="93">
        <f t="shared" si="29"/>
        <v>0</v>
      </c>
      <c r="D166" s="93">
        <f t="shared" si="29"/>
        <v>66.500890429999998</v>
      </c>
      <c r="E166" s="93">
        <f t="shared" si="29"/>
        <v>20.941094263402295</v>
      </c>
      <c r="F166" s="93">
        <f t="shared" si="29"/>
        <v>1.3198770800000001</v>
      </c>
      <c r="G166" s="93">
        <f t="shared" si="29"/>
        <v>112.74197969171308</v>
      </c>
      <c r="H166" s="93">
        <f t="shared" si="29"/>
        <v>430.1428839867782</v>
      </c>
      <c r="I166" s="93">
        <f t="shared" si="29"/>
        <v>177.78164926390826</v>
      </c>
      <c r="J166" s="93">
        <f t="shared" si="29"/>
        <v>67.289396046359869</v>
      </c>
      <c r="K166" s="93">
        <f t="shared" si="29"/>
        <v>876.71777076216176</v>
      </c>
      <c r="L166" s="93">
        <f t="shared" si="29"/>
        <v>-1451.0440343126847</v>
      </c>
      <c r="M166" s="93">
        <f t="shared" si="28"/>
        <v>-2327.7618050748461</v>
      </c>
    </row>
    <row r="167" spans="2:13" ht="15.75" thickBot="1" x14ac:dyDescent="0.3">
      <c r="B167" s="87" t="s">
        <v>32</v>
      </c>
      <c r="C167" s="93">
        <f t="shared" si="29"/>
        <v>0</v>
      </c>
      <c r="D167" s="93">
        <f t="shared" si="29"/>
        <v>66.168272430000002</v>
      </c>
      <c r="E167" s="93">
        <f t="shared" si="29"/>
        <v>20.941094263402295</v>
      </c>
      <c r="F167" s="93">
        <f t="shared" si="29"/>
        <v>1.3131863899999998</v>
      </c>
      <c r="G167" s="93">
        <f t="shared" si="29"/>
        <v>104.09945936199223</v>
      </c>
      <c r="H167" s="93">
        <f t="shared" si="29"/>
        <v>413.0635370376724</v>
      </c>
      <c r="I167" s="93">
        <f t="shared" si="29"/>
        <v>170.7567060917838</v>
      </c>
      <c r="J167" s="93">
        <f t="shared" si="29"/>
        <v>67.37869379901457</v>
      </c>
      <c r="K167" s="93">
        <f t="shared" si="29"/>
        <v>843.72094937386521</v>
      </c>
      <c r="L167" s="93">
        <f t="shared" si="29"/>
        <v>-1748.4720117743609</v>
      </c>
      <c r="M167" s="93">
        <f t="shared" si="28"/>
        <v>-2592.1929611482265</v>
      </c>
    </row>
    <row r="168" spans="2:13" ht="15.75" thickBot="1" x14ac:dyDescent="0.3">
      <c r="B168" s="87" t="s">
        <v>33</v>
      </c>
      <c r="C168" s="93">
        <f t="shared" si="29"/>
        <v>0</v>
      </c>
      <c r="D168" s="93">
        <f t="shared" si="29"/>
        <v>65.837667569999994</v>
      </c>
      <c r="E168" s="93">
        <f t="shared" si="29"/>
        <v>17.493544263402296</v>
      </c>
      <c r="F168" s="93">
        <f t="shared" si="29"/>
        <v>1.3066132500000001</v>
      </c>
      <c r="G168" s="93">
        <f t="shared" si="29"/>
        <v>95.402045294306376</v>
      </c>
      <c r="H168" s="93">
        <f t="shared" si="29"/>
        <v>396.70761001688027</v>
      </c>
      <c r="I168" s="93">
        <f t="shared" si="29"/>
        <v>153.85388005294314</v>
      </c>
      <c r="J168" s="93">
        <f t="shared" si="29"/>
        <v>67.444210839039314</v>
      </c>
      <c r="K168" s="93">
        <f t="shared" si="29"/>
        <v>798.04557128657143</v>
      </c>
      <c r="L168" s="93">
        <f t="shared" si="29"/>
        <v>-2010.7192665135826</v>
      </c>
      <c r="M168" s="93">
        <f t="shared" si="28"/>
        <v>-2808.7648378001536</v>
      </c>
    </row>
    <row r="169" spans="2:13" ht="15.75" thickBot="1" x14ac:dyDescent="0.3">
      <c r="B169" s="87" t="s">
        <v>34</v>
      </c>
      <c r="C169" s="93">
        <f t="shared" si="29"/>
        <v>0</v>
      </c>
      <c r="D169" s="93">
        <f t="shared" si="29"/>
        <v>65.508554250000003</v>
      </c>
      <c r="E169" s="93">
        <f t="shared" si="29"/>
        <v>5.8804134599999998</v>
      </c>
      <c r="F169" s="93">
        <f t="shared" si="29"/>
        <v>1.3001073400000001</v>
      </c>
      <c r="G169" s="93">
        <f t="shared" si="29"/>
        <v>88.983747730390846</v>
      </c>
      <c r="H169" s="93">
        <f t="shared" si="29"/>
        <v>380.93808038013043</v>
      </c>
      <c r="I169" s="93">
        <f t="shared" si="29"/>
        <v>131.63451545178816</v>
      </c>
      <c r="J169" s="93">
        <f t="shared" si="29"/>
        <v>67.522169661825245</v>
      </c>
      <c r="K169" s="93">
        <f t="shared" si="29"/>
        <v>741.7675882741346</v>
      </c>
      <c r="L169" s="93">
        <f t="shared" si="29"/>
        <v>-2224.6925157393125</v>
      </c>
      <c r="M169" s="93">
        <f t="shared" si="28"/>
        <v>-2966.4601040134471</v>
      </c>
    </row>
    <row r="170" spans="2:13" ht="15.75" thickBot="1" x14ac:dyDescent="0.3">
      <c r="B170" s="87" t="s">
        <v>35</v>
      </c>
      <c r="C170" s="93">
        <f t="shared" si="29"/>
        <v>0</v>
      </c>
      <c r="D170" s="93">
        <f t="shared" si="29"/>
        <v>65.180948290000003</v>
      </c>
      <c r="E170" s="93">
        <f t="shared" si="29"/>
        <v>0</v>
      </c>
      <c r="F170" s="93">
        <f t="shared" si="29"/>
        <v>1.29341868</v>
      </c>
      <c r="G170" s="93">
        <f t="shared" si="29"/>
        <v>80.903856199043645</v>
      </c>
      <c r="H170" s="93">
        <f t="shared" si="29"/>
        <v>365.73183143054507</v>
      </c>
      <c r="I170" s="93">
        <f t="shared" si="29"/>
        <v>114.76624121472449</v>
      </c>
      <c r="J170" s="93">
        <f t="shared" si="29"/>
        <v>67.559698762090179</v>
      </c>
      <c r="K170" s="93">
        <f t="shared" si="29"/>
        <v>695.43599457640335</v>
      </c>
      <c r="L170" s="93">
        <f t="shared" si="29"/>
        <v>-2381.1368119437748</v>
      </c>
      <c r="M170" s="93">
        <f t="shared" si="28"/>
        <v>-3076.5728065201779</v>
      </c>
    </row>
    <row r="171" spans="2:13" ht="15.75" thickBot="1" x14ac:dyDescent="0.3">
      <c r="B171" s="87" t="s">
        <v>36</v>
      </c>
      <c r="C171" s="93">
        <f t="shared" si="29"/>
        <v>0</v>
      </c>
      <c r="D171" s="93">
        <f t="shared" si="29"/>
        <v>64.854829010000003</v>
      </c>
      <c r="E171" s="93">
        <f t="shared" si="29"/>
        <v>0</v>
      </c>
      <c r="F171" s="93">
        <f t="shared" si="29"/>
        <v>1.2870731299999998</v>
      </c>
      <c r="G171" s="93">
        <f t="shared" si="29"/>
        <v>73.496944780204487</v>
      </c>
      <c r="H171" s="93">
        <f t="shared" si="29"/>
        <v>351.06666944312934</v>
      </c>
      <c r="I171" s="93">
        <f t="shared" si="29"/>
        <v>85.928677197786541</v>
      </c>
      <c r="J171" s="93">
        <f t="shared" si="29"/>
        <v>67.642751566603479</v>
      </c>
      <c r="K171" s="93">
        <f t="shared" si="29"/>
        <v>644.27694512772393</v>
      </c>
      <c r="L171" s="93">
        <f t="shared" si="29"/>
        <v>-2488.4810876333954</v>
      </c>
      <c r="M171" s="93">
        <f t="shared" si="28"/>
        <v>-3132.758032761119</v>
      </c>
    </row>
    <row r="172" spans="2:13" ht="15.75" thickBot="1" x14ac:dyDescent="0.3">
      <c r="B172" s="87" t="s">
        <v>37</v>
      </c>
      <c r="C172" s="93">
        <f t="shared" si="29"/>
        <v>0</v>
      </c>
      <c r="D172" s="93">
        <f t="shared" si="29"/>
        <v>64.530736050000002</v>
      </c>
      <c r="E172" s="93">
        <f t="shared" si="29"/>
        <v>0</v>
      </c>
      <c r="F172" s="93">
        <f t="shared" si="29"/>
        <v>1.28061329</v>
      </c>
      <c r="G172" s="93">
        <f t="shared" si="29"/>
        <v>66.633871293017108</v>
      </c>
      <c r="H172" s="93">
        <f t="shared" si="29"/>
        <v>336.92128675437533</v>
      </c>
      <c r="I172" s="93">
        <f t="shared" si="29"/>
        <v>55.751671265924777</v>
      </c>
      <c r="J172" s="93">
        <f t="shared" si="29"/>
        <v>67.710238723197307</v>
      </c>
      <c r="K172" s="93">
        <f t="shared" si="29"/>
        <v>592.82841737651438</v>
      </c>
      <c r="L172" s="93">
        <f t="shared" si="29"/>
        <v>-2542.4167419878754</v>
      </c>
      <c r="M172" s="93">
        <f t="shared" si="28"/>
        <v>-3135.24515936439</v>
      </c>
    </row>
    <row r="173" spans="2:13" ht="15.75" thickBot="1" x14ac:dyDescent="0.3">
      <c r="B173" s="87" t="s">
        <v>38</v>
      </c>
      <c r="C173" s="93">
        <f t="shared" si="29"/>
        <v>0</v>
      </c>
      <c r="D173" s="93">
        <f t="shared" si="29"/>
        <v>64.207754969999996</v>
      </c>
      <c r="E173" s="93">
        <f t="shared" si="29"/>
        <v>0</v>
      </c>
      <c r="F173" s="93">
        <f t="shared" si="29"/>
        <v>1.2742385700000001</v>
      </c>
      <c r="G173" s="93">
        <f t="shared" si="29"/>
        <v>59.402162294921858</v>
      </c>
      <c r="H173" s="93">
        <f t="shared" si="29"/>
        <v>334.8332981730602</v>
      </c>
      <c r="I173" s="93">
        <f t="shared" si="29"/>
        <v>24.109221220547916</v>
      </c>
      <c r="J173" s="93">
        <f t="shared" si="29"/>
        <v>67.790826711418759</v>
      </c>
      <c r="K173" s="93">
        <f t="shared" si="29"/>
        <v>551.61750193994862</v>
      </c>
      <c r="L173" s="93">
        <f t="shared" si="29"/>
        <v>-2542.2176023170978</v>
      </c>
      <c r="M173" s="93">
        <f t="shared" si="28"/>
        <v>-3093.8351042570462</v>
      </c>
    </row>
    <row r="174" spans="2:13" ht="15.75" thickBot="1" x14ac:dyDescent="0.3">
      <c r="B174" s="87" t="s">
        <v>39</v>
      </c>
      <c r="C174" s="93">
        <f t="shared" si="29"/>
        <v>0</v>
      </c>
      <c r="D174" s="93">
        <f t="shared" si="29"/>
        <v>63.887135460000003</v>
      </c>
      <c r="E174" s="93">
        <f t="shared" si="29"/>
        <v>0</v>
      </c>
      <c r="F174" s="93">
        <f t="shared" si="29"/>
        <v>1.2679596100000001</v>
      </c>
      <c r="G174" s="93">
        <f t="shared" si="29"/>
        <v>52.227698622920123</v>
      </c>
      <c r="H174" s="93">
        <f t="shared" si="29"/>
        <v>283.57706795763681</v>
      </c>
      <c r="I174" s="93">
        <f t="shared" si="29"/>
        <v>-13.872324786774568</v>
      </c>
      <c r="J174" s="93">
        <f t="shared" si="29"/>
        <v>67.846294061737652</v>
      </c>
      <c r="K174" s="93">
        <f t="shared" si="29"/>
        <v>454.93383092552</v>
      </c>
      <c r="L174" s="93">
        <f t="shared" si="29"/>
        <v>-2498.9586355324577</v>
      </c>
      <c r="M174" s="93">
        <f t="shared" si="28"/>
        <v>-2953.8924664579777</v>
      </c>
    </row>
    <row r="175" spans="2:13" ht="15.75" thickBot="1" x14ac:dyDescent="0.3">
      <c r="B175" s="87" t="s">
        <v>40</v>
      </c>
      <c r="C175" s="93">
        <f t="shared" si="29"/>
        <v>0</v>
      </c>
      <c r="D175" s="93">
        <f t="shared" si="29"/>
        <v>63.567685529999999</v>
      </c>
      <c r="E175" s="93">
        <f t="shared" si="29"/>
        <v>0</v>
      </c>
      <c r="F175" s="93">
        <f t="shared" si="29"/>
        <v>1.2616235</v>
      </c>
      <c r="G175" s="93">
        <f t="shared" si="29"/>
        <v>-44.743105602602377</v>
      </c>
      <c r="H175" s="93">
        <f t="shared" si="29"/>
        <v>270.00090435440359</v>
      </c>
      <c r="I175" s="93">
        <f t="shared" si="29"/>
        <v>-55.948563377054327</v>
      </c>
      <c r="J175" s="93">
        <f t="shared" si="29"/>
        <v>67.902792457592071</v>
      </c>
      <c r="K175" s="93">
        <f t="shared" si="29"/>
        <v>302.04133686233894</v>
      </c>
      <c r="L175" s="93">
        <f t="shared" si="29"/>
        <v>-2357.1327178715756</v>
      </c>
      <c r="M175" s="93">
        <f t="shared" si="28"/>
        <v>-2659.1740547339145</v>
      </c>
    </row>
  </sheetData>
  <mergeCells count="22">
    <mergeCell ref="B2:E2"/>
    <mergeCell ref="F2:G2"/>
    <mergeCell ref="H2:I2"/>
    <mergeCell ref="J2:K2"/>
    <mergeCell ref="B30:E30"/>
    <mergeCell ref="F30:G30"/>
    <mergeCell ref="H30:I30"/>
    <mergeCell ref="J30:K30"/>
    <mergeCell ref="B58:E58"/>
    <mergeCell ref="F58:G58"/>
    <mergeCell ref="H58:I58"/>
    <mergeCell ref="J58:K58"/>
    <mergeCell ref="B86:E86"/>
    <mergeCell ref="F86:G86"/>
    <mergeCell ref="H86:I86"/>
    <mergeCell ref="J86:K86"/>
    <mergeCell ref="B121:E121"/>
    <mergeCell ref="F121:G121"/>
    <mergeCell ref="H121:I121"/>
    <mergeCell ref="B151:E151"/>
    <mergeCell ref="F151:G151"/>
    <mergeCell ref="H151:I151"/>
  </mergeCells>
  <phoneticPr fontId="13" type="noConversion"/>
  <printOptions horizontalCentered="1" verticalCentered="1"/>
  <pageMargins left="0.7" right="0.7" top="0.75" bottom="0.75" header="0.3" footer="0.3"/>
  <pageSetup scale="49" orientation="landscape" r:id="rId1"/>
  <headerFooter>
    <oddHeader>&amp;A</oddHeader>
  </headerFooter>
  <rowBreaks count="2" manualBreakCount="2">
    <brk id="56" max="16383" man="1"/>
    <brk id="120" max="16383" man="1"/>
  </rowBreaks>
  <colBreaks count="1" manualBreakCount="1">
    <brk id="16" max="1048575" man="1"/>
  </colBreaks>
  <customProperties>
    <customPr name="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11784-F900-4255-ABD7-79B2653DF7EE}">
  <sheetPr>
    <tabColor theme="4" tint="0.59999389629810485"/>
    <pageSetUpPr fitToPage="1"/>
  </sheetPr>
  <dimension ref="A1:O171"/>
  <sheetViews>
    <sheetView zoomScaleNormal="100" workbookViewId="0">
      <selection activeCell="K42" sqref="K42"/>
    </sheetView>
  </sheetViews>
  <sheetFormatPr defaultColWidth="20.42578125" defaultRowHeight="15" x14ac:dyDescent="0.25"/>
  <cols>
    <col min="1" max="1" width="19.5703125" bestFit="1" customWidth="1"/>
    <col min="2" max="2" width="14" bestFit="1" customWidth="1"/>
    <col min="3" max="3" width="14.5703125" bestFit="1" customWidth="1"/>
    <col min="4" max="4" width="14.42578125" bestFit="1" customWidth="1"/>
    <col min="5" max="5" width="25.5703125" bestFit="1" customWidth="1"/>
    <col min="6" max="6" width="12.42578125" bestFit="1" customWidth="1"/>
    <col min="11" max="11" width="14.42578125" bestFit="1" customWidth="1"/>
    <col min="12" max="12" width="21.140625" customWidth="1"/>
    <col min="14" max="14" width="22.5703125" customWidth="1"/>
  </cols>
  <sheetData>
    <row r="1" spans="1:15" x14ac:dyDescent="0.25">
      <c r="A1" s="1" t="s">
        <v>0</v>
      </c>
      <c r="B1" s="53"/>
      <c r="C1" s="53"/>
      <c r="D1" s="53"/>
      <c r="E1" s="52"/>
      <c r="F1" s="52"/>
      <c r="G1" s="52"/>
      <c r="H1" s="52"/>
      <c r="I1" s="52"/>
      <c r="J1" s="52"/>
      <c r="K1" s="52"/>
    </row>
    <row r="2" spans="1:15" ht="45" x14ac:dyDescent="0.25">
      <c r="A2" s="15" t="s">
        <v>1</v>
      </c>
      <c r="B2" s="15" t="s">
        <v>2</v>
      </c>
      <c r="C2" s="15" t="s">
        <v>3</v>
      </c>
      <c r="D2" s="15" t="s">
        <v>4</v>
      </c>
      <c r="E2" s="15" t="s">
        <v>5</v>
      </c>
      <c r="F2" s="15" t="s">
        <v>6</v>
      </c>
      <c r="G2" s="15" t="s">
        <v>7</v>
      </c>
      <c r="H2" s="15" t="s">
        <v>8</v>
      </c>
      <c r="I2" s="15" t="s">
        <v>9</v>
      </c>
      <c r="J2" s="15" t="s">
        <v>10</v>
      </c>
      <c r="K2" s="15" t="s">
        <v>11</v>
      </c>
    </row>
    <row r="3" spans="1:15" x14ac:dyDescent="0.25">
      <c r="A3" s="51"/>
      <c r="B3" s="51"/>
      <c r="C3" s="51"/>
      <c r="D3" s="51"/>
      <c r="E3" s="51"/>
      <c r="F3" s="51"/>
      <c r="G3" s="51"/>
      <c r="H3" s="51"/>
      <c r="I3" s="51"/>
      <c r="J3" s="51"/>
      <c r="K3" s="51"/>
    </row>
    <row r="4" spans="1:15" x14ac:dyDescent="0.25">
      <c r="A4" s="43" t="s">
        <v>12</v>
      </c>
      <c r="B4" s="43" t="s">
        <v>13</v>
      </c>
      <c r="C4" s="10" t="s">
        <v>14</v>
      </c>
      <c r="D4" s="50">
        <v>0.13</v>
      </c>
      <c r="E4" s="49">
        <f>E36+E69+E102</f>
        <v>76112663.900604993</v>
      </c>
      <c r="F4" s="48">
        <f>D4*E4</f>
        <v>9894646.3070786502</v>
      </c>
      <c r="G4" s="47">
        <f t="shared" ref="G4:G25" si="0">K4/E4</f>
        <v>1.8631099304986654</v>
      </c>
      <c r="H4" s="285" t="e">
        <f>J4/I4</f>
        <v>#DIV/0!</v>
      </c>
      <c r="I4" s="283">
        <f>I36+I69+I102</f>
        <v>0</v>
      </c>
      <c r="J4" s="284">
        <f>J36+J69+J102</f>
        <v>0</v>
      </c>
      <c r="K4" s="46">
        <f t="shared" ref="K4:K29" si="1">K69+K36+K102</f>
        <v>141806259.94992444</v>
      </c>
      <c r="O4" s="217"/>
    </row>
    <row r="5" spans="1:15" x14ac:dyDescent="0.25">
      <c r="A5" s="10" t="s">
        <v>15</v>
      </c>
      <c r="B5" s="10" t="s">
        <v>12</v>
      </c>
      <c r="C5" s="10" t="s">
        <v>14</v>
      </c>
      <c r="D5" s="50">
        <v>0.14499999999999999</v>
      </c>
      <c r="E5" s="49">
        <f t="shared" ref="E5:E29" si="2">E37+E70+E103</f>
        <v>101959380.99297675</v>
      </c>
      <c r="F5" s="48">
        <f>D5*E5</f>
        <v>14784110.243981628</v>
      </c>
      <c r="G5" s="47">
        <f>K5/E5</f>
        <v>1.8631022631949592</v>
      </c>
      <c r="H5" s="285" t="e">
        <f t="shared" ref="H5:H29" si="3">J5/I5</f>
        <v>#DIV/0!</v>
      </c>
      <c r="I5" s="283">
        <f t="shared" ref="I5:J29" si="4">I37+I70+I103</f>
        <v>0</v>
      </c>
      <c r="J5" s="284">
        <f t="shared" si="4"/>
        <v>0</v>
      </c>
      <c r="K5" s="46">
        <f>K70+K37+K103</f>
        <v>189960753.4819721</v>
      </c>
      <c r="O5" s="217"/>
    </row>
    <row r="6" spans="1:15" x14ac:dyDescent="0.25">
      <c r="A6" s="10" t="s">
        <v>16</v>
      </c>
      <c r="B6" s="10" t="s">
        <v>15</v>
      </c>
      <c r="C6" s="10" t="s">
        <v>14</v>
      </c>
      <c r="D6" s="50">
        <v>0.16</v>
      </c>
      <c r="E6" s="49">
        <f t="shared" si="2"/>
        <v>125865782.01627436</v>
      </c>
      <c r="F6" s="48">
        <f t="shared" ref="F6:F29" si="5">D6*E6</f>
        <v>20138525.122603897</v>
      </c>
      <c r="G6" s="47">
        <f t="shared" si="0"/>
        <v>1.8637295446897024</v>
      </c>
      <c r="H6" s="285" t="e">
        <f t="shared" si="3"/>
        <v>#DIV/0!</v>
      </c>
      <c r="I6" s="283">
        <f t="shared" si="4"/>
        <v>0</v>
      </c>
      <c r="J6" s="284">
        <f t="shared" si="4"/>
        <v>0</v>
      </c>
      <c r="K6" s="46">
        <f t="shared" si="1"/>
        <v>234579776.60920435</v>
      </c>
      <c r="O6" s="217"/>
    </row>
    <row r="7" spans="1:15" x14ac:dyDescent="0.25">
      <c r="A7" s="10" t="s">
        <v>17</v>
      </c>
      <c r="B7" s="10" t="s">
        <v>16</v>
      </c>
      <c r="C7" s="10" t="s">
        <v>14</v>
      </c>
      <c r="D7" s="50">
        <v>0.17500000000000004</v>
      </c>
      <c r="E7" s="49">
        <f t="shared" si="2"/>
        <v>120852469.47880016</v>
      </c>
      <c r="F7" s="48">
        <f t="shared" si="5"/>
        <v>21149182.158790033</v>
      </c>
      <c r="G7" s="47">
        <f t="shared" si="0"/>
        <v>1.8637269201154412</v>
      </c>
      <c r="H7" s="285" t="e">
        <f t="shared" si="3"/>
        <v>#DIV/0!</v>
      </c>
      <c r="I7" s="283">
        <f t="shared" si="4"/>
        <v>0</v>
      </c>
      <c r="J7" s="284">
        <f t="shared" si="4"/>
        <v>0</v>
      </c>
      <c r="K7" s="46">
        <f>K72+K39+K105</f>
        <v>225236000.73006958</v>
      </c>
      <c r="O7" s="217"/>
    </row>
    <row r="8" spans="1:15" x14ac:dyDescent="0.25">
      <c r="A8" s="10" t="s">
        <v>18</v>
      </c>
      <c r="B8" s="10" t="s">
        <v>17</v>
      </c>
      <c r="C8" s="10" t="s">
        <v>14</v>
      </c>
      <c r="D8" s="50">
        <v>0.19000000000000006</v>
      </c>
      <c r="E8" s="49">
        <f t="shared" si="2"/>
        <v>119923435.18328001</v>
      </c>
      <c r="F8" s="48">
        <f t="shared" si="5"/>
        <v>22785452.684823208</v>
      </c>
      <c r="G8" s="47">
        <f t="shared" si="0"/>
        <v>3.8752878926725569</v>
      </c>
      <c r="H8" s="285" t="e">
        <f t="shared" si="3"/>
        <v>#DIV/0!</v>
      </c>
      <c r="I8" s="283">
        <f t="shared" si="4"/>
        <v>0</v>
      </c>
      <c r="J8" s="284">
        <f t="shared" si="4"/>
        <v>0</v>
      </c>
      <c r="K8" s="46">
        <f t="shared" si="1"/>
        <v>464737836.41346717</v>
      </c>
      <c r="O8" s="217"/>
    </row>
    <row r="9" spans="1:15" x14ac:dyDescent="0.25">
      <c r="A9" s="10" t="s">
        <v>19</v>
      </c>
      <c r="B9" s="10" t="s">
        <v>18</v>
      </c>
      <c r="C9" s="10" t="s">
        <v>14</v>
      </c>
      <c r="D9" s="50">
        <v>0.20500000000000007</v>
      </c>
      <c r="E9" s="49">
        <f t="shared" si="2"/>
        <v>120302327.52374344</v>
      </c>
      <c r="F9" s="48">
        <f t="shared" si="5"/>
        <v>24661977.142367411</v>
      </c>
      <c r="G9" s="47">
        <f>K9/E9</f>
        <v>4.8832221741438255</v>
      </c>
      <c r="H9" s="285" t="e">
        <f t="shared" si="3"/>
        <v>#DIV/0!</v>
      </c>
      <c r="I9" s="283">
        <f t="shared" si="4"/>
        <v>0</v>
      </c>
      <c r="J9" s="284">
        <f t="shared" si="4"/>
        <v>0</v>
      </c>
      <c r="K9" s="46">
        <f t="shared" si="1"/>
        <v>587462993.36505699</v>
      </c>
      <c r="O9" s="217"/>
    </row>
    <row r="10" spans="1:15" x14ac:dyDescent="0.25">
      <c r="A10" s="43" t="s">
        <v>20</v>
      </c>
      <c r="B10" s="10" t="s">
        <v>19</v>
      </c>
      <c r="C10" s="10" t="s">
        <v>14</v>
      </c>
      <c r="D10" s="50">
        <v>0.22000000000000008</v>
      </c>
      <c r="E10" s="49">
        <f t="shared" si="2"/>
        <v>118284569.94609663</v>
      </c>
      <c r="F10" s="48">
        <f t="shared" si="5"/>
        <v>26022605.388141267</v>
      </c>
      <c r="G10" s="47">
        <f t="shared" si="0"/>
        <v>4.8816305447012747</v>
      </c>
      <c r="H10" s="285">
        <f t="shared" ref="H10" si="6">J10/I10</f>
        <v>0.31358750000000002</v>
      </c>
      <c r="I10" s="283">
        <f>I42+I75+I108</f>
        <v>800000</v>
      </c>
      <c r="J10" s="284">
        <f t="shared" si="4"/>
        <v>250870</v>
      </c>
      <c r="K10" s="46">
        <f>K75+K42+K108</f>
        <v>577421569.61571968</v>
      </c>
      <c r="L10" t="s">
        <v>21</v>
      </c>
      <c r="O10" s="217"/>
    </row>
    <row r="11" spans="1:15" x14ac:dyDescent="0.25">
      <c r="A11" s="43" t="s">
        <v>22</v>
      </c>
      <c r="B11" s="43" t="s">
        <v>20</v>
      </c>
      <c r="C11" s="10" t="s">
        <v>14</v>
      </c>
      <c r="D11" s="50">
        <v>0.2350000000000001</v>
      </c>
      <c r="E11" s="49">
        <f t="shared" si="2"/>
        <v>117448534.41866967</v>
      </c>
      <c r="F11" s="48">
        <f t="shared" si="5"/>
        <v>27600405.588387385</v>
      </c>
      <c r="G11" s="47">
        <f t="shared" si="0"/>
        <v>4.884076712853596</v>
      </c>
      <c r="H11" s="285">
        <f>J11/I11</f>
        <v>0.34699999999999998</v>
      </c>
      <c r="I11" s="283">
        <f>I43+I76+I109</f>
        <v>1000000</v>
      </c>
      <c r="J11" s="284">
        <f t="shared" si="4"/>
        <v>347000</v>
      </c>
      <c r="K11" s="46">
        <f t="shared" si="1"/>
        <v>573627651.91300857</v>
      </c>
      <c r="L11" t="s">
        <v>21</v>
      </c>
      <c r="M11" s="185"/>
      <c r="O11" s="217"/>
    </row>
    <row r="12" spans="1:15" x14ac:dyDescent="0.25">
      <c r="A12" s="43" t="s">
        <v>23</v>
      </c>
      <c r="B12" s="43" t="s">
        <v>22</v>
      </c>
      <c r="C12" s="10" t="s">
        <v>14</v>
      </c>
      <c r="D12" s="50">
        <v>0.25000000000000011</v>
      </c>
      <c r="E12" s="49">
        <f t="shared" si="2"/>
        <v>117105112.4847246</v>
      </c>
      <c r="F12" s="48">
        <f t="shared" si="5"/>
        <v>29276278.12118116</v>
      </c>
      <c r="G12" s="47">
        <f t="shared" si="0"/>
        <v>4.8810648044967149</v>
      </c>
      <c r="H12" s="285" t="e">
        <f t="shared" si="3"/>
        <v>#DIV/0!</v>
      </c>
      <c r="I12" s="283">
        <f t="shared" si="4"/>
        <v>0</v>
      </c>
      <c r="J12" s="284">
        <f t="shared" si="4"/>
        <v>0</v>
      </c>
      <c r="K12" s="46">
        <f t="shared" si="1"/>
        <v>571597642.97581804</v>
      </c>
      <c r="L12" s="185"/>
      <c r="M12" s="185"/>
      <c r="O12" s="217"/>
    </row>
    <row r="13" spans="1:15" x14ac:dyDescent="0.25">
      <c r="A13" s="10" t="s">
        <v>24</v>
      </c>
      <c r="B13" s="10" t="s">
        <v>23</v>
      </c>
      <c r="C13" s="10" t="s">
        <v>14</v>
      </c>
      <c r="D13" s="50">
        <v>0.28000000000000003</v>
      </c>
      <c r="E13" s="49">
        <f t="shared" si="2"/>
        <v>115254880.84831586</v>
      </c>
      <c r="F13" s="48">
        <f t="shared" si="5"/>
        <v>32271366.637528446</v>
      </c>
      <c r="G13" s="47">
        <f t="shared" si="0"/>
        <v>4.8844819051745176</v>
      </c>
      <c r="H13" s="285" t="e">
        <f t="shared" si="3"/>
        <v>#DIV/0!</v>
      </c>
      <c r="I13" s="283">
        <f t="shared" si="4"/>
        <v>0</v>
      </c>
      <c r="J13" s="284">
        <f t="shared" si="4"/>
        <v>0</v>
      </c>
      <c r="K13" s="46">
        <f t="shared" si="1"/>
        <v>562960379.98664391</v>
      </c>
      <c r="L13" s="185"/>
      <c r="M13" s="185"/>
      <c r="O13" s="217"/>
    </row>
    <row r="14" spans="1:15" x14ac:dyDescent="0.25">
      <c r="A14" s="10" t="s">
        <v>25</v>
      </c>
      <c r="B14" s="10" t="s">
        <v>24</v>
      </c>
      <c r="C14" s="10" t="s">
        <v>14</v>
      </c>
      <c r="D14" s="50">
        <v>0.31</v>
      </c>
      <c r="E14" s="49">
        <f t="shared" si="2"/>
        <v>115059568.07173257</v>
      </c>
      <c r="F14" s="48">
        <f t="shared" si="5"/>
        <v>35668466.102237098</v>
      </c>
      <c r="G14" s="47">
        <f t="shared" si="0"/>
        <v>4.8851231125653847</v>
      </c>
      <c r="H14" s="285" t="e">
        <f t="shared" si="3"/>
        <v>#DIV/0!</v>
      </c>
      <c r="I14" s="283">
        <f t="shared" si="4"/>
        <v>0</v>
      </c>
      <c r="J14" s="284">
        <f t="shared" si="4"/>
        <v>0</v>
      </c>
      <c r="K14" s="46">
        <f t="shared" si="1"/>
        <v>562080155.30901098</v>
      </c>
      <c r="L14" s="185"/>
      <c r="M14" s="185"/>
      <c r="O14" s="217"/>
    </row>
    <row r="15" spans="1:15" x14ac:dyDescent="0.25">
      <c r="A15" s="10" t="s">
        <v>26</v>
      </c>
      <c r="B15" s="10" t="s">
        <v>25</v>
      </c>
      <c r="C15" s="10" t="s">
        <v>14</v>
      </c>
      <c r="D15" s="50">
        <v>0.34</v>
      </c>
      <c r="E15" s="49">
        <f t="shared" si="2"/>
        <v>115352048.76349725</v>
      </c>
      <c r="F15" s="48">
        <f t="shared" si="5"/>
        <v>39219696.579589069</v>
      </c>
      <c r="G15" s="47">
        <f t="shared" si="0"/>
        <v>4.8854577931478262</v>
      </c>
      <c r="H15" s="285" t="e">
        <f t="shared" si="3"/>
        <v>#DIV/0!</v>
      </c>
      <c r="I15" s="283">
        <f t="shared" si="4"/>
        <v>0</v>
      </c>
      <c r="J15" s="284">
        <f t="shared" si="4"/>
        <v>0</v>
      </c>
      <c r="K15" s="46">
        <f>K80+K47+K113</f>
        <v>563547565.58719575</v>
      </c>
      <c r="L15" s="185"/>
      <c r="M15" s="185"/>
      <c r="O15" s="217"/>
    </row>
    <row r="16" spans="1:15" x14ac:dyDescent="0.25">
      <c r="A16" s="43" t="s">
        <v>27</v>
      </c>
      <c r="B16" s="10" t="s">
        <v>26</v>
      </c>
      <c r="C16" s="10" t="s">
        <v>14</v>
      </c>
      <c r="D16" s="50">
        <v>0.37</v>
      </c>
      <c r="E16" s="49">
        <f t="shared" si="2"/>
        <v>115444801.36907181</v>
      </c>
      <c r="F16" s="48">
        <f t="shared" si="5"/>
        <v>42714576.506556571</v>
      </c>
      <c r="G16" s="47">
        <f t="shared" si="0"/>
        <v>4.8855663558881108</v>
      </c>
      <c r="H16" s="285" t="e">
        <f t="shared" si="3"/>
        <v>#DIV/0!</v>
      </c>
      <c r="I16" s="283">
        <f t="shared" si="4"/>
        <v>0</v>
      </c>
      <c r="J16" s="284">
        <f t="shared" si="4"/>
        <v>0</v>
      </c>
      <c r="K16" s="46">
        <f t="shared" si="1"/>
        <v>564013237.53092301</v>
      </c>
      <c r="L16" s="185"/>
      <c r="M16" s="185"/>
      <c r="O16" s="217"/>
    </row>
    <row r="17" spans="1:15" x14ac:dyDescent="0.25">
      <c r="A17" s="43" t="s">
        <v>28</v>
      </c>
      <c r="B17" s="43" t="s">
        <v>27</v>
      </c>
      <c r="C17" s="10" t="s">
        <v>14</v>
      </c>
      <c r="D17" s="50">
        <v>0.4</v>
      </c>
      <c r="E17" s="49">
        <f t="shared" si="2"/>
        <v>116128439.89725208</v>
      </c>
      <c r="F17" s="48">
        <f>D17*E17</f>
        <v>46451375.958900839</v>
      </c>
      <c r="G17" s="47">
        <f t="shared" si="0"/>
        <v>4.886367469367725</v>
      </c>
      <c r="H17" s="285" t="e">
        <f t="shared" si="3"/>
        <v>#DIV/0!</v>
      </c>
      <c r="I17" s="283">
        <f t="shared" si="4"/>
        <v>0</v>
      </c>
      <c r="J17" s="284">
        <f t="shared" si="4"/>
        <v>0</v>
      </c>
      <c r="K17" s="46">
        <f t="shared" si="1"/>
        <v>567446230.98235762</v>
      </c>
      <c r="L17" s="185"/>
      <c r="M17" s="185"/>
      <c r="O17" s="217"/>
    </row>
    <row r="18" spans="1:15" x14ac:dyDescent="0.25">
      <c r="A18" s="43" t="s">
        <v>29</v>
      </c>
      <c r="B18" s="43" t="s">
        <v>28</v>
      </c>
      <c r="C18" s="10" t="s">
        <v>14</v>
      </c>
      <c r="D18" s="50">
        <v>0.40902608000000001</v>
      </c>
      <c r="E18" s="49">
        <f t="shared" si="2"/>
        <v>116772618.43303859</v>
      </c>
      <c r="F18" s="48">
        <f t="shared" si="5"/>
        <v>47763046.369001523</v>
      </c>
      <c r="G18" s="47">
        <f t="shared" si="0"/>
        <v>4.8871192254907125</v>
      </c>
      <c r="H18" s="285" t="e">
        <f t="shared" si="3"/>
        <v>#DIV/0!</v>
      </c>
      <c r="I18" s="283">
        <f t="shared" si="4"/>
        <v>0</v>
      </c>
      <c r="J18" s="284">
        <f t="shared" si="4"/>
        <v>0</v>
      </c>
      <c r="K18" s="46">
        <f t="shared" si="1"/>
        <v>570681708.55499411</v>
      </c>
      <c r="L18" s="185"/>
      <c r="M18" s="185"/>
      <c r="O18" s="217"/>
    </row>
    <row r="19" spans="1:15" x14ac:dyDescent="0.25">
      <c r="A19" s="10" t="s">
        <v>30</v>
      </c>
      <c r="B19" s="10" t="s">
        <v>29</v>
      </c>
      <c r="C19" s="10" t="s">
        <v>14</v>
      </c>
      <c r="D19" s="50">
        <v>0.41825583530041599</v>
      </c>
      <c r="E19" s="49">
        <f t="shared" si="2"/>
        <v>117528902.61606564</v>
      </c>
      <c r="F19" s="48">
        <f t="shared" si="5"/>
        <v>49157149.335623778</v>
      </c>
      <c r="G19" s="47">
        <f t="shared" si="0"/>
        <v>4.8879898815184388</v>
      </c>
      <c r="H19" s="285" t="e">
        <f t="shared" si="3"/>
        <v>#DIV/0!</v>
      </c>
      <c r="I19" s="283">
        <f t="shared" si="4"/>
        <v>0</v>
      </c>
      <c r="J19" s="284">
        <f t="shared" si="4"/>
        <v>0</v>
      </c>
      <c r="K19" s="46">
        <f t="shared" si="1"/>
        <v>574480086.77329481</v>
      </c>
      <c r="L19" s="185"/>
      <c r="M19" s="185"/>
      <c r="O19" s="217"/>
    </row>
    <row r="20" spans="1:15" x14ac:dyDescent="0.25">
      <c r="A20" s="10" t="s">
        <v>31</v>
      </c>
      <c r="B20" s="10" t="s">
        <v>30</v>
      </c>
      <c r="C20" s="10" t="s">
        <v>14</v>
      </c>
      <c r="D20" s="50">
        <v>0.42769386187513697</v>
      </c>
      <c r="E20" s="49">
        <f t="shared" si="2"/>
        <v>117893798.69128877</v>
      </c>
      <c r="F20" s="48">
        <f t="shared" si="5"/>
        <v>50422454.053407259</v>
      </c>
      <c r="G20" s="47">
        <f t="shared" si="0"/>
        <v>4.888409805628843</v>
      </c>
      <c r="H20" s="285" t="e">
        <f t="shared" si="3"/>
        <v>#DIV/0!</v>
      </c>
      <c r="I20" s="283">
        <f t="shared" si="4"/>
        <v>0</v>
      </c>
      <c r="J20" s="284">
        <f t="shared" si="4"/>
        <v>0</v>
      </c>
      <c r="K20" s="46">
        <f t="shared" si="1"/>
        <v>576313201.54532886</v>
      </c>
      <c r="L20" s="185"/>
      <c r="M20" s="185"/>
      <c r="O20" s="217"/>
    </row>
    <row r="21" spans="1:15" x14ac:dyDescent="0.25">
      <c r="A21" s="10" t="s">
        <v>32</v>
      </c>
      <c r="B21" s="10" t="s">
        <v>31</v>
      </c>
      <c r="C21" s="10" t="s">
        <v>14</v>
      </c>
      <c r="D21" s="50">
        <v>0.43734485940712181</v>
      </c>
      <c r="E21" s="49">
        <f t="shared" si="2"/>
        <v>118486356.65467341</v>
      </c>
      <c r="F21" s="48">
        <f t="shared" si="5"/>
        <v>51819398.992800236</v>
      </c>
      <c r="G21" s="47">
        <f t="shared" si="0"/>
        <v>4.8890843609008607</v>
      </c>
      <c r="H21" s="285" t="e">
        <f t="shared" si="3"/>
        <v>#DIV/0!</v>
      </c>
      <c r="I21" s="283">
        <f t="shared" si="4"/>
        <v>0</v>
      </c>
      <c r="J21" s="284">
        <f t="shared" si="4"/>
        <v>0</v>
      </c>
      <c r="K21" s="46">
        <f t="shared" si="1"/>
        <v>579289793.30048537</v>
      </c>
      <c r="L21" s="185"/>
      <c r="M21" s="185"/>
      <c r="O21" s="217"/>
    </row>
    <row r="22" spans="1:15" x14ac:dyDescent="0.25">
      <c r="A22" s="10" t="s">
        <v>33</v>
      </c>
      <c r="B22" s="10" t="s">
        <v>32</v>
      </c>
      <c r="C22" s="10" t="s">
        <v>14</v>
      </c>
      <c r="D22" s="50">
        <v>0.44721363362861538</v>
      </c>
      <c r="E22" s="49">
        <f t="shared" si="2"/>
        <v>118921146.03699698</v>
      </c>
      <c r="F22" s="48">
        <f t="shared" si="5"/>
        <v>53183157.834484629</v>
      </c>
      <c r="G22" s="47">
        <f t="shared" si="0"/>
        <v>4.8895735873058612</v>
      </c>
      <c r="H22" s="285" t="e">
        <f t="shared" si="3"/>
        <v>#DIV/0!</v>
      </c>
      <c r="I22" s="283">
        <f t="shared" si="4"/>
        <v>0</v>
      </c>
      <c r="J22" s="284">
        <f t="shared" si="4"/>
        <v>0</v>
      </c>
      <c r="K22" s="46">
        <f t="shared" si="1"/>
        <v>581473694.63464355</v>
      </c>
      <c r="L22" s="185"/>
      <c r="M22" s="185"/>
      <c r="O22" s="217"/>
    </row>
    <row r="23" spans="1:15" x14ac:dyDescent="0.25">
      <c r="A23" s="10" t="s">
        <v>34</v>
      </c>
      <c r="B23" s="10" t="s">
        <v>33</v>
      </c>
      <c r="C23" s="10" t="s">
        <v>14</v>
      </c>
      <c r="D23" s="50">
        <v>0.45730509871417185</v>
      </c>
      <c r="E23" s="49">
        <f t="shared" si="2"/>
        <v>119438458.76329821</v>
      </c>
      <c r="F23" s="48">
        <f t="shared" si="5"/>
        <v>54619816.175018631</v>
      </c>
      <c r="G23" s="47">
        <f t="shared" si="0"/>
        <v>4.8901528712652684</v>
      </c>
      <c r="H23" s="285" t="e">
        <f t="shared" si="3"/>
        <v>#DIV/0!</v>
      </c>
      <c r="I23" s="283">
        <f t="shared" si="4"/>
        <v>0</v>
      </c>
      <c r="J23" s="284">
        <f t="shared" si="4"/>
        <v>0</v>
      </c>
      <c r="K23" s="46">
        <f t="shared" si="1"/>
        <v>584072322.06084108</v>
      </c>
      <c r="L23" s="185"/>
      <c r="M23" s="185"/>
      <c r="O23" s="217"/>
    </row>
    <row r="24" spans="1:15" x14ac:dyDescent="0.25">
      <c r="A24" s="10" t="s">
        <v>35</v>
      </c>
      <c r="B24" s="10" t="s">
        <v>34</v>
      </c>
      <c r="C24" s="10" t="s">
        <v>14</v>
      </c>
      <c r="D24" s="50">
        <v>0.46762427972767689</v>
      </c>
      <c r="E24" s="49">
        <f t="shared" si="2"/>
        <v>119687558.50863524</v>
      </c>
      <c r="F24" s="48">
        <f t="shared" si="5"/>
        <v>55968808.33996474</v>
      </c>
      <c r="G24" s="47">
        <f t="shared" si="0"/>
        <v>4.8904272036549443</v>
      </c>
      <c r="H24" s="285" t="e">
        <f t="shared" si="3"/>
        <v>#DIV/0!</v>
      </c>
      <c r="I24" s="283">
        <f t="shared" si="4"/>
        <v>0</v>
      </c>
      <c r="J24" s="284">
        <f t="shared" si="4"/>
        <v>0</v>
      </c>
      <c r="K24" s="46">
        <f t="shared" si="1"/>
        <v>585323292.06967258</v>
      </c>
      <c r="L24" s="185"/>
      <c r="M24" s="185"/>
      <c r="O24" s="217"/>
    </row>
    <row r="25" spans="1:15" x14ac:dyDescent="0.25">
      <c r="A25" s="10" t="s">
        <v>36</v>
      </c>
      <c r="B25" s="10" t="s">
        <v>35</v>
      </c>
      <c r="C25" s="10" t="s">
        <v>14</v>
      </c>
      <c r="D25" s="50">
        <v>0.47817631512458791</v>
      </c>
      <c r="E25" s="49">
        <f t="shared" si="2"/>
        <v>120238640.29400086</v>
      </c>
      <c r="F25" s="48">
        <f t="shared" si="5"/>
        <v>57495269.951376133</v>
      </c>
      <c r="G25" s="47">
        <f t="shared" si="0"/>
        <v>4.8910376684966961</v>
      </c>
      <c r="H25" s="285" t="e">
        <f t="shared" si="3"/>
        <v>#DIV/0!</v>
      </c>
      <c r="I25" s="283">
        <f t="shared" si="4"/>
        <v>0</v>
      </c>
      <c r="J25" s="284">
        <f t="shared" si="4"/>
        <v>0</v>
      </c>
      <c r="K25" s="46">
        <f t="shared" si="1"/>
        <v>588091718.88678288</v>
      </c>
      <c r="L25" s="185"/>
      <c r="M25" s="185"/>
      <c r="O25" s="217"/>
    </row>
    <row r="26" spans="1:15" x14ac:dyDescent="0.25">
      <c r="A26" s="10" t="s">
        <v>37</v>
      </c>
      <c r="B26" s="10" t="s">
        <v>36</v>
      </c>
      <c r="C26" s="10" t="s">
        <v>14</v>
      </c>
      <c r="D26" s="50">
        <v>0.48896645931063754</v>
      </c>
      <c r="E26" s="49">
        <f t="shared" si="2"/>
        <v>120686452.29894094</v>
      </c>
      <c r="F26" s="48">
        <f t="shared" si="5"/>
        <v>59011627.267375305</v>
      </c>
      <c r="G26" s="47">
        <v>4.8906096307934241</v>
      </c>
      <c r="H26" s="285" t="e">
        <f t="shared" si="3"/>
        <v>#DIV/0!</v>
      </c>
      <c r="I26" s="283">
        <f t="shared" si="4"/>
        <v>0</v>
      </c>
      <c r="J26" s="284">
        <f t="shared" si="4"/>
        <v>0</v>
      </c>
      <c r="K26" s="46">
        <f t="shared" si="1"/>
        <v>590341290.77324343</v>
      </c>
      <c r="L26" s="185"/>
      <c r="M26" s="185"/>
      <c r="O26" s="217"/>
    </row>
    <row r="27" spans="1:15" x14ac:dyDescent="0.25">
      <c r="A27" s="10" t="s">
        <v>38</v>
      </c>
      <c r="B27" s="10" t="s">
        <v>37</v>
      </c>
      <c r="C27" s="10" t="s">
        <v>14</v>
      </c>
      <c r="D27" s="50">
        <v>0.50000008525827411</v>
      </c>
      <c r="E27" s="49">
        <f t="shared" si="2"/>
        <v>121221161.66351463</v>
      </c>
      <c r="F27" s="48">
        <f t="shared" si="5"/>
        <v>60610591.166864343</v>
      </c>
      <c r="G27" s="47">
        <v>4.8906096307934241</v>
      </c>
      <c r="H27" s="285" t="e">
        <f t="shared" si="3"/>
        <v>#DIV/0!</v>
      </c>
      <c r="I27" s="283">
        <f t="shared" si="4"/>
        <v>0</v>
      </c>
      <c r="J27" s="284">
        <f t="shared" si="4"/>
        <v>0</v>
      </c>
      <c r="K27" s="46">
        <f t="shared" si="1"/>
        <v>593027557.04729199</v>
      </c>
      <c r="L27" s="185"/>
      <c r="M27" s="185"/>
      <c r="O27" s="217"/>
    </row>
    <row r="28" spans="1:15" x14ac:dyDescent="0.25">
      <c r="A28" s="10" t="s">
        <v>39</v>
      </c>
      <c r="B28" s="10" t="s">
        <v>38</v>
      </c>
      <c r="C28" s="10" t="s">
        <v>14</v>
      </c>
      <c r="D28" s="50">
        <v>0.5</v>
      </c>
      <c r="E28" s="49">
        <f t="shared" si="2"/>
        <v>121589216.69504304</v>
      </c>
      <c r="F28" s="48">
        <f t="shared" si="5"/>
        <v>60794608.347521521</v>
      </c>
      <c r="G28" s="47">
        <v>4.8906096307934241</v>
      </c>
      <c r="H28" s="285" t="e">
        <f t="shared" si="3"/>
        <v>#DIV/0!</v>
      </c>
      <c r="I28" s="283">
        <f t="shared" si="4"/>
        <v>0</v>
      </c>
      <c r="J28" s="284">
        <f t="shared" si="4"/>
        <v>0</v>
      </c>
      <c r="K28" s="46">
        <f t="shared" si="1"/>
        <v>594876468.72458827</v>
      </c>
      <c r="L28" s="185"/>
    </row>
    <row r="29" spans="1:15" x14ac:dyDescent="0.25">
      <c r="A29" s="10" t="s">
        <v>40</v>
      </c>
      <c r="B29" s="10" t="s">
        <v>39</v>
      </c>
      <c r="C29" s="10" t="s">
        <v>14</v>
      </c>
      <c r="D29" s="50">
        <v>0.5</v>
      </c>
      <c r="E29" s="49">
        <f t="shared" si="2"/>
        <v>121964101.55949385</v>
      </c>
      <c r="F29" s="48">
        <f t="shared" si="5"/>
        <v>60982050.779746927</v>
      </c>
      <c r="G29" s="47">
        <v>4.8906096307934241</v>
      </c>
      <c r="H29" s="285" t="e">
        <f t="shared" si="3"/>
        <v>#DIV/0!</v>
      </c>
      <c r="I29" s="283">
        <f t="shared" si="4"/>
        <v>0</v>
      </c>
      <c r="J29" s="284">
        <f t="shared" si="4"/>
        <v>0</v>
      </c>
      <c r="K29" s="46">
        <f t="shared" si="1"/>
        <v>596759748.58640218</v>
      </c>
      <c r="L29" s="185"/>
    </row>
    <row r="33" spans="1:13" x14ac:dyDescent="0.25">
      <c r="A33" s="1" t="s">
        <v>41</v>
      </c>
    </row>
    <row r="34" spans="1:13" ht="45" x14ac:dyDescent="0.25">
      <c r="A34" s="15" t="s">
        <v>1</v>
      </c>
      <c r="B34" s="15" t="s">
        <v>2</v>
      </c>
      <c r="C34" s="15" t="s">
        <v>3</v>
      </c>
      <c r="D34" s="15" t="s">
        <v>4</v>
      </c>
      <c r="E34" s="208" t="s">
        <v>42</v>
      </c>
      <c r="F34" s="15" t="s">
        <v>6</v>
      </c>
      <c r="G34" s="15" t="s">
        <v>7</v>
      </c>
      <c r="H34" s="15" t="s">
        <v>8</v>
      </c>
      <c r="I34" s="15" t="s">
        <v>9</v>
      </c>
      <c r="J34" s="15" t="s">
        <v>10</v>
      </c>
      <c r="K34" s="15" t="s">
        <v>11</v>
      </c>
    </row>
    <row r="35" spans="1:13" x14ac:dyDescent="0.25">
      <c r="A35" s="51"/>
      <c r="B35" s="51"/>
      <c r="C35" s="51"/>
      <c r="D35" s="51"/>
      <c r="E35" s="51"/>
      <c r="F35" s="51"/>
      <c r="G35" s="51"/>
      <c r="H35" s="51"/>
      <c r="I35" s="51"/>
      <c r="J35" s="51"/>
      <c r="K35" s="51"/>
    </row>
    <row r="36" spans="1:13" x14ac:dyDescent="0.25">
      <c r="A36" s="43" t="s">
        <v>12</v>
      </c>
      <c r="B36" s="43" t="s">
        <v>13</v>
      </c>
      <c r="C36" s="10" t="s">
        <v>41</v>
      </c>
      <c r="D36" s="50">
        <v>0.13</v>
      </c>
      <c r="E36" s="69">
        <v>21152969.5</v>
      </c>
      <c r="F36" s="48">
        <f t="shared" ref="F36:F61" si="7">D36*E36</f>
        <v>2749886.0350000001</v>
      </c>
      <c r="G36" s="54">
        <v>1.8053999999999999</v>
      </c>
      <c r="H36" s="54"/>
      <c r="I36" s="54"/>
      <c r="J36" s="54"/>
      <c r="K36" s="46">
        <f>E36*G36</f>
        <v>38189571.135299996</v>
      </c>
      <c r="M36">
        <v>21152969.5</v>
      </c>
    </row>
    <row r="37" spans="1:13" x14ac:dyDescent="0.25">
      <c r="A37" s="10" t="s">
        <v>15</v>
      </c>
      <c r="B37" s="10" t="s">
        <v>12</v>
      </c>
      <c r="C37" s="10" t="s">
        <v>41</v>
      </c>
      <c r="D37" s="50">
        <v>0.14499999999999999</v>
      </c>
      <c r="E37" s="69">
        <v>29995819.886929087</v>
      </c>
      <c r="F37" s="48">
        <f t="shared" si="7"/>
        <v>4349393.8836047174</v>
      </c>
      <c r="G37" s="54">
        <v>1.8053999999999999</v>
      </c>
      <c r="H37" s="54"/>
      <c r="I37" s="54"/>
      <c r="J37" s="54"/>
      <c r="K37" s="46">
        <f>E37*G37</f>
        <v>54154453.223861769</v>
      </c>
      <c r="M37">
        <v>29995819.886929087</v>
      </c>
    </row>
    <row r="38" spans="1:13" x14ac:dyDescent="0.25">
      <c r="A38" s="10" t="s">
        <v>16</v>
      </c>
      <c r="B38" s="10" t="s">
        <v>15</v>
      </c>
      <c r="C38" s="10" t="s">
        <v>41</v>
      </c>
      <c r="D38" s="50">
        <v>0.16</v>
      </c>
      <c r="E38" s="69">
        <v>36810006</v>
      </c>
      <c r="F38" s="48">
        <f t="shared" si="7"/>
        <v>5889600.96</v>
      </c>
      <c r="G38" s="54">
        <v>1.8053999999999999</v>
      </c>
      <c r="H38" s="54"/>
      <c r="I38" s="54"/>
      <c r="J38" s="54"/>
      <c r="K38" s="46">
        <f>E38*G38</f>
        <v>66456784.832399994</v>
      </c>
      <c r="M38">
        <v>36810006</v>
      </c>
    </row>
    <row r="39" spans="1:13" x14ac:dyDescent="0.25">
      <c r="A39" s="10" t="s">
        <v>17</v>
      </c>
      <c r="B39" s="10" t="s">
        <v>16</v>
      </c>
      <c r="C39" s="10" t="s">
        <v>41</v>
      </c>
      <c r="D39" s="50">
        <v>0.17500000000000004</v>
      </c>
      <c r="E39" s="69">
        <f>35620834882/1000</f>
        <v>35620834.881999999</v>
      </c>
      <c r="F39" s="48">
        <f t="shared" si="7"/>
        <v>6233646.1043500016</v>
      </c>
      <c r="G39" s="54">
        <v>1.8053999999999999</v>
      </c>
      <c r="H39" s="54"/>
      <c r="I39" s="54"/>
      <c r="J39" s="54"/>
      <c r="K39" s="46">
        <f>E39*G39</f>
        <v>64309855.295962796</v>
      </c>
      <c r="M39">
        <v>35620834.881999999</v>
      </c>
    </row>
    <row r="40" spans="1:13" x14ac:dyDescent="0.25">
      <c r="A40" s="10" t="s">
        <v>18</v>
      </c>
      <c r="B40" s="10" t="s">
        <v>17</v>
      </c>
      <c r="C40" s="10" t="s">
        <v>41</v>
      </c>
      <c r="D40" s="50">
        <v>0.19000000000000006</v>
      </c>
      <c r="E40" s="69">
        <v>35458611</v>
      </c>
      <c r="F40" s="48">
        <f t="shared" si="7"/>
        <v>6737136.0900000017</v>
      </c>
      <c r="G40" s="61">
        <f>(G39*(1/3))+(G41*(2/3))</f>
        <v>3.652133333333333</v>
      </c>
      <c r="H40" s="61"/>
      <c r="I40" s="61"/>
      <c r="J40" s="61"/>
      <c r="K40" s="46">
        <f>E40*G40</f>
        <v>129499575.18679999</v>
      </c>
      <c r="M40">
        <v>35458611</v>
      </c>
    </row>
    <row r="41" spans="1:13" x14ac:dyDescent="0.25">
      <c r="A41" s="10" t="s">
        <v>19</v>
      </c>
      <c r="B41" s="10" t="s">
        <v>18</v>
      </c>
      <c r="C41" s="10" t="s">
        <v>41</v>
      </c>
      <c r="D41" s="50">
        <v>0.20500000000000007</v>
      </c>
      <c r="E41" s="69">
        <v>35074493</v>
      </c>
      <c r="F41" s="48">
        <f t="shared" si="7"/>
        <v>7190271.0650000023</v>
      </c>
      <c r="G41" s="54">
        <v>4.5754999999999999</v>
      </c>
      <c r="H41" s="54"/>
      <c r="I41" s="54"/>
      <c r="J41" s="54"/>
      <c r="K41" s="46">
        <f t="shared" ref="K41:K61" si="8">G41*E41</f>
        <v>160483342.72150001</v>
      </c>
      <c r="M41">
        <v>35074493</v>
      </c>
    </row>
    <row r="42" spans="1:13" x14ac:dyDescent="0.25">
      <c r="A42" s="43" t="s">
        <v>20</v>
      </c>
      <c r="B42" s="10" t="s">
        <v>19</v>
      </c>
      <c r="C42" s="10" t="s">
        <v>41</v>
      </c>
      <c r="D42" s="50">
        <v>0.22000000000000008</v>
      </c>
      <c r="E42" s="69">
        <f>34318518.792809</f>
        <v>34318518.792809002</v>
      </c>
      <c r="F42" s="48">
        <f t="shared" si="7"/>
        <v>7550074.1344179837</v>
      </c>
      <c r="G42" s="54">
        <v>4.5754999999999999</v>
      </c>
      <c r="H42" s="239">
        <v>0.31391599999999997</v>
      </c>
      <c r="I42" s="13">
        <v>200000</v>
      </c>
      <c r="J42" s="28">
        <f>H42*I42</f>
        <v>62783.199999999997</v>
      </c>
      <c r="K42" s="286">
        <f>(G42*E42)-J42</f>
        <v>156961599.53649759</v>
      </c>
      <c r="L42" s="31" t="s">
        <v>43</v>
      </c>
      <c r="M42">
        <v>34318518.792809002</v>
      </c>
    </row>
    <row r="43" spans="1:13" x14ac:dyDescent="0.25">
      <c r="A43" s="43" t="s">
        <v>22</v>
      </c>
      <c r="B43" s="43" t="s">
        <v>20</v>
      </c>
      <c r="C43" s="10" t="s">
        <v>41</v>
      </c>
      <c r="D43" s="50">
        <v>0.2350000000000001</v>
      </c>
      <c r="E43" s="69">
        <v>33963264.598822832</v>
      </c>
      <c r="F43" s="48">
        <f t="shared" si="7"/>
        <v>7981367.1807233691</v>
      </c>
      <c r="G43" s="54">
        <v>4.5754999999999999</v>
      </c>
      <c r="H43" s="239">
        <v>0.27900000000000003</v>
      </c>
      <c r="I43" s="13">
        <v>200000</v>
      </c>
      <c r="J43" s="28">
        <f>H43*I43</f>
        <v>55800.000000000007</v>
      </c>
      <c r="K43" s="46">
        <f t="shared" si="8"/>
        <v>155398917.17191386</v>
      </c>
      <c r="M43">
        <v>33963264.598822832</v>
      </c>
    </row>
    <row r="44" spans="1:13" x14ac:dyDescent="0.25">
      <c r="A44" s="43" t="s">
        <v>23</v>
      </c>
      <c r="B44" s="43" t="s">
        <v>22</v>
      </c>
      <c r="C44" s="10" t="s">
        <v>41</v>
      </c>
      <c r="D44" s="50">
        <v>0.25000000000000011</v>
      </c>
      <c r="E44" s="69">
        <f>E43*1.02</f>
        <v>34642529.890799291</v>
      </c>
      <c r="F44" s="48">
        <f t="shared" si="7"/>
        <v>8660632.4726998266</v>
      </c>
      <c r="G44" s="54">
        <v>4.5754999999999999</v>
      </c>
      <c r="H44" s="54"/>
      <c r="I44" s="54"/>
      <c r="J44" s="54"/>
      <c r="K44" s="46">
        <f t="shared" si="8"/>
        <v>158506895.51535216</v>
      </c>
      <c r="L44" s="31"/>
      <c r="M44">
        <v>33546577.545502201</v>
      </c>
    </row>
    <row r="45" spans="1:13" x14ac:dyDescent="0.25">
      <c r="A45" s="10" t="s">
        <v>24</v>
      </c>
      <c r="B45" s="10" t="s">
        <v>23</v>
      </c>
      <c r="C45" s="10" t="s">
        <v>41</v>
      </c>
      <c r="D45" s="50">
        <v>0.28000000000000003</v>
      </c>
      <c r="E45" s="69">
        <v>33164501.805676758</v>
      </c>
      <c r="F45" s="48">
        <f t="shared" si="7"/>
        <v>9286060.5055894926</v>
      </c>
      <c r="G45" s="54">
        <v>4.5754999999999999</v>
      </c>
      <c r="H45" s="54"/>
      <c r="I45" s="54"/>
      <c r="J45" s="54"/>
      <c r="K45" s="46">
        <f t="shared" si="8"/>
        <v>151744178.01187399</v>
      </c>
      <c r="M45">
        <v>33164501.805676758</v>
      </c>
    </row>
    <row r="46" spans="1:13" x14ac:dyDescent="0.25">
      <c r="A46" s="10" t="s">
        <v>25</v>
      </c>
      <c r="B46" s="10" t="s">
        <v>24</v>
      </c>
      <c r="C46" s="10" t="s">
        <v>41</v>
      </c>
      <c r="D46" s="50">
        <v>0.31</v>
      </c>
      <c r="E46" s="69">
        <v>32936208.175366048</v>
      </c>
      <c r="F46" s="48">
        <f t="shared" si="7"/>
        <v>10210224.534363475</v>
      </c>
      <c r="G46" s="54">
        <v>4.5754999999999999</v>
      </c>
      <c r="H46" s="54"/>
      <c r="I46" s="54"/>
      <c r="J46" s="54"/>
      <c r="K46" s="46">
        <f t="shared" si="8"/>
        <v>150699620.50638735</v>
      </c>
      <c r="M46">
        <v>32936208.175366048</v>
      </c>
    </row>
    <row r="47" spans="1:13" x14ac:dyDescent="0.25">
      <c r="A47" s="10" t="s">
        <v>26</v>
      </c>
      <c r="B47" s="10" t="s">
        <v>25</v>
      </c>
      <c r="C47" s="10" t="s">
        <v>41</v>
      </c>
      <c r="D47" s="50">
        <v>0.34</v>
      </c>
      <c r="E47" s="69">
        <v>32936208.175366048</v>
      </c>
      <c r="F47" s="48">
        <f t="shared" si="7"/>
        <v>11198310.779624457</v>
      </c>
      <c r="G47" s="54">
        <v>4.5754999999999999</v>
      </c>
      <c r="H47" s="54"/>
      <c r="I47" s="54"/>
      <c r="J47" s="54"/>
      <c r="K47" s="46">
        <f t="shared" si="8"/>
        <v>150699620.50638735</v>
      </c>
      <c r="M47">
        <v>32936208.175366048</v>
      </c>
    </row>
    <row r="48" spans="1:13" x14ac:dyDescent="0.25">
      <c r="A48" s="43" t="s">
        <v>27</v>
      </c>
      <c r="B48" s="10" t="s">
        <v>26</v>
      </c>
      <c r="C48" s="10" t="s">
        <v>41</v>
      </c>
      <c r="D48" s="50">
        <v>0.37</v>
      </c>
      <c r="E48" s="69">
        <v>32936208.175366048</v>
      </c>
      <c r="F48" s="48">
        <f t="shared" si="7"/>
        <v>12186397.024885438</v>
      </c>
      <c r="G48" s="54">
        <v>4.5754999999999999</v>
      </c>
      <c r="H48" s="54"/>
      <c r="I48" s="54"/>
      <c r="J48" s="54"/>
      <c r="K48" s="46">
        <f t="shared" si="8"/>
        <v>150699620.50638735</v>
      </c>
      <c r="M48">
        <v>32936208.175366048</v>
      </c>
    </row>
    <row r="49" spans="1:13" x14ac:dyDescent="0.25">
      <c r="A49" s="43" t="s">
        <v>28</v>
      </c>
      <c r="B49" s="43" t="s">
        <v>27</v>
      </c>
      <c r="C49" s="10" t="s">
        <v>41</v>
      </c>
      <c r="D49" s="50">
        <v>0.4</v>
      </c>
      <c r="E49" s="69">
        <v>32936208.175366048</v>
      </c>
      <c r="F49" s="48">
        <f t="shared" si="7"/>
        <v>13174483.27014642</v>
      </c>
      <c r="G49" s="54">
        <v>4.5754999999999999</v>
      </c>
      <c r="H49" s="54"/>
      <c r="I49" s="54"/>
      <c r="J49" s="54"/>
      <c r="K49" s="46">
        <f t="shared" si="8"/>
        <v>150699620.50638735</v>
      </c>
      <c r="M49">
        <v>32936208.175366048</v>
      </c>
    </row>
    <row r="50" spans="1:13" x14ac:dyDescent="0.25">
      <c r="A50" s="43" t="s">
        <v>29</v>
      </c>
      <c r="B50" s="43" t="s">
        <v>28</v>
      </c>
      <c r="C50" s="10" t="s">
        <v>41</v>
      </c>
      <c r="D50" s="50">
        <v>0.40902608000000001</v>
      </c>
      <c r="E50" s="69">
        <v>32936208.175366048</v>
      </c>
      <c r="F50" s="48">
        <f t="shared" si="7"/>
        <v>13471768.120033927</v>
      </c>
      <c r="G50" s="54">
        <v>4.5754999999999999</v>
      </c>
      <c r="H50" s="54"/>
      <c r="I50" s="54"/>
      <c r="J50" s="54"/>
      <c r="K50" s="46">
        <f>G50*E50</f>
        <v>150699620.50638735</v>
      </c>
      <c r="M50">
        <v>32936208.175366048</v>
      </c>
    </row>
    <row r="51" spans="1:13" x14ac:dyDescent="0.25">
      <c r="A51" s="10" t="s">
        <v>30</v>
      </c>
      <c r="B51" s="10" t="s">
        <v>29</v>
      </c>
      <c r="C51" s="10" t="s">
        <v>41</v>
      </c>
      <c r="D51" s="50">
        <v>0.41825583530041599</v>
      </c>
      <c r="E51" s="69">
        <v>32936208.175366048</v>
      </c>
      <c r="F51" s="48">
        <f t="shared" si="7"/>
        <v>13775761.262016116</v>
      </c>
      <c r="G51" s="54">
        <v>4.5754999999999999</v>
      </c>
      <c r="H51" s="54"/>
      <c r="I51" s="54"/>
      <c r="J51" s="54"/>
      <c r="K51" s="46">
        <f t="shared" si="8"/>
        <v>150699620.50638735</v>
      </c>
      <c r="M51">
        <v>32936208.175366048</v>
      </c>
    </row>
    <row r="52" spans="1:13" x14ac:dyDescent="0.25">
      <c r="A52" s="10" t="s">
        <v>31</v>
      </c>
      <c r="B52" s="10" t="s">
        <v>30</v>
      </c>
      <c r="C52" s="10" t="s">
        <v>41</v>
      </c>
      <c r="D52" s="50">
        <v>0.42769386187513697</v>
      </c>
      <c r="E52" s="69">
        <v>32936208.175366048</v>
      </c>
      <c r="F52" s="48">
        <f t="shared" si="7"/>
        <v>14086614.070045764</v>
      </c>
      <c r="G52" s="54">
        <v>4.5754999999999999</v>
      </c>
      <c r="H52" s="54"/>
      <c r="I52" s="54"/>
      <c r="J52" s="54"/>
      <c r="K52" s="46">
        <f t="shared" si="8"/>
        <v>150699620.50638735</v>
      </c>
      <c r="M52">
        <v>32936208.175366048</v>
      </c>
    </row>
    <row r="53" spans="1:13" x14ac:dyDescent="0.25">
      <c r="A53" s="10" t="s">
        <v>32</v>
      </c>
      <c r="B53" s="10" t="s">
        <v>31</v>
      </c>
      <c r="C53" s="10" t="s">
        <v>41</v>
      </c>
      <c r="D53" s="50">
        <v>0.43734485940712181</v>
      </c>
      <c r="E53" s="69">
        <v>32936208.175366048</v>
      </c>
      <c r="F53" s="48">
        <f t="shared" si="7"/>
        <v>14404481.333859161</v>
      </c>
      <c r="G53" s="54">
        <v>4.5754999999999999</v>
      </c>
      <c r="H53" s="54"/>
      <c r="I53" s="54"/>
      <c r="J53" s="54"/>
      <c r="K53" s="46">
        <f t="shared" si="8"/>
        <v>150699620.50638735</v>
      </c>
      <c r="M53">
        <v>32936208.175366048</v>
      </c>
    </row>
    <row r="54" spans="1:13" x14ac:dyDescent="0.25">
      <c r="A54" s="10" t="s">
        <v>33</v>
      </c>
      <c r="B54" s="10" t="s">
        <v>32</v>
      </c>
      <c r="C54" s="10" t="s">
        <v>41</v>
      </c>
      <c r="D54" s="50">
        <v>0.44721363362861538</v>
      </c>
      <c r="E54" s="69">
        <v>32936208.175366048</v>
      </c>
      <c r="F54" s="48">
        <f t="shared" si="7"/>
        <v>14729521.336053958</v>
      </c>
      <c r="G54" s="54">
        <v>4.5754999999999999</v>
      </c>
      <c r="H54" s="54"/>
      <c r="I54" s="54"/>
      <c r="J54" s="54"/>
      <c r="K54" s="46">
        <f t="shared" si="8"/>
        <v>150699620.50638735</v>
      </c>
      <c r="M54">
        <v>32936208.175366048</v>
      </c>
    </row>
    <row r="55" spans="1:13" x14ac:dyDescent="0.25">
      <c r="A55" s="10" t="s">
        <v>34</v>
      </c>
      <c r="B55" s="10" t="s">
        <v>33</v>
      </c>
      <c r="C55" s="10" t="s">
        <v>41</v>
      </c>
      <c r="D55" s="50">
        <v>0.45730509871417185</v>
      </c>
      <c r="E55" s="69">
        <v>32936208.175366048</v>
      </c>
      <c r="F55" s="48">
        <f t="shared" si="7"/>
        <v>15061895.930906285</v>
      </c>
      <c r="G55" s="54">
        <v>4.5754999999999999</v>
      </c>
      <c r="H55" s="54"/>
      <c r="I55" s="54"/>
      <c r="J55" s="54"/>
      <c r="K55" s="46">
        <f t="shared" si="8"/>
        <v>150699620.50638735</v>
      </c>
      <c r="M55" s="72">
        <v>32936208.175366048</v>
      </c>
    </row>
    <row r="56" spans="1:13" x14ac:dyDescent="0.25">
      <c r="A56" s="10" t="s">
        <v>35</v>
      </c>
      <c r="B56" s="10" t="s">
        <v>34</v>
      </c>
      <c r="C56" s="10" t="s">
        <v>41</v>
      </c>
      <c r="D56" s="50">
        <v>0.46762427972767689</v>
      </c>
      <c r="E56" s="69">
        <v>32936208.175366048</v>
      </c>
      <c r="F56" s="48">
        <f t="shared" si="7"/>
        <v>15401770.624966372</v>
      </c>
      <c r="G56" s="54">
        <v>4.5754999999999999</v>
      </c>
      <c r="H56" s="54"/>
      <c r="I56" s="54"/>
      <c r="J56" s="54"/>
      <c r="K56" s="46">
        <f t="shared" si="8"/>
        <v>150699620.50638735</v>
      </c>
      <c r="M56" s="72">
        <v>32936208.175366048</v>
      </c>
    </row>
    <row r="57" spans="1:13" x14ac:dyDescent="0.25">
      <c r="A57" s="10" t="s">
        <v>36</v>
      </c>
      <c r="B57" s="10" t="s">
        <v>35</v>
      </c>
      <c r="C57" s="10" t="s">
        <v>41</v>
      </c>
      <c r="D57" s="50">
        <v>0.47817631512458803</v>
      </c>
      <c r="E57" s="69">
        <v>32936208.175366048</v>
      </c>
      <c r="F57" s="48">
        <f t="shared" si="7"/>
        <v>15749314.659472868</v>
      </c>
      <c r="G57" s="54">
        <v>4.5754999999999999</v>
      </c>
      <c r="H57" s="54"/>
      <c r="I57" s="54"/>
      <c r="J57" s="54"/>
      <c r="K57" s="46">
        <f t="shared" si="8"/>
        <v>150699620.50638735</v>
      </c>
      <c r="M57" s="72">
        <v>32936208.175366048</v>
      </c>
    </row>
    <row r="58" spans="1:13" x14ac:dyDescent="0.25">
      <c r="A58" s="10" t="s">
        <v>37</v>
      </c>
      <c r="B58" s="10" t="s">
        <v>36</v>
      </c>
      <c r="C58" s="10" t="s">
        <v>41</v>
      </c>
      <c r="D58" s="50">
        <v>0.48896645931063754</v>
      </c>
      <c r="E58" s="69">
        <v>32936208.175366048</v>
      </c>
      <c r="F58" s="48">
        <f t="shared" si="7"/>
        <v>16104701.09462681</v>
      </c>
      <c r="G58" s="54">
        <v>4.5754999999999999</v>
      </c>
      <c r="H58" s="54"/>
      <c r="I58" s="54"/>
      <c r="J58" s="54"/>
      <c r="K58" s="46">
        <f t="shared" si="8"/>
        <v>150699620.50638735</v>
      </c>
      <c r="M58" s="72">
        <v>32936208.175366048</v>
      </c>
    </row>
    <row r="59" spans="1:13" x14ac:dyDescent="0.25">
      <c r="A59" s="10" t="s">
        <v>38</v>
      </c>
      <c r="B59" s="10" t="s">
        <v>37</v>
      </c>
      <c r="C59" s="10" t="s">
        <v>41</v>
      </c>
      <c r="D59" s="50">
        <v>0.50000008525827411</v>
      </c>
      <c r="E59" s="69">
        <v>32936208.175366048</v>
      </c>
      <c r="F59" s="48">
        <f t="shared" si="7"/>
        <v>16468106.895767288</v>
      </c>
      <c r="G59" s="54">
        <v>4.5754999999999999</v>
      </c>
      <c r="H59" s="54"/>
      <c r="I59" s="54"/>
      <c r="J59" s="54"/>
      <c r="K59" s="46">
        <f t="shared" si="8"/>
        <v>150699620.50638735</v>
      </c>
      <c r="M59" s="72">
        <v>32936208.175366048</v>
      </c>
    </row>
    <row r="60" spans="1:13" x14ac:dyDescent="0.25">
      <c r="A60" s="10" t="s">
        <v>39</v>
      </c>
      <c r="B60" s="10" t="s">
        <v>38</v>
      </c>
      <c r="C60" s="10" t="s">
        <v>41</v>
      </c>
      <c r="D60" s="50">
        <v>0.5</v>
      </c>
      <c r="E60" s="69">
        <v>32936208.175366048</v>
      </c>
      <c r="F60" s="48">
        <f t="shared" si="7"/>
        <v>16468104.087683024</v>
      </c>
      <c r="G60" s="54">
        <v>4.5754999999999999</v>
      </c>
      <c r="H60" s="54"/>
      <c r="I60" s="54"/>
      <c r="J60" s="54"/>
      <c r="K60" s="46">
        <f t="shared" si="8"/>
        <v>150699620.50638735</v>
      </c>
      <c r="M60" s="72">
        <v>32936208.175366048</v>
      </c>
    </row>
    <row r="61" spans="1:13" x14ac:dyDescent="0.25">
      <c r="A61" s="10" t="s">
        <v>40</v>
      </c>
      <c r="B61" s="10" t="s">
        <v>39</v>
      </c>
      <c r="C61" s="10" t="s">
        <v>41</v>
      </c>
      <c r="D61" s="50">
        <v>0.5</v>
      </c>
      <c r="E61" s="69">
        <v>32936208.175366048</v>
      </c>
      <c r="F61" s="48">
        <f t="shared" si="7"/>
        <v>16468104.087683024</v>
      </c>
      <c r="G61" s="54">
        <v>4.5754999999999999</v>
      </c>
      <c r="H61" s="54"/>
      <c r="I61" s="54"/>
      <c r="J61" s="54"/>
      <c r="K61" s="46">
        <f t="shared" si="8"/>
        <v>150699620.50638735</v>
      </c>
      <c r="M61" s="72">
        <v>32936208.175366048</v>
      </c>
    </row>
    <row r="64" spans="1:13" x14ac:dyDescent="0.25">
      <c r="A64" s="52"/>
      <c r="B64" s="52"/>
      <c r="C64" s="52"/>
      <c r="D64" s="68"/>
      <c r="F64" s="67"/>
      <c r="G64" s="66"/>
      <c r="H64" s="66"/>
      <c r="I64" s="66"/>
      <c r="J64" s="66"/>
      <c r="K64" s="56"/>
    </row>
    <row r="65" spans="1:12" x14ac:dyDescent="0.25">
      <c r="A65" s="52"/>
      <c r="B65" s="52"/>
      <c r="C65" s="52"/>
      <c r="D65" s="68"/>
      <c r="E65" s="71"/>
      <c r="F65" s="67"/>
      <c r="G65" s="66"/>
      <c r="H65" s="66"/>
      <c r="I65" s="66"/>
      <c r="J65" s="66"/>
      <c r="K65" s="56"/>
    </row>
    <row r="66" spans="1:12" x14ac:dyDescent="0.25">
      <c r="A66" s="1" t="s">
        <v>44</v>
      </c>
      <c r="B66" s="53"/>
      <c r="C66" s="53"/>
      <c r="D66" s="53"/>
      <c r="E66" s="52"/>
      <c r="F66" s="52"/>
      <c r="G66" s="52"/>
      <c r="H66" s="52"/>
      <c r="I66" s="52"/>
      <c r="J66" s="52"/>
      <c r="K66" s="52"/>
    </row>
    <row r="67" spans="1:12" ht="55.5" customHeight="1" x14ac:dyDescent="0.25">
      <c r="A67" s="15" t="s">
        <v>1</v>
      </c>
      <c r="B67" s="15" t="s">
        <v>2</v>
      </c>
      <c r="C67" s="15" t="s">
        <v>3</v>
      </c>
      <c r="D67" s="15" t="s">
        <v>4</v>
      </c>
      <c r="E67" s="15" t="s">
        <v>5</v>
      </c>
      <c r="F67" s="15" t="s">
        <v>6</v>
      </c>
      <c r="G67" s="15" t="s">
        <v>7</v>
      </c>
      <c r="H67" s="15" t="s">
        <v>8</v>
      </c>
      <c r="I67" s="15" t="s">
        <v>9</v>
      </c>
      <c r="J67" s="15" t="s">
        <v>10</v>
      </c>
      <c r="K67" s="15" t="s">
        <v>11</v>
      </c>
    </row>
    <row r="68" spans="1:12" x14ac:dyDescent="0.25">
      <c r="A68" s="51"/>
      <c r="B68" s="51"/>
      <c r="C68" s="51"/>
      <c r="D68" s="51"/>
      <c r="E68" s="51"/>
      <c r="F68" s="51"/>
      <c r="G68" s="51"/>
      <c r="H68" s="51"/>
      <c r="I68" s="51"/>
      <c r="J68" s="51"/>
      <c r="K68" s="51"/>
    </row>
    <row r="69" spans="1:12" x14ac:dyDescent="0.25">
      <c r="A69" s="43" t="s">
        <v>12</v>
      </c>
      <c r="B69" s="43" t="s">
        <v>13</v>
      </c>
      <c r="C69" s="10" t="s">
        <v>44</v>
      </c>
      <c r="D69" s="50">
        <v>0.13</v>
      </c>
      <c r="E69" s="69">
        <v>54420529.400604993</v>
      </c>
      <c r="F69" s="48">
        <f t="shared" ref="F69:F94" si="9">D69*E69</f>
        <v>7074668.822078649</v>
      </c>
      <c r="G69" s="54">
        <v>1.8916999999999999</v>
      </c>
      <c r="H69" s="54"/>
      <c r="I69" s="54"/>
      <c r="J69" s="54"/>
      <c r="K69" s="46">
        <f t="shared" ref="K69:K94" si="10">G69*E69</f>
        <v>102947315.46712446</v>
      </c>
    </row>
    <row r="70" spans="1:12" x14ac:dyDescent="0.25">
      <c r="A70" s="10" t="s">
        <v>15</v>
      </c>
      <c r="B70" s="10" t="s">
        <v>12</v>
      </c>
      <c r="C70" s="10" t="s">
        <v>44</v>
      </c>
      <c r="D70" s="50">
        <v>0.14499999999999999</v>
      </c>
      <c r="E70" s="70">
        <v>71460380.10604766</v>
      </c>
      <c r="F70" s="48">
        <f t="shared" si="9"/>
        <v>10361755.11537691</v>
      </c>
      <c r="G70" s="54">
        <v>1.8916999999999999</v>
      </c>
      <c r="H70" s="54"/>
      <c r="I70" s="54"/>
      <c r="J70" s="54"/>
      <c r="K70" s="46">
        <f t="shared" si="10"/>
        <v>135181601.04661036</v>
      </c>
    </row>
    <row r="71" spans="1:12" x14ac:dyDescent="0.25">
      <c r="A71" s="10" t="s">
        <v>16</v>
      </c>
      <c r="B71" s="10" t="s">
        <v>15</v>
      </c>
      <c r="C71" s="10" t="s">
        <v>44</v>
      </c>
      <c r="D71" s="50">
        <v>0.16</v>
      </c>
      <c r="E71" s="69">
        <v>88526985.316209987</v>
      </c>
      <c r="F71" s="48">
        <f t="shared" si="9"/>
        <v>14164317.650593597</v>
      </c>
      <c r="G71" s="54">
        <v>1.8916999999999999</v>
      </c>
      <c r="H71" s="54"/>
      <c r="I71" s="54"/>
      <c r="J71" s="54"/>
      <c r="K71" s="46">
        <f t="shared" si="10"/>
        <v>167466498.12267444</v>
      </c>
    </row>
    <row r="72" spans="1:12" x14ac:dyDescent="0.25">
      <c r="A72" s="10" t="s">
        <v>17</v>
      </c>
      <c r="B72" s="10" t="s">
        <v>16</v>
      </c>
      <c r="C72" s="10" t="s">
        <v>44</v>
      </c>
      <c r="D72" s="50">
        <v>0.17500000000000004</v>
      </c>
      <c r="E72" s="69">
        <f>84760183147/1000</f>
        <v>84760183.147</v>
      </c>
      <c r="F72" s="48">
        <f t="shared" si="9"/>
        <v>14833032.050725004</v>
      </c>
      <c r="G72" s="54">
        <v>1.8916999999999999</v>
      </c>
      <c r="H72" s="54"/>
      <c r="I72" s="54"/>
      <c r="J72" s="54"/>
      <c r="K72" s="46">
        <f t="shared" si="10"/>
        <v>160340838.45917991</v>
      </c>
    </row>
    <row r="73" spans="1:12" x14ac:dyDescent="0.25">
      <c r="A73" s="10" t="s">
        <v>18</v>
      </c>
      <c r="B73" s="10" t="s">
        <v>17</v>
      </c>
      <c r="C73" s="10" t="s">
        <v>44</v>
      </c>
      <c r="D73" s="50">
        <v>0.19000000000000006</v>
      </c>
      <c r="E73" s="69">
        <v>83931773.183280006</v>
      </c>
      <c r="F73" s="48">
        <f t="shared" si="9"/>
        <v>15947036.904823206</v>
      </c>
      <c r="G73" s="61">
        <f>(G72*(1/3))+(G74*(2/3))</f>
        <v>3.980433333333333</v>
      </c>
      <c r="H73" s="61"/>
      <c r="I73" s="61"/>
      <c r="J73" s="61"/>
      <c r="K73" s="46">
        <f t="shared" si="10"/>
        <v>334084827.7045005</v>
      </c>
    </row>
    <row r="74" spans="1:12" x14ac:dyDescent="0.25">
      <c r="A74" s="10" t="s">
        <v>19</v>
      </c>
      <c r="B74" s="10" t="s">
        <v>18</v>
      </c>
      <c r="C74" s="10" t="s">
        <v>44</v>
      </c>
      <c r="D74" s="50">
        <v>0.20500000000000007</v>
      </c>
      <c r="E74" s="69">
        <v>84697301.866293222</v>
      </c>
      <c r="F74" s="48">
        <f t="shared" si="9"/>
        <v>17362946.882590115</v>
      </c>
      <c r="G74" s="54">
        <v>5.0247999999999999</v>
      </c>
      <c r="H74" s="54"/>
      <c r="I74" s="54"/>
      <c r="J74" s="54"/>
      <c r="K74" s="46">
        <f t="shared" si="10"/>
        <v>425587002.41775018</v>
      </c>
    </row>
    <row r="75" spans="1:12" x14ac:dyDescent="0.25">
      <c r="A75" s="43" t="s">
        <v>20</v>
      </c>
      <c r="B75" s="10" t="s">
        <v>19</v>
      </c>
      <c r="C75" s="10" t="s">
        <v>44</v>
      </c>
      <c r="D75" s="50">
        <v>0.22000000000000008</v>
      </c>
      <c r="E75" s="69">
        <v>83439108.509810001</v>
      </c>
      <c r="F75" s="48">
        <f t="shared" si="9"/>
        <v>18356603.872158207</v>
      </c>
      <c r="G75" s="54">
        <v>5.0247999999999999</v>
      </c>
      <c r="H75" s="239">
        <v>0.31347799999999998</v>
      </c>
      <c r="I75" s="13">
        <v>600000</v>
      </c>
      <c r="J75" s="28">
        <f>H75*I75</f>
        <v>188086.8</v>
      </c>
      <c r="K75" s="296">
        <f>(G75*E75)-J75</f>
        <v>419076745.64009327</v>
      </c>
      <c r="L75" t="s">
        <v>43</v>
      </c>
    </row>
    <row r="76" spans="1:12" x14ac:dyDescent="0.25">
      <c r="A76" s="43" t="s">
        <v>22</v>
      </c>
      <c r="B76" s="43" t="s">
        <v>20</v>
      </c>
      <c r="C76" s="10" t="s">
        <v>44</v>
      </c>
      <c r="D76" s="50">
        <v>0.2350000000000001</v>
      </c>
      <c r="E76" s="69">
        <v>82956872.015999988</v>
      </c>
      <c r="F76" s="48">
        <f t="shared" si="9"/>
        <v>19494864.923760004</v>
      </c>
      <c r="G76" s="54">
        <v>5.0247999999999999</v>
      </c>
      <c r="H76" s="239">
        <v>0.36399999999999999</v>
      </c>
      <c r="I76" s="13">
        <v>800000</v>
      </c>
      <c r="J76" s="28">
        <f>H76*I76</f>
        <v>291200</v>
      </c>
      <c r="K76" s="46">
        <f t="shared" si="10"/>
        <v>416841690.5059967</v>
      </c>
    </row>
    <row r="77" spans="1:12" x14ac:dyDescent="0.25">
      <c r="A77" s="43" t="s">
        <v>23</v>
      </c>
      <c r="B77" s="43" t="s">
        <v>22</v>
      </c>
      <c r="C77" s="10" t="s">
        <v>44</v>
      </c>
      <c r="D77" s="50">
        <v>0.25000000000000011</v>
      </c>
      <c r="E77" s="69">
        <v>81934522.939999998</v>
      </c>
      <c r="F77" s="48">
        <f t="shared" si="9"/>
        <v>20483630.735000007</v>
      </c>
      <c r="G77" s="54">
        <v>5.0247999999999999</v>
      </c>
      <c r="H77" s="54"/>
      <c r="I77" s="54"/>
      <c r="J77" s="54"/>
      <c r="K77" s="46">
        <f t="shared" si="10"/>
        <v>411704590.86891198</v>
      </c>
    </row>
    <row r="78" spans="1:12" x14ac:dyDescent="0.25">
      <c r="A78" s="10" t="s">
        <v>24</v>
      </c>
      <c r="B78" s="10" t="s">
        <v>23</v>
      </c>
      <c r="C78" s="10" t="s">
        <v>44</v>
      </c>
      <c r="D78" s="50">
        <v>0.28000000000000003</v>
      </c>
      <c r="E78" s="69">
        <v>81560528.789000005</v>
      </c>
      <c r="F78" s="48">
        <f t="shared" si="9"/>
        <v>22836948.060920004</v>
      </c>
      <c r="G78" s="54">
        <v>5.0247999999999999</v>
      </c>
      <c r="H78" s="54"/>
      <c r="I78" s="54"/>
      <c r="J78" s="54"/>
      <c r="K78" s="46">
        <f t="shared" si="10"/>
        <v>409825345.05896723</v>
      </c>
    </row>
    <row r="79" spans="1:12" x14ac:dyDescent="0.25">
      <c r="A79" s="10" t="s">
        <v>25</v>
      </c>
      <c r="B79" s="10" t="s">
        <v>24</v>
      </c>
      <c r="C79" s="10" t="s">
        <v>44</v>
      </c>
      <c r="D79" s="50">
        <v>0.31</v>
      </c>
      <c r="E79" s="69">
        <v>81592930.692000002</v>
      </c>
      <c r="F79" s="48">
        <f t="shared" si="9"/>
        <v>25293808.514520001</v>
      </c>
      <c r="G79" s="54">
        <v>5.0247999999999999</v>
      </c>
      <c r="H79" s="54"/>
      <c r="I79" s="54"/>
      <c r="J79" s="54"/>
      <c r="K79" s="46">
        <f t="shared" si="10"/>
        <v>409988158.14116162</v>
      </c>
    </row>
    <row r="80" spans="1:12" x14ac:dyDescent="0.25">
      <c r="A80" s="10" t="s">
        <v>26</v>
      </c>
      <c r="B80" s="10" t="s">
        <v>25</v>
      </c>
      <c r="C80" s="10" t="s">
        <v>44</v>
      </c>
      <c r="D80" s="50">
        <v>0.34</v>
      </c>
      <c r="E80" s="69">
        <v>81884475.179999992</v>
      </c>
      <c r="F80" s="48">
        <f t="shared" si="9"/>
        <v>27840721.5612</v>
      </c>
      <c r="G80" s="54">
        <v>5.0247999999999999</v>
      </c>
      <c r="H80" s="54"/>
      <c r="I80" s="54"/>
      <c r="J80" s="54"/>
      <c r="K80" s="46">
        <f t="shared" si="10"/>
        <v>411453110.88446397</v>
      </c>
    </row>
    <row r="81" spans="1:13" x14ac:dyDescent="0.25">
      <c r="A81" s="43" t="s">
        <v>27</v>
      </c>
      <c r="B81" s="10" t="s">
        <v>26</v>
      </c>
      <c r="C81" s="10" t="s">
        <v>44</v>
      </c>
      <c r="D81" s="50">
        <v>0.37</v>
      </c>
      <c r="E81" s="69">
        <v>81977064.710000008</v>
      </c>
      <c r="F81" s="48">
        <f t="shared" si="9"/>
        <v>30331513.942700002</v>
      </c>
      <c r="G81" s="54">
        <v>5.0247999999999999</v>
      </c>
      <c r="H81" s="54"/>
      <c r="I81" s="54"/>
      <c r="J81" s="54"/>
      <c r="K81" s="46">
        <f t="shared" si="10"/>
        <v>411918354.75480801</v>
      </c>
    </row>
    <row r="82" spans="1:13" x14ac:dyDescent="0.25">
      <c r="A82" s="43" t="s">
        <v>28</v>
      </c>
      <c r="B82" s="43" t="s">
        <v>27</v>
      </c>
      <c r="C82" s="10" t="s">
        <v>44</v>
      </c>
      <c r="D82" s="50">
        <v>0.4</v>
      </c>
      <c r="E82" s="69">
        <v>82659805.902999997</v>
      </c>
      <c r="F82" s="48">
        <f t="shared" si="9"/>
        <v>33063922.361200001</v>
      </c>
      <c r="G82" s="54">
        <v>5.0247999999999999</v>
      </c>
      <c r="H82" s="54"/>
      <c r="I82" s="54"/>
      <c r="J82" s="54"/>
      <c r="K82" s="46">
        <f t="shared" si="10"/>
        <v>415348992.70139438</v>
      </c>
    </row>
    <row r="83" spans="1:13" x14ac:dyDescent="0.25">
      <c r="A83" s="43" t="s">
        <v>29</v>
      </c>
      <c r="B83" s="43" t="s">
        <v>28</v>
      </c>
      <c r="C83" s="10" t="s">
        <v>44</v>
      </c>
      <c r="D83" s="50">
        <v>0.40902608000000001</v>
      </c>
      <c r="E83" s="69">
        <v>83303404.917999998</v>
      </c>
      <c r="F83" s="48">
        <f t="shared" si="9"/>
        <v>34073265.164262265</v>
      </c>
      <c r="G83" s="54">
        <v>5.0247999999999999</v>
      </c>
      <c r="H83" s="54"/>
      <c r="I83" s="54"/>
      <c r="J83" s="54"/>
      <c r="K83" s="46">
        <f t="shared" si="10"/>
        <v>418582949.03196639</v>
      </c>
      <c r="M83" s="65"/>
    </row>
    <row r="84" spans="1:13" x14ac:dyDescent="0.25">
      <c r="A84" s="10" t="s">
        <v>30</v>
      </c>
      <c r="B84" s="10" t="s">
        <v>29</v>
      </c>
      <c r="C84" s="10" t="s">
        <v>44</v>
      </c>
      <c r="D84" s="50">
        <v>0.41825583530041599</v>
      </c>
      <c r="E84" s="69">
        <v>84058939.645000011</v>
      </c>
      <c r="F84" s="48">
        <f t="shared" si="9"/>
        <v>35158142.015686736</v>
      </c>
      <c r="G84" s="54">
        <v>5.0247999999999999</v>
      </c>
      <c r="H84" s="54"/>
      <c r="I84" s="54"/>
      <c r="J84" s="54"/>
      <c r="K84" s="46">
        <f t="shared" si="10"/>
        <v>422379359.92819607</v>
      </c>
      <c r="M84" s="72"/>
    </row>
    <row r="85" spans="1:13" x14ac:dyDescent="0.25">
      <c r="A85" s="10" t="s">
        <v>31</v>
      </c>
      <c r="B85" s="10" t="s">
        <v>30</v>
      </c>
      <c r="C85" s="10" t="s">
        <v>44</v>
      </c>
      <c r="D85" s="50">
        <v>0.42769386187513697</v>
      </c>
      <c r="E85" s="69">
        <v>84423662.777999997</v>
      </c>
      <c r="F85" s="48">
        <f t="shared" si="9"/>
        <v>36107482.367167071</v>
      </c>
      <c r="G85" s="54">
        <v>5.0247999999999999</v>
      </c>
      <c r="H85" s="54"/>
      <c r="I85" s="54"/>
      <c r="J85" s="54"/>
      <c r="K85" s="46">
        <f t="shared" si="10"/>
        <v>424212020.72689438</v>
      </c>
      <c r="M85" s="72"/>
    </row>
    <row r="86" spans="1:13" x14ac:dyDescent="0.25">
      <c r="A86" s="10" t="s">
        <v>32</v>
      </c>
      <c r="B86" s="10" t="s">
        <v>31</v>
      </c>
      <c r="C86" s="10" t="s">
        <v>44</v>
      </c>
      <c r="D86" s="50">
        <v>0.43734485940712181</v>
      </c>
      <c r="E86" s="69">
        <v>85015848.419</v>
      </c>
      <c r="F86" s="48">
        <f t="shared" si="9"/>
        <v>37181244.274184734</v>
      </c>
      <c r="G86" s="54">
        <v>5.0247999999999999</v>
      </c>
      <c r="H86" s="54"/>
      <c r="I86" s="54"/>
      <c r="J86" s="54"/>
      <c r="K86" s="46">
        <f t="shared" si="10"/>
        <v>427187635.13579118</v>
      </c>
      <c r="M86" s="72"/>
    </row>
    <row r="87" spans="1:13" x14ac:dyDescent="0.25">
      <c r="A87" s="10" t="s">
        <v>33</v>
      </c>
      <c r="B87" s="10" t="s">
        <v>32</v>
      </c>
      <c r="C87" s="10" t="s">
        <v>44</v>
      </c>
      <c r="D87" s="50">
        <v>0.44721363362861538</v>
      </c>
      <c r="E87" s="69">
        <v>85450292.625</v>
      </c>
      <c r="F87" s="48">
        <f t="shared" si="9"/>
        <v>38214535.859454721</v>
      </c>
      <c r="G87" s="54">
        <v>5.0247999999999999</v>
      </c>
      <c r="H87" s="54"/>
      <c r="I87" s="54"/>
      <c r="J87" s="54"/>
      <c r="K87" s="46">
        <f t="shared" si="10"/>
        <v>429370630.38209999</v>
      </c>
      <c r="M87" s="72"/>
    </row>
    <row r="88" spans="1:13" x14ac:dyDescent="0.25">
      <c r="A88" s="10" t="s">
        <v>34</v>
      </c>
      <c r="B88" s="10" t="s">
        <v>33</v>
      </c>
      <c r="C88" s="10" t="s">
        <v>44</v>
      </c>
      <c r="D88" s="50">
        <v>0.45730509871417185</v>
      </c>
      <c r="E88" s="69">
        <v>85967286.341000006</v>
      </c>
      <c r="F88" s="48">
        <f t="shared" si="9"/>
        <v>39313278.366360486</v>
      </c>
      <c r="G88" s="54">
        <v>5.0247999999999999</v>
      </c>
      <c r="H88" s="54"/>
      <c r="I88" s="54"/>
      <c r="J88" s="54"/>
      <c r="K88" s="46">
        <f t="shared" si="10"/>
        <v>431968420.40625679</v>
      </c>
      <c r="M88" s="72"/>
    </row>
    <row r="89" spans="1:13" x14ac:dyDescent="0.25">
      <c r="A89" s="10" t="s">
        <v>35</v>
      </c>
      <c r="B89" s="10" t="s">
        <v>34</v>
      </c>
      <c r="C89" s="10" t="s">
        <v>44</v>
      </c>
      <c r="D89" s="50">
        <v>0.46762427972767689</v>
      </c>
      <c r="E89" s="69">
        <v>86216091.731999993</v>
      </c>
      <c r="F89" s="48">
        <f t="shared" si="9"/>
        <v>40316737.797111817</v>
      </c>
      <c r="G89" s="54">
        <v>5.0247999999999999</v>
      </c>
      <c r="H89" s="54"/>
      <c r="I89" s="54"/>
      <c r="J89" s="54"/>
      <c r="K89" s="46">
        <f t="shared" si="10"/>
        <v>433218617.73495358</v>
      </c>
      <c r="M89" s="72"/>
    </row>
    <row r="90" spans="1:13" x14ac:dyDescent="0.25">
      <c r="A90" s="10" t="s">
        <v>36</v>
      </c>
      <c r="B90" s="10" t="s">
        <v>35</v>
      </c>
      <c r="C90" s="10" t="s">
        <v>44</v>
      </c>
      <c r="D90" s="50">
        <v>0.47817631512458791</v>
      </c>
      <c r="E90" s="69">
        <v>86766903.104000002</v>
      </c>
      <c r="F90" s="48">
        <f t="shared" si="9"/>
        <v>41489878.001042888</v>
      </c>
      <c r="G90" s="54">
        <v>5.0247999999999999</v>
      </c>
      <c r="H90" s="54"/>
      <c r="I90" s="54"/>
      <c r="J90" s="54"/>
      <c r="K90" s="46">
        <f t="shared" si="10"/>
        <v>435986334.71697921</v>
      </c>
      <c r="M90" s="72"/>
    </row>
    <row r="91" spans="1:13" x14ac:dyDescent="0.25">
      <c r="A91" s="10" t="s">
        <v>37</v>
      </c>
      <c r="B91" s="10" t="s">
        <v>36</v>
      </c>
      <c r="C91" s="10" t="s">
        <v>44</v>
      </c>
      <c r="D91" s="50">
        <v>0.48896645931063754</v>
      </c>
      <c r="E91" s="69">
        <v>87214467.640000001</v>
      </c>
      <c r="F91" s="48">
        <f t="shared" si="9"/>
        <v>42644949.442592971</v>
      </c>
      <c r="G91" s="54">
        <v>5.0247999999999999</v>
      </c>
      <c r="H91" s="54"/>
      <c r="I91" s="54"/>
      <c r="J91" s="54"/>
      <c r="K91" s="46">
        <f t="shared" si="10"/>
        <v>438235256.99747199</v>
      </c>
      <c r="M91" s="72"/>
    </row>
    <row r="92" spans="1:13" x14ac:dyDescent="0.25">
      <c r="A92" s="10" t="s">
        <v>38</v>
      </c>
      <c r="B92" s="10" t="s">
        <v>37</v>
      </c>
      <c r="C92" s="10" t="s">
        <v>44</v>
      </c>
      <c r="D92" s="50">
        <v>0.50000008525827411</v>
      </c>
      <c r="E92" s="69">
        <v>87748951.427000001</v>
      </c>
      <c r="F92" s="48">
        <f t="shared" si="9"/>
        <v>43874483.194824152</v>
      </c>
      <c r="G92" s="54">
        <v>5.0247999999999999</v>
      </c>
      <c r="H92" s="54"/>
      <c r="I92" s="54"/>
      <c r="J92" s="54"/>
      <c r="K92" s="46">
        <f t="shared" si="10"/>
        <v>440920931.13038957</v>
      </c>
      <c r="M92" s="72"/>
    </row>
    <row r="93" spans="1:13" x14ac:dyDescent="0.25">
      <c r="A93" s="10" t="s">
        <v>39</v>
      </c>
      <c r="B93" s="10" t="s">
        <v>38</v>
      </c>
      <c r="C93" s="10" t="s">
        <v>44</v>
      </c>
      <c r="D93" s="50">
        <v>0.5</v>
      </c>
      <c r="E93" s="69">
        <v>88116801.755999997</v>
      </c>
      <c r="F93" s="48">
        <f t="shared" si="9"/>
        <v>44058400.877999999</v>
      </c>
      <c r="G93" s="54">
        <v>5.0247999999999999</v>
      </c>
      <c r="H93" s="54"/>
      <c r="I93" s="54"/>
      <c r="J93" s="54"/>
      <c r="K93" s="46">
        <f t="shared" si="10"/>
        <v>442769305.46354878</v>
      </c>
      <c r="M93" s="72"/>
    </row>
    <row r="94" spans="1:13" x14ac:dyDescent="0.25">
      <c r="A94" s="10" t="s">
        <v>40</v>
      </c>
      <c r="B94" s="10" t="s">
        <v>39</v>
      </c>
      <c r="C94" s="10" t="s">
        <v>44</v>
      </c>
      <c r="D94" s="50">
        <v>0.5</v>
      </c>
      <c r="E94" s="69">
        <v>88491502.603</v>
      </c>
      <c r="F94" s="48">
        <f t="shared" si="9"/>
        <v>44245751.3015</v>
      </c>
      <c r="G94" s="54">
        <v>5.0247999999999999</v>
      </c>
      <c r="H94" s="54"/>
      <c r="I94" s="54"/>
      <c r="J94" s="54"/>
      <c r="K94" s="46">
        <f t="shared" si="10"/>
        <v>444652102.27955437</v>
      </c>
      <c r="M94" s="72"/>
    </row>
    <row r="97" spans="1:13" x14ac:dyDescent="0.25">
      <c r="A97" s="52"/>
      <c r="B97" s="52"/>
      <c r="C97" s="52"/>
      <c r="D97" s="68"/>
      <c r="F97" s="67"/>
      <c r="G97" s="66"/>
      <c r="H97" s="66"/>
      <c r="I97" s="66"/>
      <c r="J97" s="66"/>
      <c r="K97" s="56"/>
      <c r="M97" s="65"/>
    </row>
    <row r="98" spans="1:13" x14ac:dyDescent="0.25">
      <c r="A98" s="52"/>
      <c r="B98" s="52"/>
      <c r="C98" s="52"/>
      <c r="D98" s="52"/>
      <c r="E98" s="52"/>
    </row>
    <row r="99" spans="1:13" x14ac:dyDescent="0.25">
      <c r="A99" s="1" t="s">
        <v>45</v>
      </c>
      <c r="B99" s="53"/>
      <c r="C99" s="53"/>
      <c r="D99" s="53"/>
      <c r="E99" s="52"/>
      <c r="F99" s="52"/>
      <c r="G99" s="52"/>
      <c r="H99" s="52"/>
      <c r="I99" s="52"/>
      <c r="J99" s="52"/>
      <c r="K99" s="52"/>
    </row>
    <row r="100" spans="1:13" ht="75" x14ac:dyDescent="0.25">
      <c r="A100" s="15" t="s">
        <v>1</v>
      </c>
      <c r="B100" s="15" t="s">
        <v>2</v>
      </c>
      <c r="C100" s="15" t="s">
        <v>3</v>
      </c>
      <c r="D100" s="15" t="s">
        <v>4</v>
      </c>
      <c r="E100" s="15" t="s">
        <v>46</v>
      </c>
      <c r="F100" s="15" t="s">
        <v>6</v>
      </c>
      <c r="G100" s="15" t="s">
        <v>7</v>
      </c>
      <c r="H100" s="15" t="s">
        <v>8</v>
      </c>
      <c r="I100" s="15" t="s">
        <v>9</v>
      </c>
      <c r="J100" s="15" t="s">
        <v>10</v>
      </c>
      <c r="K100" s="15" t="s">
        <v>11</v>
      </c>
      <c r="L100" s="56" t="s">
        <v>47</v>
      </c>
    </row>
    <row r="101" spans="1:13" x14ac:dyDescent="0.25">
      <c r="A101" s="51"/>
      <c r="B101" s="51"/>
      <c r="C101" s="51"/>
      <c r="D101" s="51"/>
      <c r="E101" s="64">
        <f>26.0253830755776%</f>
        <v>0.26025383075577602</v>
      </c>
      <c r="F101" s="51"/>
      <c r="G101" s="51"/>
      <c r="H101" s="51"/>
      <c r="I101" s="51"/>
      <c r="J101" s="51"/>
      <c r="K101" s="51"/>
      <c r="L101" s="63">
        <v>44348</v>
      </c>
    </row>
    <row r="102" spans="1:13" x14ac:dyDescent="0.25">
      <c r="A102" s="43" t="s">
        <v>12</v>
      </c>
      <c r="B102" s="43" t="s">
        <v>13</v>
      </c>
      <c r="C102" s="10" t="s">
        <v>45</v>
      </c>
      <c r="D102" s="50">
        <v>0.13</v>
      </c>
      <c r="E102" s="59">
        <v>539165</v>
      </c>
      <c r="F102" s="48">
        <f t="shared" ref="F102:F127" si="11">D102*E102</f>
        <v>70091.45</v>
      </c>
      <c r="G102" s="54">
        <v>1.2415</v>
      </c>
      <c r="H102" s="54"/>
      <c r="I102" s="54"/>
      <c r="J102" s="54"/>
      <c r="K102" s="46">
        <f>G102*E102</f>
        <v>669373.34750000003</v>
      </c>
      <c r="L102" s="56"/>
    </row>
    <row r="103" spans="1:13" x14ac:dyDescent="0.25">
      <c r="A103" s="10" t="s">
        <v>15</v>
      </c>
      <c r="B103" s="10" t="s">
        <v>12</v>
      </c>
      <c r="C103" s="10" t="s">
        <v>45</v>
      </c>
      <c r="D103" s="50">
        <v>0.14499999999999999</v>
      </c>
      <c r="E103" s="59">
        <v>503181</v>
      </c>
      <c r="F103" s="48">
        <f t="shared" si="11"/>
        <v>72961.244999999995</v>
      </c>
      <c r="G103" s="54">
        <v>1.2415</v>
      </c>
      <c r="H103" s="54"/>
      <c r="I103" s="54"/>
      <c r="J103" s="54"/>
      <c r="K103" s="46">
        <f>G103*E103</f>
        <v>624699.21149999998</v>
      </c>
    </row>
    <row r="104" spans="1:13" x14ac:dyDescent="0.25">
      <c r="A104" s="10" t="s">
        <v>16</v>
      </c>
      <c r="B104" s="10" t="s">
        <v>15</v>
      </c>
      <c r="C104" s="10" t="s">
        <v>45</v>
      </c>
      <c r="D104" s="50">
        <v>0.16</v>
      </c>
      <c r="E104" s="59">
        <v>528790.700064381</v>
      </c>
      <c r="F104" s="48">
        <f t="shared" si="11"/>
        <v>84606.512010300969</v>
      </c>
      <c r="G104" s="54">
        <v>1.2415</v>
      </c>
      <c r="H104" s="54"/>
      <c r="I104" s="54"/>
      <c r="J104" s="54"/>
      <c r="K104" s="46">
        <f>G104*E104</f>
        <v>656493.65412992903</v>
      </c>
    </row>
    <row r="105" spans="1:13" x14ac:dyDescent="0.25">
      <c r="A105" s="10" t="s">
        <v>17</v>
      </c>
      <c r="B105" s="10" t="s">
        <v>16</v>
      </c>
      <c r="C105" s="10" t="s">
        <v>45</v>
      </c>
      <c r="D105" s="50">
        <v>0.17500000000000004</v>
      </c>
      <c r="E105" s="59">
        <v>471451.44980015844</v>
      </c>
      <c r="F105" s="48">
        <f t="shared" si="11"/>
        <v>82504.003715027749</v>
      </c>
      <c r="G105" s="54">
        <v>1.2415</v>
      </c>
      <c r="H105" s="54"/>
      <c r="I105" s="54"/>
      <c r="J105" s="54"/>
      <c r="K105" s="46">
        <f>G105*E105</f>
        <v>585306.97492689674</v>
      </c>
      <c r="L105" s="62">
        <v>1811506.2838117136</v>
      </c>
    </row>
    <row r="106" spans="1:13" x14ac:dyDescent="0.25">
      <c r="A106" s="10" t="s">
        <v>18</v>
      </c>
      <c r="B106" s="10" t="s">
        <v>17</v>
      </c>
      <c r="C106" s="10" t="s">
        <v>45</v>
      </c>
      <c r="D106" s="50">
        <v>0.19000000000000006</v>
      </c>
      <c r="E106" s="59">
        <v>533051</v>
      </c>
      <c r="F106" s="48">
        <f t="shared" si="11"/>
        <v>101279.69000000003</v>
      </c>
      <c r="G106" s="61">
        <f>(G105*(1/3))+(G107*(2/3))</f>
        <v>2.1638333333333333</v>
      </c>
      <c r="H106" s="61"/>
      <c r="I106" s="61"/>
      <c r="J106" s="61"/>
      <c r="K106" s="46">
        <f>G106*E106</f>
        <v>1153433.5221666666</v>
      </c>
      <c r="L106" s="60">
        <v>1936031</v>
      </c>
    </row>
    <row r="107" spans="1:13" x14ac:dyDescent="0.25">
      <c r="A107" s="10" t="s">
        <v>19</v>
      </c>
      <c r="B107" s="10" t="s">
        <v>18</v>
      </c>
      <c r="C107" s="10" t="s">
        <v>45</v>
      </c>
      <c r="D107" s="50">
        <v>0.20500000000000007</v>
      </c>
      <c r="E107" s="59">
        <v>530532.65745021519</v>
      </c>
      <c r="F107" s="48">
        <f t="shared" si="11"/>
        <v>108759.19477729415</v>
      </c>
      <c r="G107" s="54">
        <v>2.625</v>
      </c>
      <c r="H107" s="54"/>
      <c r="I107" s="54"/>
      <c r="J107" s="54"/>
      <c r="K107" s="46">
        <f t="shared" ref="K107:K127" si="12">G107*E107</f>
        <v>1392648.2258068149</v>
      </c>
      <c r="L107" s="58">
        <v>1913299.2299400053</v>
      </c>
      <c r="M107" s="39"/>
    </row>
    <row r="108" spans="1:13" x14ac:dyDescent="0.25">
      <c r="A108" s="43" t="s">
        <v>20</v>
      </c>
      <c r="B108" s="10" t="s">
        <v>19</v>
      </c>
      <c r="C108" s="10" t="s">
        <v>45</v>
      </c>
      <c r="D108" s="50">
        <v>0.22000000000000008</v>
      </c>
      <c r="E108" s="59">
        <v>526942.64347762323</v>
      </c>
      <c r="F108" s="48">
        <f t="shared" si="11"/>
        <v>115927.38156507716</v>
      </c>
      <c r="G108" s="54">
        <v>2.625</v>
      </c>
      <c r="H108" s="54"/>
      <c r="I108" s="54"/>
      <c r="J108" s="54"/>
      <c r="K108" s="46">
        <f t="shared" si="12"/>
        <v>1383224.4391287609</v>
      </c>
      <c r="L108" s="58">
        <v>1985842.9875904245</v>
      </c>
      <c r="M108" s="39"/>
    </row>
    <row r="109" spans="1:13" x14ac:dyDescent="0.25">
      <c r="A109" s="43" t="s">
        <v>22</v>
      </c>
      <c r="B109" s="43" t="s">
        <v>20</v>
      </c>
      <c r="C109" s="10" t="s">
        <v>45</v>
      </c>
      <c r="D109" s="50">
        <v>0.2350000000000001</v>
      </c>
      <c r="E109" s="59">
        <v>528397.803846856</v>
      </c>
      <c r="F109" s="48">
        <f t="shared" si="11"/>
        <v>124173.48390401121</v>
      </c>
      <c r="G109" s="54">
        <v>2.625</v>
      </c>
      <c r="H109" s="54"/>
      <c r="I109" s="54"/>
      <c r="J109" s="54"/>
      <c r="K109" s="46">
        <f t="shared" si="12"/>
        <v>1387044.2350979969</v>
      </c>
      <c r="L109" s="58">
        <v>2031361.7468766836</v>
      </c>
      <c r="M109" s="39"/>
    </row>
    <row r="110" spans="1:13" x14ac:dyDescent="0.25">
      <c r="A110" s="43" t="s">
        <v>23</v>
      </c>
      <c r="B110" s="43" t="s">
        <v>22</v>
      </c>
      <c r="C110" s="10" t="s">
        <v>45</v>
      </c>
      <c r="D110" s="50">
        <v>0.25000000000000011</v>
      </c>
      <c r="E110" s="55">
        <v>528059.65392531082</v>
      </c>
      <c r="F110" s="48">
        <f t="shared" si="11"/>
        <v>132014.91348132776</v>
      </c>
      <c r="G110" s="54">
        <v>2.625</v>
      </c>
      <c r="H110" s="54"/>
      <c r="I110" s="54"/>
      <c r="J110" s="54"/>
      <c r="K110" s="46">
        <f t="shared" si="12"/>
        <v>1386156.5915539409</v>
      </c>
      <c r="L110" s="58">
        <v>2031757.1150187554</v>
      </c>
      <c r="M110" s="39"/>
    </row>
    <row r="111" spans="1:13" x14ac:dyDescent="0.25">
      <c r="A111" s="10" t="s">
        <v>24</v>
      </c>
      <c r="B111" s="10" t="s">
        <v>23</v>
      </c>
      <c r="C111" s="10" t="s">
        <v>45</v>
      </c>
      <c r="D111" s="50">
        <v>0.28000000000000003</v>
      </c>
      <c r="E111" s="55">
        <v>529850.25363910827</v>
      </c>
      <c r="F111" s="48">
        <f t="shared" si="11"/>
        <v>148358.07101895032</v>
      </c>
      <c r="G111" s="54">
        <v>2.625</v>
      </c>
      <c r="H111" s="54"/>
      <c r="I111" s="54"/>
      <c r="J111" s="54"/>
      <c r="K111" s="46">
        <f t="shared" si="12"/>
        <v>1390856.9158026592</v>
      </c>
      <c r="L111" s="58">
        <v>2032902.5821294354</v>
      </c>
      <c r="M111" s="39"/>
    </row>
    <row r="112" spans="1:13" x14ac:dyDescent="0.25">
      <c r="A112" s="10" t="s">
        <v>25</v>
      </c>
      <c r="B112" s="10" t="s">
        <v>24</v>
      </c>
      <c r="C112" s="10" t="s">
        <v>45</v>
      </c>
      <c r="D112" s="50">
        <v>0.31</v>
      </c>
      <c r="E112" s="55">
        <v>530429.20436652494</v>
      </c>
      <c r="F112" s="48">
        <f t="shared" si="11"/>
        <v>164433.05335362273</v>
      </c>
      <c r="G112" s="54">
        <v>2.625</v>
      </c>
      <c r="H112" s="54"/>
      <c r="I112" s="54"/>
      <c r="J112" s="54"/>
      <c r="K112" s="46">
        <f t="shared" si="12"/>
        <v>1392376.6614621279</v>
      </c>
      <c r="L112" s="58">
        <v>2034248.8457400231</v>
      </c>
      <c r="M112" s="39"/>
    </row>
    <row r="113" spans="1:13" x14ac:dyDescent="0.25">
      <c r="A113" s="10" t="s">
        <v>26</v>
      </c>
      <c r="B113" s="10" t="s">
        <v>25</v>
      </c>
      <c r="C113" s="10" t="s">
        <v>45</v>
      </c>
      <c r="D113" s="50">
        <v>0.34</v>
      </c>
      <c r="E113" s="55">
        <v>531365.40813121572</v>
      </c>
      <c r="F113" s="48">
        <f t="shared" si="11"/>
        <v>180664.23876461337</v>
      </c>
      <c r="G113" s="54">
        <v>2.625</v>
      </c>
      <c r="H113" s="54"/>
      <c r="I113" s="54"/>
      <c r="J113" s="54"/>
      <c r="K113" s="46">
        <f t="shared" si="12"/>
        <v>1394834.1963444413</v>
      </c>
      <c r="L113" s="58">
        <v>2035436.7095460405</v>
      </c>
      <c r="M113" s="39"/>
    </row>
    <row r="114" spans="1:13" x14ac:dyDescent="0.25">
      <c r="A114" s="43" t="s">
        <v>27</v>
      </c>
      <c r="B114" s="10" t="s">
        <v>26</v>
      </c>
      <c r="C114" s="10" t="s">
        <v>45</v>
      </c>
      <c r="D114" s="50">
        <v>0.37</v>
      </c>
      <c r="E114" s="55">
        <v>531528.48370576557</v>
      </c>
      <c r="F114" s="48">
        <f t="shared" si="11"/>
        <v>196665.53897113327</v>
      </c>
      <c r="G114" s="54">
        <v>2.625</v>
      </c>
      <c r="H114" s="54"/>
      <c r="I114" s="54"/>
      <c r="J114" s="54"/>
      <c r="K114" s="46">
        <f t="shared" si="12"/>
        <v>1395262.2697276347</v>
      </c>
      <c r="L114" s="58">
        <v>2036877.7836252931</v>
      </c>
      <c r="M114" s="39"/>
    </row>
    <row r="115" spans="1:13" x14ac:dyDescent="0.25">
      <c r="A115" s="43" t="s">
        <v>28</v>
      </c>
      <c r="B115" s="43" t="s">
        <v>27</v>
      </c>
      <c r="C115" s="10" t="s">
        <v>45</v>
      </c>
      <c r="D115" s="50">
        <v>0.4</v>
      </c>
      <c r="E115" s="55">
        <v>532425.81888603442</v>
      </c>
      <c r="F115" s="48">
        <f t="shared" si="11"/>
        <v>212970.32755441379</v>
      </c>
      <c r="G115" s="54">
        <v>2.625</v>
      </c>
      <c r="H115" s="54"/>
      <c r="I115" s="54"/>
      <c r="J115" s="54"/>
      <c r="K115" s="46">
        <f t="shared" si="12"/>
        <v>1397617.7745758404</v>
      </c>
      <c r="L115" s="58">
        <v>2038203.8653873855</v>
      </c>
      <c r="M115" s="39"/>
    </row>
    <row r="116" spans="1:13" x14ac:dyDescent="0.25">
      <c r="A116" s="43" t="s">
        <v>29</v>
      </c>
      <c r="B116" s="43" t="s">
        <v>28</v>
      </c>
      <c r="C116" s="10" t="s">
        <v>45</v>
      </c>
      <c r="D116" s="50">
        <v>0.40902608000000001</v>
      </c>
      <c r="E116" s="55">
        <v>533005.33967255801</v>
      </c>
      <c r="F116" s="48">
        <f t="shared" si="11"/>
        <v>218013.08470533488</v>
      </c>
      <c r="G116" s="54">
        <v>2.625</v>
      </c>
      <c r="H116" s="54"/>
      <c r="I116" s="54"/>
      <c r="J116" s="54"/>
      <c r="K116" s="46">
        <f t="shared" si="12"/>
        <v>1399139.0166404648</v>
      </c>
      <c r="L116" s="58">
        <v>2039151.6884040157</v>
      </c>
      <c r="M116" s="39"/>
    </row>
    <row r="117" spans="1:13" x14ac:dyDescent="0.25">
      <c r="A117" s="10" t="s">
        <v>30</v>
      </c>
      <c r="B117" s="10" t="s">
        <v>29</v>
      </c>
      <c r="C117" s="10" t="s">
        <v>45</v>
      </c>
      <c r="D117" s="50">
        <v>0.41825583530041599</v>
      </c>
      <c r="E117" s="55">
        <v>533754.79569958372</v>
      </c>
      <c r="F117" s="48">
        <f t="shared" si="11"/>
        <v>223246.05792093228</v>
      </c>
      <c r="G117" s="54">
        <v>2.625</v>
      </c>
      <c r="H117" s="54"/>
      <c r="I117" s="54"/>
      <c r="J117" s="54"/>
      <c r="K117" s="46">
        <f t="shared" si="12"/>
        <v>1401106.3387114073</v>
      </c>
      <c r="L117" s="58">
        <v>2040028.7592896603</v>
      </c>
      <c r="M117" s="39"/>
    </row>
    <row r="118" spans="1:13" x14ac:dyDescent="0.25">
      <c r="A118" s="10" t="s">
        <v>31</v>
      </c>
      <c r="B118" s="10" t="s">
        <v>30</v>
      </c>
      <c r="C118" s="10" t="s">
        <v>45</v>
      </c>
      <c r="D118" s="50">
        <v>0.42769386187513697</v>
      </c>
      <c r="E118" s="55">
        <v>533927.73792272958</v>
      </c>
      <c r="F118" s="48">
        <f t="shared" si="11"/>
        <v>228357.61619442824</v>
      </c>
      <c r="G118" s="54">
        <v>2.625</v>
      </c>
      <c r="H118" s="54"/>
      <c r="I118" s="54"/>
      <c r="J118" s="54"/>
      <c r="K118" s="46">
        <f t="shared" si="12"/>
        <v>1401560.3120471651</v>
      </c>
      <c r="L118" s="58">
        <v>2040801.2574976794</v>
      </c>
      <c r="M118" s="39"/>
    </row>
    <row r="119" spans="1:13" x14ac:dyDescent="0.25">
      <c r="A119" s="10" t="s">
        <v>32</v>
      </c>
      <c r="B119" s="10" t="s">
        <v>31</v>
      </c>
      <c r="C119" s="10" t="s">
        <v>45</v>
      </c>
      <c r="D119" s="50">
        <v>0.43734485940712181</v>
      </c>
      <c r="E119" s="55">
        <v>534300.06030736852</v>
      </c>
      <c r="F119" s="48">
        <f t="shared" si="11"/>
        <v>233673.3847563428</v>
      </c>
      <c r="G119" s="54">
        <v>2.625</v>
      </c>
      <c r="H119" s="54"/>
      <c r="I119" s="54"/>
      <c r="J119" s="54"/>
      <c r="K119" s="46">
        <f t="shared" si="12"/>
        <v>1402537.6583068424</v>
      </c>
      <c r="L119" s="58">
        <v>2041559.7906517184</v>
      </c>
      <c r="M119" s="39"/>
    </row>
    <row r="120" spans="1:13" x14ac:dyDescent="0.25">
      <c r="A120" s="10" t="s">
        <v>33</v>
      </c>
      <c r="B120" s="10" t="s">
        <v>32</v>
      </c>
      <c r="C120" s="10" t="s">
        <v>45</v>
      </c>
      <c r="D120" s="50">
        <v>0.44721363362861538</v>
      </c>
      <c r="E120" s="55">
        <v>534645.23663093371</v>
      </c>
      <c r="F120" s="48">
        <f t="shared" si="11"/>
        <v>239100.63897595077</v>
      </c>
      <c r="G120" s="54">
        <v>2.625</v>
      </c>
      <c r="H120" s="54"/>
      <c r="I120" s="54"/>
      <c r="J120" s="54"/>
      <c r="K120" s="46">
        <f t="shared" si="12"/>
        <v>1403443.746156201</v>
      </c>
      <c r="L120" s="58">
        <v>2042228.0448328247</v>
      </c>
      <c r="M120" s="39"/>
    </row>
    <row r="121" spans="1:13" x14ac:dyDescent="0.25">
      <c r="A121" s="10" t="s">
        <v>34</v>
      </c>
      <c r="B121" s="10" t="s">
        <v>33</v>
      </c>
      <c r="C121" s="10" t="s">
        <v>45</v>
      </c>
      <c r="D121" s="50">
        <v>0.45730509871417185</v>
      </c>
      <c r="E121" s="55">
        <v>534964.2469321622</v>
      </c>
      <c r="F121" s="48">
        <f t="shared" si="11"/>
        <v>244641.87775186505</v>
      </c>
      <c r="G121" s="54">
        <v>2.625</v>
      </c>
      <c r="H121" s="54"/>
      <c r="I121" s="54"/>
      <c r="J121" s="54"/>
      <c r="K121" s="46">
        <f t="shared" si="12"/>
        <v>1404281.1481969259</v>
      </c>
      <c r="L121" s="58">
        <v>2042622.4927971303</v>
      </c>
      <c r="M121" s="39"/>
    </row>
    <row r="122" spans="1:13" x14ac:dyDescent="0.25">
      <c r="A122" s="10" t="s">
        <v>35</v>
      </c>
      <c r="B122" s="10" t="s">
        <v>34</v>
      </c>
      <c r="C122" s="10" t="s">
        <v>45</v>
      </c>
      <c r="D122" s="50">
        <v>0.46762427972767689</v>
      </c>
      <c r="E122" s="55">
        <v>535258.6012692037</v>
      </c>
      <c r="F122" s="48">
        <f t="shared" si="11"/>
        <v>250299.91788655519</v>
      </c>
      <c r="G122" s="54">
        <v>2.625</v>
      </c>
      <c r="H122" s="54"/>
      <c r="I122" s="54"/>
      <c r="J122" s="54"/>
      <c r="K122" s="46">
        <f t="shared" si="12"/>
        <v>1405053.8283316598</v>
      </c>
      <c r="L122" s="58">
        <v>2043089.2737057647</v>
      </c>
      <c r="M122" s="39"/>
    </row>
    <row r="123" spans="1:13" x14ac:dyDescent="0.25">
      <c r="A123" s="10" t="s">
        <v>36</v>
      </c>
      <c r="B123" s="10" t="s">
        <v>35</v>
      </c>
      <c r="C123" s="10" t="s">
        <v>45</v>
      </c>
      <c r="D123" s="50">
        <v>0.47817631512458791</v>
      </c>
      <c r="E123" s="55">
        <v>535529.01463481109</v>
      </c>
      <c r="F123" s="48">
        <f t="shared" si="11"/>
        <v>256077.29086037548</v>
      </c>
      <c r="G123" s="54">
        <v>2.625</v>
      </c>
      <c r="H123" s="54"/>
      <c r="I123" s="54"/>
      <c r="J123" s="54"/>
      <c r="K123" s="46">
        <f t="shared" si="12"/>
        <v>1405763.6634163791</v>
      </c>
      <c r="L123" s="57">
        <v>2043809.8008337496</v>
      </c>
      <c r="M123" s="39"/>
    </row>
    <row r="124" spans="1:13" x14ac:dyDescent="0.25">
      <c r="A124" s="10" t="s">
        <v>37</v>
      </c>
      <c r="B124" s="10" t="s">
        <v>36</v>
      </c>
      <c r="C124" s="10" t="s">
        <v>45</v>
      </c>
      <c r="D124" s="50">
        <v>0.48896645931063754</v>
      </c>
      <c r="E124" s="55">
        <v>535776.48357490334</v>
      </c>
      <c r="F124" s="48">
        <f t="shared" si="11"/>
        <v>261976.73015552442</v>
      </c>
      <c r="G124" s="54">
        <v>2.625</v>
      </c>
      <c r="H124" s="54"/>
      <c r="I124" s="54"/>
      <c r="J124" s="54"/>
      <c r="K124" s="46">
        <f t="shared" si="12"/>
        <v>1406413.2693841213</v>
      </c>
      <c r="L124" s="56"/>
      <c r="M124" s="39"/>
    </row>
    <row r="125" spans="1:13" x14ac:dyDescent="0.25">
      <c r="A125" s="10" t="s">
        <v>38</v>
      </c>
      <c r="B125" s="10" t="s">
        <v>37</v>
      </c>
      <c r="C125" s="10" t="s">
        <v>45</v>
      </c>
      <c r="D125" s="50">
        <v>0.50000008525827411</v>
      </c>
      <c r="E125" s="55">
        <v>536002.06114858564</v>
      </c>
      <c r="F125" s="48">
        <f t="shared" si="11"/>
        <v>268001.07627290348</v>
      </c>
      <c r="G125" s="54">
        <v>2.625</v>
      </c>
      <c r="H125" s="54"/>
      <c r="I125" s="54"/>
      <c r="J125" s="54"/>
      <c r="K125" s="46">
        <f t="shared" si="12"/>
        <v>1407005.4105150374</v>
      </c>
      <c r="M125" s="39"/>
    </row>
    <row r="126" spans="1:13" x14ac:dyDescent="0.25">
      <c r="A126" s="10" t="s">
        <v>39</v>
      </c>
      <c r="B126" s="10" t="s">
        <v>38</v>
      </c>
      <c r="C126" s="10" t="s">
        <v>45</v>
      </c>
      <c r="D126" s="50">
        <v>0.5</v>
      </c>
      <c r="E126" s="55">
        <v>536206.763677001</v>
      </c>
      <c r="F126" s="48">
        <f t="shared" si="11"/>
        <v>268103.3818385005</v>
      </c>
      <c r="G126" s="54">
        <v>2.625</v>
      </c>
      <c r="H126" s="54"/>
      <c r="I126" s="54"/>
      <c r="J126" s="54"/>
      <c r="K126" s="46">
        <f t="shared" si="12"/>
        <v>1407542.7546521276</v>
      </c>
      <c r="M126" s="39"/>
    </row>
    <row r="127" spans="1:13" x14ac:dyDescent="0.25">
      <c r="A127" s="10" t="s">
        <v>40</v>
      </c>
      <c r="B127" s="10" t="s">
        <v>39</v>
      </c>
      <c r="C127" s="10" t="s">
        <v>45</v>
      </c>
      <c r="D127" s="50">
        <v>0.5</v>
      </c>
      <c r="E127" s="55">
        <v>536390.78112780477</v>
      </c>
      <c r="F127" s="48">
        <f t="shared" si="11"/>
        <v>268195.39056390239</v>
      </c>
      <c r="G127" s="54">
        <v>2.625</v>
      </c>
      <c r="H127" s="54"/>
      <c r="I127" s="54"/>
      <c r="J127" s="54"/>
      <c r="K127" s="46">
        <f t="shared" si="12"/>
        <v>1408025.8004604876</v>
      </c>
      <c r="M127" s="39"/>
    </row>
    <row r="139" spans="1:5" x14ac:dyDescent="0.25">
      <c r="A139" s="316" t="s">
        <v>48</v>
      </c>
      <c r="B139" s="316"/>
    </row>
    <row r="140" spans="1:5" x14ac:dyDescent="0.25">
      <c r="B140" s="44" t="s">
        <v>41</v>
      </c>
      <c r="C140" s="44" t="s">
        <v>44</v>
      </c>
      <c r="D140" s="44" t="s">
        <v>45</v>
      </c>
      <c r="E140" s="44" t="s">
        <v>49</v>
      </c>
    </row>
    <row r="141" spans="1:5" x14ac:dyDescent="0.25">
      <c r="A141" t="s">
        <v>50</v>
      </c>
      <c r="B141" s="237">
        <v>23519409</v>
      </c>
      <c r="C141" s="73">
        <v>44214248</v>
      </c>
      <c r="D141" s="45">
        <v>13556</v>
      </c>
      <c r="E141" s="181">
        <f>SUM(B141:D141)</f>
        <v>67747213</v>
      </c>
    </row>
    <row r="142" spans="1:5" x14ac:dyDescent="0.25">
      <c r="A142" t="s">
        <v>51</v>
      </c>
      <c r="B142" s="237">
        <v>12955428</v>
      </c>
      <c r="C142" s="235">
        <v>23326123.079999998</v>
      </c>
      <c r="D142" s="236"/>
      <c r="E142" s="181">
        <f>SUM(B142:D142)</f>
        <v>36281551.079999998</v>
      </c>
    </row>
    <row r="143" spans="1:5" x14ac:dyDescent="0.25">
      <c r="A143" t="s">
        <v>52</v>
      </c>
      <c r="B143" s="235">
        <v>41705.58</v>
      </c>
      <c r="C143" s="235">
        <v>1692119.3599999999</v>
      </c>
      <c r="D143" s="236"/>
      <c r="E143" s="181">
        <f>SUM(B143:D143)</f>
        <v>1733824.94</v>
      </c>
    </row>
    <row r="144" spans="1:5" x14ac:dyDescent="0.25">
      <c r="A144" t="s">
        <v>53</v>
      </c>
      <c r="B144" s="235">
        <f>B142-B143</f>
        <v>12913722.42</v>
      </c>
      <c r="C144" s="235">
        <f>C142-C143</f>
        <v>21634003.719999999</v>
      </c>
      <c r="D144" s="236"/>
      <c r="E144" s="181">
        <f>SUM(B144:D144)</f>
        <v>34547726.140000001</v>
      </c>
    </row>
    <row r="145" spans="1:10" x14ac:dyDescent="0.25">
      <c r="A145" s="246" t="s">
        <v>54</v>
      </c>
      <c r="B145" s="248">
        <f>B144+B141</f>
        <v>36433131.420000002</v>
      </c>
      <c r="C145" s="248">
        <f>C144+C141</f>
        <v>65848251.719999999</v>
      </c>
      <c r="D145" s="248">
        <f>D144+D141</f>
        <v>13556</v>
      </c>
      <c r="E145" s="181">
        <f>SUM(B145:D145)</f>
        <v>102294939.14</v>
      </c>
    </row>
    <row r="146" spans="1:10" x14ac:dyDescent="0.25">
      <c r="B146" s="19"/>
      <c r="C146" s="19"/>
      <c r="D146" s="19"/>
      <c r="E146" s="19"/>
    </row>
    <row r="147" spans="1:10" x14ac:dyDescent="0.25">
      <c r="B147" s="19"/>
      <c r="C147" s="19"/>
      <c r="D147" s="19"/>
      <c r="E147" s="19"/>
    </row>
    <row r="148" spans="1:10" ht="30" x14ac:dyDescent="0.25">
      <c r="A148" s="15" t="s">
        <v>1</v>
      </c>
      <c r="B148" s="44" t="s">
        <v>41</v>
      </c>
      <c r="C148" s="44" t="s">
        <v>44</v>
      </c>
      <c r="D148" s="44" t="s">
        <v>45</v>
      </c>
      <c r="E148" s="247" t="s">
        <v>55</v>
      </c>
    </row>
    <row r="149" spans="1:10" x14ac:dyDescent="0.25">
      <c r="A149" s="10" t="s">
        <v>17</v>
      </c>
      <c r="B149" s="17">
        <f t="shared" ref="B149:B171" si="13">K39</f>
        <v>64309855.295962796</v>
      </c>
      <c r="C149" s="17">
        <f>K72</f>
        <v>160340838.45917991</v>
      </c>
      <c r="D149" s="17">
        <f t="shared" ref="D149:D171" si="14">K107</f>
        <v>1392648.2258068149</v>
      </c>
      <c r="E149" s="23">
        <f>B149+C149+D149+$E$141</f>
        <v>293790554.98094952</v>
      </c>
      <c r="G149" s="19"/>
      <c r="H149" s="19"/>
      <c r="I149" s="19"/>
      <c r="J149" s="19"/>
    </row>
    <row r="150" spans="1:10" x14ac:dyDescent="0.25">
      <c r="A150" s="10" t="s">
        <v>18</v>
      </c>
      <c r="B150" s="17">
        <f t="shared" si="13"/>
        <v>129499575.18679999</v>
      </c>
      <c r="C150" s="17">
        <f t="shared" ref="C150:C171" si="15">K73</f>
        <v>334084827.7045005</v>
      </c>
      <c r="D150" s="17">
        <f t="shared" si="14"/>
        <v>1383224.4391287609</v>
      </c>
      <c r="E150" s="23">
        <f t="shared" ref="E150:E171" si="16">B150+C150+D150+$E$141</f>
        <v>532714840.33042926</v>
      </c>
    </row>
    <row r="151" spans="1:10" x14ac:dyDescent="0.25">
      <c r="A151" s="10" t="s">
        <v>19</v>
      </c>
      <c r="B151" s="17">
        <f t="shared" si="13"/>
        <v>160483342.72150001</v>
      </c>
      <c r="C151" s="17">
        <f t="shared" si="15"/>
        <v>425587002.41775018</v>
      </c>
      <c r="D151" s="17">
        <f t="shared" si="14"/>
        <v>1387044.2350979969</v>
      </c>
      <c r="E151" s="23">
        <f t="shared" si="16"/>
        <v>655204602.37434816</v>
      </c>
    </row>
    <row r="152" spans="1:10" x14ac:dyDescent="0.25">
      <c r="A152" s="43" t="s">
        <v>20</v>
      </c>
      <c r="B152" s="17">
        <f t="shared" si="13"/>
        <v>156961599.53649759</v>
      </c>
      <c r="C152" s="17">
        <f t="shared" si="15"/>
        <v>419076745.64009327</v>
      </c>
      <c r="D152" s="17">
        <f t="shared" si="14"/>
        <v>1386156.5915539409</v>
      </c>
      <c r="E152" s="23">
        <f t="shared" si="16"/>
        <v>645171714.76814485</v>
      </c>
    </row>
    <row r="153" spans="1:10" x14ac:dyDescent="0.25">
      <c r="A153" s="43" t="s">
        <v>22</v>
      </c>
      <c r="B153" s="17">
        <f t="shared" si="13"/>
        <v>155398917.17191386</v>
      </c>
      <c r="C153" s="17">
        <f t="shared" si="15"/>
        <v>416841690.5059967</v>
      </c>
      <c r="D153" s="17">
        <f t="shared" si="14"/>
        <v>1390856.9158026592</v>
      </c>
      <c r="E153" s="23">
        <f t="shared" si="16"/>
        <v>641378677.59371328</v>
      </c>
    </row>
    <row r="154" spans="1:10" x14ac:dyDescent="0.25">
      <c r="A154" s="43" t="s">
        <v>23</v>
      </c>
      <c r="B154" s="17">
        <f t="shared" si="13"/>
        <v>158506895.51535216</v>
      </c>
      <c r="C154" s="17">
        <f t="shared" si="15"/>
        <v>411704590.86891198</v>
      </c>
      <c r="D154" s="17">
        <f t="shared" si="14"/>
        <v>1392376.6614621279</v>
      </c>
      <c r="E154" s="23">
        <f t="shared" si="16"/>
        <v>639351076.04572618</v>
      </c>
    </row>
    <row r="155" spans="1:10" x14ac:dyDescent="0.25">
      <c r="A155" s="10" t="s">
        <v>24</v>
      </c>
      <c r="B155" s="17">
        <f t="shared" si="13"/>
        <v>151744178.01187399</v>
      </c>
      <c r="C155" s="17">
        <f t="shared" si="15"/>
        <v>409825345.05896723</v>
      </c>
      <c r="D155" s="17">
        <f t="shared" si="14"/>
        <v>1394834.1963444413</v>
      </c>
      <c r="E155" s="23">
        <f t="shared" si="16"/>
        <v>630711570.26718569</v>
      </c>
    </row>
    <row r="156" spans="1:10" x14ac:dyDescent="0.25">
      <c r="A156" s="10" t="s">
        <v>25</v>
      </c>
      <c r="B156" s="17">
        <f t="shared" si="13"/>
        <v>150699620.50638735</v>
      </c>
      <c r="C156" s="17">
        <f t="shared" si="15"/>
        <v>409988158.14116162</v>
      </c>
      <c r="D156" s="17">
        <f t="shared" si="14"/>
        <v>1395262.2697276347</v>
      </c>
      <c r="E156" s="23">
        <f t="shared" si="16"/>
        <v>629830253.9172765</v>
      </c>
    </row>
    <row r="157" spans="1:10" x14ac:dyDescent="0.25">
      <c r="A157" s="10" t="s">
        <v>26</v>
      </c>
      <c r="B157" s="17">
        <f t="shared" si="13"/>
        <v>150699620.50638735</v>
      </c>
      <c r="C157" s="17">
        <f t="shared" si="15"/>
        <v>411453110.88446397</v>
      </c>
      <c r="D157" s="17">
        <f t="shared" si="14"/>
        <v>1397617.7745758404</v>
      </c>
      <c r="E157" s="23">
        <f t="shared" si="16"/>
        <v>631297562.16542709</v>
      </c>
    </row>
    <row r="158" spans="1:10" x14ac:dyDescent="0.25">
      <c r="A158" s="43" t="s">
        <v>27</v>
      </c>
      <c r="B158" s="17">
        <f t="shared" si="13"/>
        <v>150699620.50638735</v>
      </c>
      <c r="C158" s="17">
        <f t="shared" si="15"/>
        <v>411918354.75480801</v>
      </c>
      <c r="D158" s="17">
        <f t="shared" si="14"/>
        <v>1399139.0166404648</v>
      </c>
      <c r="E158" s="23">
        <f t="shared" si="16"/>
        <v>631764327.27783585</v>
      </c>
    </row>
    <row r="159" spans="1:10" x14ac:dyDescent="0.25">
      <c r="A159" s="43" t="s">
        <v>28</v>
      </c>
      <c r="B159" s="17">
        <f t="shared" si="13"/>
        <v>150699620.50638735</v>
      </c>
      <c r="C159" s="17">
        <f t="shared" si="15"/>
        <v>415348992.70139438</v>
      </c>
      <c r="D159" s="17">
        <f t="shared" si="14"/>
        <v>1401106.3387114073</v>
      </c>
      <c r="E159" s="23">
        <f t="shared" si="16"/>
        <v>635196932.54649317</v>
      </c>
    </row>
    <row r="160" spans="1:10" x14ac:dyDescent="0.25">
      <c r="A160" s="43" t="s">
        <v>29</v>
      </c>
      <c r="B160" s="17">
        <f t="shared" si="13"/>
        <v>150699620.50638735</v>
      </c>
      <c r="C160" s="17">
        <f t="shared" si="15"/>
        <v>418582949.03196639</v>
      </c>
      <c r="D160" s="17">
        <f t="shared" si="14"/>
        <v>1401560.3120471651</v>
      </c>
      <c r="E160" s="23">
        <f t="shared" si="16"/>
        <v>638431342.85040081</v>
      </c>
    </row>
    <row r="161" spans="1:5" x14ac:dyDescent="0.25">
      <c r="A161" s="10" t="s">
        <v>30</v>
      </c>
      <c r="B161" s="17">
        <f t="shared" si="13"/>
        <v>150699620.50638735</v>
      </c>
      <c r="C161" s="17">
        <f t="shared" si="15"/>
        <v>422379359.92819607</v>
      </c>
      <c r="D161" s="17">
        <f t="shared" si="14"/>
        <v>1402537.6583068424</v>
      </c>
      <c r="E161" s="23">
        <f t="shared" si="16"/>
        <v>642228731.09289026</v>
      </c>
    </row>
    <row r="162" spans="1:5" x14ac:dyDescent="0.25">
      <c r="A162" s="10" t="s">
        <v>31</v>
      </c>
      <c r="B162" s="17">
        <f t="shared" si="13"/>
        <v>150699620.50638735</v>
      </c>
      <c r="C162" s="17">
        <f t="shared" si="15"/>
        <v>424212020.72689438</v>
      </c>
      <c r="D162" s="17">
        <f t="shared" si="14"/>
        <v>1403443.746156201</v>
      </c>
      <c r="E162" s="23">
        <f t="shared" si="16"/>
        <v>644062297.97943795</v>
      </c>
    </row>
    <row r="163" spans="1:5" x14ac:dyDescent="0.25">
      <c r="A163" s="10" t="s">
        <v>32</v>
      </c>
      <c r="B163" s="17">
        <f t="shared" si="13"/>
        <v>150699620.50638735</v>
      </c>
      <c r="C163" s="17">
        <f t="shared" si="15"/>
        <v>427187635.13579118</v>
      </c>
      <c r="D163" s="17">
        <f t="shared" si="14"/>
        <v>1404281.1481969259</v>
      </c>
      <c r="E163" s="23">
        <f t="shared" si="16"/>
        <v>647038749.79037547</v>
      </c>
    </row>
    <row r="164" spans="1:5" x14ac:dyDescent="0.25">
      <c r="A164" s="10" t="s">
        <v>33</v>
      </c>
      <c r="B164" s="17">
        <f t="shared" si="13"/>
        <v>150699620.50638735</v>
      </c>
      <c r="C164" s="17">
        <f t="shared" si="15"/>
        <v>429370630.38209999</v>
      </c>
      <c r="D164" s="17">
        <f t="shared" si="14"/>
        <v>1405053.8283316598</v>
      </c>
      <c r="E164" s="23">
        <f t="shared" si="16"/>
        <v>649222517.71681905</v>
      </c>
    </row>
    <row r="165" spans="1:5" x14ac:dyDescent="0.25">
      <c r="A165" s="10" t="s">
        <v>34</v>
      </c>
      <c r="B165" s="17">
        <f t="shared" si="13"/>
        <v>150699620.50638735</v>
      </c>
      <c r="C165" s="17">
        <f t="shared" si="15"/>
        <v>431968420.40625679</v>
      </c>
      <c r="D165" s="17">
        <f t="shared" si="14"/>
        <v>1405763.6634163791</v>
      </c>
      <c r="E165" s="23">
        <f t="shared" si="16"/>
        <v>651821017.57606053</v>
      </c>
    </row>
    <row r="166" spans="1:5" x14ac:dyDescent="0.25">
      <c r="A166" s="10" t="s">
        <v>35</v>
      </c>
      <c r="B166" s="17">
        <f t="shared" si="13"/>
        <v>150699620.50638735</v>
      </c>
      <c r="C166" s="17">
        <f t="shared" si="15"/>
        <v>433218617.73495358</v>
      </c>
      <c r="D166" s="17">
        <f t="shared" si="14"/>
        <v>1406413.2693841213</v>
      </c>
      <c r="E166" s="23">
        <f t="shared" si="16"/>
        <v>653071864.51072502</v>
      </c>
    </row>
    <row r="167" spans="1:5" x14ac:dyDescent="0.25">
      <c r="A167" s="10" t="s">
        <v>36</v>
      </c>
      <c r="B167" s="17">
        <f t="shared" si="13"/>
        <v>150699620.50638735</v>
      </c>
      <c r="C167" s="17">
        <f t="shared" si="15"/>
        <v>435986334.71697921</v>
      </c>
      <c r="D167" s="17">
        <f t="shared" si="14"/>
        <v>1407005.4105150374</v>
      </c>
      <c r="E167" s="23">
        <f t="shared" si="16"/>
        <v>655840173.63388157</v>
      </c>
    </row>
    <row r="168" spans="1:5" x14ac:dyDescent="0.25">
      <c r="A168" s="10" t="s">
        <v>37</v>
      </c>
      <c r="B168" s="17">
        <f t="shared" si="13"/>
        <v>150699620.50638735</v>
      </c>
      <c r="C168" s="17">
        <f t="shared" si="15"/>
        <v>438235256.99747199</v>
      </c>
      <c r="D168" s="17">
        <f t="shared" si="14"/>
        <v>1407542.7546521276</v>
      </c>
      <c r="E168" s="23">
        <f t="shared" si="16"/>
        <v>658089633.25851142</v>
      </c>
    </row>
    <row r="169" spans="1:5" x14ac:dyDescent="0.25">
      <c r="A169" s="10" t="s">
        <v>38</v>
      </c>
      <c r="B169" s="17">
        <f t="shared" si="13"/>
        <v>150699620.50638735</v>
      </c>
      <c r="C169" s="17">
        <f t="shared" si="15"/>
        <v>440920931.13038957</v>
      </c>
      <c r="D169" s="17">
        <f t="shared" si="14"/>
        <v>1408025.8004604876</v>
      </c>
      <c r="E169" s="23">
        <f t="shared" si="16"/>
        <v>660775790.43723738</v>
      </c>
    </row>
    <row r="170" spans="1:5" x14ac:dyDescent="0.25">
      <c r="A170" s="10" t="s">
        <v>39</v>
      </c>
      <c r="B170" s="17">
        <f t="shared" si="13"/>
        <v>150699620.50638735</v>
      </c>
      <c r="C170" s="17">
        <f t="shared" si="15"/>
        <v>442769305.46354878</v>
      </c>
      <c r="D170" s="17">
        <f t="shared" si="14"/>
        <v>0</v>
      </c>
      <c r="E170" s="23">
        <f t="shared" si="16"/>
        <v>661216138.96993613</v>
      </c>
    </row>
    <row r="171" spans="1:5" x14ac:dyDescent="0.25">
      <c r="A171" s="10" t="s">
        <v>40</v>
      </c>
      <c r="B171" s="17">
        <f t="shared" si="13"/>
        <v>150699620.50638735</v>
      </c>
      <c r="C171" s="17">
        <f t="shared" si="15"/>
        <v>444652102.27955437</v>
      </c>
      <c r="D171" s="17">
        <f t="shared" si="14"/>
        <v>0</v>
      </c>
      <c r="E171" s="23">
        <f t="shared" si="16"/>
        <v>663098935.78594172</v>
      </c>
    </row>
  </sheetData>
  <mergeCells count="1">
    <mergeCell ref="A139:B139"/>
  </mergeCells>
  <printOptions horizontalCentered="1" verticalCentered="1"/>
  <pageMargins left="0.25" right="0.25" top="0.75" bottom="0.75" header="0.3" footer="0.3"/>
  <pageSetup scale="56" fitToHeight="6" orientation="landscape" r:id="rId1"/>
  <headerFooter>
    <oddHeader>&amp;A</oddHeader>
  </headerFooter>
  <rowBreaks count="3" manualBreakCount="3">
    <brk id="64" max="16383" man="1"/>
    <brk id="97" max="16383" man="1"/>
    <brk id="137" max="16383" man="1"/>
  </rowBreaks>
  <customProperties>
    <customPr name="GUID" r:id="rId2"/>
  </customProperties>
  <ignoredErrors>
    <ignoredError sqref="H4 H5:H9 H12:H29"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FBF2-FF33-4526-A654-A9B4C5FF1FB0}">
  <sheetPr>
    <tabColor theme="5" tint="0.59999389629810485"/>
    <pageSetUpPr fitToPage="1"/>
  </sheetPr>
  <dimension ref="A1:AH92"/>
  <sheetViews>
    <sheetView tabSelected="1" zoomScaleNormal="100" workbookViewId="0">
      <selection activeCell="E10" sqref="E10"/>
    </sheetView>
  </sheetViews>
  <sheetFormatPr defaultRowHeight="15" x14ac:dyDescent="0.25"/>
  <cols>
    <col min="2" max="2" width="17.42578125" bestFit="1" customWidth="1"/>
    <col min="4" max="4" width="9.42578125" bestFit="1" customWidth="1"/>
    <col min="5" max="5" width="12" customWidth="1"/>
    <col min="6" max="7" width="9.42578125" bestFit="1" customWidth="1"/>
    <col min="8" max="8" width="10.85546875" bestFit="1" customWidth="1"/>
    <col min="9" max="24" width="9.42578125" bestFit="1" customWidth="1"/>
    <col min="25" max="25" width="24.5703125" bestFit="1" customWidth="1"/>
    <col min="26" max="26" width="14.42578125" bestFit="1" customWidth="1"/>
  </cols>
  <sheetData>
    <row r="1" spans="1:34" x14ac:dyDescent="0.25">
      <c r="A1" t="s">
        <v>56</v>
      </c>
      <c r="D1" s="238"/>
      <c r="E1" s="240">
        <v>32.17</v>
      </c>
      <c r="F1" s="240">
        <v>38.86</v>
      </c>
      <c r="G1" s="240">
        <v>41.18</v>
      </c>
      <c r="H1" s="240">
        <v>41.7</v>
      </c>
      <c r="I1" s="240">
        <v>43.68</v>
      </c>
      <c r="J1" s="240">
        <v>44.69</v>
      </c>
      <c r="K1" s="240">
        <v>46.25</v>
      </c>
      <c r="L1" s="240">
        <v>47.7</v>
      </c>
      <c r="M1" s="240">
        <v>47.36</v>
      </c>
      <c r="N1" s="240">
        <v>48.17</v>
      </c>
      <c r="O1" s="240">
        <v>49.25</v>
      </c>
      <c r="P1" s="240">
        <v>50.57</v>
      </c>
      <c r="Q1" s="240">
        <v>51.91</v>
      </c>
      <c r="R1" s="240">
        <v>52.89</v>
      </c>
      <c r="S1" s="240">
        <v>54.15</v>
      </c>
      <c r="T1" s="240">
        <v>55.31</v>
      </c>
      <c r="U1" s="240">
        <v>56.39</v>
      </c>
      <c r="V1" s="240">
        <v>57.54</v>
      </c>
      <c r="W1" s="240">
        <v>58.69</v>
      </c>
      <c r="X1" s="240">
        <v>59.75</v>
      </c>
    </row>
    <row r="2" spans="1:34" s="105" customFormat="1" x14ac:dyDescent="0.25">
      <c r="B2" s="105" t="s">
        <v>57</v>
      </c>
      <c r="D2" s="334">
        <v>0</v>
      </c>
      <c r="E2" s="334">
        <v>0</v>
      </c>
      <c r="F2" s="334">
        <v>0</v>
      </c>
      <c r="G2" s="334">
        <v>0</v>
      </c>
      <c r="H2" s="334">
        <v>0</v>
      </c>
      <c r="I2" s="334">
        <v>0</v>
      </c>
      <c r="J2" s="334">
        <v>0</v>
      </c>
      <c r="K2" s="334">
        <v>0</v>
      </c>
      <c r="L2" s="334">
        <v>0</v>
      </c>
      <c r="M2" s="334">
        <v>0</v>
      </c>
      <c r="N2" s="334">
        <v>0</v>
      </c>
      <c r="O2" s="334">
        <v>0</v>
      </c>
      <c r="P2" s="334">
        <v>0</v>
      </c>
      <c r="Q2" s="334">
        <v>0</v>
      </c>
      <c r="R2" s="334">
        <v>0</v>
      </c>
      <c r="S2" s="334">
        <v>0</v>
      </c>
      <c r="T2" s="334">
        <v>0</v>
      </c>
      <c r="U2" s="334">
        <v>0</v>
      </c>
      <c r="V2" s="334">
        <v>0</v>
      </c>
      <c r="W2" s="334">
        <v>0</v>
      </c>
      <c r="X2" s="334">
        <v>0</v>
      </c>
    </row>
    <row r="3" spans="1:34" x14ac:dyDescent="0.25">
      <c r="B3" s="1" t="s">
        <v>58</v>
      </c>
      <c r="C3" s="134"/>
      <c r="D3" s="335"/>
      <c r="E3" s="335"/>
      <c r="F3" s="335"/>
      <c r="G3" s="335"/>
      <c r="H3" s="335"/>
      <c r="I3" s="335"/>
      <c r="J3" s="335"/>
      <c r="K3" s="335"/>
      <c r="L3" s="335"/>
      <c r="M3" s="335"/>
      <c r="N3" s="335"/>
      <c r="O3" s="335"/>
      <c r="P3" s="335"/>
      <c r="Q3" s="335"/>
      <c r="R3" s="335"/>
      <c r="S3" s="335"/>
      <c r="T3" s="335"/>
      <c r="U3" s="335"/>
      <c r="V3" s="335"/>
      <c r="W3" s="335"/>
      <c r="X3" s="335"/>
      <c r="Y3" s="240"/>
    </row>
    <row r="4" spans="1:34" x14ac:dyDescent="0.25">
      <c r="C4" s="134"/>
      <c r="D4" s="134"/>
      <c r="E4" s="305"/>
      <c r="F4" s="305"/>
      <c r="G4" s="305"/>
      <c r="H4" s="305"/>
      <c r="I4" s="305"/>
      <c r="J4" s="305"/>
      <c r="K4" s="305"/>
      <c r="L4" s="305"/>
      <c r="M4" s="305"/>
      <c r="N4" s="305"/>
      <c r="O4" s="305"/>
      <c r="P4" s="305"/>
      <c r="Q4" s="305"/>
      <c r="R4" s="305"/>
      <c r="S4" s="305"/>
      <c r="T4" s="305"/>
      <c r="U4" s="305"/>
      <c r="V4" s="305"/>
      <c r="W4" s="305"/>
      <c r="X4" s="305"/>
      <c r="Y4" s="240"/>
    </row>
    <row r="5" spans="1:34" ht="18.75" x14ac:dyDescent="0.25">
      <c r="C5" s="2">
        <v>2022</v>
      </c>
      <c r="D5" s="2">
        <v>2023</v>
      </c>
      <c r="E5" s="2">
        <v>2024</v>
      </c>
      <c r="F5" s="2">
        <v>2025</v>
      </c>
      <c r="G5" s="2">
        <v>2026</v>
      </c>
      <c r="H5" s="2">
        <v>2027</v>
      </c>
      <c r="I5" s="2">
        <v>2028</v>
      </c>
      <c r="J5" s="2">
        <v>2029</v>
      </c>
      <c r="K5" s="2">
        <v>2030</v>
      </c>
      <c r="L5" s="2">
        <v>2031</v>
      </c>
      <c r="M5" s="2">
        <v>2032</v>
      </c>
      <c r="N5" s="2">
        <v>2033</v>
      </c>
      <c r="O5" s="2">
        <v>2034</v>
      </c>
      <c r="P5" s="2">
        <v>2035</v>
      </c>
      <c r="Q5" s="2">
        <v>2036</v>
      </c>
      <c r="R5" s="2">
        <v>2037</v>
      </c>
      <c r="S5" s="2">
        <v>2038</v>
      </c>
      <c r="T5" s="2">
        <v>2039</v>
      </c>
      <c r="U5" s="2">
        <v>2040</v>
      </c>
      <c r="V5" s="2">
        <v>2041</v>
      </c>
      <c r="W5" s="2">
        <v>2042</v>
      </c>
      <c r="X5" s="169">
        <v>2043</v>
      </c>
      <c r="Y5" s="240"/>
    </row>
    <row r="6" spans="1:34" x14ac:dyDescent="0.25">
      <c r="B6" t="s">
        <v>59</v>
      </c>
      <c r="C6" s="3"/>
      <c r="D6" s="96">
        <f>D1*(1+D2)</f>
        <v>0</v>
      </c>
      <c r="E6" s="96">
        <f>E1*(1+E2)</f>
        <v>32.17</v>
      </c>
      <c r="F6" s="96">
        <f>F1*(1+F2)</f>
        <v>38.86</v>
      </c>
      <c r="G6" s="96">
        <f>G1*(1+G2)</f>
        <v>41.18</v>
      </c>
      <c r="H6" s="96">
        <f t="shared" ref="H6:X6" si="0">H1*(1+H2)</f>
        <v>41.7</v>
      </c>
      <c r="I6" s="96">
        <f t="shared" si="0"/>
        <v>43.68</v>
      </c>
      <c r="J6" s="96">
        <f t="shared" si="0"/>
        <v>44.69</v>
      </c>
      <c r="K6" s="96">
        <f t="shared" si="0"/>
        <v>46.25</v>
      </c>
      <c r="L6" s="96">
        <f t="shared" si="0"/>
        <v>47.7</v>
      </c>
      <c r="M6" s="96">
        <f t="shared" si="0"/>
        <v>47.36</v>
      </c>
      <c r="N6" s="96">
        <f t="shared" si="0"/>
        <v>48.17</v>
      </c>
      <c r="O6" s="96">
        <f t="shared" si="0"/>
        <v>49.25</v>
      </c>
      <c r="P6" s="96">
        <f t="shared" si="0"/>
        <v>50.57</v>
      </c>
      <c r="Q6" s="96">
        <f t="shared" si="0"/>
        <v>51.91</v>
      </c>
      <c r="R6" s="96">
        <f t="shared" si="0"/>
        <v>52.89</v>
      </c>
      <c r="S6" s="96">
        <f t="shared" si="0"/>
        <v>54.15</v>
      </c>
      <c r="T6" s="96">
        <f t="shared" si="0"/>
        <v>55.31</v>
      </c>
      <c r="U6" s="96">
        <f t="shared" si="0"/>
        <v>56.39</v>
      </c>
      <c r="V6" s="96">
        <f t="shared" si="0"/>
        <v>57.54</v>
      </c>
      <c r="W6" s="96">
        <f t="shared" si="0"/>
        <v>58.69</v>
      </c>
      <c r="X6" s="96">
        <f t="shared" si="0"/>
        <v>59.75</v>
      </c>
      <c r="Y6" s="95"/>
      <c r="Z6" s="95"/>
      <c r="AA6" s="95"/>
      <c r="AB6" s="95"/>
      <c r="AC6" s="95"/>
      <c r="AD6" s="95"/>
      <c r="AE6" s="95"/>
      <c r="AF6" s="95"/>
      <c r="AG6" s="95"/>
      <c r="AH6" s="95"/>
    </row>
    <row r="9" spans="1:34" x14ac:dyDescent="0.25">
      <c r="B9" t="s">
        <v>60</v>
      </c>
      <c r="F9" s="240">
        <f t="shared" ref="F9:W9" si="1">$Y$14-F6</f>
        <v>13.435000000000002</v>
      </c>
      <c r="G9" s="4">
        <f t="shared" si="1"/>
        <v>11.115000000000002</v>
      </c>
      <c r="H9" s="4">
        <f t="shared" si="1"/>
        <v>10.594999999999999</v>
      </c>
      <c r="I9" s="4">
        <f t="shared" si="1"/>
        <v>8.615000000000002</v>
      </c>
      <c r="J9" s="4">
        <f t="shared" si="1"/>
        <v>7.605000000000004</v>
      </c>
      <c r="K9" s="4">
        <f t="shared" si="1"/>
        <v>6.0450000000000017</v>
      </c>
      <c r="L9" s="4">
        <f t="shared" si="1"/>
        <v>4.5949999999999989</v>
      </c>
      <c r="M9" s="4">
        <f t="shared" si="1"/>
        <v>4.9350000000000023</v>
      </c>
      <c r="N9" s="4">
        <f t="shared" si="1"/>
        <v>4.125</v>
      </c>
      <c r="O9" s="4">
        <f t="shared" si="1"/>
        <v>3.0450000000000017</v>
      </c>
      <c r="P9" s="4">
        <f t="shared" si="1"/>
        <v>1.7250000000000014</v>
      </c>
      <c r="Q9" s="4">
        <f t="shared" si="1"/>
        <v>0.38500000000000512</v>
      </c>
      <c r="R9" s="4">
        <f t="shared" si="1"/>
        <v>-0.59499999999999886</v>
      </c>
      <c r="S9" s="4">
        <f t="shared" si="1"/>
        <v>-1.8549999999999969</v>
      </c>
      <c r="T9" s="4">
        <f t="shared" si="1"/>
        <v>-3.0150000000000006</v>
      </c>
      <c r="U9" s="4">
        <f t="shared" si="1"/>
        <v>-4.0949999999999989</v>
      </c>
      <c r="V9" s="4">
        <f t="shared" si="1"/>
        <v>-5.2449999999999974</v>
      </c>
      <c r="W9" s="4">
        <f t="shared" si="1"/>
        <v>-6.394999999999996</v>
      </c>
      <c r="X9" s="4">
        <f t="shared" ref="X9:X27" si="2">($Y$14*(1+(($Y$17)*$A9))-X$6)</f>
        <v>-7.4549999999999983</v>
      </c>
    </row>
    <row r="10" spans="1:34" x14ac:dyDescent="0.25">
      <c r="A10">
        <v>1</v>
      </c>
      <c r="B10" t="s">
        <v>61</v>
      </c>
      <c r="G10" s="4">
        <f>($Z$14*(1+(($Y$17)*$A10))-G$6)</f>
        <v>28.779999999999994</v>
      </c>
      <c r="H10" s="4">
        <f t="shared" ref="H10:W10" si="3">($Z$14*(1+(($Y$17)*$A10))-H$6)</f>
        <v>28.259999999999991</v>
      </c>
      <c r="I10" s="4">
        <f t="shared" si="3"/>
        <v>26.279999999999994</v>
      </c>
      <c r="J10" s="4">
        <f t="shared" si="3"/>
        <v>25.269999999999996</v>
      </c>
      <c r="K10" s="4">
        <f t="shared" si="3"/>
        <v>23.709999999999994</v>
      </c>
      <c r="L10" s="4">
        <f t="shared" si="3"/>
        <v>22.259999999999991</v>
      </c>
      <c r="M10" s="4">
        <f t="shared" si="3"/>
        <v>22.599999999999994</v>
      </c>
      <c r="N10" s="4">
        <f t="shared" si="3"/>
        <v>21.789999999999992</v>
      </c>
      <c r="O10" s="4">
        <f t="shared" si="3"/>
        <v>20.709999999999994</v>
      </c>
      <c r="P10" s="4">
        <f t="shared" si="3"/>
        <v>19.389999999999993</v>
      </c>
      <c r="Q10" s="4">
        <f t="shared" si="3"/>
        <v>18.049999999999997</v>
      </c>
      <c r="R10" s="4">
        <f t="shared" si="3"/>
        <v>17.069999999999993</v>
      </c>
      <c r="S10" s="4">
        <f t="shared" si="3"/>
        <v>15.809999999999995</v>
      </c>
      <c r="T10" s="4">
        <f t="shared" si="3"/>
        <v>14.649999999999991</v>
      </c>
      <c r="U10" s="4">
        <f t="shared" si="3"/>
        <v>13.569999999999993</v>
      </c>
      <c r="V10" s="4">
        <f t="shared" si="3"/>
        <v>12.419999999999995</v>
      </c>
      <c r="W10" s="4">
        <f t="shared" si="3"/>
        <v>11.269999999999996</v>
      </c>
      <c r="X10" s="4">
        <f t="shared" si="2"/>
        <v>-7.4549999999999983</v>
      </c>
    </row>
    <row r="11" spans="1:34" x14ac:dyDescent="0.25">
      <c r="A11">
        <v>2</v>
      </c>
      <c r="B11" t="s">
        <v>62</v>
      </c>
      <c r="H11" s="4">
        <f>($Y$14*(1+(($Y$17)*$A11))-H$6)</f>
        <v>10.594999999999999</v>
      </c>
      <c r="I11" s="4">
        <f t="shared" ref="I11:W11" si="4">($Y$14*(1+(($Y$17)*$A11))-I$6)</f>
        <v>8.615000000000002</v>
      </c>
      <c r="J11" s="4">
        <f t="shared" si="4"/>
        <v>7.605000000000004</v>
      </c>
      <c r="K11" s="4">
        <f t="shared" si="4"/>
        <v>6.0450000000000017</v>
      </c>
      <c r="L11" s="4">
        <f t="shared" si="4"/>
        <v>4.5949999999999989</v>
      </c>
      <c r="M11" s="4">
        <f t="shared" si="4"/>
        <v>4.9350000000000023</v>
      </c>
      <c r="N11" s="4">
        <f t="shared" si="4"/>
        <v>4.125</v>
      </c>
      <c r="O11" s="4">
        <f t="shared" si="4"/>
        <v>3.0450000000000017</v>
      </c>
      <c r="P11" s="4">
        <f t="shared" si="4"/>
        <v>1.7250000000000014</v>
      </c>
      <c r="Q11" s="4">
        <f t="shared" si="4"/>
        <v>0.38500000000000512</v>
      </c>
      <c r="R11" s="4">
        <f t="shared" si="4"/>
        <v>-0.59499999999999886</v>
      </c>
      <c r="S11" s="4">
        <f t="shared" si="4"/>
        <v>-1.8549999999999969</v>
      </c>
      <c r="T11" s="4">
        <f t="shared" si="4"/>
        <v>-3.0150000000000006</v>
      </c>
      <c r="U11" s="4">
        <f t="shared" si="4"/>
        <v>-4.0949999999999989</v>
      </c>
      <c r="V11" s="4">
        <f t="shared" si="4"/>
        <v>-5.2449999999999974</v>
      </c>
      <c r="W11" s="4">
        <f t="shared" si="4"/>
        <v>-6.394999999999996</v>
      </c>
      <c r="X11" s="4">
        <f t="shared" si="2"/>
        <v>-7.4549999999999983</v>
      </c>
      <c r="Y11" s="5" t="s">
        <v>63</v>
      </c>
    </row>
    <row r="12" spans="1:34" x14ac:dyDescent="0.25">
      <c r="A12">
        <v>3</v>
      </c>
      <c r="B12" t="s">
        <v>64</v>
      </c>
      <c r="I12" s="4">
        <f t="shared" ref="I12:W12" si="5">($Y$14*(1+(($Y$17)*$A12))-I$6)</f>
        <v>8.615000000000002</v>
      </c>
      <c r="J12" s="4">
        <f t="shared" si="5"/>
        <v>7.605000000000004</v>
      </c>
      <c r="K12" s="4">
        <f t="shared" si="5"/>
        <v>6.0450000000000017</v>
      </c>
      <c r="L12" s="4">
        <f t="shared" si="5"/>
        <v>4.5949999999999989</v>
      </c>
      <c r="M12" s="4">
        <f t="shared" si="5"/>
        <v>4.9350000000000023</v>
      </c>
      <c r="N12" s="4">
        <f t="shared" si="5"/>
        <v>4.125</v>
      </c>
      <c r="O12" s="4">
        <f t="shared" si="5"/>
        <v>3.0450000000000017</v>
      </c>
      <c r="P12" s="4">
        <f t="shared" si="5"/>
        <v>1.7250000000000014</v>
      </c>
      <c r="Q12" s="4">
        <f t="shared" si="5"/>
        <v>0.38500000000000512</v>
      </c>
      <c r="R12" s="4">
        <f t="shared" si="5"/>
        <v>-0.59499999999999886</v>
      </c>
      <c r="S12" s="4">
        <f t="shared" si="5"/>
        <v>-1.8549999999999969</v>
      </c>
      <c r="T12" s="4">
        <f t="shared" si="5"/>
        <v>-3.0150000000000006</v>
      </c>
      <c r="U12" s="4">
        <f t="shared" si="5"/>
        <v>-4.0949999999999989</v>
      </c>
      <c r="V12" s="4">
        <f t="shared" si="5"/>
        <v>-5.2449999999999974</v>
      </c>
      <c r="W12" s="4">
        <f t="shared" si="5"/>
        <v>-6.394999999999996</v>
      </c>
      <c r="X12" s="4">
        <f t="shared" si="2"/>
        <v>-7.4549999999999983</v>
      </c>
      <c r="Y12" s="6"/>
    </row>
    <row r="13" spans="1:34" x14ac:dyDescent="0.25">
      <c r="A13">
        <v>4</v>
      </c>
      <c r="B13" t="s">
        <v>65</v>
      </c>
      <c r="J13" s="4">
        <f t="shared" ref="J13:W13" si="6">($Y$14*(1+(($Y$17)*$A13))-J$6)</f>
        <v>7.605000000000004</v>
      </c>
      <c r="K13" s="4">
        <f t="shared" si="6"/>
        <v>6.0450000000000017</v>
      </c>
      <c r="L13" s="4">
        <f t="shared" si="6"/>
        <v>4.5949999999999989</v>
      </c>
      <c r="M13" s="4">
        <f t="shared" si="6"/>
        <v>4.9350000000000023</v>
      </c>
      <c r="N13" s="4">
        <f t="shared" si="6"/>
        <v>4.125</v>
      </c>
      <c r="O13" s="4">
        <f t="shared" si="6"/>
        <v>3.0450000000000017</v>
      </c>
      <c r="P13" s="4">
        <f t="shared" si="6"/>
        <v>1.7250000000000014</v>
      </c>
      <c r="Q13" s="4">
        <f t="shared" si="6"/>
        <v>0.38500000000000512</v>
      </c>
      <c r="R13" s="4">
        <f t="shared" si="6"/>
        <v>-0.59499999999999886</v>
      </c>
      <c r="S13" s="4">
        <f t="shared" si="6"/>
        <v>-1.8549999999999969</v>
      </c>
      <c r="T13" s="4">
        <f t="shared" si="6"/>
        <v>-3.0150000000000006</v>
      </c>
      <c r="U13" s="4">
        <f t="shared" si="6"/>
        <v>-4.0949999999999989</v>
      </c>
      <c r="V13" s="4">
        <f t="shared" si="6"/>
        <v>-5.2449999999999974</v>
      </c>
      <c r="W13" s="4">
        <f t="shared" si="6"/>
        <v>-6.394999999999996</v>
      </c>
      <c r="X13" s="4">
        <f t="shared" si="2"/>
        <v>-7.4549999999999983</v>
      </c>
      <c r="Y13" s="6" t="s">
        <v>66</v>
      </c>
      <c r="Z13" s="6" t="s">
        <v>67</v>
      </c>
      <c r="AA13" t="s">
        <v>68</v>
      </c>
    </row>
    <row r="14" spans="1:34" x14ac:dyDescent="0.25">
      <c r="A14">
        <v>5</v>
      </c>
      <c r="B14" t="s">
        <v>69</v>
      </c>
      <c r="K14" s="4">
        <f t="shared" ref="K14:W14" si="7">($Y$14*(1+(($Y$17)*$A14))-K$6)</f>
        <v>6.0450000000000017</v>
      </c>
      <c r="L14" s="4">
        <f t="shared" si="7"/>
        <v>4.5949999999999989</v>
      </c>
      <c r="M14" s="4">
        <f t="shared" si="7"/>
        <v>4.9350000000000023</v>
      </c>
      <c r="N14" s="4">
        <f t="shared" si="7"/>
        <v>4.125</v>
      </c>
      <c r="O14" s="4">
        <f t="shared" si="7"/>
        <v>3.0450000000000017</v>
      </c>
      <c r="P14" s="4">
        <f t="shared" si="7"/>
        <v>1.7250000000000014</v>
      </c>
      <c r="Q14" s="4">
        <f t="shared" si="7"/>
        <v>0.38500000000000512</v>
      </c>
      <c r="R14" s="4">
        <f t="shared" si="7"/>
        <v>-0.59499999999999886</v>
      </c>
      <c r="S14" s="4">
        <f t="shared" si="7"/>
        <v>-1.8549999999999969</v>
      </c>
      <c r="T14" s="4">
        <f t="shared" si="7"/>
        <v>-3.0150000000000006</v>
      </c>
      <c r="U14" s="4">
        <f t="shared" si="7"/>
        <v>-4.0949999999999989</v>
      </c>
      <c r="V14" s="4">
        <f t="shared" si="7"/>
        <v>-5.2449999999999974</v>
      </c>
      <c r="W14" s="4">
        <f t="shared" si="7"/>
        <v>-6.394999999999996</v>
      </c>
      <c r="X14" s="4">
        <f t="shared" si="2"/>
        <v>-7.4549999999999983</v>
      </c>
      <c r="Y14" s="7">
        <v>52.295000000000002</v>
      </c>
      <c r="Z14" s="7">
        <v>69.959999999999994</v>
      </c>
      <c r="AA14">
        <v>71</v>
      </c>
    </row>
    <row r="15" spans="1:34" x14ac:dyDescent="0.25">
      <c r="A15">
        <v>6</v>
      </c>
      <c r="B15" t="s">
        <v>70</v>
      </c>
      <c r="L15" s="4">
        <f t="shared" ref="L15:W15" si="8">($Y$14*(1+(($Y$17)*$A15))-L$6)</f>
        <v>4.5949999999999989</v>
      </c>
      <c r="M15" s="4">
        <f t="shared" si="8"/>
        <v>4.9350000000000023</v>
      </c>
      <c r="N15" s="4">
        <f t="shared" si="8"/>
        <v>4.125</v>
      </c>
      <c r="O15" s="4">
        <f t="shared" si="8"/>
        <v>3.0450000000000017</v>
      </c>
      <c r="P15" s="4">
        <f t="shared" si="8"/>
        <v>1.7250000000000014</v>
      </c>
      <c r="Q15" s="4">
        <f t="shared" si="8"/>
        <v>0.38500000000000512</v>
      </c>
      <c r="R15" s="4">
        <f t="shared" si="8"/>
        <v>-0.59499999999999886</v>
      </c>
      <c r="S15" s="4">
        <f t="shared" si="8"/>
        <v>-1.8549999999999969</v>
      </c>
      <c r="T15" s="4">
        <f t="shared" si="8"/>
        <v>-3.0150000000000006</v>
      </c>
      <c r="U15" s="4">
        <f t="shared" si="8"/>
        <v>-4.0949999999999989</v>
      </c>
      <c r="V15" s="4">
        <f t="shared" si="8"/>
        <v>-5.2449999999999974</v>
      </c>
      <c r="W15" s="4">
        <f t="shared" si="8"/>
        <v>-6.394999999999996</v>
      </c>
      <c r="X15" s="4">
        <f t="shared" si="2"/>
        <v>-7.4549999999999983</v>
      </c>
      <c r="Y15" s="6"/>
    </row>
    <row r="16" spans="1:34" x14ac:dyDescent="0.25">
      <c r="A16">
        <v>7</v>
      </c>
      <c r="B16" t="s">
        <v>71</v>
      </c>
      <c r="M16" s="4">
        <f t="shared" ref="M16:W16" si="9">($Y$14*(1+(($Y$17)*$A16))-M$6)</f>
        <v>4.9350000000000023</v>
      </c>
      <c r="N16" s="4">
        <f t="shared" si="9"/>
        <v>4.125</v>
      </c>
      <c r="O16" s="4">
        <f t="shared" si="9"/>
        <v>3.0450000000000017</v>
      </c>
      <c r="P16" s="4">
        <f t="shared" si="9"/>
        <v>1.7250000000000014</v>
      </c>
      <c r="Q16" s="4">
        <f t="shared" si="9"/>
        <v>0.38500000000000512</v>
      </c>
      <c r="R16" s="4">
        <f t="shared" si="9"/>
        <v>-0.59499999999999886</v>
      </c>
      <c r="S16" s="4">
        <f t="shared" si="9"/>
        <v>-1.8549999999999969</v>
      </c>
      <c r="T16" s="4">
        <f t="shared" si="9"/>
        <v>-3.0150000000000006</v>
      </c>
      <c r="U16" s="4">
        <f t="shared" si="9"/>
        <v>-4.0949999999999989</v>
      </c>
      <c r="V16" s="4">
        <f t="shared" si="9"/>
        <v>-5.2449999999999974</v>
      </c>
      <c r="W16" s="4">
        <f t="shared" si="9"/>
        <v>-6.394999999999996</v>
      </c>
      <c r="X16" s="4">
        <f>($Y$14*(1+(($Y$17)*$A16))-X$6)</f>
        <v>-7.4549999999999983</v>
      </c>
      <c r="Y16" s="6" t="s">
        <v>72</v>
      </c>
    </row>
    <row r="17" spans="1:25" x14ac:dyDescent="0.25">
      <c r="A17">
        <v>8</v>
      </c>
      <c r="B17" t="s">
        <v>73</v>
      </c>
      <c r="M17" s="4"/>
      <c r="N17" s="4">
        <f t="shared" ref="N17:W17" si="10">($Y$14*(1+(($Y$17)*$A17))-N$6)</f>
        <v>4.125</v>
      </c>
      <c r="O17" s="4">
        <f t="shared" si="10"/>
        <v>3.0450000000000017</v>
      </c>
      <c r="P17" s="4">
        <f t="shared" si="10"/>
        <v>1.7250000000000014</v>
      </c>
      <c r="Q17" s="4">
        <f t="shared" si="10"/>
        <v>0.38500000000000512</v>
      </c>
      <c r="R17" s="4">
        <f t="shared" si="10"/>
        <v>-0.59499999999999886</v>
      </c>
      <c r="S17" s="4">
        <f t="shared" si="10"/>
        <v>-1.8549999999999969</v>
      </c>
      <c r="T17" s="4">
        <f t="shared" si="10"/>
        <v>-3.0150000000000006</v>
      </c>
      <c r="U17" s="4">
        <f t="shared" si="10"/>
        <v>-4.0949999999999989</v>
      </c>
      <c r="V17" s="4">
        <f t="shared" si="10"/>
        <v>-5.2449999999999974</v>
      </c>
      <c r="W17" s="4">
        <f t="shared" si="10"/>
        <v>-6.394999999999996</v>
      </c>
      <c r="X17" s="4">
        <f t="shared" si="2"/>
        <v>-7.4549999999999983</v>
      </c>
      <c r="Y17" s="8">
        <v>0</v>
      </c>
    </row>
    <row r="18" spans="1:25" x14ac:dyDescent="0.25">
      <c r="A18">
        <v>9</v>
      </c>
      <c r="B18" t="s">
        <v>74</v>
      </c>
      <c r="O18" s="4">
        <f t="shared" ref="O18:W18" si="11">($Y$14*(1+(($Y$17)*$A18))-O$6)</f>
        <v>3.0450000000000017</v>
      </c>
      <c r="P18" s="4">
        <f t="shared" si="11"/>
        <v>1.7250000000000014</v>
      </c>
      <c r="Q18" s="4">
        <f t="shared" si="11"/>
        <v>0.38500000000000512</v>
      </c>
      <c r="R18" s="4">
        <f t="shared" si="11"/>
        <v>-0.59499999999999886</v>
      </c>
      <c r="S18" s="4">
        <f t="shared" si="11"/>
        <v>-1.8549999999999969</v>
      </c>
      <c r="T18" s="4">
        <f t="shared" si="11"/>
        <v>-3.0150000000000006</v>
      </c>
      <c r="U18" s="4">
        <f t="shared" si="11"/>
        <v>-4.0949999999999989</v>
      </c>
      <c r="V18" s="4">
        <f t="shared" si="11"/>
        <v>-5.2449999999999974</v>
      </c>
      <c r="W18" s="4">
        <f t="shared" si="11"/>
        <v>-6.394999999999996</v>
      </c>
      <c r="X18" s="4">
        <f t="shared" si="2"/>
        <v>-7.4549999999999983</v>
      </c>
    </row>
    <row r="19" spans="1:25" x14ac:dyDescent="0.25">
      <c r="A19">
        <v>10</v>
      </c>
      <c r="B19" t="s">
        <v>75</v>
      </c>
      <c r="P19" s="4">
        <f t="shared" ref="P19:W19" si="12">($Y$14*(1+(($Y$17)*$A19))-P$6)</f>
        <v>1.7250000000000014</v>
      </c>
      <c r="Q19" s="4">
        <f t="shared" si="12"/>
        <v>0.38500000000000512</v>
      </c>
      <c r="R19" s="4">
        <f t="shared" si="12"/>
        <v>-0.59499999999999886</v>
      </c>
      <c r="S19" s="4">
        <f t="shared" si="12"/>
        <v>-1.8549999999999969</v>
      </c>
      <c r="T19" s="4">
        <f t="shared" si="12"/>
        <v>-3.0150000000000006</v>
      </c>
      <c r="U19" s="4">
        <f t="shared" si="12"/>
        <v>-4.0949999999999989</v>
      </c>
      <c r="V19" s="4">
        <f t="shared" si="12"/>
        <v>-5.2449999999999974</v>
      </c>
      <c r="W19" s="4">
        <f t="shared" si="12"/>
        <v>-6.394999999999996</v>
      </c>
      <c r="X19" s="4">
        <f t="shared" si="2"/>
        <v>-7.4549999999999983</v>
      </c>
    </row>
    <row r="20" spans="1:25" x14ac:dyDescent="0.25">
      <c r="A20">
        <v>11</v>
      </c>
      <c r="B20" t="s">
        <v>76</v>
      </c>
      <c r="Q20" s="4">
        <f t="shared" ref="Q20:W20" si="13">($Y$14*(1+(($Y$17)*$A20))-Q$6)</f>
        <v>0.38500000000000512</v>
      </c>
      <c r="R20" s="4">
        <f t="shared" si="13"/>
        <v>-0.59499999999999886</v>
      </c>
      <c r="S20" s="4">
        <f t="shared" si="13"/>
        <v>-1.8549999999999969</v>
      </c>
      <c r="T20" s="4">
        <f t="shared" si="13"/>
        <v>-3.0150000000000006</v>
      </c>
      <c r="U20" s="4">
        <f t="shared" si="13"/>
        <v>-4.0949999999999989</v>
      </c>
      <c r="V20" s="4">
        <f t="shared" si="13"/>
        <v>-5.2449999999999974</v>
      </c>
      <c r="W20" s="4">
        <f t="shared" si="13"/>
        <v>-6.394999999999996</v>
      </c>
      <c r="X20" s="4">
        <f t="shared" si="2"/>
        <v>-7.4549999999999983</v>
      </c>
    </row>
    <row r="21" spans="1:25" x14ac:dyDescent="0.25">
      <c r="A21">
        <v>12</v>
      </c>
      <c r="B21" t="s">
        <v>77</v>
      </c>
      <c r="R21" s="4">
        <f t="shared" ref="R21:W21" si="14">($Y$14*(1+(($Y$17)*$A21))-R$6)</f>
        <v>-0.59499999999999886</v>
      </c>
      <c r="S21" s="4">
        <f t="shared" si="14"/>
        <v>-1.8549999999999969</v>
      </c>
      <c r="T21" s="4">
        <f t="shared" si="14"/>
        <v>-3.0150000000000006</v>
      </c>
      <c r="U21" s="4">
        <f t="shared" si="14"/>
        <v>-4.0949999999999989</v>
      </c>
      <c r="V21" s="4">
        <f t="shared" si="14"/>
        <v>-5.2449999999999974</v>
      </c>
      <c r="W21" s="4">
        <f t="shared" si="14"/>
        <v>-6.394999999999996</v>
      </c>
      <c r="X21" s="4">
        <f t="shared" si="2"/>
        <v>-7.4549999999999983</v>
      </c>
    </row>
    <row r="22" spans="1:25" x14ac:dyDescent="0.25">
      <c r="A22">
        <v>13</v>
      </c>
      <c r="B22" t="s">
        <v>78</v>
      </c>
      <c r="S22" s="4">
        <f>($Y$14*(1+(($Y$17)*$A22))-S$6)</f>
        <v>-1.8549999999999969</v>
      </c>
      <c r="T22" s="4">
        <f>($Y$14*(1+(($Y$17)*$A22))-T$6)</f>
        <v>-3.0150000000000006</v>
      </c>
      <c r="U22" s="4">
        <f>($Y$14*(1+(($Y$17)*$A22))-U$6)</f>
        <v>-4.0949999999999989</v>
      </c>
      <c r="V22" s="4">
        <f>($Y$14*(1+(($Y$17)*$A22))-V$6)</f>
        <v>-5.2449999999999974</v>
      </c>
      <c r="W22" s="4">
        <f>($Y$14*(1+(($Y$17)*$A22))-W$6)</f>
        <v>-6.394999999999996</v>
      </c>
      <c r="X22" s="4">
        <f t="shared" si="2"/>
        <v>-7.4549999999999983</v>
      </c>
    </row>
    <row r="23" spans="1:25" x14ac:dyDescent="0.25">
      <c r="A23">
        <v>14</v>
      </c>
      <c r="B23" t="s">
        <v>79</v>
      </c>
      <c r="T23" s="4">
        <f>($Y$14*(1+(($Y$17)*$A23))-T$6)</f>
        <v>-3.0150000000000006</v>
      </c>
      <c r="U23" s="4">
        <f>($Y$14*(1+(($Y$17)*$A23))-U$6)</f>
        <v>-4.0949999999999989</v>
      </c>
      <c r="V23" s="4">
        <f>($Y$14*(1+(($Y$17)*$A23))-V$6)</f>
        <v>-5.2449999999999974</v>
      </c>
      <c r="W23" s="4">
        <f>($Y$14*(1+(($Y$17)*$A23))-W$6)</f>
        <v>-6.394999999999996</v>
      </c>
      <c r="X23" s="4">
        <f t="shared" si="2"/>
        <v>-7.4549999999999983</v>
      </c>
    </row>
    <row r="24" spans="1:25" x14ac:dyDescent="0.25">
      <c r="A24">
        <v>15</v>
      </c>
      <c r="B24" t="s">
        <v>80</v>
      </c>
      <c r="U24" s="4">
        <f>($Y$14*(1+(($Y$17)*$A24))-U$6)</f>
        <v>-4.0949999999999989</v>
      </c>
      <c r="V24" s="4">
        <f>($Y$14*(1+(($Y$17)*$A24))-V$6)</f>
        <v>-5.2449999999999974</v>
      </c>
      <c r="W24" s="4">
        <f>($Y$14*(1+(($Y$17)*$A24))-W$6)</f>
        <v>-6.394999999999996</v>
      </c>
      <c r="X24" s="4">
        <f t="shared" si="2"/>
        <v>-7.4549999999999983</v>
      </c>
    </row>
    <row r="25" spans="1:25" x14ac:dyDescent="0.25">
      <c r="A25">
        <v>16</v>
      </c>
      <c r="B25" t="s">
        <v>81</v>
      </c>
      <c r="V25" s="4">
        <f>($Y$14*(1+(($Y$17)*$A25))-V$6)</f>
        <v>-5.2449999999999974</v>
      </c>
      <c r="W25" s="4">
        <f>($Y$14*(1+(($Y$17)*$A25))-W$6)</f>
        <v>-6.394999999999996</v>
      </c>
      <c r="X25" s="4">
        <f t="shared" si="2"/>
        <v>-7.4549999999999983</v>
      </c>
    </row>
    <row r="26" spans="1:25" x14ac:dyDescent="0.25">
      <c r="A26">
        <v>17</v>
      </c>
      <c r="B26" t="s">
        <v>82</v>
      </c>
      <c r="W26" s="4">
        <f>($Y$14*(1+(($Y$17)*$A26))-W$6)</f>
        <v>-6.394999999999996</v>
      </c>
      <c r="X26" s="4">
        <f t="shared" si="2"/>
        <v>-7.4549999999999983</v>
      </c>
    </row>
    <row r="27" spans="1:25" x14ac:dyDescent="0.25">
      <c r="A27">
        <v>18</v>
      </c>
      <c r="B27" t="s">
        <v>83</v>
      </c>
      <c r="X27" s="4">
        <f t="shared" si="2"/>
        <v>-7.4549999999999983</v>
      </c>
    </row>
    <row r="28" spans="1:25" x14ac:dyDescent="0.25">
      <c r="X28" s="4"/>
    </row>
    <row r="30" spans="1:25" x14ac:dyDescent="0.25">
      <c r="B30" s="1" t="s">
        <v>84</v>
      </c>
    </row>
    <row r="31" spans="1:25" x14ac:dyDescent="0.25">
      <c r="C31" t="s">
        <v>1</v>
      </c>
    </row>
    <row r="32" spans="1:25" ht="18.75" x14ac:dyDescent="0.25">
      <c r="C32" s="2">
        <v>2022</v>
      </c>
      <c r="D32" s="2">
        <v>2023</v>
      </c>
      <c r="E32" s="2">
        <v>2024</v>
      </c>
      <c r="F32" s="2">
        <v>2025</v>
      </c>
      <c r="G32" s="2">
        <v>2026</v>
      </c>
      <c r="H32" s="2">
        <v>2027</v>
      </c>
      <c r="I32" s="2">
        <v>2028</v>
      </c>
      <c r="J32" s="2">
        <v>2029</v>
      </c>
      <c r="K32" s="2">
        <v>2030</v>
      </c>
      <c r="L32" s="2">
        <v>2031</v>
      </c>
      <c r="M32" s="2">
        <v>2032</v>
      </c>
      <c r="N32" s="2">
        <v>2033</v>
      </c>
      <c r="O32" s="2">
        <v>2034</v>
      </c>
      <c r="P32" s="2">
        <v>2035</v>
      </c>
      <c r="Q32" s="2">
        <v>2036</v>
      </c>
      <c r="R32" s="2">
        <v>2037</v>
      </c>
      <c r="S32" s="2">
        <v>2038</v>
      </c>
      <c r="T32" s="2">
        <v>2039</v>
      </c>
      <c r="U32" s="2">
        <v>2040</v>
      </c>
      <c r="V32" s="2">
        <v>2041</v>
      </c>
      <c r="W32" s="2">
        <v>2042</v>
      </c>
      <c r="X32" s="169">
        <v>2043</v>
      </c>
    </row>
    <row r="33" spans="1:27" x14ac:dyDescent="0.25">
      <c r="B33" t="s">
        <v>59</v>
      </c>
      <c r="C33" s="3"/>
      <c r="D33" s="96">
        <f>D1*(1+D2)</f>
        <v>0</v>
      </c>
      <c r="E33" s="96">
        <f t="shared" ref="E33:X33" si="15">E1*(1+E2)</f>
        <v>32.17</v>
      </c>
      <c r="F33" s="96">
        <f t="shared" si="15"/>
        <v>38.86</v>
      </c>
      <c r="G33" s="96">
        <f t="shared" si="15"/>
        <v>41.18</v>
      </c>
      <c r="H33" s="96">
        <f t="shared" si="15"/>
        <v>41.7</v>
      </c>
      <c r="I33" s="96">
        <f t="shared" si="15"/>
        <v>43.68</v>
      </c>
      <c r="J33" s="96">
        <f t="shared" si="15"/>
        <v>44.69</v>
      </c>
      <c r="K33" s="96">
        <f t="shared" si="15"/>
        <v>46.25</v>
      </c>
      <c r="L33" s="96">
        <f t="shared" si="15"/>
        <v>47.7</v>
      </c>
      <c r="M33" s="96">
        <f t="shared" si="15"/>
        <v>47.36</v>
      </c>
      <c r="N33" s="96">
        <f t="shared" si="15"/>
        <v>48.17</v>
      </c>
      <c r="O33" s="96">
        <f t="shared" si="15"/>
        <v>49.25</v>
      </c>
      <c r="P33" s="96">
        <f t="shared" si="15"/>
        <v>50.57</v>
      </c>
      <c r="Q33" s="96">
        <f t="shared" si="15"/>
        <v>51.91</v>
      </c>
      <c r="R33" s="96">
        <f t="shared" si="15"/>
        <v>52.89</v>
      </c>
      <c r="S33" s="96">
        <f t="shared" si="15"/>
        <v>54.15</v>
      </c>
      <c r="T33" s="96">
        <f t="shared" si="15"/>
        <v>55.31</v>
      </c>
      <c r="U33" s="96">
        <f t="shared" si="15"/>
        <v>56.39</v>
      </c>
      <c r="V33" s="96">
        <f t="shared" si="15"/>
        <v>57.54</v>
      </c>
      <c r="W33" s="96">
        <f t="shared" si="15"/>
        <v>58.69</v>
      </c>
      <c r="X33" s="96">
        <f t="shared" si="15"/>
        <v>59.75</v>
      </c>
    </row>
    <row r="36" spans="1:27" x14ac:dyDescent="0.25">
      <c r="B36" t="s">
        <v>60</v>
      </c>
      <c r="F36" s="240">
        <f t="shared" ref="F36:W36" si="16">$Y$41-F33</f>
        <v>23.265000000000001</v>
      </c>
      <c r="G36" s="4">
        <f t="shared" si="16"/>
        <v>20.945</v>
      </c>
      <c r="H36" s="4">
        <f t="shared" si="16"/>
        <v>20.424999999999997</v>
      </c>
      <c r="I36" s="4">
        <f t="shared" si="16"/>
        <v>18.445</v>
      </c>
      <c r="J36" s="4">
        <f t="shared" si="16"/>
        <v>17.435000000000002</v>
      </c>
      <c r="K36" s="4">
        <f t="shared" si="16"/>
        <v>15.875</v>
      </c>
      <c r="L36" s="4">
        <f t="shared" si="16"/>
        <v>14.424999999999997</v>
      </c>
      <c r="M36" s="4">
        <f t="shared" si="16"/>
        <v>14.765000000000001</v>
      </c>
      <c r="N36" s="4">
        <f t="shared" si="16"/>
        <v>13.954999999999998</v>
      </c>
      <c r="O36" s="4">
        <f t="shared" si="16"/>
        <v>12.875</v>
      </c>
      <c r="P36" s="4">
        <f t="shared" si="16"/>
        <v>11.555</v>
      </c>
      <c r="Q36" s="4">
        <f t="shared" si="16"/>
        <v>10.215000000000003</v>
      </c>
      <c r="R36" s="4">
        <f t="shared" si="16"/>
        <v>9.2349999999999994</v>
      </c>
      <c r="S36" s="4">
        <f t="shared" si="16"/>
        <v>7.9750000000000014</v>
      </c>
      <c r="T36" s="4">
        <f t="shared" si="16"/>
        <v>6.8149999999999977</v>
      </c>
      <c r="U36" s="4">
        <f t="shared" si="16"/>
        <v>5.7349999999999994</v>
      </c>
      <c r="V36" s="4">
        <f t="shared" si="16"/>
        <v>4.5850000000000009</v>
      </c>
      <c r="W36" s="4">
        <f t="shared" si="16"/>
        <v>3.4350000000000023</v>
      </c>
      <c r="X36" s="4">
        <f t="shared" ref="X36:X54" si="17">($Y$14*(1+(($Y$17)*$A36))-X$6)</f>
        <v>-7.4549999999999983</v>
      </c>
    </row>
    <row r="37" spans="1:27" ht="15.75" thickBot="1" x14ac:dyDescent="0.3">
      <c r="A37">
        <v>1</v>
      </c>
      <c r="B37" t="s">
        <v>61</v>
      </c>
      <c r="G37" s="4">
        <f t="shared" ref="G37:W37" si="18">($Z$41*(1+(($Y$44)*$A37))-G$33)</f>
        <v>31.29</v>
      </c>
      <c r="H37" s="4">
        <f t="shared" si="18"/>
        <v>30.769999999999996</v>
      </c>
      <c r="I37" s="4">
        <f t="shared" si="18"/>
        <v>28.79</v>
      </c>
      <c r="J37" s="4">
        <f t="shared" si="18"/>
        <v>27.78</v>
      </c>
      <c r="K37" s="4">
        <f t="shared" si="18"/>
        <v>26.22</v>
      </c>
      <c r="L37" s="4">
        <f t="shared" si="18"/>
        <v>24.769999999999996</v>
      </c>
      <c r="M37" s="4">
        <f t="shared" si="18"/>
        <v>25.11</v>
      </c>
      <c r="N37" s="4">
        <f t="shared" si="18"/>
        <v>24.299999999999997</v>
      </c>
      <c r="O37" s="4">
        <f t="shared" si="18"/>
        <v>23.22</v>
      </c>
      <c r="P37" s="4">
        <f t="shared" si="18"/>
        <v>21.9</v>
      </c>
      <c r="Q37" s="4">
        <f t="shared" si="18"/>
        <v>20.560000000000002</v>
      </c>
      <c r="R37" s="4">
        <f t="shared" si="18"/>
        <v>19.579999999999998</v>
      </c>
      <c r="S37" s="4">
        <f t="shared" si="18"/>
        <v>18.32</v>
      </c>
      <c r="T37" s="4">
        <f t="shared" si="18"/>
        <v>17.159999999999997</v>
      </c>
      <c r="U37" s="4">
        <f t="shared" si="18"/>
        <v>16.079999999999998</v>
      </c>
      <c r="V37" s="4">
        <f t="shared" si="18"/>
        <v>14.93</v>
      </c>
      <c r="W37" s="4">
        <f t="shared" si="18"/>
        <v>13.780000000000001</v>
      </c>
      <c r="X37" s="4">
        <f t="shared" si="17"/>
        <v>-7.4549999999999983</v>
      </c>
    </row>
    <row r="38" spans="1:27" x14ac:dyDescent="0.25">
      <c r="A38">
        <v>2</v>
      </c>
      <c r="B38" t="s">
        <v>62</v>
      </c>
      <c r="H38" s="4">
        <f t="shared" ref="H38:W38" si="19">($Y$41*(1+(($Y$44)*$A38))-H$33)</f>
        <v>20.424999999999997</v>
      </c>
      <c r="I38" s="4">
        <f t="shared" si="19"/>
        <v>18.445</v>
      </c>
      <c r="J38" s="4">
        <f t="shared" si="19"/>
        <v>17.435000000000002</v>
      </c>
      <c r="K38" s="4">
        <f t="shared" si="19"/>
        <v>15.875</v>
      </c>
      <c r="L38" s="4">
        <f t="shared" si="19"/>
        <v>14.424999999999997</v>
      </c>
      <c r="M38" s="4">
        <f t="shared" si="19"/>
        <v>14.765000000000001</v>
      </c>
      <c r="N38" s="4">
        <f t="shared" si="19"/>
        <v>13.954999999999998</v>
      </c>
      <c r="O38" s="4">
        <f t="shared" si="19"/>
        <v>12.875</v>
      </c>
      <c r="P38" s="4">
        <f t="shared" si="19"/>
        <v>11.555</v>
      </c>
      <c r="Q38" s="4">
        <f t="shared" si="19"/>
        <v>10.215000000000003</v>
      </c>
      <c r="R38" s="4">
        <f t="shared" si="19"/>
        <v>9.2349999999999994</v>
      </c>
      <c r="S38" s="4">
        <f t="shared" si="19"/>
        <v>7.9750000000000014</v>
      </c>
      <c r="T38" s="4">
        <f t="shared" si="19"/>
        <v>6.8149999999999977</v>
      </c>
      <c r="U38" s="4">
        <f t="shared" si="19"/>
        <v>5.7349999999999994</v>
      </c>
      <c r="V38" s="4">
        <f t="shared" si="19"/>
        <v>4.5850000000000009</v>
      </c>
      <c r="W38" s="4">
        <f t="shared" si="19"/>
        <v>3.4350000000000023</v>
      </c>
      <c r="X38" s="4">
        <f t="shared" si="17"/>
        <v>-7.4549999999999983</v>
      </c>
      <c r="Y38" s="5" t="s">
        <v>63</v>
      </c>
    </row>
    <row r="39" spans="1:27" x14ac:dyDescent="0.25">
      <c r="A39">
        <v>3</v>
      </c>
      <c r="B39" t="s">
        <v>64</v>
      </c>
      <c r="I39" s="4">
        <f t="shared" ref="I39:W39" si="20">($Y$41*(1+(($Y$44)*$A39))-I$33)</f>
        <v>18.445</v>
      </c>
      <c r="J39" s="4">
        <f t="shared" si="20"/>
        <v>17.435000000000002</v>
      </c>
      <c r="K39" s="4">
        <f t="shared" si="20"/>
        <v>15.875</v>
      </c>
      <c r="L39" s="4">
        <f t="shared" si="20"/>
        <v>14.424999999999997</v>
      </c>
      <c r="M39" s="4">
        <f t="shared" si="20"/>
        <v>14.765000000000001</v>
      </c>
      <c r="N39" s="4">
        <f t="shared" si="20"/>
        <v>13.954999999999998</v>
      </c>
      <c r="O39" s="4">
        <f t="shared" si="20"/>
        <v>12.875</v>
      </c>
      <c r="P39" s="4">
        <f t="shared" si="20"/>
        <v>11.555</v>
      </c>
      <c r="Q39" s="4">
        <f t="shared" si="20"/>
        <v>10.215000000000003</v>
      </c>
      <c r="R39" s="4">
        <f t="shared" si="20"/>
        <v>9.2349999999999994</v>
      </c>
      <c r="S39" s="4">
        <f t="shared" si="20"/>
        <v>7.9750000000000014</v>
      </c>
      <c r="T39" s="4">
        <f t="shared" si="20"/>
        <v>6.8149999999999977</v>
      </c>
      <c r="U39" s="4">
        <f t="shared" si="20"/>
        <v>5.7349999999999994</v>
      </c>
      <c r="V39" s="4">
        <f t="shared" si="20"/>
        <v>4.5850000000000009</v>
      </c>
      <c r="W39" s="4">
        <f t="shared" si="20"/>
        <v>3.4350000000000023</v>
      </c>
      <c r="X39" s="4">
        <f t="shared" si="17"/>
        <v>-7.4549999999999983</v>
      </c>
      <c r="Y39" s="6"/>
    </row>
    <row r="40" spans="1:27" x14ac:dyDescent="0.25">
      <c r="A40">
        <v>4</v>
      </c>
      <c r="B40" t="s">
        <v>65</v>
      </c>
      <c r="J40" s="4">
        <f t="shared" ref="J40:W40" si="21">($Y$41*(1+(($Y$44)*$A40))-J$33)</f>
        <v>17.435000000000002</v>
      </c>
      <c r="K40" s="4">
        <f t="shared" si="21"/>
        <v>15.875</v>
      </c>
      <c r="L40" s="4">
        <f t="shared" si="21"/>
        <v>14.424999999999997</v>
      </c>
      <c r="M40" s="4">
        <f t="shared" si="21"/>
        <v>14.765000000000001</v>
      </c>
      <c r="N40" s="4">
        <f t="shared" si="21"/>
        <v>13.954999999999998</v>
      </c>
      <c r="O40" s="4">
        <f t="shared" si="21"/>
        <v>12.875</v>
      </c>
      <c r="P40" s="4">
        <f t="shared" si="21"/>
        <v>11.555</v>
      </c>
      <c r="Q40" s="4">
        <f t="shared" si="21"/>
        <v>10.215000000000003</v>
      </c>
      <c r="R40" s="4">
        <f t="shared" si="21"/>
        <v>9.2349999999999994</v>
      </c>
      <c r="S40" s="4">
        <f t="shared" si="21"/>
        <v>7.9750000000000014</v>
      </c>
      <c r="T40" s="4">
        <f t="shared" si="21"/>
        <v>6.8149999999999977</v>
      </c>
      <c r="U40" s="4">
        <f t="shared" si="21"/>
        <v>5.7349999999999994</v>
      </c>
      <c r="V40" s="4">
        <f t="shared" si="21"/>
        <v>4.5850000000000009</v>
      </c>
      <c r="W40" s="4">
        <f t="shared" si="21"/>
        <v>3.4350000000000023</v>
      </c>
      <c r="X40" s="4">
        <f t="shared" si="17"/>
        <v>-7.4549999999999983</v>
      </c>
      <c r="Y40" s="6" t="s">
        <v>66</v>
      </c>
      <c r="Z40" s="6" t="s">
        <v>67</v>
      </c>
      <c r="AA40" t="s">
        <v>85</v>
      </c>
    </row>
    <row r="41" spans="1:27" x14ac:dyDescent="0.25">
      <c r="A41">
        <v>5</v>
      </c>
      <c r="B41" t="s">
        <v>69</v>
      </c>
      <c r="K41" s="4">
        <f t="shared" ref="K41:W41" si="22">($Y$41*(1+(($Y$44)*$A41))-K$33)</f>
        <v>15.875</v>
      </c>
      <c r="L41" s="4">
        <f t="shared" si="22"/>
        <v>14.424999999999997</v>
      </c>
      <c r="M41" s="4">
        <f t="shared" si="22"/>
        <v>14.765000000000001</v>
      </c>
      <c r="N41" s="4">
        <f t="shared" si="22"/>
        <v>13.954999999999998</v>
      </c>
      <c r="O41" s="4">
        <f t="shared" si="22"/>
        <v>12.875</v>
      </c>
      <c r="P41" s="4">
        <f t="shared" si="22"/>
        <v>11.555</v>
      </c>
      <c r="Q41" s="4">
        <f t="shared" si="22"/>
        <v>10.215000000000003</v>
      </c>
      <c r="R41" s="4">
        <f t="shared" si="22"/>
        <v>9.2349999999999994</v>
      </c>
      <c r="S41" s="4">
        <f t="shared" si="22"/>
        <v>7.9750000000000014</v>
      </c>
      <c r="T41" s="4">
        <f t="shared" si="22"/>
        <v>6.8149999999999977</v>
      </c>
      <c r="U41" s="4">
        <f t="shared" si="22"/>
        <v>5.7349999999999994</v>
      </c>
      <c r="V41" s="4">
        <f t="shared" si="22"/>
        <v>4.5850000000000009</v>
      </c>
      <c r="W41" s="4">
        <f t="shared" si="22"/>
        <v>3.4350000000000023</v>
      </c>
      <c r="X41" s="4">
        <f t="shared" si="17"/>
        <v>-7.4549999999999983</v>
      </c>
      <c r="Y41" s="7">
        <v>62.125</v>
      </c>
      <c r="Z41" s="7">
        <v>72.47</v>
      </c>
      <c r="AA41">
        <v>73.930000000000007</v>
      </c>
    </row>
    <row r="42" spans="1:27" x14ac:dyDescent="0.25">
      <c r="A42">
        <v>6</v>
      </c>
      <c r="B42" t="s">
        <v>70</v>
      </c>
      <c r="L42" s="4">
        <f t="shared" ref="L42:W42" si="23">($Y$41*(1+(($Y$44)*$A42))-L$33)</f>
        <v>14.424999999999997</v>
      </c>
      <c r="M42" s="4">
        <f t="shared" si="23"/>
        <v>14.765000000000001</v>
      </c>
      <c r="N42" s="4">
        <f t="shared" si="23"/>
        <v>13.954999999999998</v>
      </c>
      <c r="O42" s="4">
        <f t="shared" si="23"/>
        <v>12.875</v>
      </c>
      <c r="P42" s="4">
        <f t="shared" si="23"/>
        <v>11.555</v>
      </c>
      <c r="Q42" s="4">
        <f t="shared" si="23"/>
        <v>10.215000000000003</v>
      </c>
      <c r="R42" s="4">
        <f t="shared" si="23"/>
        <v>9.2349999999999994</v>
      </c>
      <c r="S42" s="4">
        <f t="shared" si="23"/>
        <v>7.9750000000000014</v>
      </c>
      <c r="T42" s="4">
        <f t="shared" si="23"/>
        <v>6.8149999999999977</v>
      </c>
      <c r="U42" s="4">
        <f t="shared" si="23"/>
        <v>5.7349999999999994</v>
      </c>
      <c r="V42" s="4">
        <f t="shared" si="23"/>
        <v>4.5850000000000009</v>
      </c>
      <c r="W42" s="4">
        <f t="shared" si="23"/>
        <v>3.4350000000000023</v>
      </c>
      <c r="X42" s="4">
        <f>($Y$14*(1+(($Y$17)*$A42))-X$6)</f>
        <v>-7.4549999999999983</v>
      </c>
      <c r="Y42" s="6"/>
    </row>
    <row r="43" spans="1:27" x14ac:dyDescent="0.25">
      <c r="A43">
        <v>7</v>
      </c>
      <c r="B43" t="s">
        <v>71</v>
      </c>
      <c r="M43" s="4">
        <f t="shared" ref="M43:W43" si="24">($Y$41*(1+(($Y$44)*$A43))-M$33)</f>
        <v>14.765000000000001</v>
      </c>
      <c r="N43" s="4">
        <f t="shared" si="24"/>
        <v>13.954999999999998</v>
      </c>
      <c r="O43" s="4">
        <f t="shared" si="24"/>
        <v>12.875</v>
      </c>
      <c r="P43" s="4">
        <f t="shared" si="24"/>
        <v>11.555</v>
      </c>
      <c r="Q43" s="4">
        <f t="shared" si="24"/>
        <v>10.215000000000003</v>
      </c>
      <c r="R43" s="4">
        <f t="shared" si="24"/>
        <v>9.2349999999999994</v>
      </c>
      <c r="S43" s="4">
        <f t="shared" si="24"/>
        <v>7.9750000000000014</v>
      </c>
      <c r="T43" s="4">
        <f t="shared" si="24"/>
        <v>6.8149999999999977</v>
      </c>
      <c r="U43" s="4">
        <f t="shared" si="24"/>
        <v>5.7349999999999994</v>
      </c>
      <c r="V43" s="4">
        <f t="shared" si="24"/>
        <v>4.5850000000000009</v>
      </c>
      <c r="W43" s="4">
        <f t="shared" si="24"/>
        <v>3.4350000000000023</v>
      </c>
      <c r="X43" s="4">
        <f t="shared" si="17"/>
        <v>-7.4549999999999983</v>
      </c>
      <c r="Y43" s="6" t="s">
        <v>72</v>
      </c>
    </row>
    <row r="44" spans="1:27" ht="15.75" thickBot="1" x14ac:dyDescent="0.3">
      <c r="A44">
        <v>8</v>
      </c>
      <c r="B44" t="s">
        <v>73</v>
      </c>
      <c r="M44" s="4"/>
      <c r="N44" s="4">
        <f t="shared" ref="N44:W44" si="25">($Y$41*(1+(($Y$44)*$A44))-N$33)</f>
        <v>13.954999999999998</v>
      </c>
      <c r="O44" s="4">
        <f t="shared" si="25"/>
        <v>12.875</v>
      </c>
      <c r="P44" s="4">
        <f t="shared" si="25"/>
        <v>11.555</v>
      </c>
      <c r="Q44" s="4">
        <f t="shared" si="25"/>
        <v>10.215000000000003</v>
      </c>
      <c r="R44" s="4">
        <f t="shared" si="25"/>
        <v>9.2349999999999994</v>
      </c>
      <c r="S44" s="4">
        <f t="shared" si="25"/>
        <v>7.9750000000000014</v>
      </c>
      <c r="T44" s="4">
        <f t="shared" si="25"/>
        <v>6.8149999999999977</v>
      </c>
      <c r="U44" s="4">
        <f t="shared" si="25"/>
        <v>5.7349999999999994</v>
      </c>
      <c r="V44" s="4">
        <f t="shared" si="25"/>
        <v>4.5850000000000009</v>
      </c>
      <c r="W44" s="4">
        <f t="shared" si="25"/>
        <v>3.4350000000000023</v>
      </c>
      <c r="X44" s="4">
        <f t="shared" si="17"/>
        <v>-7.4549999999999983</v>
      </c>
      <c r="Y44" s="8">
        <v>0</v>
      </c>
    </row>
    <row r="45" spans="1:27" x14ac:dyDescent="0.25">
      <c r="A45">
        <v>9</v>
      </c>
      <c r="B45" t="s">
        <v>74</v>
      </c>
      <c r="O45" s="4">
        <f t="shared" ref="O45:W45" si="26">($Y$41*(1+(($Y$44)*$A45))-O$33)</f>
        <v>12.875</v>
      </c>
      <c r="P45" s="4">
        <f t="shared" si="26"/>
        <v>11.555</v>
      </c>
      <c r="Q45" s="4">
        <f t="shared" si="26"/>
        <v>10.215000000000003</v>
      </c>
      <c r="R45" s="4">
        <f t="shared" si="26"/>
        <v>9.2349999999999994</v>
      </c>
      <c r="S45" s="4">
        <f t="shared" si="26"/>
        <v>7.9750000000000014</v>
      </c>
      <c r="T45" s="4">
        <f t="shared" si="26"/>
        <v>6.8149999999999977</v>
      </c>
      <c r="U45" s="4">
        <f t="shared" si="26"/>
        <v>5.7349999999999994</v>
      </c>
      <c r="V45" s="4">
        <f t="shared" si="26"/>
        <v>4.5850000000000009</v>
      </c>
      <c r="W45" s="4">
        <f t="shared" si="26"/>
        <v>3.4350000000000023</v>
      </c>
      <c r="X45" s="4">
        <f t="shared" si="17"/>
        <v>-7.4549999999999983</v>
      </c>
    </row>
    <row r="46" spans="1:27" x14ac:dyDescent="0.25">
      <c r="A46">
        <v>10</v>
      </c>
      <c r="B46" t="s">
        <v>75</v>
      </c>
      <c r="P46" s="4">
        <f t="shared" ref="P46:W46" si="27">($Y$41*(1+(($Y$44)*$A46))-P$33)</f>
        <v>11.555</v>
      </c>
      <c r="Q46" s="4">
        <f t="shared" si="27"/>
        <v>10.215000000000003</v>
      </c>
      <c r="R46" s="4">
        <f t="shared" si="27"/>
        <v>9.2349999999999994</v>
      </c>
      <c r="S46" s="4">
        <f t="shared" si="27"/>
        <v>7.9750000000000014</v>
      </c>
      <c r="T46" s="4">
        <f t="shared" si="27"/>
        <v>6.8149999999999977</v>
      </c>
      <c r="U46" s="4">
        <f t="shared" si="27"/>
        <v>5.7349999999999994</v>
      </c>
      <c r="V46" s="4">
        <f t="shared" si="27"/>
        <v>4.5850000000000009</v>
      </c>
      <c r="W46" s="4">
        <f t="shared" si="27"/>
        <v>3.4350000000000023</v>
      </c>
      <c r="X46" s="4">
        <f t="shared" si="17"/>
        <v>-7.4549999999999983</v>
      </c>
    </row>
    <row r="47" spans="1:27" x14ac:dyDescent="0.25">
      <c r="A47">
        <v>11</v>
      </c>
      <c r="B47" t="s">
        <v>76</v>
      </c>
      <c r="Q47" s="4">
        <f t="shared" ref="Q47:W47" si="28">($Y$41*(1+(($Y$44)*$A47))-Q$33)</f>
        <v>10.215000000000003</v>
      </c>
      <c r="R47" s="4">
        <f t="shared" si="28"/>
        <v>9.2349999999999994</v>
      </c>
      <c r="S47" s="4">
        <f t="shared" si="28"/>
        <v>7.9750000000000014</v>
      </c>
      <c r="T47" s="4">
        <f t="shared" si="28"/>
        <v>6.8149999999999977</v>
      </c>
      <c r="U47" s="4">
        <f t="shared" si="28"/>
        <v>5.7349999999999994</v>
      </c>
      <c r="V47" s="4">
        <f t="shared" si="28"/>
        <v>4.5850000000000009</v>
      </c>
      <c r="W47" s="4">
        <f t="shared" si="28"/>
        <v>3.4350000000000023</v>
      </c>
      <c r="X47" s="4">
        <f t="shared" si="17"/>
        <v>-7.4549999999999983</v>
      </c>
    </row>
    <row r="48" spans="1:27" x14ac:dyDescent="0.25">
      <c r="A48">
        <v>12</v>
      </c>
      <c r="B48" t="s">
        <v>77</v>
      </c>
      <c r="R48" s="4">
        <f t="shared" ref="R48:W48" si="29">($Y$41*(1+(($Y$44)*$A48))-R$33)</f>
        <v>9.2349999999999994</v>
      </c>
      <c r="S48" s="4">
        <f t="shared" si="29"/>
        <v>7.9750000000000014</v>
      </c>
      <c r="T48" s="4">
        <f t="shared" si="29"/>
        <v>6.8149999999999977</v>
      </c>
      <c r="U48" s="4">
        <f t="shared" si="29"/>
        <v>5.7349999999999994</v>
      </c>
      <c r="V48" s="4">
        <f t="shared" si="29"/>
        <v>4.5850000000000009</v>
      </c>
      <c r="W48" s="4">
        <f t="shared" si="29"/>
        <v>3.4350000000000023</v>
      </c>
      <c r="X48" s="4">
        <f t="shared" si="17"/>
        <v>-7.4549999999999983</v>
      </c>
    </row>
    <row r="49" spans="1:24" x14ac:dyDescent="0.25">
      <c r="A49">
        <v>13</v>
      </c>
      <c r="B49" t="s">
        <v>78</v>
      </c>
      <c r="S49" s="4">
        <f>($Y$41*(1+(($Y$44)*$A49))-S$33)</f>
        <v>7.9750000000000014</v>
      </c>
      <c r="T49" s="4">
        <f>($Y$41*(1+(($Y$44)*$A49))-T$33)</f>
        <v>6.8149999999999977</v>
      </c>
      <c r="U49" s="4">
        <f>($Y$41*(1+(($Y$44)*$A49))-U$33)</f>
        <v>5.7349999999999994</v>
      </c>
      <c r="V49" s="4">
        <f>($Y$41*(1+(($Y$44)*$A49))-V$33)</f>
        <v>4.5850000000000009</v>
      </c>
      <c r="W49" s="4">
        <f>($Y$41*(1+(($Y$44)*$A49))-W$33)</f>
        <v>3.4350000000000023</v>
      </c>
      <c r="X49" s="4">
        <f t="shared" si="17"/>
        <v>-7.4549999999999983</v>
      </c>
    </row>
    <row r="50" spans="1:24" x14ac:dyDescent="0.25">
      <c r="A50">
        <v>14</v>
      </c>
      <c r="B50" t="s">
        <v>79</v>
      </c>
      <c r="T50" s="4">
        <f>($Y$41*(1+(($Y$44)*$A50))-T$33)</f>
        <v>6.8149999999999977</v>
      </c>
      <c r="U50" s="4">
        <f>($Y$41*(1+(($Y$44)*$A50))-U$33)</f>
        <v>5.7349999999999994</v>
      </c>
      <c r="V50" s="4">
        <f>($Y$41*(1+(($Y$44)*$A50))-V$33)</f>
        <v>4.5850000000000009</v>
      </c>
      <c r="W50" s="4">
        <f>($Y$41*(1+(($Y$44)*$A50))-W$33)</f>
        <v>3.4350000000000023</v>
      </c>
      <c r="X50" s="4">
        <f t="shared" si="17"/>
        <v>-7.4549999999999983</v>
      </c>
    </row>
    <row r="51" spans="1:24" x14ac:dyDescent="0.25">
      <c r="A51">
        <v>15</v>
      </c>
      <c r="B51" t="s">
        <v>80</v>
      </c>
      <c r="U51" s="4">
        <f>($Y$41*(1+(($Y$44)*$A51))-U$33)</f>
        <v>5.7349999999999994</v>
      </c>
      <c r="V51" s="4">
        <f>($Y$41*(1+(($Y$44)*$A51))-V$33)</f>
        <v>4.5850000000000009</v>
      </c>
      <c r="W51" s="4">
        <f>($Y$41*(1+(($Y$44)*$A51))-W$33)</f>
        <v>3.4350000000000023</v>
      </c>
      <c r="X51" s="4">
        <f t="shared" si="17"/>
        <v>-7.4549999999999983</v>
      </c>
    </row>
    <row r="52" spans="1:24" x14ac:dyDescent="0.25">
      <c r="A52">
        <v>16</v>
      </c>
      <c r="B52" t="s">
        <v>81</v>
      </c>
      <c r="V52" s="4">
        <f>($Y$41*(1+(($Y$44)*$A52))-V$33)</f>
        <v>4.5850000000000009</v>
      </c>
      <c r="W52" s="4">
        <f>($Y$41*(1+(($Y$44)*$A52))-W$33)</f>
        <v>3.4350000000000023</v>
      </c>
      <c r="X52" s="4">
        <f t="shared" si="17"/>
        <v>-7.4549999999999983</v>
      </c>
    </row>
    <row r="53" spans="1:24" x14ac:dyDescent="0.25">
      <c r="A53">
        <v>17</v>
      </c>
      <c r="B53" t="s">
        <v>82</v>
      </c>
      <c r="W53" s="4">
        <f>($Y$41*(1+(($Y$44)*$A53))-W$33)</f>
        <v>3.4350000000000023</v>
      </c>
      <c r="X53" s="4">
        <f t="shared" si="17"/>
        <v>-7.4549999999999983</v>
      </c>
    </row>
    <row r="54" spans="1:24" x14ac:dyDescent="0.25">
      <c r="A54">
        <v>18</v>
      </c>
      <c r="B54" t="s">
        <v>83</v>
      </c>
      <c r="X54" s="4">
        <f t="shared" si="17"/>
        <v>-7.4549999999999983</v>
      </c>
    </row>
    <row r="57" spans="1:24" x14ac:dyDescent="0.25">
      <c r="B57" s="1" t="s">
        <v>86</v>
      </c>
    </row>
    <row r="58" spans="1:24" x14ac:dyDescent="0.25">
      <c r="C58" t="s">
        <v>1</v>
      </c>
    </row>
    <row r="59" spans="1:24" ht="18.75" x14ac:dyDescent="0.25">
      <c r="C59" s="2">
        <v>2022</v>
      </c>
      <c r="D59" s="2">
        <v>2023</v>
      </c>
      <c r="E59" s="2">
        <v>2024</v>
      </c>
      <c r="F59" s="2">
        <v>2025</v>
      </c>
      <c r="G59" s="2">
        <v>2026</v>
      </c>
      <c r="H59" s="2">
        <v>2027</v>
      </c>
      <c r="I59" s="2">
        <v>2028</v>
      </c>
      <c r="J59" s="2">
        <v>2029</v>
      </c>
      <c r="K59" s="2">
        <v>2030</v>
      </c>
      <c r="L59" s="2">
        <v>2031</v>
      </c>
      <c r="M59" s="2">
        <v>2032</v>
      </c>
      <c r="N59" s="2">
        <v>2033</v>
      </c>
      <c r="O59" s="2">
        <v>2034</v>
      </c>
      <c r="P59" s="2">
        <v>2035</v>
      </c>
      <c r="Q59" s="2">
        <v>2036</v>
      </c>
      <c r="R59" s="2">
        <v>2037</v>
      </c>
      <c r="S59" s="2">
        <v>2038</v>
      </c>
      <c r="T59" s="2">
        <v>2039</v>
      </c>
      <c r="U59" s="2">
        <v>2040</v>
      </c>
      <c r="V59" s="2">
        <v>2041</v>
      </c>
      <c r="W59" s="2">
        <v>2042</v>
      </c>
      <c r="X59" s="169">
        <v>2043</v>
      </c>
    </row>
    <row r="60" spans="1:24" x14ac:dyDescent="0.25">
      <c r="B60" t="s">
        <v>59</v>
      </c>
      <c r="C60" s="3"/>
      <c r="D60" s="3">
        <f>D1*(1+D2)</f>
        <v>0</v>
      </c>
      <c r="E60" s="3">
        <f>E1*(1+E2)</f>
        <v>32.17</v>
      </c>
      <c r="F60" s="3">
        <f>F1*(1+F2)</f>
        <v>38.86</v>
      </c>
      <c r="G60" s="3">
        <f t="shared" ref="G60:X60" si="30">G1*(1+G2)</f>
        <v>41.18</v>
      </c>
      <c r="H60" s="3">
        <f t="shared" si="30"/>
        <v>41.7</v>
      </c>
      <c r="I60" s="3">
        <f t="shared" si="30"/>
        <v>43.68</v>
      </c>
      <c r="J60" s="3">
        <f t="shared" si="30"/>
        <v>44.69</v>
      </c>
      <c r="K60" s="3">
        <f t="shared" si="30"/>
        <v>46.25</v>
      </c>
      <c r="L60" s="3">
        <f t="shared" si="30"/>
        <v>47.7</v>
      </c>
      <c r="M60" s="3">
        <f t="shared" si="30"/>
        <v>47.36</v>
      </c>
      <c r="N60" s="3">
        <f t="shared" si="30"/>
        <v>48.17</v>
      </c>
      <c r="O60" s="3">
        <f t="shared" si="30"/>
        <v>49.25</v>
      </c>
      <c r="P60" s="3">
        <f t="shared" si="30"/>
        <v>50.57</v>
      </c>
      <c r="Q60" s="3">
        <f t="shared" si="30"/>
        <v>51.91</v>
      </c>
      <c r="R60" s="3">
        <f t="shared" si="30"/>
        <v>52.89</v>
      </c>
      <c r="S60" s="3">
        <f t="shared" si="30"/>
        <v>54.15</v>
      </c>
      <c r="T60" s="3">
        <f t="shared" si="30"/>
        <v>55.31</v>
      </c>
      <c r="U60" s="3">
        <f t="shared" si="30"/>
        <v>56.39</v>
      </c>
      <c r="V60" s="3">
        <f t="shared" si="30"/>
        <v>57.54</v>
      </c>
      <c r="W60" s="3">
        <f t="shared" si="30"/>
        <v>58.69</v>
      </c>
      <c r="X60" s="3">
        <f t="shared" si="30"/>
        <v>59.75</v>
      </c>
    </row>
    <row r="63" spans="1:24" x14ac:dyDescent="0.25">
      <c r="B63" t="s">
        <v>60</v>
      </c>
      <c r="F63" s="4">
        <f t="shared" ref="F63:W63" si="31">$Y$68-F60</f>
        <v>53.734999999999999</v>
      </c>
      <c r="G63" s="4">
        <f t="shared" si="31"/>
        <v>51.414999999999999</v>
      </c>
      <c r="H63" s="4">
        <f t="shared" si="31"/>
        <v>50.894999999999996</v>
      </c>
      <c r="I63" s="4">
        <f t="shared" si="31"/>
        <v>48.914999999999999</v>
      </c>
      <c r="J63" s="4">
        <f t="shared" si="31"/>
        <v>47.905000000000001</v>
      </c>
      <c r="K63" s="4">
        <f t="shared" si="31"/>
        <v>46.344999999999999</v>
      </c>
      <c r="L63" s="4">
        <f t="shared" si="31"/>
        <v>44.894999999999996</v>
      </c>
      <c r="M63" s="4">
        <f t="shared" si="31"/>
        <v>45.234999999999999</v>
      </c>
      <c r="N63" s="4">
        <f t="shared" si="31"/>
        <v>44.424999999999997</v>
      </c>
      <c r="O63" s="4">
        <f t="shared" si="31"/>
        <v>43.344999999999999</v>
      </c>
      <c r="P63" s="4">
        <f t="shared" si="31"/>
        <v>42.024999999999999</v>
      </c>
      <c r="Q63" s="4">
        <f t="shared" si="31"/>
        <v>40.685000000000002</v>
      </c>
      <c r="R63" s="4">
        <f t="shared" si="31"/>
        <v>39.704999999999998</v>
      </c>
      <c r="S63" s="4">
        <f t="shared" si="31"/>
        <v>38.445</v>
      </c>
      <c r="T63" s="4">
        <f t="shared" si="31"/>
        <v>37.284999999999997</v>
      </c>
      <c r="U63" s="4">
        <f t="shared" si="31"/>
        <v>36.204999999999998</v>
      </c>
      <c r="V63" s="4">
        <f t="shared" si="31"/>
        <v>35.055</v>
      </c>
      <c r="W63" s="4">
        <f t="shared" si="31"/>
        <v>33.905000000000001</v>
      </c>
      <c r="X63" s="4">
        <f t="shared" ref="X63:X81" si="32">($Y$14*(1+(($Y$17)*$A63))-X$6)</f>
        <v>-7.4549999999999983</v>
      </c>
    </row>
    <row r="64" spans="1:24" ht="15.75" thickBot="1" x14ac:dyDescent="0.3">
      <c r="A64">
        <v>1</v>
      </c>
      <c r="B64" t="s">
        <v>61</v>
      </c>
      <c r="G64" s="4">
        <f t="shared" ref="G64:W64" si="33">($Z$68*(1+(($Y$44)*$A64))-G$60)</f>
        <v>55.68</v>
      </c>
      <c r="H64" s="4">
        <f t="shared" si="33"/>
        <v>55.16</v>
      </c>
      <c r="I64" s="4">
        <f t="shared" si="33"/>
        <v>53.18</v>
      </c>
      <c r="J64" s="4">
        <f t="shared" si="33"/>
        <v>52.17</v>
      </c>
      <c r="K64" s="4">
        <f t="shared" si="33"/>
        <v>50.61</v>
      </c>
      <c r="L64" s="4">
        <f t="shared" si="33"/>
        <v>49.16</v>
      </c>
      <c r="M64" s="4">
        <f t="shared" si="33"/>
        <v>49.5</v>
      </c>
      <c r="N64" s="4">
        <f t="shared" si="33"/>
        <v>48.69</v>
      </c>
      <c r="O64" s="4">
        <f t="shared" si="33"/>
        <v>47.61</v>
      </c>
      <c r="P64" s="4">
        <f t="shared" si="33"/>
        <v>46.29</v>
      </c>
      <c r="Q64" s="4">
        <f t="shared" si="33"/>
        <v>44.95</v>
      </c>
      <c r="R64" s="4">
        <f t="shared" si="33"/>
        <v>43.97</v>
      </c>
      <c r="S64" s="4">
        <f t="shared" si="33"/>
        <v>42.71</v>
      </c>
      <c r="T64" s="4">
        <f t="shared" si="33"/>
        <v>41.55</v>
      </c>
      <c r="U64" s="4">
        <f t="shared" si="33"/>
        <v>40.47</v>
      </c>
      <c r="V64" s="4">
        <f t="shared" si="33"/>
        <v>39.32</v>
      </c>
      <c r="W64" s="4">
        <f t="shared" si="33"/>
        <v>38.17</v>
      </c>
      <c r="X64" s="4">
        <f t="shared" si="32"/>
        <v>-7.4549999999999983</v>
      </c>
    </row>
    <row r="65" spans="1:26" x14ac:dyDescent="0.25">
      <c r="A65">
        <v>2</v>
      </c>
      <c r="B65" t="s">
        <v>62</v>
      </c>
      <c r="H65" s="4">
        <f t="shared" ref="H65:W65" si="34">($Y$68*(1+(($Y$44)*$A65))-H$60)</f>
        <v>50.894999999999996</v>
      </c>
      <c r="I65" s="4">
        <f t="shared" si="34"/>
        <v>48.914999999999999</v>
      </c>
      <c r="J65" s="4">
        <f t="shared" si="34"/>
        <v>47.905000000000001</v>
      </c>
      <c r="K65" s="4">
        <f t="shared" si="34"/>
        <v>46.344999999999999</v>
      </c>
      <c r="L65" s="4">
        <f t="shared" si="34"/>
        <v>44.894999999999996</v>
      </c>
      <c r="M65" s="4">
        <f t="shared" si="34"/>
        <v>45.234999999999999</v>
      </c>
      <c r="N65" s="4">
        <f t="shared" si="34"/>
        <v>44.424999999999997</v>
      </c>
      <c r="O65" s="4">
        <f t="shared" si="34"/>
        <v>43.344999999999999</v>
      </c>
      <c r="P65" s="4">
        <f t="shared" si="34"/>
        <v>42.024999999999999</v>
      </c>
      <c r="Q65" s="4">
        <f t="shared" si="34"/>
        <v>40.685000000000002</v>
      </c>
      <c r="R65" s="4">
        <f t="shared" si="34"/>
        <v>39.704999999999998</v>
      </c>
      <c r="S65" s="4">
        <f t="shared" si="34"/>
        <v>38.445</v>
      </c>
      <c r="T65" s="4">
        <f t="shared" si="34"/>
        <v>37.284999999999997</v>
      </c>
      <c r="U65" s="4">
        <f t="shared" si="34"/>
        <v>36.204999999999998</v>
      </c>
      <c r="V65" s="4">
        <f t="shared" si="34"/>
        <v>35.055</v>
      </c>
      <c r="W65" s="4">
        <f t="shared" si="34"/>
        <v>33.905000000000001</v>
      </c>
      <c r="X65" s="4">
        <f t="shared" si="32"/>
        <v>-7.4549999999999983</v>
      </c>
      <c r="Y65" s="5" t="s">
        <v>63</v>
      </c>
    </row>
    <row r="66" spans="1:26" x14ac:dyDescent="0.25">
      <c r="A66">
        <v>3</v>
      </c>
      <c r="B66" t="s">
        <v>64</v>
      </c>
      <c r="I66" s="4">
        <f t="shared" ref="I66:W66" si="35">($Y$68*(1+(($Y$44)*$A66))-I$60)</f>
        <v>48.914999999999999</v>
      </c>
      <c r="J66" s="4">
        <f t="shared" si="35"/>
        <v>47.905000000000001</v>
      </c>
      <c r="K66" s="4">
        <f t="shared" si="35"/>
        <v>46.344999999999999</v>
      </c>
      <c r="L66" s="4">
        <f t="shared" si="35"/>
        <v>44.894999999999996</v>
      </c>
      <c r="M66" s="4">
        <f t="shared" si="35"/>
        <v>45.234999999999999</v>
      </c>
      <c r="N66" s="4">
        <f t="shared" si="35"/>
        <v>44.424999999999997</v>
      </c>
      <c r="O66" s="4">
        <f t="shared" si="35"/>
        <v>43.344999999999999</v>
      </c>
      <c r="P66" s="4">
        <f t="shared" si="35"/>
        <v>42.024999999999999</v>
      </c>
      <c r="Q66" s="4">
        <f t="shared" si="35"/>
        <v>40.685000000000002</v>
      </c>
      <c r="R66" s="4">
        <f t="shared" si="35"/>
        <v>39.704999999999998</v>
      </c>
      <c r="S66" s="4">
        <f t="shared" si="35"/>
        <v>38.445</v>
      </c>
      <c r="T66" s="4">
        <f t="shared" si="35"/>
        <v>37.284999999999997</v>
      </c>
      <c r="U66" s="4">
        <f t="shared" si="35"/>
        <v>36.204999999999998</v>
      </c>
      <c r="V66" s="4">
        <f t="shared" si="35"/>
        <v>35.055</v>
      </c>
      <c r="W66" s="4">
        <f t="shared" si="35"/>
        <v>33.905000000000001</v>
      </c>
      <c r="X66" s="4">
        <f t="shared" si="32"/>
        <v>-7.4549999999999983</v>
      </c>
      <c r="Y66" s="6"/>
    </row>
    <row r="67" spans="1:26" x14ac:dyDescent="0.25">
      <c r="A67">
        <v>4</v>
      </c>
      <c r="B67" t="s">
        <v>65</v>
      </c>
      <c r="J67" s="4">
        <f t="shared" ref="J67:W67" si="36">($Y$68*(1+(($Y$44)*$A67))-J$60)</f>
        <v>47.905000000000001</v>
      </c>
      <c r="K67" s="4">
        <f t="shared" si="36"/>
        <v>46.344999999999999</v>
      </c>
      <c r="L67" s="4">
        <f t="shared" si="36"/>
        <v>44.894999999999996</v>
      </c>
      <c r="M67" s="4">
        <f t="shared" si="36"/>
        <v>45.234999999999999</v>
      </c>
      <c r="N67" s="4">
        <f t="shared" si="36"/>
        <v>44.424999999999997</v>
      </c>
      <c r="O67" s="4">
        <f t="shared" si="36"/>
        <v>43.344999999999999</v>
      </c>
      <c r="P67" s="4">
        <f t="shared" si="36"/>
        <v>42.024999999999999</v>
      </c>
      <c r="Q67" s="4">
        <f t="shared" si="36"/>
        <v>40.685000000000002</v>
      </c>
      <c r="R67" s="4">
        <f t="shared" si="36"/>
        <v>39.704999999999998</v>
      </c>
      <c r="S67" s="4">
        <f t="shared" si="36"/>
        <v>38.445</v>
      </c>
      <c r="T67" s="4">
        <f t="shared" si="36"/>
        <v>37.284999999999997</v>
      </c>
      <c r="U67" s="4">
        <f t="shared" si="36"/>
        <v>36.204999999999998</v>
      </c>
      <c r="V67" s="4">
        <f t="shared" si="36"/>
        <v>35.055</v>
      </c>
      <c r="W67" s="4">
        <f t="shared" si="36"/>
        <v>33.905000000000001</v>
      </c>
      <c r="X67" s="4">
        <f t="shared" si="32"/>
        <v>-7.4549999999999983</v>
      </c>
      <c r="Y67" s="6" t="s">
        <v>66</v>
      </c>
      <c r="Z67" s="6" t="s">
        <v>67</v>
      </c>
    </row>
    <row r="68" spans="1:26" x14ac:dyDescent="0.25">
      <c r="A68">
        <v>5</v>
      </c>
      <c r="B68" t="s">
        <v>69</v>
      </c>
      <c r="K68" s="4">
        <f t="shared" ref="K68:W68" si="37">($Y$68*(1+(($Y$44)*$A68))-K$60)</f>
        <v>46.344999999999999</v>
      </c>
      <c r="L68" s="4">
        <f t="shared" si="37"/>
        <v>44.894999999999996</v>
      </c>
      <c r="M68" s="4">
        <f t="shared" si="37"/>
        <v>45.234999999999999</v>
      </c>
      <c r="N68" s="4">
        <f t="shared" si="37"/>
        <v>44.424999999999997</v>
      </c>
      <c r="O68" s="4">
        <f t="shared" si="37"/>
        <v>43.344999999999999</v>
      </c>
      <c r="P68" s="4">
        <f t="shared" si="37"/>
        <v>42.024999999999999</v>
      </c>
      <c r="Q68" s="4">
        <f t="shared" si="37"/>
        <v>40.685000000000002</v>
      </c>
      <c r="R68" s="4">
        <f t="shared" si="37"/>
        <v>39.704999999999998</v>
      </c>
      <c r="S68" s="4">
        <f t="shared" si="37"/>
        <v>38.445</v>
      </c>
      <c r="T68" s="4">
        <f t="shared" si="37"/>
        <v>37.284999999999997</v>
      </c>
      <c r="U68" s="4">
        <f t="shared" si="37"/>
        <v>36.204999999999998</v>
      </c>
      <c r="V68" s="4">
        <f t="shared" si="37"/>
        <v>35.055</v>
      </c>
      <c r="W68" s="4">
        <f t="shared" si="37"/>
        <v>33.905000000000001</v>
      </c>
      <c r="X68" s="4">
        <f t="shared" si="32"/>
        <v>-7.4549999999999983</v>
      </c>
      <c r="Y68" s="7">
        <v>92.594999999999999</v>
      </c>
      <c r="Z68" s="7">
        <v>96.86</v>
      </c>
    </row>
    <row r="69" spans="1:26" x14ac:dyDescent="0.25">
      <c r="A69">
        <v>6</v>
      </c>
      <c r="B69" t="s">
        <v>70</v>
      </c>
      <c r="L69" s="4">
        <f t="shared" ref="L69:W69" si="38">($Y$68*(1+(($Y$44)*$A69))-L$60)</f>
        <v>44.894999999999996</v>
      </c>
      <c r="M69" s="4">
        <f t="shared" si="38"/>
        <v>45.234999999999999</v>
      </c>
      <c r="N69" s="4">
        <f t="shared" si="38"/>
        <v>44.424999999999997</v>
      </c>
      <c r="O69" s="4">
        <f t="shared" si="38"/>
        <v>43.344999999999999</v>
      </c>
      <c r="P69" s="4">
        <f t="shared" si="38"/>
        <v>42.024999999999999</v>
      </c>
      <c r="Q69" s="4">
        <f t="shared" si="38"/>
        <v>40.685000000000002</v>
      </c>
      <c r="R69" s="4">
        <f t="shared" si="38"/>
        <v>39.704999999999998</v>
      </c>
      <c r="S69" s="4">
        <f t="shared" si="38"/>
        <v>38.445</v>
      </c>
      <c r="T69" s="4">
        <f t="shared" si="38"/>
        <v>37.284999999999997</v>
      </c>
      <c r="U69" s="4">
        <f t="shared" si="38"/>
        <v>36.204999999999998</v>
      </c>
      <c r="V69" s="4">
        <f t="shared" si="38"/>
        <v>35.055</v>
      </c>
      <c r="W69" s="4">
        <f t="shared" si="38"/>
        <v>33.905000000000001</v>
      </c>
      <c r="X69" s="4">
        <f t="shared" si="32"/>
        <v>-7.4549999999999983</v>
      </c>
      <c r="Y69" s="6"/>
    </row>
    <row r="70" spans="1:26" x14ac:dyDescent="0.25">
      <c r="A70">
        <v>7</v>
      </c>
      <c r="B70" t="s">
        <v>71</v>
      </c>
      <c r="M70" s="4">
        <f t="shared" ref="M70:W70" si="39">($Y$68*(1+(($Y$44)*$A70))-M$60)</f>
        <v>45.234999999999999</v>
      </c>
      <c r="N70" s="4">
        <f t="shared" si="39"/>
        <v>44.424999999999997</v>
      </c>
      <c r="O70" s="4">
        <f t="shared" si="39"/>
        <v>43.344999999999999</v>
      </c>
      <c r="P70" s="4">
        <f t="shared" si="39"/>
        <v>42.024999999999999</v>
      </c>
      <c r="Q70" s="4">
        <f t="shared" si="39"/>
        <v>40.685000000000002</v>
      </c>
      <c r="R70" s="4">
        <f t="shared" si="39"/>
        <v>39.704999999999998</v>
      </c>
      <c r="S70" s="4">
        <f t="shared" si="39"/>
        <v>38.445</v>
      </c>
      <c r="T70" s="4">
        <f t="shared" si="39"/>
        <v>37.284999999999997</v>
      </c>
      <c r="U70" s="4">
        <f t="shared" si="39"/>
        <v>36.204999999999998</v>
      </c>
      <c r="V70" s="4">
        <f t="shared" si="39"/>
        <v>35.055</v>
      </c>
      <c r="W70" s="4">
        <f t="shared" si="39"/>
        <v>33.905000000000001</v>
      </c>
      <c r="X70" s="4">
        <f t="shared" si="32"/>
        <v>-7.4549999999999983</v>
      </c>
      <c r="Y70" s="6" t="s">
        <v>72</v>
      </c>
    </row>
    <row r="71" spans="1:26" ht="15.75" thickBot="1" x14ac:dyDescent="0.3">
      <c r="A71">
        <v>8</v>
      </c>
      <c r="B71" t="s">
        <v>73</v>
      </c>
      <c r="M71" s="4"/>
      <c r="N71" s="4">
        <f t="shared" ref="N71:W71" si="40">($Y$68*(1+(($Y$44)*$A71))-N$60)</f>
        <v>44.424999999999997</v>
      </c>
      <c r="O71" s="4">
        <f t="shared" si="40"/>
        <v>43.344999999999999</v>
      </c>
      <c r="P71" s="4">
        <f t="shared" si="40"/>
        <v>42.024999999999999</v>
      </c>
      <c r="Q71" s="4">
        <f t="shared" si="40"/>
        <v>40.685000000000002</v>
      </c>
      <c r="R71" s="4">
        <f t="shared" si="40"/>
        <v>39.704999999999998</v>
      </c>
      <c r="S71" s="4">
        <f t="shared" si="40"/>
        <v>38.445</v>
      </c>
      <c r="T71" s="4">
        <f t="shared" si="40"/>
        <v>37.284999999999997</v>
      </c>
      <c r="U71" s="4">
        <f t="shared" si="40"/>
        <v>36.204999999999998</v>
      </c>
      <c r="V71" s="4">
        <f t="shared" si="40"/>
        <v>35.055</v>
      </c>
      <c r="W71" s="4">
        <f t="shared" si="40"/>
        <v>33.905000000000001</v>
      </c>
      <c r="X71" s="4">
        <f t="shared" si="32"/>
        <v>-7.4549999999999983</v>
      </c>
      <c r="Y71" s="8">
        <v>0</v>
      </c>
    </row>
    <row r="72" spans="1:26" x14ac:dyDescent="0.25">
      <c r="A72">
        <v>9</v>
      </c>
      <c r="B72" t="s">
        <v>74</v>
      </c>
      <c r="O72" s="4">
        <f t="shared" ref="O72:W72" si="41">($Y$68*(1+(($Y$71)*$A72))-O$60)</f>
        <v>43.344999999999999</v>
      </c>
      <c r="P72" s="4">
        <f t="shared" si="41"/>
        <v>42.024999999999999</v>
      </c>
      <c r="Q72" s="4">
        <f t="shared" si="41"/>
        <v>40.685000000000002</v>
      </c>
      <c r="R72" s="4">
        <f t="shared" si="41"/>
        <v>39.704999999999998</v>
      </c>
      <c r="S72" s="4">
        <f t="shared" si="41"/>
        <v>38.445</v>
      </c>
      <c r="T72" s="4">
        <f t="shared" si="41"/>
        <v>37.284999999999997</v>
      </c>
      <c r="U72" s="4">
        <f t="shared" si="41"/>
        <v>36.204999999999998</v>
      </c>
      <c r="V72" s="4">
        <f t="shared" si="41"/>
        <v>35.055</v>
      </c>
      <c r="W72" s="4">
        <f t="shared" si="41"/>
        <v>33.905000000000001</v>
      </c>
      <c r="X72" s="4">
        <f t="shared" si="32"/>
        <v>-7.4549999999999983</v>
      </c>
    </row>
    <row r="73" spans="1:26" x14ac:dyDescent="0.25">
      <c r="A73">
        <v>10</v>
      </c>
      <c r="B73" t="s">
        <v>75</v>
      </c>
      <c r="P73" s="4">
        <f t="shared" ref="P73:W73" si="42">($Y$68*(1+(($Y$71)*$A73))-P$60)</f>
        <v>42.024999999999999</v>
      </c>
      <c r="Q73" s="4">
        <f t="shared" si="42"/>
        <v>40.685000000000002</v>
      </c>
      <c r="R73" s="4">
        <f t="shared" si="42"/>
        <v>39.704999999999998</v>
      </c>
      <c r="S73" s="4">
        <f t="shared" si="42"/>
        <v>38.445</v>
      </c>
      <c r="T73" s="4">
        <f t="shared" si="42"/>
        <v>37.284999999999997</v>
      </c>
      <c r="U73" s="4">
        <f t="shared" si="42"/>
        <v>36.204999999999998</v>
      </c>
      <c r="V73" s="4">
        <f t="shared" si="42"/>
        <v>35.055</v>
      </c>
      <c r="W73" s="4">
        <f t="shared" si="42"/>
        <v>33.905000000000001</v>
      </c>
      <c r="X73" s="4">
        <f t="shared" si="32"/>
        <v>-7.4549999999999983</v>
      </c>
    </row>
    <row r="74" spans="1:26" x14ac:dyDescent="0.25">
      <c r="A74">
        <v>11</v>
      </c>
      <c r="B74" t="s">
        <v>76</v>
      </c>
      <c r="Q74" s="4">
        <f t="shared" ref="Q74:W74" si="43">($Y$68*(1+(($Y$71)*$A74))-Q$60)</f>
        <v>40.685000000000002</v>
      </c>
      <c r="R74" s="4">
        <f t="shared" si="43"/>
        <v>39.704999999999998</v>
      </c>
      <c r="S74" s="4">
        <f t="shared" si="43"/>
        <v>38.445</v>
      </c>
      <c r="T74" s="4">
        <f t="shared" si="43"/>
        <v>37.284999999999997</v>
      </c>
      <c r="U74" s="4">
        <f t="shared" si="43"/>
        <v>36.204999999999998</v>
      </c>
      <c r="V74" s="4">
        <f t="shared" si="43"/>
        <v>35.055</v>
      </c>
      <c r="W74" s="4">
        <f t="shared" si="43"/>
        <v>33.905000000000001</v>
      </c>
      <c r="X74" s="4">
        <f t="shared" si="32"/>
        <v>-7.4549999999999983</v>
      </c>
    </row>
    <row r="75" spans="1:26" x14ac:dyDescent="0.25">
      <c r="A75">
        <v>12</v>
      </c>
      <c r="B75" t="s">
        <v>77</v>
      </c>
      <c r="R75" s="4">
        <f t="shared" ref="R75:W75" si="44">($Y$68*(1+(($Y$71)*$A75))-R$60)</f>
        <v>39.704999999999998</v>
      </c>
      <c r="S75" s="4">
        <f t="shared" si="44"/>
        <v>38.445</v>
      </c>
      <c r="T75" s="4">
        <f t="shared" si="44"/>
        <v>37.284999999999997</v>
      </c>
      <c r="U75" s="4">
        <f t="shared" si="44"/>
        <v>36.204999999999998</v>
      </c>
      <c r="V75" s="4">
        <f t="shared" si="44"/>
        <v>35.055</v>
      </c>
      <c r="W75" s="4">
        <f t="shared" si="44"/>
        <v>33.905000000000001</v>
      </c>
      <c r="X75" s="4">
        <f t="shared" si="32"/>
        <v>-7.4549999999999983</v>
      </c>
    </row>
    <row r="76" spans="1:26" x14ac:dyDescent="0.25">
      <c r="A76">
        <v>13</v>
      </c>
      <c r="B76" t="s">
        <v>78</v>
      </c>
      <c r="S76" s="4">
        <f>($Y$68*(1+(($Y$71)*$A76))-S$60)</f>
        <v>38.445</v>
      </c>
      <c r="T76" s="4">
        <f>($Y$68*(1+(($Y$71)*$A76))-T$60)</f>
        <v>37.284999999999997</v>
      </c>
      <c r="U76" s="4">
        <f>($Y$68*(1+(($Y$71)*$A76))-U$60)</f>
        <v>36.204999999999998</v>
      </c>
      <c r="V76" s="4">
        <f>($Y$68*(1+(($Y$71)*$A76))-V$60)</f>
        <v>35.055</v>
      </c>
      <c r="W76" s="4">
        <f>($Y$68*(1+(($Y$71)*$A76))-W$60)</f>
        <v>33.905000000000001</v>
      </c>
      <c r="X76" s="4">
        <f t="shared" si="32"/>
        <v>-7.4549999999999983</v>
      </c>
    </row>
    <row r="77" spans="1:26" x14ac:dyDescent="0.25">
      <c r="A77">
        <v>14</v>
      </c>
      <c r="B77" t="s">
        <v>79</v>
      </c>
      <c r="T77" s="4">
        <f>($Y$68*(1+(($Y$71)*$A77))-T$60)</f>
        <v>37.284999999999997</v>
      </c>
      <c r="U77" s="4">
        <f>($Y$68*(1+(($Y$71)*$A77))-U$60)</f>
        <v>36.204999999999998</v>
      </c>
      <c r="V77" s="4">
        <f>($Y$68*(1+(($Y$71)*$A77))-V$60)</f>
        <v>35.055</v>
      </c>
      <c r="W77" s="4">
        <f>($Y$68*(1+(($Y$71)*$A77))-W$60)</f>
        <v>33.905000000000001</v>
      </c>
      <c r="X77" s="4">
        <f t="shared" si="32"/>
        <v>-7.4549999999999983</v>
      </c>
    </row>
    <row r="78" spans="1:26" x14ac:dyDescent="0.25">
      <c r="A78">
        <v>15</v>
      </c>
      <c r="B78" t="s">
        <v>80</v>
      </c>
      <c r="U78" s="4">
        <f>($Y$68*(1+(($Y$71)*$A78))-U$60)</f>
        <v>36.204999999999998</v>
      </c>
      <c r="V78" s="4">
        <f>($Y$68*(1+(($Y$71)*$A78))-V$60)</f>
        <v>35.055</v>
      </c>
      <c r="W78" s="4">
        <f>($Y$68*(1+(($Y$71)*$A78))-W$60)</f>
        <v>33.905000000000001</v>
      </c>
      <c r="X78" s="4">
        <f t="shared" si="32"/>
        <v>-7.4549999999999983</v>
      </c>
    </row>
    <row r="79" spans="1:26" x14ac:dyDescent="0.25">
      <c r="A79">
        <v>16</v>
      </c>
      <c r="B79" t="s">
        <v>81</v>
      </c>
      <c r="V79" s="4">
        <f>($Y$68*(1+(($Y$71)*$A79))-V$60)</f>
        <v>35.055</v>
      </c>
      <c r="W79" s="4">
        <f>($Y$68*(1+(($Y$71)*$A79))-W$60)</f>
        <v>33.905000000000001</v>
      </c>
      <c r="X79" s="4">
        <f t="shared" si="32"/>
        <v>-7.4549999999999983</v>
      </c>
    </row>
    <row r="80" spans="1:26" x14ac:dyDescent="0.25">
      <c r="A80">
        <v>17</v>
      </c>
      <c r="B80" t="s">
        <v>82</v>
      </c>
      <c r="W80" s="4">
        <f>($Y$68*(1+(($Y$71)*$A80))-W$60)</f>
        <v>33.905000000000001</v>
      </c>
      <c r="X80" s="4">
        <f t="shared" si="32"/>
        <v>-7.4549999999999983</v>
      </c>
    </row>
    <row r="81" spans="1:24" x14ac:dyDescent="0.25">
      <c r="A81">
        <v>18</v>
      </c>
      <c r="B81" t="s">
        <v>83</v>
      </c>
      <c r="X81" s="4">
        <f t="shared" si="32"/>
        <v>-7.4549999999999983</v>
      </c>
    </row>
    <row r="91" spans="1:24" x14ac:dyDescent="0.25">
      <c r="B91" s="317" t="s">
        <v>87</v>
      </c>
      <c r="C91" s="317"/>
    </row>
    <row r="92" spans="1:24" x14ac:dyDescent="0.25">
      <c r="B92" s="318">
        <v>0.995</v>
      </c>
      <c r="C92" s="319"/>
    </row>
  </sheetData>
  <mergeCells count="2">
    <mergeCell ref="B91:C91"/>
    <mergeCell ref="B92:C92"/>
  </mergeCells>
  <phoneticPr fontId="13" type="noConversion"/>
  <pageMargins left="0.7" right="0.7" top="0.75" bottom="0.75" header="0.3" footer="0.3"/>
  <pageSetup scale="33" fitToHeight="3" orientation="portrait" r:id="rId1"/>
  <customProperties>
    <customPr name="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2460B-03FE-42E1-8034-08503B91F54D}">
  <sheetPr>
    <tabColor theme="5" tint="0.59999389629810485"/>
    <pageSetUpPr fitToPage="1"/>
  </sheetPr>
  <dimension ref="A1:AV99"/>
  <sheetViews>
    <sheetView zoomScaleNormal="100" workbookViewId="0">
      <selection activeCell="J25" sqref="J25"/>
    </sheetView>
  </sheetViews>
  <sheetFormatPr defaultRowHeight="15" x14ac:dyDescent="0.25"/>
  <cols>
    <col min="1" max="1" width="31.5703125" style="1" customWidth="1"/>
    <col min="2" max="2" width="7.5703125" bestFit="1" customWidth="1"/>
    <col min="3" max="4" width="7.5703125" customWidth="1"/>
    <col min="5" max="5" width="14.42578125" customWidth="1"/>
    <col min="6" max="7" width="11.5703125" bestFit="1" customWidth="1"/>
    <col min="8" max="9" width="12.5703125" bestFit="1" customWidth="1"/>
    <col min="10" max="10" width="13.42578125" bestFit="1" customWidth="1"/>
    <col min="11" max="15" width="12.5703125" bestFit="1" customWidth="1"/>
    <col min="16" max="16" width="14.42578125" bestFit="1" customWidth="1"/>
    <col min="17" max="22" width="12.5703125" bestFit="1" customWidth="1"/>
    <col min="23" max="23" width="14.42578125" bestFit="1" customWidth="1"/>
    <col min="24" max="24" width="12.5703125" bestFit="1" customWidth="1"/>
    <col min="25" max="26" width="12.5703125" customWidth="1"/>
  </cols>
  <sheetData>
    <row r="1" spans="1:40" ht="15.75" x14ac:dyDescent="0.25">
      <c r="A1" s="177" t="s">
        <v>88</v>
      </c>
      <c r="B1" s="177" t="s">
        <v>89</v>
      </c>
      <c r="C1" s="218">
        <v>2020</v>
      </c>
      <c r="D1" s="218">
        <v>2021</v>
      </c>
      <c r="E1" s="218">
        <v>2022</v>
      </c>
      <c r="F1" s="218">
        <f t="shared" ref="F1:Y1" si="0">E1+1</f>
        <v>2023</v>
      </c>
      <c r="G1" s="218">
        <f t="shared" si="0"/>
        <v>2024</v>
      </c>
      <c r="H1" s="218">
        <f t="shared" si="0"/>
        <v>2025</v>
      </c>
      <c r="I1" s="218">
        <f t="shared" si="0"/>
        <v>2026</v>
      </c>
      <c r="J1" s="218">
        <f t="shared" si="0"/>
        <v>2027</v>
      </c>
      <c r="K1" s="218">
        <f t="shared" si="0"/>
        <v>2028</v>
      </c>
      <c r="L1" s="218">
        <f t="shared" si="0"/>
        <v>2029</v>
      </c>
      <c r="M1" s="218">
        <f t="shared" si="0"/>
        <v>2030</v>
      </c>
      <c r="N1" s="218">
        <f t="shared" si="0"/>
        <v>2031</v>
      </c>
      <c r="O1" s="218">
        <f t="shared" si="0"/>
        <v>2032</v>
      </c>
      <c r="P1" s="218">
        <f t="shared" si="0"/>
        <v>2033</v>
      </c>
      <c r="Q1" s="218">
        <f t="shared" si="0"/>
        <v>2034</v>
      </c>
      <c r="R1" s="218">
        <f t="shared" si="0"/>
        <v>2035</v>
      </c>
      <c r="S1" s="218">
        <f t="shared" si="0"/>
        <v>2036</v>
      </c>
      <c r="T1" s="218">
        <f t="shared" si="0"/>
        <v>2037</v>
      </c>
      <c r="U1" s="218">
        <f t="shared" si="0"/>
        <v>2038</v>
      </c>
      <c r="V1" s="218">
        <f t="shared" si="0"/>
        <v>2039</v>
      </c>
      <c r="W1" s="218">
        <f t="shared" si="0"/>
        <v>2040</v>
      </c>
      <c r="X1" s="218">
        <f t="shared" si="0"/>
        <v>2041</v>
      </c>
      <c r="Y1" s="218">
        <f t="shared" si="0"/>
        <v>2042</v>
      </c>
      <c r="Z1" s="218">
        <f t="shared" ref="Z1" si="1">Y1+1</f>
        <v>2043</v>
      </c>
    </row>
    <row r="2" spans="1:40" ht="15.75" x14ac:dyDescent="0.25">
      <c r="A2" s="177" t="s">
        <v>90</v>
      </c>
      <c r="B2" s="11">
        <v>2022</v>
      </c>
      <c r="C2" s="10"/>
      <c r="D2" s="10"/>
      <c r="E2" s="13"/>
      <c r="F2" s="13"/>
      <c r="G2" s="13"/>
      <c r="H2" s="241"/>
      <c r="I2" s="241"/>
      <c r="J2" s="241"/>
      <c r="K2" s="241"/>
      <c r="L2" s="241"/>
      <c r="M2" s="241"/>
      <c r="N2" s="241"/>
      <c r="O2" s="241"/>
      <c r="P2" s="241"/>
      <c r="Q2" s="241"/>
      <c r="R2" s="241"/>
      <c r="S2" s="241"/>
      <c r="T2" s="241"/>
      <c r="U2" s="241"/>
      <c r="V2" s="241"/>
      <c r="W2" s="241"/>
      <c r="X2" s="241"/>
      <c r="Y2" s="241"/>
      <c r="Z2" s="241"/>
    </row>
    <row r="3" spans="1:40" ht="15.75" x14ac:dyDescent="0.25">
      <c r="A3" s="177" t="s">
        <v>90</v>
      </c>
      <c r="B3" s="11">
        <f>B2+1</f>
        <v>2023</v>
      </c>
      <c r="C3" s="11"/>
      <c r="D3" s="11"/>
      <c r="E3" s="13"/>
      <c r="F3" s="13"/>
      <c r="G3" s="13"/>
      <c r="H3" s="241"/>
      <c r="I3" s="241"/>
      <c r="J3" s="21">
        <v>828463</v>
      </c>
      <c r="K3" s="21">
        <v>828463</v>
      </c>
      <c r="L3" s="21">
        <v>828463</v>
      </c>
      <c r="M3" s="21">
        <v>828463</v>
      </c>
      <c r="N3" s="21">
        <v>828463</v>
      </c>
      <c r="O3" s="21">
        <v>828463</v>
      </c>
      <c r="P3" s="21">
        <v>828463</v>
      </c>
      <c r="Q3" s="21">
        <v>828463</v>
      </c>
      <c r="R3" s="21">
        <v>828463</v>
      </c>
      <c r="S3" s="21">
        <v>828463</v>
      </c>
      <c r="T3" s="21">
        <v>828463</v>
      </c>
      <c r="U3" s="21">
        <v>828463</v>
      </c>
      <c r="V3" s="21">
        <v>828463</v>
      </c>
      <c r="W3" s="21">
        <v>828463</v>
      </c>
      <c r="X3" s="21">
        <v>828463</v>
      </c>
      <c r="Y3" s="21">
        <v>828463</v>
      </c>
      <c r="Z3" s="21">
        <v>828463</v>
      </c>
    </row>
    <row r="4" spans="1:40" ht="15.75" x14ac:dyDescent="0.25">
      <c r="A4" s="177" t="s">
        <v>90</v>
      </c>
      <c r="B4" s="11">
        <f t="shared" ref="B4:B22" si="2">B3+1</f>
        <v>2024</v>
      </c>
      <c r="C4" s="11"/>
      <c r="D4" s="11"/>
      <c r="E4" s="13"/>
      <c r="F4" s="13"/>
      <c r="G4" s="13"/>
      <c r="H4" s="241"/>
      <c r="I4" s="241"/>
      <c r="J4" s="78">
        <f>358517</f>
        <v>358517</v>
      </c>
      <c r="K4" s="78">
        <f t="shared" ref="K4:Z4" si="3">358517</f>
        <v>358517</v>
      </c>
      <c r="L4" s="78">
        <f t="shared" si="3"/>
        <v>358517</v>
      </c>
      <c r="M4" s="78">
        <f t="shared" si="3"/>
        <v>358517</v>
      </c>
      <c r="N4" s="78">
        <f t="shared" si="3"/>
        <v>358517</v>
      </c>
      <c r="O4" s="78">
        <f t="shared" si="3"/>
        <v>358517</v>
      </c>
      <c r="P4" s="78">
        <f t="shared" si="3"/>
        <v>358517</v>
      </c>
      <c r="Q4" s="78">
        <f t="shared" si="3"/>
        <v>358517</v>
      </c>
      <c r="R4" s="78">
        <f t="shared" si="3"/>
        <v>358517</v>
      </c>
      <c r="S4" s="78">
        <f t="shared" si="3"/>
        <v>358517</v>
      </c>
      <c r="T4" s="78">
        <f t="shared" si="3"/>
        <v>358517</v>
      </c>
      <c r="U4" s="78">
        <f t="shared" si="3"/>
        <v>358517</v>
      </c>
      <c r="V4" s="78">
        <f t="shared" si="3"/>
        <v>358517</v>
      </c>
      <c r="W4" s="78">
        <f t="shared" si="3"/>
        <v>358517</v>
      </c>
      <c r="X4" s="78">
        <f t="shared" si="3"/>
        <v>358517</v>
      </c>
      <c r="Y4" s="78">
        <f t="shared" si="3"/>
        <v>358517</v>
      </c>
      <c r="Z4" s="78">
        <f t="shared" si="3"/>
        <v>358517</v>
      </c>
    </row>
    <row r="5" spans="1:40" ht="15.75" x14ac:dyDescent="0.25">
      <c r="A5" s="177" t="s">
        <v>90</v>
      </c>
      <c r="B5" s="11">
        <f t="shared" si="2"/>
        <v>2025</v>
      </c>
      <c r="C5" s="11"/>
      <c r="D5" s="11"/>
      <c r="E5" s="13"/>
      <c r="F5" s="13"/>
      <c r="G5" s="13"/>
      <c r="H5" s="241"/>
      <c r="I5" s="241"/>
      <c r="J5" s="241">
        <v>0</v>
      </c>
      <c r="K5" s="241">
        <v>2500000</v>
      </c>
      <c r="L5" s="241">
        <v>2500000</v>
      </c>
      <c r="M5" s="241">
        <v>2500000</v>
      </c>
      <c r="N5" s="241">
        <v>2500000</v>
      </c>
      <c r="O5" s="241">
        <v>2500000</v>
      </c>
      <c r="P5" s="241">
        <v>2500000</v>
      </c>
      <c r="Q5" s="241">
        <v>2500000</v>
      </c>
      <c r="R5" s="241">
        <v>2500000</v>
      </c>
      <c r="S5" s="241">
        <v>2500000</v>
      </c>
      <c r="T5" s="241">
        <v>2500000</v>
      </c>
      <c r="U5" s="241">
        <v>2500000</v>
      </c>
      <c r="V5" s="241">
        <v>2500000</v>
      </c>
      <c r="W5" s="241">
        <v>2500000</v>
      </c>
      <c r="X5" s="241">
        <v>2500000</v>
      </c>
      <c r="Y5" s="241">
        <v>2500000</v>
      </c>
      <c r="Z5" s="241">
        <v>2500000</v>
      </c>
    </row>
    <row r="6" spans="1:40" ht="15.75" x14ac:dyDescent="0.25">
      <c r="A6" s="177" t="s">
        <v>90</v>
      </c>
      <c r="B6" s="11">
        <f t="shared" si="2"/>
        <v>2026</v>
      </c>
      <c r="C6" s="11"/>
      <c r="D6" s="11"/>
      <c r="E6" s="13"/>
      <c r="F6" s="13"/>
      <c r="G6" s="13"/>
      <c r="H6" s="241"/>
      <c r="I6" s="241">
        <v>0</v>
      </c>
      <c r="J6" s="241">
        <v>0</v>
      </c>
      <c r="K6" s="241">
        <v>0</v>
      </c>
      <c r="L6" s="241">
        <f>IF($A$86="Yes",0,2500000)</f>
        <v>2500000</v>
      </c>
      <c r="M6" s="241">
        <f t="shared" ref="M6:Z9" si="4">IF($A$86="Yes",0,2500000)</f>
        <v>2500000</v>
      </c>
      <c r="N6" s="241">
        <f t="shared" si="4"/>
        <v>2500000</v>
      </c>
      <c r="O6" s="241">
        <f t="shared" si="4"/>
        <v>2500000</v>
      </c>
      <c r="P6" s="241">
        <f t="shared" si="4"/>
        <v>2500000</v>
      </c>
      <c r="Q6" s="241">
        <f t="shared" si="4"/>
        <v>2500000</v>
      </c>
      <c r="R6" s="241">
        <f t="shared" si="4"/>
        <v>2500000</v>
      </c>
      <c r="S6" s="241">
        <f t="shared" si="4"/>
        <v>2500000</v>
      </c>
      <c r="T6" s="241">
        <f t="shared" si="4"/>
        <v>2500000</v>
      </c>
      <c r="U6" s="241">
        <f t="shared" si="4"/>
        <v>2500000</v>
      </c>
      <c r="V6" s="241">
        <f t="shared" si="4"/>
        <v>2500000</v>
      </c>
      <c r="W6" s="241">
        <f t="shared" si="4"/>
        <v>2500000</v>
      </c>
      <c r="X6" s="241">
        <f t="shared" si="4"/>
        <v>2500000</v>
      </c>
      <c r="Y6" s="241">
        <f t="shared" si="4"/>
        <v>2500000</v>
      </c>
      <c r="Z6" s="241">
        <f t="shared" si="4"/>
        <v>2500000</v>
      </c>
    </row>
    <row r="7" spans="1:40" ht="15.75" x14ac:dyDescent="0.25">
      <c r="A7" s="177" t="s">
        <v>90</v>
      </c>
      <c r="B7" s="11">
        <f t="shared" si="2"/>
        <v>2027</v>
      </c>
      <c r="C7" s="11"/>
      <c r="D7" s="11"/>
      <c r="E7" s="13"/>
      <c r="F7" s="13"/>
      <c r="G7" s="13"/>
      <c r="H7" s="241"/>
      <c r="I7" s="241"/>
      <c r="J7" s="241">
        <v>0</v>
      </c>
      <c r="K7" s="241">
        <v>0</v>
      </c>
      <c r="L7" s="241">
        <v>0</v>
      </c>
      <c r="M7" s="241">
        <f t="shared" si="4"/>
        <v>2500000</v>
      </c>
      <c r="N7" s="241">
        <f t="shared" si="4"/>
        <v>2500000</v>
      </c>
      <c r="O7" s="241">
        <f t="shared" si="4"/>
        <v>2500000</v>
      </c>
      <c r="P7" s="241">
        <f t="shared" si="4"/>
        <v>2500000</v>
      </c>
      <c r="Q7" s="241">
        <f t="shared" si="4"/>
        <v>2500000</v>
      </c>
      <c r="R7" s="241">
        <f t="shared" si="4"/>
        <v>2500000</v>
      </c>
      <c r="S7" s="241">
        <f t="shared" si="4"/>
        <v>2500000</v>
      </c>
      <c r="T7" s="241">
        <f t="shared" si="4"/>
        <v>2500000</v>
      </c>
      <c r="U7" s="241">
        <f t="shared" si="4"/>
        <v>2500000</v>
      </c>
      <c r="V7" s="241">
        <f t="shared" si="4"/>
        <v>2500000</v>
      </c>
      <c r="W7" s="241">
        <f t="shared" si="4"/>
        <v>2500000</v>
      </c>
      <c r="X7" s="241">
        <f t="shared" si="4"/>
        <v>2500000</v>
      </c>
      <c r="Y7" s="241">
        <f t="shared" si="4"/>
        <v>2500000</v>
      </c>
      <c r="Z7" s="301">
        <f t="shared" si="4"/>
        <v>2500000</v>
      </c>
      <c r="AA7" s="303"/>
      <c r="AB7" s="303"/>
      <c r="AC7" s="303"/>
      <c r="AD7" s="303"/>
      <c r="AE7" s="303"/>
      <c r="AF7" s="303"/>
      <c r="AG7" s="303"/>
      <c r="AH7" s="303"/>
      <c r="AI7" s="303"/>
      <c r="AJ7" s="303"/>
      <c r="AK7" s="303"/>
      <c r="AL7" s="303"/>
      <c r="AM7" s="303"/>
      <c r="AN7" s="303"/>
    </row>
    <row r="8" spans="1:40" ht="15.75" x14ac:dyDescent="0.25">
      <c r="A8" s="177" t="s">
        <v>90</v>
      </c>
      <c r="B8" s="11">
        <f t="shared" si="2"/>
        <v>2028</v>
      </c>
      <c r="C8" s="11"/>
      <c r="D8" s="11"/>
      <c r="E8" s="13"/>
      <c r="F8" s="13"/>
      <c r="G8" s="13"/>
      <c r="H8" s="241"/>
      <c r="I8" s="241"/>
      <c r="J8" s="241"/>
      <c r="K8" s="241">
        <v>0</v>
      </c>
      <c r="L8" s="241">
        <v>0</v>
      </c>
      <c r="M8" s="241">
        <v>0</v>
      </c>
      <c r="N8" s="241">
        <f t="shared" si="4"/>
        <v>2500000</v>
      </c>
      <c r="O8" s="241">
        <f t="shared" si="4"/>
        <v>2500000</v>
      </c>
      <c r="P8" s="241">
        <f t="shared" si="4"/>
        <v>2500000</v>
      </c>
      <c r="Q8" s="241">
        <f t="shared" si="4"/>
        <v>2500000</v>
      </c>
      <c r="R8" s="241">
        <f t="shared" si="4"/>
        <v>2500000</v>
      </c>
      <c r="S8" s="241">
        <f t="shared" si="4"/>
        <v>2500000</v>
      </c>
      <c r="T8" s="241">
        <f t="shared" si="4"/>
        <v>2500000</v>
      </c>
      <c r="U8" s="241">
        <f t="shared" si="4"/>
        <v>2500000</v>
      </c>
      <c r="V8" s="241">
        <f t="shared" si="4"/>
        <v>2500000</v>
      </c>
      <c r="W8" s="241">
        <f t="shared" si="4"/>
        <v>2500000</v>
      </c>
      <c r="X8" s="241">
        <f t="shared" si="4"/>
        <v>2500000</v>
      </c>
      <c r="Y8" s="241">
        <f t="shared" si="4"/>
        <v>2500000</v>
      </c>
      <c r="Z8" s="301">
        <f t="shared" si="4"/>
        <v>2500000</v>
      </c>
      <c r="AA8" s="304"/>
      <c r="AB8" s="303"/>
      <c r="AC8" s="303"/>
      <c r="AD8" s="303"/>
      <c r="AE8" s="303"/>
      <c r="AF8" s="303"/>
      <c r="AG8" s="303"/>
      <c r="AH8" s="303"/>
      <c r="AI8" s="303"/>
      <c r="AJ8" s="303"/>
      <c r="AK8" s="303"/>
      <c r="AL8" s="303"/>
      <c r="AM8" s="303"/>
      <c r="AN8" s="303"/>
    </row>
    <row r="9" spans="1:40" ht="15.75" x14ac:dyDescent="0.25">
      <c r="A9" s="177" t="s">
        <v>90</v>
      </c>
      <c r="B9" s="11">
        <f t="shared" si="2"/>
        <v>2029</v>
      </c>
      <c r="C9" s="11"/>
      <c r="D9" s="11"/>
      <c r="E9" s="13"/>
      <c r="F9" s="13"/>
      <c r="G9" s="13"/>
      <c r="H9" s="241"/>
      <c r="I9" s="241"/>
      <c r="J9" s="241"/>
      <c r="K9" s="241"/>
      <c r="L9" s="241">
        <v>0</v>
      </c>
      <c r="M9" s="241">
        <v>0</v>
      </c>
      <c r="N9" s="241">
        <v>0</v>
      </c>
      <c r="O9" s="241">
        <f t="shared" si="4"/>
        <v>2500000</v>
      </c>
      <c r="P9" s="241">
        <f t="shared" si="4"/>
        <v>2500000</v>
      </c>
      <c r="Q9" s="241">
        <f t="shared" si="4"/>
        <v>2500000</v>
      </c>
      <c r="R9" s="241">
        <f t="shared" si="4"/>
        <v>2500000</v>
      </c>
      <c r="S9" s="241">
        <f t="shared" si="4"/>
        <v>2500000</v>
      </c>
      <c r="T9" s="241">
        <f t="shared" si="4"/>
        <v>2500000</v>
      </c>
      <c r="U9" s="241">
        <f t="shared" si="4"/>
        <v>2500000</v>
      </c>
      <c r="V9" s="241">
        <f t="shared" si="4"/>
        <v>2500000</v>
      </c>
      <c r="W9" s="241">
        <f t="shared" si="4"/>
        <v>2500000</v>
      </c>
      <c r="X9" s="241">
        <f t="shared" si="4"/>
        <v>2500000</v>
      </c>
      <c r="Y9" s="241">
        <f t="shared" si="4"/>
        <v>2500000</v>
      </c>
      <c r="Z9" s="301">
        <f t="shared" si="4"/>
        <v>2500000</v>
      </c>
      <c r="AA9" s="304"/>
      <c r="AB9" s="304"/>
      <c r="AC9" s="303"/>
      <c r="AD9" s="303"/>
      <c r="AE9" s="303"/>
      <c r="AF9" s="303"/>
      <c r="AG9" s="303"/>
      <c r="AH9" s="303"/>
      <c r="AI9" s="303"/>
      <c r="AJ9" s="303"/>
      <c r="AK9" s="303"/>
      <c r="AL9" s="303"/>
      <c r="AM9" s="303"/>
      <c r="AN9" s="303"/>
    </row>
    <row r="10" spans="1:40" ht="15.75" x14ac:dyDescent="0.25">
      <c r="A10" s="177" t="s">
        <v>90</v>
      </c>
      <c r="B10" s="11">
        <f t="shared" si="2"/>
        <v>2030</v>
      </c>
      <c r="C10" s="11"/>
      <c r="D10" s="11"/>
      <c r="E10" s="13"/>
      <c r="F10" s="13"/>
      <c r="G10" s="13"/>
      <c r="H10" s="241"/>
      <c r="I10" s="241"/>
      <c r="J10" s="241"/>
      <c r="K10" s="241"/>
      <c r="L10" s="241"/>
      <c r="M10" s="241">
        <v>0</v>
      </c>
      <c r="N10" s="241">
        <v>0</v>
      </c>
      <c r="O10" s="241">
        <v>0</v>
      </c>
      <c r="P10" s="241">
        <f>IF($A$86="Yes",0,1000000)</f>
        <v>1000000</v>
      </c>
      <c r="Q10" s="241">
        <f t="shared" ref="Q10:Z20" si="5">IF($A$86="Yes",0,1000000)</f>
        <v>1000000</v>
      </c>
      <c r="R10" s="241">
        <f t="shared" si="5"/>
        <v>1000000</v>
      </c>
      <c r="S10" s="241">
        <f t="shared" si="5"/>
        <v>1000000</v>
      </c>
      <c r="T10" s="241">
        <f t="shared" si="5"/>
        <v>1000000</v>
      </c>
      <c r="U10" s="241">
        <f t="shared" si="5"/>
        <v>1000000</v>
      </c>
      <c r="V10" s="241">
        <f t="shared" si="5"/>
        <v>1000000</v>
      </c>
      <c r="W10" s="241">
        <f t="shared" si="5"/>
        <v>1000000</v>
      </c>
      <c r="X10" s="241">
        <f t="shared" si="5"/>
        <v>1000000</v>
      </c>
      <c r="Y10" s="241">
        <f t="shared" si="5"/>
        <v>1000000</v>
      </c>
      <c r="Z10" s="241">
        <f t="shared" si="5"/>
        <v>1000000</v>
      </c>
      <c r="AA10" s="304"/>
      <c r="AB10" s="304"/>
      <c r="AC10" s="304"/>
      <c r="AD10" s="303"/>
      <c r="AE10" s="303"/>
      <c r="AF10" s="303"/>
      <c r="AG10" s="303"/>
      <c r="AH10" s="303"/>
      <c r="AI10" s="303"/>
      <c r="AJ10" s="303"/>
      <c r="AK10" s="303"/>
      <c r="AL10" s="303"/>
      <c r="AM10" s="303"/>
      <c r="AN10" s="303"/>
    </row>
    <row r="11" spans="1:40" ht="15.75" x14ac:dyDescent="0.25">
      <c r="A11" s="177" t="s">
        <v>90</v>
      </c>
      <c r="B11" s="11">
        <f t="shared" si="2"/>
        <v>2031</v>
      </c>
      <c r="C11" s="11"/>
      <c r="D11" s="11"/>
      <c r="E11" s="13"/>
      <c r="F11" s="13"/>
      <c r="G11" s="13"/>
      <c r="H11" s="241"/>
      <c r="I11" s="241"/>
      <c r="J11" s="241"/>
      <c r="K11" s="241"/>
      <c r="L11" s="241"/>
      <c r="M11" s="241"/>
      <c r="N11" s="241">
        <v>0</v>
      </c>
      <c r="O11" s="241">
        <v>0</v>
      </c>
      <c r="P11" s="241">
        <v>0</v>
      </c>
      <c r="Q11" s="241">
        <f t="shared" si="5"/>
        <v>1000000</v>
      </c>
      <c r="R11" s="241">
        <f t="shared" si="5"/>
        <v>1000000</v>
      </c>
      <c r="S11" s="241">
        <f t="shared" si="5"/>
        <v>1000000</v>
      </c>
      <c r="T11" s="241">
        <f t="shared" si="5"/>
        <v>1000000</v>
      </c>
      <c r="U11" s="241">
        <f t="shared" si="5"/>
        <v>1000000</v>
      </c>
      <c r="V11" s="241">
        <f t="shared" si="5"/>
        <v>1000000</v>
      </c>
      <c r="W11" s="241">
        <f t="shared" si="5"/>
        <v>1000000</v>
      </c>
      <c r="X11" s="241">
        <f t="shared" si="5"/>
        <v>1000000</v>
      </c>
      <c r="Y11" s="241">
        <f t="shared" si="5"/>
        <v>1000000</v>
      </c>
      <c r="Z11" s="241">
        <f t="shared" si="5"/>
        <v>1000000</v>
      </c>
      <c r="AA11" s="304"/>
      <c r="AB11" s="304"/>
      <c r="AC11" s="304"/>
      <c r="AD11" s="304"/>
      <c r="AE11" s="303"/>
      <c r="AF11" s="303"/>
      <c r="AG11" s="303"/>
      <c r="AH11" s="303"/>
      <c r="AI11" s="303"/>
      <c r="AJ11" s="303"/>
      <c r="AK11" s="303"/>
      <c r="AL11" s="303"/>
      <c r="AM11" s="303"/>
      <c r="AN11" s="303"/>
    </row>
    <row r="12" spans="1:40" ht="15.75" x14ac:dyDescent="0.25">
      <c r="A12" s="177" t="s">
        <v>90</v>
      </c>
      <c r="B12" s="11">
        <f t="shared" si="2"/>
        <v>2032</v>
      </c>
      <c r="C12" s="11"/>
      <c r="D12" s="11"/>
      <c r="E12" s="13"/>
      <c r="F12" s="13"/>
      <c r="G12" s="13"/>
      <c r="H12" s="241"/>
      <c r="I12" s="241"/>
      <c r="J12" s="241"/>
      <c r="K12" s="241"/>
      <c r="L12" s="241"/>
      <c r="M12" s="241"/>
      <c r="N12" s="241"/>
      <c r="O12" s="241">
        <v>0</v>
      </c>
      <c r="P12" s="241">
        <v>0</v>
      </c>
      <c r="Q12" s="241">
        <v>0</v>
      </c>
      <c r="R12" s="241">
        <f t="shared" si="5"/>
        <v>1000000</v>
      </c>
      <c r="S12" s="241">
        <f t="shared" si="5"/>
        <v>1000000</v>
      </c>
      <c r="T12" s="241">
        <f t="shared" si="5"/>
        <v>1000000</v>
      </c>
      <c r="U12" s="241">
        <f t="shared" si="5"/>
        <v>1000000</v>
      </c>
      <c r="V12" s="241">
        <f t="shared" si="5"/>
        <v>1000000</v>
      </c>
      <c r="W12" s="241">
        <f t="shared" si="5"/>
        <v>1000000</v>
      </c>
      <c r="X12" s="241">
        <f t="shared" si="5"/>
        <v>1000000</v>
      </c>
      <c r="Y12" s="241">
        <f t="shared" si="5"/>
        <v>1000000</v>
      </c>
      <c r="Z12" s="241">
        <f t="shared" si="5"/>
        <v>1000000</v>
      </c>
      <c r="AA12" s="241"/>
      <c r="AB12" s="304"/>
      <c r="AC12" s="304"/>
      <c r="AD12" s="304"/>
      <c r="AE12" s="304"/>
      <c r="AF12" s="303"/>
      <c r="AG12" s="303"/>
      <c r="AH12" s="303"/>
      <c r="AI12" s="303"/>
      <c r="AJ12" s="303"/>
      <c r="AK12" s="303"/>
      <c r="AL12" s="303"/>
      <c r="AM12" s="303"/>
      <c r="AN12" s="303"/>
    </row>
    <row r="13" spans="1:40" ht="15.75" x14ac:dyDescent="0.25">
      <c r="A13" s="177" t="s">
        <v>90</v>
      </c>
      <c r="B13" s="11">
        <f t="shared" si="2"/>
        <v>2033</v>
      </c>
      <c r="C13" s="11"/>
      <c r="D13" s="11"/>
      <c r="E13" s="13"/>
      <c r="F13" s="13"/>
      <c r="G13" s="13"/>
      <c r="H13" s="241"/>
      <c r="I13" s="241"/>
      <c r="J13" s="241"/>
      <c r="K13" s="241"/>
      <c r="L13" s="241"/>
      <c r="M13" s="241"/>
      <c r="N13" s="241"/>
      <c r="O13" s="241"/>
      <c r="P13" s="241">
        <v>0</v>
      </c>
      <c r="Q13" s="241">
        <v>0</v>
      </c>
      <c r="R13" s="241">
        <v>0</v>
      </c>
      <c r="S13" s="241">
        <f t="shared" si="5"/>
        <v>1000000</v>
      </c>
      <c r="T13" s="241">
        <f t="shared" si="5"/>
        <v>1000000</v>
      </c>
      <c r="U13" s="241">
        <f t="shared" si="5"/>
        <v>1000000</v>
      </c>
      <c r="V13" s="241">
        <f t="shared" si="5"/>
        <v>1000000</v>
      </c>
      <c r="W13" s="241">
        <f t="shared" si="5"/>
        <v>1000000</v>
      </c>
      <c r="X13" s="241">
        <f t="shared" si="5"/>
        <v>1000000</v>
      </c>
      <c r="Y13" s="241">
        <f t="shared" si="5"/>
        <v>1000000</v>
      </c>
      <c r="Z13" s="241">
        <f t="shared" si="5"/>
        <v>1000000</v>
      </c>
      <c r="AA13" s="241"/>
      <c r="AB13" s="241"/>
      <c r="AC13" s="304"/>
      <c r="AD13" s="304"/>
      <c r="AE13" s="304"/>
      <c r="AF13" s="304"/>
      <c r="AG13" s="303"/>
      <c r="AH13" s="303"/>
      <c r="AI13" s="303"/>
      <c r="AJ13" s="303"/>
      <c r="AK13" s="303"/>
      <c r="AL13" s="303"/>
      <c r="AM13" s="303"/>
      <c r="AN13" s="303"/>
    </row>
    <row r="14" spans="1:40" ht="15.75" x14ac:dyDescent="0.25">
      <c r="A14" s="177" t="s">
        <v>90</v>
      </c>
      <c r="B14" s="11">
        <f t="shared" si="2"/>
        <v>2034</v>
      </c>
      <c r="C14" s="11"/>
      <c r="D14" s="11"/>
      <c r="E14" s="13"/>
      <c r="F14" s="13"/>
      <c r="G14" s="13"/>
      <c r="H14" s="241"/>
      <c r="I14" s="241"/>
      <c r="J14" s="241"/>
      <c r="K14" s="241"/>
      <c r="L14" s="241"/>
      <c r="M14" s="241"/>
      <c r="N14" s="241"/>
      <c r="O14" s="241"/>
      <c r="P14" s="241"/>
      <c r="Q14" s="241">
        <v>0</v>
      </c>
      <c r="R14" s="241">
        <v>0</v>
      </c>
      <c r="S14" s="241">
        <v>0</v>
      </c>
      <c r="T14" s="241">
        <f t="shared" si="5"/>
        <v>1000000</v>
      </c>
      <c r="U14" s="241">
        <f t="shared" si="5"/>
        <v>1000000</v>
      </c>
      <c r="V14" s="241">
        <f t="shared" si="5"/>
        <v>1000000</v>
      </c>
      <c r="W14" s="241">
        <f t="shared" si="5"/>
        <v>1000000</v>
      </c>
      <c r="X14" s="241">
        <f t="shared" si="5"/>
        <v>1000000</v>
      </c>
      <c r="Y14" s="241">
        <f t="shared" si="5"/>
        <v>1000000</v>
      </c>
      <c r="Z14" s="241">
        <f t="shared" si="5"/>
        <v>1000000</v>
      </c>
      <c r="AA14" s="241"/>
      <c r="AB14" s="241"/>
      <c r="AC14" s="241"/>
      <c r="AD14" s="304"/>
      <c r="AE14" s="304"/>
      <c r="AF14" s="304"/>
      <c r="AG14" s="304"/>
      <c r="AH14" s="303"/>
      <c r="AI14" s="303"/>
      <c r="AJ14" s="303"/>
      <c r="AK14" s="303"/>
      <c r="AL14" s="303"/>
      <c r="AM14" s="303"/>
      <c r="AN14" s="303"/>
    </row>
    <row r="15" spans="1:40" ht="15.75" x14ac:dyDescent="0.25">
      <c r="A15" s="177" t="s">
        <v>90</v>
      </c>
      <c r="B15" s="11">
        <f t="shared" si="2"/>
        <v>2035</v>
      </c>
      <c r="C15" s="11"/>
      <c r="D15" s="11"/>
      <c r="E15" s="13"/>
      <c r="F15" s="13"/>
      <c r="G15" s="13"/>
      <c r="H15" s="241"/>
      <c r="I15" s="241"/>
      <c r="J15" s="241"/>
      <c r="K15" s="241"/>
      <c r="L15" s="241"/>
      <c r="M15" s="241"/>
      <c r="N15" s="241"/>
      <c r="O15" s="241"/>
      <c r="P15" s="241"/>
      <c r="Q15" s="241"/>
      <c r="R15" s="241">
        <v>0</v>
      </c>
      <c r="S15" s="241">
        <v>0</v>
      </c>
      <c r="T15" s="241">
        <v>0</v>
      </c>
      <c r="U15" s="241">
        <f t="shared" si="5"/>
        <v>1000000</v>
      </c>
      <c r="V15" s="241">
        <f t="shared" si="5"/>
        <v>1000000</v>
      </c>
      <c r="W15" s="241">
        <f t="shared" si="5"/>
        <v>1000000</v>
      </c>
      <c r="X15" s="241">
        <f t="shared" si="5"/>
        <v>1000000</v>
      </c>
      <c r="Y15" s="241">
        <f t="shared" si="5"/>
        <v>1000000</v>
      </c>
      <c r="Z15" s="241">
        <f t="shared" si="5"/>
        <v>1000000</v>
      </c>
      <c r="AA15" s="241"/>
      <c r="AB15" s="241"/>
      <c r="AC15" s="241"/>
      <c r="AD15" s="241"/>
      <c r="AE15" s="304"/>
      <c r="AF15" s="304"/>
      <c r="AG15" s="304"/>
      <c r="AH15" s="304"/>
      <c r="AI15" s="303"/>
      <c r="AJ15" s="303"/>
      <c r="AK15" s="303"/>
      <c r="AL15" s="303"/>
      <c r="AM15" s="303"/>
      <c r="AN15" s="303"/>
    </row>
    <row r="16" spans="1:40" ht="15.75" x14ac:dyDescent="0.25">
      <c r="A16" s="177" t="s">
        <v>90</v>
      </c>
      <c r="B16" s="11">
        <f t="shared" si="2"/>
        <v>2036</v>
      </c>
      <c r="C16" s="11"/>
      <c r="D16" s="11"/>
      <c r="E16" s="13"/>
      <c r="F16" s="13"/>
      <c r="G16" s="13"/>
      <c r="H16" s="241"/>
      <c r="I16" s="241"/>
      <c r="J16" s="241"/>
      <c r="K16" s="241"/>
      <c r="L16" s="241"/>
      <c r="M16" s="241"/>
      <c r="N16" s="241"/>
      <c r="O16" s="241"/>
      <c r="P16" s="241"/>
      <c r="Q16" s="241"/>
      <c r="R16" s="241"/>
      <c r="S16" s="241">
        <v>0</v>
      </c>
      <c r="T16" s="241">
        <v>0</v>
      </c>
      <c r="U16" s="241">
        <v>0</v>
      </c>
      <c r="V16" s="241">
        <f t="shared" si="5"/>
        <v>1000000</v>
      </c>
      <c r="W16" s="241">
        <f t="shared" si="5"/>
        <v>1000000</v>
      </c>
      <c r="X16" s="241">
        <f t="shared" si="5"/>
        <v>1000000</v>
      </c>
      <c r="Y16" s="241">
        <f t="shared" si="5"/>
        <v>1000000</v>
      </c>
      <c r="Z16" s="241">
        <f t="shared" si="5"/>
        <v>1000000</v>
      </c>
      <c r="AA16" s="241"/>
      <c r="AB16" s="241"/>
      <c r="AC16" s="241"/>
      <c r="AD16" s="241"/>
      <c r="AE16" s="241"/>
      <c r="AF16" s="304"/>
      <c r="AG16" s="304"/>
      <c r="AH16" s="304"/>
      <c r="AI16" s="304"/>
      <c r="AJ16" s="303"/>
      <c r="AK16" s="303"/>
      <c r="AL16" s="303"/>
      <c r="AM16" s="303"/>
      <c r="AN16" s="303"/>
    </row>
    <row r="17" spans="1:40" ht="15.75" x14ac:dyDescent="0.25">
      <c r="A17" s="177" t="s">
        <v>90</v>
      </c>
      <c r="B17" s="11">
        <f t="shared" si="2"/>
        <v>2037</v>
      </c>
      <c r="C17" s="11"/>
      <c r="D17" s="11"/>
      <c r="E17" s="13"/>
      <c r="F17" s="13"/>
      <c r="G17" s="13"/>
      <c r="H17" s="241"/>
      <c r="I17" s="241"/>
      <c r="J17" s="241"/>
      <c r="K17" s="241"/>
      <c r="L17" s="241"/>
      <c r="M17" s="241"/>
      <c r="N17" s="241"/>
      <c r="O17" s="241"/>
      <c r="P17" s="241"/>
      <c r="Q17" s="241"/>
      <c r="R17" s="241"/>
      <c r="S17" s="241"/>
      <c r="T17" s="241">
        <v>0</v>
      </c>
      <c r="U17" s="241">
        <v>0</v>
      </c>
      <c r="V17" s="241">
        <v>0</v>
      </c>
      <c r="W17" s="241">
        <f t="shared" si="5"/>
        <v>1000000</v>
      </c>
      <c r="X17" s="241">
        <f t="shared" si="5"/>
        <v>1000000</v>
      </c>
      <c r="Y17" s="241">
        <f t="shared" si="5"/>
        <v>1000000</v>
      </c>
      <c r="Z17" s="241">
        <f t="shared" si="5"/>
        <v>1000000</v>
      </c>
      <c r="AA17" s="241"/>
      <c r="AB17" s="241"/>
      <c r="AC17" s="241"/>
      <c r="AD17" s="241"/>
      <c r="AE17" s="241"/>
      <c r="AF17" s="241"/>
      <c r="AG17" s="304"/>
      <c r="AH17" s="304"/>
      <c r="AI17" s="304"/>
      <c r="AJ17" s="304"/>
      <c r="AK17" s="303"/>
      <c r="AL17" s="303"/>
      <c r="AM17" s="303"/>
      <c r="AN17" s="303"/>
    </row>
    <row r="18" spans="1:40" ht="15.75" x14ac:dyDescent="0.25">
      <c r="A18" s="177" t="s">
        <v>90</v>
      </c>
      <c r="B18" s="11">
        <f t="shared" si="2"/>
        <v>2038</v>
      </c>
      <c r="C18" s="11"/>
      <c r="D18" s="11"/>
      <c r="E18" s="13"/>
      <c r="F18" s="13"/>
      <c r="G18" s="13"/>
      <c r="H18" s="241"/>
      <c r="I18" s="241"/>
      <c r="J18" s="241"/>
      <c r="K18" s="241"/>
      <c r="L18" s="241"/>
      <c r="M18" s="241"/>
      <c r="N18" s="241"/>
      <c r="O18" s="241"/>
      <c r="P18" s="241"/>
      <c r="Q18" s="241"/>
      <c r="R18" s="241"/>
      <c r="S18" s="241"/>
      <c r="T18" s="241"/>
      <c r="U18" s="241">
        <v>0</v>
      </c>
      <c r="V18" s="241">
        <v>0</v>
      </c>
      <c r="W18" s="241">
        <v>0</v>
      </c>
      <c r="X18" s="241">
        <f t="shared" si="5"/>
        <v>1000000</v>
      </c>
      <c r="Y18" s="241">
        <f t="shared" si="5"/>
        <v>1000000</v>
      </c>
      <c r="Z18" s="241">
        <f t="shared" si="5"/>
        <v>1000000</v>
      </c>
      <c r="AA18" s="241"/>
      <c r="AB18" s="241"/>
      <c r="AC18" s="241"/>
      <c r="AD18" s="241"/>
      <c r="AE18" s="241"/>
      <c r="AF18" s="241"/>
      <c r="AG18" s="241"/>
      <c r="AH18" s="304"/>
      <c r="AI18" s="304"/>
      <c r="AJ18" s="304"/>
      <c r="AK18" s="304"/>
      <c r="AL18" s="303"/>
      <c r="AM18" s="303"/>
      <c r="AN18" s="303"/>
    </row>
    <row r="19" spans="1:40" ht="15.75" x14ac:dyDescent="0.25">
      <c r="A19" s="177" t="s">
        <v>90</v>
      </c>
      <c r="B19" s="11">
        <f t="shared" si="2"/>
        <v>2039</v>
      </c>
      <c r="C19" s="11"/>
      <c r="D19" s="11"/>
      <c r="E19" s="13"/>
      <c r="F19" s="13"/>
      <c r="G19" s="13"/>
      <c r="H19" s="241"/>
      <c r="I19" s="241"/>
      <c r="J19" s="241"/>
      <c r="K19" s="241"/>
      <c r="L19" s="241"/>
      <c r="M19" s="241"/>
      <c r="N19" s="241"/>
      <c r="O19" s="241"/>
      <c r="P19" s="241"/>
      <c r="Q19" s="241"/>
      <c r="R19" s="241"/>
      <c r="S19" s="241"/>
      <c r="T19" s="241"/>
      <c r="U19" s="241"/>
      <c r="V19" s="241">
        <v>0</v>
      </c>
      <c r="W19" s="241">
        <v>0</v>
      </c>
      <c r="X19" s="241">
        <v>0</v>
      </c>
      <c r="Y19" s="241">
        <f t="shared" si="5"/>
        <v>1000000</v>
      </c>
      <c r="Z19" s="241">
        <f t="shared" si="5"/>
        <v>1000000</v>
      </c>
      <c r="AA19" s="241"/>
      <c r="AB19" s="241"/>
      <c r="AC19" s="241"/>
      <c r="AD19" s="241"/>
      <c r="AE19" s="241"/>
      <c r="AF19" s="241"/>
      <c r="AG19" s="241"/>
      <c r="AH19" s="241"/>
      <c r="AI19" s="304"/>
      <c r="AJ19" s="304"/>
      <c r="AK19" s="304"/>
      <c r="AL19" s="304"/>
      <c r="AM19" s="303"/>
      <c r="AN19" s="303"/>
    </row>
    <row r="20" spans="1:40" ht="15.75" x14ac:dyDescent="0.25">
      <c r="A20" s="177" t="s">
        <v>90</v>
      </c>
      <c r="B20" s="11">
        <f t="shared" si="2"/>
        <v>2040</v>
      </c>
      <c r="C20" s="11"/>
      <c r="D20" s="11"/>
      <c r="E20" s="13"/>
      <c r="F20" s="13"/>
      <c r="G20" s="13"/>
      <c r="H20" s="241"/>
      <c r="I20" s="241"/>
      <c r="J20" s="241"/>
      <c r="K20" s="241"/>
      <c r="L20" s="241"/>
      <c r="M20" s="241"/>
      <c r="N20" s="241"/>
      <c r="O20" s="241"/>
      <c r="P20" s="241"/>
      <c r="Q20" s="241"/>
      <c r="R20" s="241"/>
      <c r="S20" s="241"/>
      <c r="T20" s="241"/>
      <c r="U20" s="241"/>
      <c r="V20" s="241"/>
      <c r="W20" s="241">
        <v>0</v>
      </c>
      <c r="X20" s="241">
        <v>0</v>
      </c>
      <c r="Y20" s="241">
        <v>0</v>
      </c>
      <c r="Z20" s="241">
        <f t="shared" si="5"/>
        <v>1000000</v>
      </c>
      <c r="AA20" s="241"/>
      <c r="AB20" s="241"/>
      <c r="AC20" s="241"/>
      <c r="AD20" s="241"/>
      <c r="AE20" s="241"/>
      <c r="AF20" s="241"/>
      <c r="AG20" s="241"/>
      <c r="AH20" s="241"/>
      <c r="AI20" s="241"/>
      <c r="AJ20" s="304"/>
      <c r="AK20" s="304"/>
      <c r="AL20" s="304"/>
      <c r="AM20" s="304"/>
      <c r="AN20" s="303"/>
    </row>
    <row r="21" spans="1:40" ht="15.75" x14ac:dyDescent="0.25">
      <c r="A21" s="177" t="s">
        <v>90</v>
      </c>
      <c r="B21" s="11">
        <f t="shared" si="2"/>
        <v>2041</v>
      </c>
      <c r="C21" s="11"/>
      <c r="D21" s="11"/>
      <c r="E21" s="13"/>
      <c r="F21" s="13"/>
      <c r="G21" s="13"/>
      <c r="H21" s="241"/>
      <c r="I21" s="241"/>
      <c r="J21" s="241"/>
      <c r="K21" s="241"/>
      <c r="L21" s="241"/>
      <c r="M21" s="241"/>
      <c r="N21" s="241"/>
      <c r="O21" s="241"/>
      <c r="P21" s="241"/>
      <c r="Q21" s="241"/>
      <c r="R21" s="241"/>
      <c r="S21" s="241"/>
      <c r="T21" s="241"/>
      <c r="U21" s="241"/>
      <c r="V21" s="241"/>
      <c r="W21" s="241"/>
      <c r="X21" s="241"/>
      <c r="Y21" s="241"/>
      <c r="Z21" s="301"/>
      <c r="AA21" s="303"/>
      <c r="AB21" s="303"/>
      <c r="AC21" s="303"/>
      <c r="AD21" s="303"/>
      <c r="AE21" s="303"/>
      <c r="AF21" s="303"/>
      <c r="AG21" s="303"/>
      <c r="AH21" s="303"/>
      <c r="AI21" s="303"/>
      <c r="AJ21" s="303"/>
      <c r="AK21" s="303"/>
      <c r="AL21" s="303"/>
      <c r="AM21" s="303"/>
      <c r="AN21" s="303"/>
    </row>
    <row r="22" spans="1:40" ht="15.75" x14ac:dyDescent="0.25">
      <c r="A22" s="177" t="s">
        <v>90</v>
      </c>
      <c r="B22" s="11">
        <f t="shared" si="2"/>
        <v>2042</v>
      </c>
      <c r="C22" s="11"/>
      <c r="D22" s="11"/>
      <c r="E22" s="13"/>
      <c r="F22" s="13"/>
      <c r="G22" s="13"/>
      <c r="H22" s="241"/>
      <c r="I22" s="241"/>
      <c r="J22" s="241"/>
      <c r="K22" s="241"/>
      <c r="L22" s="241"/>
      <c r="M22" s="241"/>
      <c r="N22" s="241"/>
      <c r="O22" s="241"/>
      <c r="P22" s="241"/>
      <c r="Q22" s="241"/>
      <c r="R22" s="241"/>
      <c r="S22" s="241"/>
      <c r="T22" s="241"/>
      <c r="U22" s="241"/>
      <c r="V22" s="241"/>
      <c r="W22" s="241"/>
      <c r="X22" s="241"/>
      <c r="Y22" s="241"/>
      <c r="Z22" s="301"/>
      <c r="AA22" s="303"/>
      <c r="AB22" s="303"/>
      <c r="AC22" s="303"/>
      <c r="AD22" s="303"/>
      <c r="AE22" s="303"/>
      <c r="AF22" s="303"/>
      <c r="AG22" s="303"/>
      <c r="AH22" s="303"/>
      <c r="AI22" s="303"/>
      <c r="AJ22" s="303"/>
      <c r="AK22" s="303"/>
      <c r="AL22" s="303"/>
      <c r="AM22" s="303"/>
      <c r="AN22" s="303"/>
    </row>
    <row r="23" spans="1:40" ht="15.75" x14ac:dyDescent="0.25">
      <c r="A23" s="12" t="s">
        <v>91</v>
      </c>
      <c r="B23" s="11">
        <v>2022</v>
      </c>
      <c r="C23" s="11"/>
      <c r="D23" s="11"/>
      <c r="E23" s="9"/>
      <c r="F23" s="9"/>
      <c r="G23" s="9"/>
      <c r="H23" s="242">
        <v>1891521</v>
      </c>
      <c r="I23" s="242">
        <v>1882063.395</v>
      </c>
      <c r="J23" s="242">
        <v>1872653.0780249999</v>
      </c>
      <c r="K23" s="242">
        <v>1863289.8126348751</v>
      </c>
      <c r="L23" s="242">
        <v>1853973.3635717006</v>
      </c>
      <c r="M23" s="242">
        <v>1844703.4967538421</v>
      </c>
      <c r="N23" s="242">
        <v>1835479.9792700727</v>
      </c>
      <c r="O23" s="242">
        <v>1826302.5793737224</v>
      </c>
      <c r="P23" s="242">
        <v>1817171.0664768536</v>
      </c>
      <c r="Q23" s="242">
        <v>1808085.2111444692</v>
      </c>
      <c r="R23" s="242">
        <v>1799044.7850887468</v>
      </c>
      <c r="S23" s="242">
        <v>1790049.5611633032</v>
      </c>
      <c r="T23" s="242">
        <v>1781099.3133574869</v>
      </c>
      <c r="U23" s="242">
        <v>1772193.8167906995</v>
      </c>
      <c r="V23" s="242">
        <v>1763332.8477067458</v>
      </c>
      <c r="W23" s="242">
        <v>1754516.1834682119</v>
      </c>
      <c r="X23" s="242">
        <v>1745743.602550871</v>
      </c>
      <c r="Y23" s="242">
        <v>1737014.8845381164</v>
      </c>
      <c r="Z23" s="302">
        <v>1737015.8845381199</v>
      </c>
      <c r="AA23" s="303"/>
      <c r="AB23" s="303"/>
      <c r="AC23" s="303"/>
      <c r="AD23" s="303"/>
      <c r="AE23" s="303"/>
      <c r="AF23" s="303"/>
      <c r="AG23" s="303"/>
      <c r="AH23" s="303"/>
      <c r="AI23" s="303"/>
      <c r="AJ23" s="303"/>
      <c r="AK23" s="303"/>
      <c r="AL23" s="303"/>
      <c r="AM23" s="303"/>
      <c r="AN23" s="303"/>
    </row>
    <row r="24" spans="1:40" ht="15.75" x14ac:dyDescent="0.25">
      <c r="A24" s="12" t="s">
        <v>91</v>
      </c>
      <c r="B24" s="11">
        <f>B23+1</f>
        <v>2023</v>
      </c>
      <c r="C24" s="11"/>
      <c r="D24" s="11"/>
      <c r="E24" s="9"/>
      <c r="F24" s="9">
        <v>0</v>
      </c>
      <c r="G24" s="9">
        <v>0</v>
      </c>
      <c r="H24" s="242">
        <v>0</v>
      </c>
      <c r="I24" s="242">
        <v>2251008</v>
      </c>
      <c r="J24" s="242">
        <f>I24*'Indexed REC Calculator'!$B$92</f>
        <v>2239752.96</v>
      </c>
      <c r="K24" s="242">
        <f>J24*'Indexed REC Calculator'!$B$92</f>
        <v>2228554.1952</v>
      </c>
      <c r="L24" s="242">
        <f>K24*'Indexed REC Calculator'!$B$92</f>
        <v>2217411.424224</v>
      </c>
      <c r="M24" s="242">
        <f>L24*'Indexed REC Calculator'!$B$92</f>
        <v>2206324.36710288</v>
      </c>
      <c r="N24" s="242">
        <f>M24*'Indexed REC Calculator'!$B$92</f>
        <v>2195292.7452673656</v>
      </c>
      <c r="O24" s="242">
        <f>N24*'Indexed REC Calculator'!$B$92</f>
        <v>2184316.2815410285</v>
      </c>
      <c r="P24" s="242">
        <f>O24*'Indexed REC Calculator'!$B$92</f>
        <v>2173394.7001333232</v>
      </c>
      <c r="Q24" s="242">
        <f>P24*'Indexed REC Calculator'!$B$92</f>
        <v>2162527.7266326565</v>
      </c>
      <c r="R24" s="242">
        <f>Q24*'Indexed REC Calculator'!$B$92</f>
        <v>2151715.0879994933</v>
      </c>
      <c r="S24" s="242">
        <f>R24*'Indexed REC Calculator'!$B$92</f>
        <v>2140956.5125594959</v>
      </c>
      <c r="T24" s="242">
        <f>S24*'Indexed REC Calculator'!$B$92</f>
        <v>2130251.7299966984</v>
      </c>
      <c r="U24" s="242">
        <f>T24*'Indexed REC Calculator'!$B$92</f>
        <v>2119600.471346715</v>
      </c>
      <c r="V24" s="242">
        <f>U24*'Indexed REC Calculator'!$B$92</f>
        <v>2109002.4689899813</v>
      </c>
      <c r="W24" s="242">
        <f>V24*'Indexed REC Calculator'!$B$92</f>
        <v>2098457.4566450315</v>
      </c>
      <c r="X24" s="242">
        <f>W24*'Indexed REC Calculator'!$B$92</f>
        <v>2087965.1693618062</v>
      </c>
      <c r="Y24" s="242">
        <f>X24*'Indexed REC Calculator'!$B$92</f>
        <v>2077525.3435149973</v>
      </c>
      <c r="Z24" s="242">
        <f>Y24*'Indexed REC Calculator'!$B$92</f>
        <v>2067137.7167974224</v>
      </c>
    </row>
    <row r="25" spans="1:40" ht="15.75" x14ac:dyDescent="0.25">
      <c r="A25" s="12" t="s">
        <v>91</v>
      </c>
      <c r="B25" s="11">
        <f t="shared" ref="B25:B43" si="6">B24+1</f>
        <v>2024</v>
      </c>
      <c r="C25" s="11"/>
      <c r="D25" s="11"/>
      <c r="E25" s="9"/>
      <c r="F25" s="9"/>
      <c r="G25" s="9">
        <v>0</v>
      </c>
      <c r="H25" s="242">
        <v>0</v>
      </c>
      <c r="I25" s="242">
        <v>0</v>
      </c>
      <c r="J25" s="9">
        <f>858219</f>
        <v>858219</v>
      </c>
      <c r="K25" s="242">
        <f>J25*'Indexed REC Calculator'!$B$92</f>
        <v>853927.90500000003</v>
      </c>
      <c r="L25" s="242">
        <f>K25*'Indexed REC Calculator'!$B$92</f>
        <v>849658.26547500002</v>
      </c>
      <c r="M25" s="242">
        <f>L25*'Indexed REC Calculator'!$B$92</f>
        <v>845409.97414762503</v>
      </c>
      <c r="N25" s="242">
        <f>M25*'Indexed REC Calculator'!$B$92</f>
        <v>841182.92427688686</v>
      </c>
      <c r="O25" s="242">
        <f>N25*'Indexed REC Calculator'!$B$92</f>
        <v>836977.00965550239</v>
      </c>
      <c r="P25" s="242">
        <f>O25*'Indexed REC Calculator'!$B$92</f>
        <v>832792.12460722483</v>
      </c>
      <c r="Q25" s="242">
        <f>P25*'Indexed REC Calculator'!$B$92</f>
        <v>828628.16398418869</v>
      </c>
      <c r="R25" s="242">
        <f>Q25*'Indexed REC Calculator'!$B$92</f>
        <v>824485.02316426777</v>
      </c>
      <c r="S25" s="242">
        <f>R25*'Indexed REC Calculator'!$B$92</f>
        <v>820362.59804844647</v>
      </c>
      <c r="T25" s="242">
        <f>S25*'Indexed REC Calculator'!$B$92</f>
        <v>816260.7850582042</v>
      </c>
      <c r="U25" s="242">
        <f>T25*'Indexed REC Calculator'!$B$92</f>
        <v>812179.48113291315</v>
      </c>
      <c r="V25" s="242">
        <f>U25*'Indexed REC Calculator'!$B$92</f>
        <v>808118.5837272486</v>
      </c>
      <c r="W25" s="242">
        <f>V25*'Indexed REC Calculator'!$B$92</f>
        <v>804077.99080861232</v>
      </c>
      <c r="X25" s="242">
        <f>W25*'Indexed REC Calculator'!$B$92</f>
        <v>800057.60085456923</v>
      </c>
      <c r="Y25" s="242">
        <f>X25*'Indexed REC Calculator'!$B$92</f>
        <v>796057.31285029638</v>
      </c>
      <c r="Z25" s="242">
        <f>Y25*'Indexed REC Calculator'!$B$92</f>
        <v>792077.02628604486</v>
      </c>
    </row>
    <row r="26" spans="1:40" ht="15.75" x14ac:dyDescent="0.25">
      <c r="A26" s="12" t="s">
        <v>91</v>
      </c>
      <c r="B26" s="11">
        <f t="shared" si="6"/>
        <v>2025</v>
      </c>
      <c r="C26" s="11"/>
      <c r="D26" s="11"/>
      <c r="E26" s="9"/>
      <c r="F26" s="9"/>
      <c r="G26" s="9"/>
      <c r="H26" s="242">
        <v>0</v>
      </c>
      <c r="I26" s="242">
        <v>0</v>
      </c>
      <c r="J26" s="242">
        <v>0</v>
      </c>
      <c r="K26" s="242">
        <v>1500000</v>
      </c>
      <c r="L26" s="242">
        <f>K26*'Indexed REC Calculator'!$B$92</f>
        <v>1492500</v>
      </c>
      <c r="M26" s="242">
        <f>L26*'Indexed REC Calculator'!$B$92</f>
        <v>1485037.5</v>
      </c>
      <c r="N26" s="242">
        <f>M26*'Indexed REC Calculator'!$B$92</f>
        <v>1477612.3125</v>
      </c>
      <c r="O26" s="242">
        <f>N26*'Indexed REC Calculator'!$B$92</f>
        <v>1470224.2509375</v>
      </c>
      <c r="P26" s="242">
        <f>O26*'Indexed REC Calculator'!$B$92</f>
        <v>1462873.1296828126</v>
      </c>
      <c r="Q26" s="242">
        <f>P26*'Indexed REC Calculator'!$B$92</f>
        <v>1455558.7640343986</v>
      </c>
      <c r="R26" s="242">
        <f>Q26*'Indexed REC Calculator'!$B$92</f>
        <v>1448280.9702142265</v>
      </c>
      <c r="S26" s="242">
        <f>R26*'Indexed REC Calculator'!$B$92</f>
        <v>1441039.5653631554</v>
      </c>
      <c r="T26" s="242">
        <f>S26*'Indexed REC Calculator'!$B$92</f>
        <v>1433834.3675363397</v>
      </c>
      <c r="U26" s="242">
        <f>T26*'Indexed REC Calculator'!$B$92</f>
        <v>1426665.195698658</v>
      </c>
      <c r="V26" s="242">
        <f>U26*'Indexed REC Calculator'!$B$92</f>
        <v>1419531.8697201647</v>
      </c>
      <c r="W26" s="242">
        <f>V26*'Indexed REC Calculator'!$B$92</f>
        <v>1412434.2103715639</v>
      </c>
      <c r="X26" s="242">
        <f>W26*'Indexed REC Calculator'!$B$92</f>
        <v>1405372.0393197061</v>
      </c>
      <c r="Y26" s="242">
        <f>X26*'Indexed REC Calculator'!$B$92</f>
        <v>1398345.1791231076</v>
      </c>
      <c r="Z26" s="242">
        <f>Y26*'Indexed REC Calculator'!$B$92</f>
        <v>1391353.453227492</v>
      </c>
    </row>
    <row r="27" spans="1:40" ht="15.75" x14ac:dyDescent="0.25">
      <c r="A27" s="12" t="s">
        <v>91</v>
      </c>
      <c r="B27" s="11">
        <f t="shared" si="6"/>
        <v>2026</v>
      </c>
      <c r="C27" s="11"/>
      <c r="D27" s="11"/>
      <c r="E27" s="9"/>
      <c r="F27" s="9"/>
      <c r="G27" s="9"/>
      <c r="H27" s="242"/>
      <c r="I27" s="242">
        <v>0</v>
      </c>
      <c r="J27" s="242">
        <v>0</v>
      </c>
      <c r="K27" s="242">
        <v>0</v>
      </c>
      <c r="L27" s="242">
        <f>IF($A$86="No",1500000,0)</f>
        <v>1500000</v>
      </c>
      <c r="M27" s="242">
        <f>L27*'Indexed REC Calculator'!$B$92</f>
        <v>1492500</v>
      </c>
      <c r="N27" s="242">
        <f>M27*'Indexed REC Calculator'!$B$92</f>
        <v>1485037.5</v>
      </c>
      <c r="O27" s="242">
        <f>N27*'Indexed REC Calculator'!$B$92</f>
        <v>1477612.3125</v>
      </c>
      <c r="P27" s="242">
        <f>O27*'Indexed REC Calculator'!$B$92</f>
        <v>1470224.2509375</v>
      </c>
      <c r="Q27" s="242">
        <f>P27*'Indexed REC Calculator'!$B$92</f>
        <v>1462873.1296828126</v>
      </c>
      <c r="R27" s="242">
        <f>Q27*'Indexed REC Calculator'!$B$92</f>
        <v>1455558.7640343986</v>
      </c>
      <c r="S27" s="242">
        <f>R27*'Indexed REC Calculator'!$B$92</f>
        <v>1448280.9702142265</v>
      </c>
      <c r="T27" s="242">
        <f>S27*'Indexed REC Calculator'!$B$92</f>
        <v>1441039.5653631554</v>
      </c>
      <c r="U27" s="242">
        <f>T27*'Indexed REC Calculator'!$B$92</f>
        <v>1433834.3675363397</v>
      </c>
      <c r="V27" s="242">
        <f>U27*'Indexed REC Calculator'!$B$92</f>
        <v>1426665.195698658</v>
      </c>
      <c r="W27" s="242">
        <f>V27*'Indexed REC Calculator'!$B$92</f>
        <v>1419531.8697201647</v>
      </c>
      <c r="X27" s="242">
        <f>W27*'Indexed REC Calculator'!$B$92</f>
        <v>1412434.2103715639</v>
      </c>
      <c r="Y27" s="242">
        <f>X27*'Indexed REC Calculator'!$B$92</f>
        <v>1405372.0393197061</v>
      </c>
      <c r="Z27" s="242">
        <f>Y27*'Indexed REC Calculator'!$B$92</f>
        <v>1398345.1791231076</v>
      </c>
    </row>
    <row r="28" spans="1:40" ht="15.75" x14ac:dyDescent="0.25">
      <c r="A28" s="12" t="s">
        <v>91</v>
      </c>
      <c r="B28" s="11">
        <f t="shared" si="6"/>
        <v>2027</v>
      </c>
      <c r="C28" s="11"/>
      <c r="D28" s="11"/>
      <c r="E28" s="9"/>
      <c r="F28" s="9"/>
      <c r="G28" s="9"/>
      <c r="H28" s="242"/>
      <c r="I28" s="242"/>
      <c r="J28" s="242">
        <v>0</v>
      </c>
      <c r="K28" s="242">
        <v>0</v>
      </c>
      <c r="L28" s="242">
        <v>0</v>
      </c>
      <c r="M28" s="242">
        <f>IF($A$86="No",1500000,0)</f>
        <v>1500000</v>
      </c>
      <c r="N28" s="242">
        <f>M28*'Indexed REC Calculator'!$B$92</f>
        <v>1492500</v>
      </c>
      <c r="O28" s="242">
        <f>N28*'Indexed REC Calculator'!$B$92</f>
        <v>1485037.5</v>
      </c>
      <c r="P28" s="242">
        <f>O28*'Indexed REC Calculator'!$B$92</f>
        <v>1477612.3125</v>
      </c>
      <c r="Q28" s="242">
        <f>P28*'Indexed REC Calculator'!$B$92</f>
        <v>1470224.2509375</v>
      </c>
      <c r="R28" s="242">
        <f>Q28*'Indexed REC Calculator'!$B$92</f>
        <v>1462873.1296828126</v>
      </c>
      <c r="S28" s="242">
        <f>R28*'Indexed REC Calculator'!$B$92</f>
        <v>1455558.7640343986</v>
      </c>
      <c r="T28" s="242">
        <f>S28*'Indexed REC Calculator'!$B$92</f>
        <v>1448280.9702142265</v>
      </c>
      <c r="U28" s="242">
        <f>T28*'Indexed REC Calculator'!$B$92</f>
        <v>1441039.5653631554</v>
      </c>
      <c r="V28" s="242">
        <f>U28*'Indexed REC Calculator'!$B$92</f>
        <v>1433834.3675363397</v>
      </c>
      <c r="W28" s="242">
        <f>V28*'Indexed REC Calculator'!$B$92</f>
        <v>1426665.195698658</v>
      </c>
      <c r="X28" s="242">
        <f>W28*'Indexed REC Calculator'!$B$92</f>
        <v>1419531.8697201647</v>
      </c>
      <c r="Y28" s="242">
        <f>X28*'Indexed REC Calculator'!$B$92</f>
        <v>1412434.2103715639</v>
      </c>
      <c r="Z28" s="242">
        <f>Y28*'Indexed REC Calculator'!$B$92</f>
        <v>1405372.0393197061</v>
      </c>
    </row>
    <row r="29" spans="1:40" ht="15.75" x14ac:dyDescent="0.25">
      <c r="A29" s="12" t="s">
        <v>91</v>
      </c>
      <c r="B29" s="11">
        <f t="shared" si="6"/>
        <v>2028</v>
      </c>
      <c r="C29" s="11"/>
      <c r="D29" s="11"/>
      <c r="E29" s="9"/>
      <c r="F29" s="9"/>
      <c r="G29" s="9"/>
      <c r="H29" s="242"/>
      <c r="I29" s="242"/>
      <c r="J29" s="242"/>
      <c r="K29" s="242">
        <v>0</v>
      </c>
      <c r="L29" s="242">
        <v>0</v>
      </c>
      <c r="M29" s="242">
        <v>0</v>
      </c>
      <c r="N29" s="242">
        <f>IF($A$86="No",1000000,0)</f>
        <v>1000000</v>
      </c>
      <c r="O29" s="242">
        <f>N29*'Indexed REC Calculator'!$B$92</f>
        <v>995000</v>
      </c>
      <c r="P29" s="242">
        <f>O29*'Indexed REC Calculator'!$B$92</f>
        <v>990025</v>
      </c>
      <c r="Q29" s="242">
        <f>P29*'Indexed REC Calculator'!$B$92</f>
        <v>985074.875</v>
      </c>
      <c r="R29" s="242">
        <f>Q29*'Indexed REC Calculator'!$B$92</f>
        <v>980149.50062499999</v>
      </c>
      <c r="S29" s="242">
        <f>R29*'Indexed REC Calculator'!$B$92</f>
        <v>975248.75312187499</v>
      </c>
      <c r="T29" s="242">
        <f>S29*'Indexed REC Calculator'!$B$92</f>
        <v>970372.50935626565</v>
      </c>
      <c r="U29" s="242">
        <f>T29*'Indexed REC Calculator'!$B$92</f>
        <v>965520.64680948434</v>
      </c>
      <c r="V29" s="242">
        <f>U29*'Indexed REC Calculator'!$B$92</f>
        <v>960693.04357543692</v>
      </c>
      <c r="W29" s="242">
        <f>V29*'Indexed REC Calculator'!$B$92</f>
        <v>955889.57835755975</v>
      </c>
      <c r="X29" s="242">
        <f>W29*'Indexed REC Calculator'!$B$92</f>
        <v>951110.13046577189</v>
      </c>
      <c r="Y29" s="242">
        <f>X29*'Indexed REC Calculator'!$B$92</f>
        <v>946354.57981344301</v>
      </c>
      <c r="Z29" s="242">
        <f>Y29*'Indexed REC Calculator'!$B$92</f>
        <v>941622.80691437575</v>
      </c>
    </row>
    <row r="30" spans="1:40" ht="15.75" x14ac:dyDescent="0.25">
      <c r="A30" s="12" t="s">
        <v>91</v>
      </c>
      <c r="B30" s="11">
        <f t="shared" si="6"/>
        <v>2029</v>
      </c>
      <c r="C30" s="11"/>
      <c r="D30" s="11"/>
      <c r="E30" s="9"/>
      <c r="F30" s="9"/>
      <c r="G30" s="9"/>
      <c r="H30" s="242"/>
      <c r="I30" s="242"/>
      <c r="J30" s="242"/>
      <c r="K30" s="242"/>
      <c r="L30" s="242">
        <v>0</v>
      </c>
      <c r="M30" s="242">
        <v>0</v>
      </c>
      <c r="N30" s="242">
        <v>0</v>
      </c>
      <c r="O30" s="242">
        <f>IF($A$86="No",1000000,0)</f>
        <v>1000000</v>
      </c>
      <c r="P30" s="242">
        <f>O30*'Indexed REC Calculator'!$B$92</f>
        <v>995000</v>
      </c>
      <c r="Q30" s="242">
        <f>P30*'Indexed REC Calculator'!$B$92</f>
        <v>990025</v>
      </c>
      <c r="R30" s="242">
        <f>Q30*'Indexed REC Calculator'!$B$92</f>
        <v>985074.875</v>
      </c>
      <c r="S30" s="242">
        <f>R30*'Indexed REC Calculator'!$B$92</f>
        <v>980149.50062499999</v>
      </c>
      <c r="T30" s="242">
        <f>S30*'Indexed REC Calculator'!$B$92</f>
        <v>975248.75312187499</v>
      </c>
      <c r="U30" s="242">
        <f>T30*'Indexed REC Calculator'!$B$92</f>
        <v>970372.50935626565</v>
      </c>
      <c r="V30" s="242">
        <f>U30*'Indexed REC Calculator'!$B$92</f>
        <v>965520.64680948434</v>
      </c>
      <c r="W30" s="242">
        <f>V30*'Indexed REC Calculator'!$B$92</f>
        <v>960693.04357543692</v>
      </c>
      <c r="X30" s="242">
        <f>W30*'Indexed REC Calculator'!$B$92</f>
        <v>955889.57835755975</v>
      </c>
      <c r="Y30" s="242">
        <f>X30*'Indexed REC Calculator'!$B$92</f>
        <v>951110.13046577189</v>
      </c>
      <c r="Z30" s="242">
        <f>Y30*'Indexed REC Calculator'!$B$92</f>
        <v>946354.57981344301</v>
      </c>
    </row>
    <row r="31" spans="1:40" ht="15.75" x14ac:dyDescent="0.25">
      <c r="A31" s="12" t="s">
        <v>91</v>
      </c>
      <c r="B31" s="11">
        <f t="shared" si="6"/>
        <v>2030</v>
      </c>
      <c r="C31" s="11"/>
      <c r="D31" s="11"/>
      <c r="E31" s="9"/>
      <c r="F31" s="9"/>
      <c r="G31" s="9"/>
      <c r="H31" s="242"/>
      <c r="I31" s="242"/>
      <c r="J31" s="242"/>
      <c r="K31" s="242"/>
      <c r="L31" s="242"/>
      <c r="M31" s="242">
        <v>0</v>
      </c>
      <c r="N31" s="242">
        <v>0</v>
      </c>
      <c r="O31" s="242">
        <v>0</v>
      </c>
      <c r="P31" s="242">
        <f>IF($A$86="No",750000,0)</f>
        <v>750000</v>
      </c>
      <c r="Q31" s="242">
        <f>P31*'Indexed REC Calculator'!$B$92</f>
        <v>746250</v>
      </c>
      <c r="R31" s="242">
        <f>Q31*'Indexed REC Calculator'!$B$92</f>
        <v>742518.75</v>
      </c>
      <c r="S31" s="242">
        <f>R31*'Indexed REC Calculator'!$B$92</f>
        <v>738806.15625</v>
      </c>
      <c r="T31" s="242">
        <f>S31*'Indexed REC Calculator'!$B$92</f>
        <v>735112.12546875002</v>
      </c>
      <c r="U31" s="242">
        <f>T31*'Indexed REC Calculator'!$B$92</f>
        <v>731436.5648414063</v>
      </c>
      <c r="V31" s="242">
        <f>U31*'Indexed REC Calculator'!$B$92</f>
        <v>727779.3820171993</v>
      </c>
      <c r="W31" s="242">
        <f>V31*'Indexed REC Calculator'!$B$92</f>
        <v>724140.48510711326</v>
      </c>
      <c r="X31" s="242">
        <f>W31*'Indexed REC Calculator'!$B$92</f>
        <v>720519.78268157772</v>
      </c>
      <c r="Y31" s="242">
        <f>X31*'Indexed REC Calculator'!$B$92</f>
        <v>716917.18376816984</v>
      </c>
      <c r="Z31" s="242">
        <f>Y31*'Indexed REC Calculator'!$B$92</f>
        <v>713332.597849329</v>
      </c>
    </row>
    <row r="32" spans="1:40" ht="15.75" x14ac:dyDescent="0.25">
      <c r="A32" s="12" t="s">
        <v>91</v>
      </c>
      <c r="B32" s="11">
        <f t="shared" si="6"/>
        <v>2031</v>
      </c>
      <c r="C32" s="11"/>
      <c r="D32" s="11"/>
      <c r="E32" s="9"/>
      <c r="F32" s="9"/>
      <c r="G32" s="9"/>
      <c r="H32" s="242"/>
      <c r="I32" s="242"/>
      <c r="J32" s="242"/>
      <c r="K32" s="242"/>
      <c r="L32" s="242"/>
      <c r="M32" s="242"/>
      <c r="N32" s="242">
        <v>0</v>
      </c>
      <c r="O32" s="242">
        <v>0</v>
      </c>
      <c r="P32" s="242">
        <v>0</v>
      </c>
      <c r="Q32" s="242">
        <f>IF($A$86="No",750000,0)</f>
        <v>750000</v>
      </c>
      <c r="R32" s="242">
        <f>Q32*'Indexed REC Calculator'!$B$92</f>
        <v>746250</v>
      </c>
      <c r="S32" s="242">
        <f>R32*'Indexed REC Calculator'!$B$92</f>
        <v>742518.75</v>
      </c>
      <c r="T32" s="242">
        <f>S32*'Indexed REC Calculator'!$B$92</f>
        <v>738806.15625</v>
      </c>
      <c r="U32" s="242">
        <f>T32*'Indexed REC Calculator'!$B$92</f>
        <v>735112.12546875002</v>
      </c>
      <c r="V32" s="242">
        <f>U32*'Indexed REC Calculator'!$B$92</f>
        <v>731436.5648414063</v>
      </c>
      <c r="W32" s="242">
        <f>V32*'Indexed REC Calculator'!$B$92</f>
        <v>727779.3820171993</v>
      </c>
      <c r="X32" s="242">
        <f>W32*'Indexed REC Calculator'!$B$92</f>
        <v>724140.48510711326</v>
      </c>
      <c r="Y32" s="242">
        <f>X32*'Indexed REC Calculator'!$B$92</f>
        <v>720519.78268157772</v>
      </c>
      <c r="Z32" s="242">
        <f>Y32*'Indexed REC Calculator'!$B$92</f>
        <v>716917.18376816984</v>
      </c>
    </row>
    <row r="33" spans="1:48" ht="15.75" x14ac:dyDescent="0.25">
      <c r="A33" s="12" t="s">
        <v>91</v>
      </c>
      <c r="B33" s="11">
        <f t="shared" si="6"/>
        <v>2032</v>
      </c>
      <c r="C33" s="11"/>
      <c r="D33" s="11"/>
      <c r="E33" s="9"/>
      <c r="F33" s="9"/>
      <c r="G33" s="9"/>
      <c r="H33" s="242"/>
      <c r="I33" s="242"/>
      <c r="J33" s="242"/>
      <c r="K33" s="242"/>
      <c r="L33" s="242"/>
      <c r="M33" s="242"/>
      <c r="N33" s="242"/>
      <c r="O33" s="242">
        <v>0</v>
      </c>
      <c r="P33" s="242">
        <v>0</v>
      </c>
      <c r="Q33" s="242">
        <v>0</v>
      </c>
      <c r="R33" s="242">
        <f>IF($A$86="No",750000,0)</f>
        <v>750000</v>
      </c>
      <c r="S33" s="242">
        <f>R33*'Indexed REC Calculator'!$B$92</f>
        <v>746250</v>
      </c>
      <c r="T33" s="242">
        <f>S33*'Indexed REC Calculator'!$B$92</f>
        <v>742518.75</v>
      </c>
      <c r="U33" s="242">
        <f>T33*'Indexed REC Calculator'!$B$92</f>
        <v>738806.15625</v>
      </c>
      <c r="V33" s="242">
        <f>U33*'Indexed REC Calculator'!$B$92</f>
        <v>735112.12546875002</v>
      </c>
      <c r="W33" s="242">
        <f>V33*'Indexed REC Calculator'!$B$92</f>
        <v>731436.5648414063</v>
      </c>
      <c r="X33" s="242">
        <f>W33*'Indexed REC Calculator'!$B$92</f>
        <v>727779.3820171993</v>
      </c>
      <c r="Y33" s="242">
        <f>X33*'Indexed REC Calculator'!$B$92</f>
        <v>724140.48510711326</v>
      </c>
      <c r="Z33" s="242">
        <f>Y33*'Indexed REC Calculator'!$B$92</f>
        <v>720519.78268157772</v>
      </c>
    </row>
    <row r="34" spans="1:48" ht="15.75" x14ac:dyDescent="0.25">
      <c r="A34" s="12" t="s">
        <v>91</v>
      </c>
      <c r="B34" s="11">
        <f t="shared" si="6"/>
        <v>2033</v>
      </c>
      <c r="C34" s="11"/>
      <c r="D34" s="11"/>
      <c r="E34" s="9"/>
      <c r="F34" s="9"/>
      <c r="G34" s="9"/>
      <c r="H34" s="242"/>
      <c r="I34" s="242"/>
      <c r="J34" s="242"/>
      <c r="K34" s="242"/>
      <c r="L34" s="242"/>
      <c r="M34" s="242"/>
      <c r="N34" s="242"/>
      <c r="O34" s="242"/>
      <c r="P34" s="242">
        <v>0</v>
      </c>
      <c r="Q34" s="242">
        <v>0</v>
      </c>
      <c r="R34" s="242">
        <v>0</v>
      </c>
      <c r="S34" s="242">
        <f>IF($A$86="No",750000,0)</f>
        <v>750000</v>
      </c>
      <c r="T34" s="242">
        <f>S34*'Indexed REC Calculator'!$B$92</f>
        <v>746250</v>
      </c>
      <c r="U34" s="242">
        <f>T34*'Indexed REC Calculator'!$B$92</f>
        <v>742518.75</v>
      </c>
      <c r="V34" s="242">
        <f>U34*'Indexed REC Calculator'!$B$92</f>
        <v>738806.15625</v>
      </c>
      <c r="W34" s="242">
        <f>V34*'Indexed REC Calculator'!$B$92</f>
        <v>735112.12546875002</v>
      </c>
      <c r="X34" s="242">
        <f>W34*'Indexed REC Calculator'!$B$92</f>
        <v>731436.5648414063</v>
      </c>
      <c r="Y34" s="242">
        <f>X34*'Indexed REC Calculator'!$B$92</f>
        <v>727779.3820171993</v>
      </c>
      <c r="Z34" s="242">
        <f>Y34*'Indexed REC Calculator'!$B$92</f>
        <v>724140.48510711326</v>
      </c>
    </row>
    <row r="35" spans="1:48" ht="15.75" x14ac:dyDescent="0.25">
      <c r="A35" s="12" t="s">
        <v>91</v>
      </c>
      <c r="B35" s="11">
        <f t="shared" si="6"/>
        <v>2034</v>
      </c>
      <c r="C35" s="11"/>
      <c r="D35" s="11"/>
      <c r="E35" s="9"/>
      <c r="F35" s="9"/>
      <c r="G35" s="9"/>
      <c r="H35" s="242"/>
      <c r="I35" s="242"/>
      <c r="J35" s="242"/>
      <c r="K35" s="242"/>
      <c r="L35" s="242"/>
      <c r="M35" s="242"/>
      <c r="N35" s="242"/>
      <c r="O35" s="242"/>
      <c r="P35" s="242"/>
      <c r="Q35" s="242">
        <v>0</v>
      </c>
      <c r="R35" s="242">
        <v>0</v>
      </c>
      <c r="S35" s="242">
        <v>0</v>
      </c>
      <c r="T35" s="242">
        <f>IF($A$86="No",750000,0)</f>
        <v>750000</v>
      </c>
      <c r="U35" s="242">
        <f>T35*'Indexed REC Calculator'!$B$92</f>
        <v>746250</v>
      </c>
      <c r="V35" s="242">
        <f>U35*'Indexed REC Calculator'!$B$92</f>
        <v>742518.75</v>
      </c>
      <c r="W35" s="242">
        <f>V35*'Indexed REC Calculator'!$B$92</f>
        <v>738806.15625</v>
      </c>
      <c r="X35" s="242">
        <f>W35*'Indexed REC Calculator'!$B$92</f>
        <v>735112.12546875002</v>
      </c>
      <c r="Y35" s="242">
        <f>X35*'Indexed REC Calculator'!$B$92</f>
        <v>731436.5648414063</v>
      </c>
      <c r="Z35" s="242">
        <f>Y35*'Indexed REC Calculator'!$B$92</f>
        <v>727779.3820171993</v>
      </c>
    </row>
    <row r="36" spans="1:48" ht="15.75" x14ac:dyDescent="0.25">
      <c r="A36" s="12" t="s">
        <v>91</v>
      </c>
      <c r="B36" s="11">
        <f t="shared" si="6"/>
        <v>2035</v>
      </c>
      <c r="C36" s="11"/>
      <c r="D36" s="11"/>
      <c r="E36" s="9"/>
      <c r="F36" s="9"/>
      <c r="G36" s="9"/>
      <c r="H36" s="242"/>
      <c r="I36" s="242"/>
      <c r="J36" s="242"/>
      <c r="K36" s="242"/>
      <c r="L36" s="242"/>
      <c r="M36" s="242"/>
      <c r="N36" s="242"/>
      <c r="O36" s="242"/>
      <c r="P36" s="242"/>
      <c r="Q36" s="242"/>
      <c r="R36" s="242">
        <v>0</v>
      </c>
      <c r="S36" s="242">
        <v>0</v>
      </c>
      <c r="T36" s="242">
        <v>0</v>
      </c>
      <c r="U36" s="242">
        <f>IF($A$86="No",750000,0)</f>
        <v>750000</v>
      </c>
      <c r="V36" s="242">
        <f>U36*'Indexed REC Calculator'!$B$92</f>
        <v>746250</v>
      </c>
      <c r="W36" s="242">
        <f>V36*'Indexed REC Calculator'!$B$92</f>
        <v>742518.75</v>
      </c>
      <c r="X36" s="242">
        <f>W36*'Indexed REC Calculator'!$B$92</f>
        <v>738806.15625</v>
      </c>
      <c r="Y36" s="242">
        <f>X36*'Indexed REC Calculator'!$B$92</f>
        <v>735112.12546875002</v>
      </c>
      <c r="Z36" s="242">
        <f>Y36*'Indexed REC Calculator'!$B$92</f>
        <v>731436.5648414063</v>
      </c>
    </row>
    <row r="37" spans="1:48" ht="15.75" x14ac:dyDescent="0.25">
      <c r="A37" s="12" t="s">
        <v>91</v>
      </c>
      <c r="B37" s="11">
        <f t="shared" si="6"/>
        <v>2036</v>
      </c>
      <c r="C37" s="11"/>
      <c r="D37" s="11"/>
      <c r="E37" s="9"/>
      <c r="F37" s="9"/>
      <c r="G37" s="9"/>
      <c r="H37" s="242"/>
      <c r="I37" s="242"/>
      <c r="J37" s="242"/>
      <c r="K37" s="242"/>
      <c r="L37" s="242"/>
      <c r="M37" s="242"/>
      <c r="N37" s="242"/>
      <c r="O37" s="242"/>
      <c r="P37" s="242"/>
      <c r="Q37" s="242"/>
      <c r="R37" s="242"/>
      <c r="S37" s="242">
        <v>0</v>
      </c>
      <c r="T37" s="242">
        <v>0</v>
      </c>
      <c r="U37" s="242">
        <v>0</v>
      </c>
      <c r="V37" s="242">
        <f>IF($A$86="No",750000,0)</f>
        <v>750000</v>
      </c>
      <c r="W37" s="242">
        <f>V37*'Indexed REC Calculator'!$B$92</f>
        <v>746250</v>
      </c>
      <c r="X37" s="242">
        <f>W37*'Indexed REC Calculator'!$B$92</f>
        <v>742518.75</v>
      </c>
      <c r="Y37" s="242">
        <f>X37*'Indexed REC Calculator'!$B$92</f>
        <v>738806.15625</v>
      </c>
      <c r="Z37" s="242">
        <f>Y37*'Indexed REC Calculator'!$B$92</f>
        <v>735112.12546875002</v>
      </c>
    </row>
    <row r="38" spans="1:48" ht="15.75" x14ac:dyDescent="0.25">
      <c r="A38" s="12" t="s">
        <v>91</v>
      </c>
      <c r="B38" s="11">
        <f t="shared" si="6"/>
        <v>2037</v>
      </c>
      <c r="C38" s="11"/>
      <c r="D38" s="11"/>
      <c r="E38" s="9"/>
      <c r="F38" s="9"/>
      <c r="G38" s="9"/>
      <c r="H38" s="242"/>
      <c r="I38" s="242"/>
      <c r="J38" s="242"/>
      <c r="K38" s="242"/>
      <c r="L38" s="242"/>
      <c r="M38" s="242"/>
      <c r="N38" s="242"/>
      <c r="O38" s="242"/>
      <c r="P38" s="242"/>
      <c r="Q38" s="242"/>
      <c r="R38" s="242"/>
      <c r="S38" s="242"/>
      <c r="T38" s="242">
        <v>0</v>
      </c>
      <c r="U38" s="242">
        <v>0</v>
      </c>
      <c r="V38" s="242">
        <v>0</v>
      </c>
      <c r="W38" s="242">
        <f>IF($A$86="No",750000,0)</f>
        <v>750000</v>
      </c>
      <c r="X38" s="242">
        <f>W38*'Indexed REC Calculator'!$B$92</f>
        <v>746250</v>
      </c>
      <c r="Y38" s="242">
        <f>X38*'Indexed REC Calculator'!$B$92</f>
        <v>742518.75</v>
      </c>
      <c r="Z38" s="242">
        <f>Y38*'Indexed REC Calculator'!$B$92</f>
        <v>738806.15625</v>
      </c>
    </row>
    <row r="39" spans="1:48" ht="15.75" x14ac:dyDescent="0.25">
      <c r="A39" s="12" t="s">
        <v>91</v>
      </c>
      <c r="B39" s="11">
        <f t="shared" si="6"/>
        <v>2038</v>
      </c>
      <c r="C39" s="11"/>
      <c r="D39" s="11"/>
      <c r="E39" s="9"/>
      <c r="F39" s="9"/>
      <c r="G39" s="9"/>
      <c r="H39" s="242"/>
      <c r="I39" s="242"/>
      <c r="J39" s="242"/>
      <c r="K39" s="242"/>
      <c r="L39" s="242"/>
      <c r="M39" s="242"/>
      <c r="N39" s="242"/>
      <c r="O39" s="242"/>
      <c r="P39" s="242"/>
      <c r="Q39" s="242"/>
      <c r="R39" s="242"/>
      <c r="S39" s="242"/>
      <c r="T39" s="242"/>
      <c r="U39" s="242">
        <v>0</v>
      </c>
      <c r="V39" s="242">
        <v>0</v>
      </c>
      <c r="W39" s="242">
        <v>0</v>
      </c>
      <c r="X39" s="242">
        <f>IF($A$86="No",750000,0)</f>
        <v>750000</v>
      </c>
      <c r="Y39" s="242">
        <f>X39*'Indexed REC Calculator'!$B$92</f>
        <v>746250</v>
      </c>
      <c r="Z39" s="242">
        <f>Y39*'Indexed REC Calculator'!$B$92</f>
        <v>742518.75</v>
      </c>
    </row>
    <row r="40" spans="1:48" ht="15.75" x14ac:dyDescent="0.25">
      <c r="A40" s="12" t="s">
        <v>91</v>
      </c>
      <c r="B40" s="11">
        <f t="shared" si="6"/>
        <v>2039</v>
      </c>
      <c r="C40" s="11"/>
      <c r="D40" s="11"/>
      <c r="E40" s="9"/>
      <c r="F40" s="9"/>
      <c r="G40" s="9"/>
      <c r="H40" s="242"/>
      <c r="I40" s="242"/>
      <c r="J40" s="242"/>
      <c r="K40" s="242"/>
      <c r="L40" s="242"/>
      <c r="M40" s="242"/>
      <c r="N40" s="242"/>
      <c r="O40" s="242"/>
      <c r="P40" s="242"/>
      <c r="Q40" s="242"/>
      <c r="R40" s="242"/>
      <c r="S40" s="242"/>
      <c r="T40" s="242"/>
      <c r="U40" s="242"/>
      <c r="V40" s="242">
        <v>0</v>
      </c>
      <c r="W40" s="242">
        <v>0</v>
      </c>
      <c r="X40" s="242">
        <v>0</v>
      </c>
      <c r="Y40" s="242">
        <f>IF($A$86="No",750000,0)</f>
        <v>750000</v>
      </c>
      <c r="Z40" s="242">
        <f>IF($A$86="No",750000,0)</f>
        <v>750000</v>
      </c>
    </row>
    <row r="41" spans="1:48" ht="15.75" x14ac:dyDescent="0.25">
      <c r="A41" s="12" t="s">
        <v>91</v>
      </c>
      <c r="B41" s="11">
        <f t="shared" si="6"/>
        <v>2040</v>
      </c>
      <c r="C41" s="11"/>
      <c r="D41" s="11"/>
      <c r="E41" s="9"/>
      <c r="F41" s="9"/>
      <c r="G41" s="9"/>
      <c r="H41" s="242"/>
      <c r="I41" s="242"/>
      <c r="J41" s="242"/>
      <c r="K41" s="242"/>
      <c r="L41" s="242"/>
      <c r="M41" s="242"/>
      <c r="N41" s="242"/>
      <c r="O41" s="242"/>
      <c r="P41" s="242"/>
      <c r="Q41" s="242"/>
      <c r="R41" s="242"/>
      <c r="S41" s="242"/>
      <c r="T41" s="242"/>
      <c r="U41" s="242"/>
      <c r="V41" s="242"/>
      <c r="W41" s="242">
        <v>0</v>
      </c>
      <c r="X41" s="242">
        <v>0</v>
      </c>
      <c r="Y41" s="242">
        <v>0</v>
      </c>
      <c r="Z41" s="242">
        <f>IF($A$86="No",750000,0)</f>
        <v>750000</v>
      </c>
    </row>
    <row r="42" spans="1:48" ht="15.75" x14ac:dyDescent="0.25">
      <c r="A42" s="12" t="s">
        <v>91</v>
      </c>
      <c r="B42" s="11">
        <f t="shared" si="6"/>
        <v>2041</v>
      </c>
      <c r="C42" s="11"/>
      <c r="D42" s="11"/>
      <c r="E42" s="13"/>
      <c r="F42" s="13"/>
      <c r="G42" s="13"/>
      <c r="H42" s="241"/>
      <c r="I42" s="241"/>
      <c r="J42" s="241"/>
      <c r="K42" s="241"/>
      <c r="L42" s="241"/>
      <c r="M42" s="241"/>
      <c r="N42" s="241"/>
      <c r="O42" s="241"/>
      <c r="P42" s="241"/>
      <c r="Q42" s="241"/>
      <c r="R42" s="241"/>
      <c r="S42" s="241"/>
      <c r="T42" s="241"/>
      <c r="U42" s="241"/>
      <c r="V42" s="241"/>
      <c r="W42" s="241"/>
      <c r="X42" s="241"/>
      <c r="Y42" s="241"/>
      <c r="Z42" s="241"/>
    </row>
    <row r="43" spans="1:48" ht="15.75" x14ac:dyDescent="0.25">
      <c r="A43" s="12" t="s">
        <v>91</v>
      </c>
      <c r="B43" s="11">
        <f t="shared" si="6"/>
        <v>2042</v>
      </c>
      <c r="C43" s="11"/>
      <c r="D43" s="11"/>
      <c r="E43" s="13"/>
      <c r="F43" s="13"/>
      <c r="G43" s="13"/>
      <c r="H43" s="241"/>
      <c r="I43" s="241"/>
      <c r="J43" s="241"/>
      <c r="K43" s="241"/>
      <c r="L43" s="241"/>
      <c r="M43" s="241"/>
      <c r="N43" s="241"/>
      <c r="O43" s="241"/>
      <c r="P43" s="241"/>
      <c r="Q43" s="241"/>
      <c r="R43" s="241"/>
      <c r="S43" s="241"/>
      <c r="T43" s="241"/>
      <c r="U43" s="241"/>
      <c r="V43" s="241"/>
      <c r="W43" s="241"/>
      <c r="X43" s="241"/>
      <c r="Y43" s="241"/>
      <c r="Z43" s="241"/>
    </row>
    <row r="44" spans="1:48" ht="15.75" x14ac:dyDescent="0.25">
      <c r="A44" s="12" t="s">
        <v>86</v>
      </c>
      <c r="B44" s="11">
        <v>2022</v>
      </c>
      <c r="C44" s="11"/>
      <c r="D44" s="11"/>
      <c r="E44" s="9">
        <v>0</v>
      </c>
      <c r="F44" s="9">
        <v>0</v>
      </c>
      <c r="G44" s="9">
        <v>0</v>
      </c>
      <c r="H44" s="242">
        <v>57870</v>
      </c>
      <c r="I44" s="242">
        <v>57580.649999999994</v>
      </c>
      <c r="J44" s="242">
        <v>57292.746749999998</v>
      </c>
      <c r="K44" s="242">
        <v>57006.283016250003</v>
      </c>
      <c r="L44" s="242">
        <v>56721.251601168748</v>
      </c>
      <c r="M44" s="242">
        <v>56437.645343162905</v>
      </c>
      <c r="N44" s="242">
        <v>56155.457116447091</v>
      </c>
      <c r="O44" s="242">
        <v>55874.679830864858</v>
      </c>
      <c r="P44" s="242">
        <v>55595.306431710531</v>
      </c>
      <c r="Q44" s="242">
        <v>55317.329899551973</v>
      </c>
      <c r="R44" s="242">
        <v>55040.743250054213</v>
      </c>
      <c r="S44" s="242">
        <v>54765.539533803945</v>
      </c>
      <c r="T44" s="242">
        <v>54491.711836134928</v>
      </c>
      <c r="U44" s="242">
        <v>54219.253276954252</v>
      </c>
      <c r="V44" s="242">
        <v>53948.157010569477</v>
      </c>
      <c r="W44" s="242">
        <v>53678.416225516637</v>
      </c>
      <c r="X44" s="242">
        <v>53410.024144389048</v>
      </c>
      <c r="Y44" s="242">
        <v>53142.974023667106</v>
      </c>
      <c r="Z44" s="242">
        <v>53143.974023667099</v>
      </c>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row>
    <row r="45" spans="1:48" ht="15.75" x14ac:dyDescent="0.25">
      <c r="A45" s="12" t="s">
        <v>86</v>
      </c>
      <c r="B45" s="11">
        <f t="shared" ref="B45:B64" si="7">B44+1</f>
        <v>2023</v>
      </c>
      <c r="C45" s="11"/>
      <c r="D45" s="11"/>
      <c r="E45" s="9"/>
      <c r="F45" s="9">
        <v>0</v>
      </c>
      <c r="G45" s="9">
        <v>0</v>
      </c>
      <c r="H45" s="242">
        <v>0</v>
      </c>
      <c r="I45" s="242">
        <v>105744</v>
      </c>
      <c r="J45" s="242">
        <f>I45*'Indexed REC Calculator'!$B$92</f>
        <v>105215.28</v>
      </c>
      <c r="K45" s="242">
        <f>J45*'Indexed REC Calculator'!$B$92</f>
        <v>104689.20359999999</v>
      </c>
      <c r="L45" s="242">
        <f>K45*'Indexed REC Calculator'!$B$92</f>
        <v>104165.75758199999</v>
      </c>
      <c r="M45" s="242">
        <f>L45*'Indexed REC Calculator'!$B$92</f>
        <v>103644.92879409</v>
      </c>
      <c r="N45" s="242">
        <f>M45*'Indexed REC Calculator'!$B$92</f>
        <v>103126.70415011955</v>
      </c>
      <c r="O45" s="242">
        <f>N45*'Indexed REC Calculator'!$B$92</f>
        <v>102611.07062936894</v>
      </c>
      <c r="P45" s="242">
        <f>O45*'Indexed REC Calculator'!$B$92</f>
        <v>102098.0152762221</v>
      </c>
      <c r="Q45" s="242">
        <f>P45*'Indexed REC Calculator'!$B$92</f>
        <v>101587.52519984098</v>
      </c>
      <c r="R45" s="242">
        <f>Q45*'Indexed REC Calculator'!$B$92</f>
        <v>101079.58757384178</v>
      </c>
      <c r="S45" s="242">
        <f>R45*'Indexed REC Calculator'!$B$92</f>
        <v>100574.18963597257</v>
      </c>
      <c r="T45" s="242">
        <f>S45*'Indexed REC Calculator'!$B$92</f>
        <v>100071.31868779271</v>
      </c>
      <c r="U45" s="242">
        <f>T45*'Indexed REC Calculator'!$B$92</f>
        <v>99570.962094353745</v>
      </c>
      <c r="V45" s="242">
        <f>U45*'Indexed REC Calculator'!$B$92</f>
        <v>99073.107283881982</v>
      </c>
      <c r="W45" s="242">
        <f>V45*'Indexed REC Calculator'!$B$92</f>
        <v>98577.741747462569</v>
      </c>
      <c r="X45" s="242">
        <f>W45*'Indexed REC Calculator'!$B$92</f>
        <v>98084.853038725254</v>
      </c>
      <c r="Y45" s="242">
        <f>X45*'Indexed REC Calculator'!$B$92</f>
        <v>97594.428773531632</v>
      </c>
      <c r="Z45" s="242">
        <f>Y45*'Indexed REC Calculator'!$B$92</f>
        <v>97106.456629663968</v>
      </c>
    </row>
    <row r="46" spans="1:48" ht="15.75" x14ac:dyDescent="0.25">
      <c r="A46" s="12" t="s">
        <v>86</v>
      </c>
      <c r="B46" s="11">
        <f t="shared" si="7"/>
        <v>2024</v>
      </c>
      <c r="C46" s="11"/>
      <c r="D46" s="11"/>
      <c r="E46" s="9"/>
      <c r="F46" s="9"/>
      <c r="G46" s="9">
        <v>0</v>
      </c>
      <c r="H46" s="242">
        <v>0</v>
      </c>
      <c r="I46" s="242">
        <v>0</v>
      </c>
      <c r="J46" s="242">
        <v>74000</v>
      </c>
      <c r="K46" s="242">
        <f>J46*'Indexed REC Calculator'!$B$92</f>
        <v>73630</v>
      </c>
      <c r="L46" s="242">
        <f>K46*'Indexed REC Calculator'!$B$92</f>
        <v>73261.850000000006</v>
      </c>
      <c r="M46" s="242">
        <f>L46*'Indexed REC Calculator'!$B$92</f>
        <v>72895.54075</v>
      </c>
      <c r="N46" s="242">
        <f>M46*'Indexed REC Calculator'!$B$92</f>
        <v>72531.063046249998</v>
      </c>
      <c r="O46" s="242">
        <f>N46*'Indexed REC Calculator'!$B$92</f>
        <v>72168.407731018742</v>
      </c>
      <c r="P46" s="242">
        <f>O46*'Indexed REC Calculator'!$B$92</f>
        <v>71807.565692363642</v>
      </c>
      <c r="Q46" s="242">
        <f>P46*'Indexed REC Calculator'!$B$92</f>
        <v>71448.527863901822</v>
      </c>
      <c r="R46" s="242">
        <f>Q46*'Indexed REC Calculator'!$B$92</f>
        <v>71091.285224582316</v>
      </c>
      <c r="S46" s="242">
        <f>R46*'Indexed REC Calculator'!$B$92</f>
        <v>70735.828798459406</v>
      </c>
      <c r="T46" s="242">
        <f>S46*'Indexed REC Calculator'!$B$92</f>
        <v>70382.14965446711</v>
      </c>
      <c r="U46" s="242">
        <f>T46*'Indexed REC Calculator'!$B$92</f>
        <v>70030.238906194776</v>
      </c>
      <c r="V46" s="242">
        <f>U46*'Indexed REC Calculator'!$B$92</f>
        <v>69680.0877116638</v>
      </c>
      <c r="W46" s="242">
        <f>V46*'Indexed REC Calculator'!$B$92</f>
        <v>69331.687273105475</v>
      </c>
      <c r="X46" s="242">
        <f>W46*'Indexed REC Calculator'!$B$92</f>
        <v>68985.028836739948</v>
      </c>
      <c r="Y46" s="242">
        <f>X46*'Indexed REC Calculator'!$B$92</f>
        <v>68640.103692556251</v>
      </c>
      <c r="Z46" s="242">
        <f>Y46*'Indexed REC Calculator'!$B$92</f>
        <v>68296.903174093473</v>
      </c>
    </row>
    <row r="47" spans="1:48" ht="15.75" x14ac:dyDescent="0.25">
      <c r="A47" s="12" t="s">
        <v>86</v>
      </c>
      <c r="B47" s="11">
        <f t="shared" si="7"/>
        <v>2025</v>
      </c>
      <c r="C47" s="11"/>
      <c r="D47" s="11"/>
      <c r="E47" s="9"/>
      <c r="F47" s="9"/>
      <c r="G47" s="9"/>
      <c r="H47" s="242">
        <v>0</v>
      </c>
      <c r="I47" s="242">
        <v>0</v>
      </c>
      <c r="J47" s="242">
        <v>0</v>
      </c>
      <c r="K47" s="242">
        <v>85000</v>
      </c>
      <c r="L47" s="242">
        <f>K47*'Indexed REC Calculator'!$B$92</f>
        <v>84575</v>
      </c>
      <c r="M47" s="242">
        <f>L47*'Indexed REC Calculator'!$B$92</f>
        <v>84152.125</v>
      </c>
      <c r="N47" s="242">
        <f>M47*'Indexed REC Calculator'!$B$92</f>
        <v>83731.364375000005</v>
      </c>
      <c r="O47" s="242">
        <f>N47*'Indexed REC Calculator'!$B$92</f>
        <v>83312.707553125001</v>
      </c>
      <c r="P47" s="242">
        <f>O47*'Indexed REC Calculator'!$B$92</f>
        <v>82896.144015359372</v>
      </c>
      <c r="Q47" s="242">
        <f>P47*'Indexed REC Calculator'!$B$92</f>
        <v>82481.663295282575</v>
      </c>
      <c r="R47" s="242">
        <f>Q47*'Indexed REC Calculator'!$B$92</f>
        <v>82069.254978806159</v>
      </c>
      <c r="S47" s="242">
        <f>R47*'Indexed REC Calculator'!$B$92</f>
        <v>81658.908703912122</v>
      </c>
      <c r="T47" s="242">
        <f>S47*'Indexed REC Calculator'!$B$92</f>
        <v>81250.614160392564</v>
      </c>
      <c r="U47" s="242">
        <f>T47*'Indexed REC Calculator'!$B$92</f>
        <v>80844.361089590602</v>
      </c>
      <c r="V47" s="242">
        <f>U47*'Indexed REC Calculator'!$B$92</f>
        <v>80440.139284142642</v>
      </c>
      <c r="W47" s="242">
        <f>V47*'Indexed REC Calculator'!$B$92</f>
        <v>80037.938587721932</v>
      </c>
      <c r="X47" s="242">
        <f>W47*'Indexed REC Calculator'!$B$92</f>
        <v>79637.748894783319</v>
      </c>
      <c r="Y47" s="242">
        <f>X47*'Indexed REC Calculator'!$B$92</f>
        <v>79239.560150309408</v>
      </c>
      <c r="Z47" s="242">
        <f>Y47*'Indexed REC Calculator'!$B$92</f>
        <v>78843.362349557865</v>
      </c>
    </row>
    <row r="48" spans="1:48" ht="15.75" x14ac:dyDescent="0.25">
      <c r="A48" s="12" t="s">
        <v>86</v>
      </c>
      <c r="B48" s="11">
        <f t="shared" si="7"/>
        <v>2026</v>
      </c>
      <c r="C48" s="11"/>
      <c r="D48" s="11"/>
      <c r="E48" s="9"/>
      <c r="F48" s="9"/>
      <c r="G48" s="9"/>
      <c r="H48" s="242"/>
      <c r="I48" s="242">
        <v>0</v>
      </c>
      <c r="J48" s="242">
        <v>0</v>
      </c>
      <c r="K48" s="242">
        <v>0</v>
      </c>
      <c r="L48" s="242">
        <f>IF($A$86="No",85000,0)</f>
        <v>85000</v>
      </c>
      <c r="M48" s="242">
        <f>L48*'Indexed REC Calculator'!$B$92</f>
        <v>84575</v>
      </c>
      <c r="N48" s="242">
        <f>M48*'Indexed REC Calculator'!$B$92</f>
        <v>84152.125</v>
      </c>
      <c r="O48" s="242">
        <f>N48*'Indexed REC Calculator'!$B$92</f>
        <v>83731.364375000005</v>
      </c>
      <c r="P48" s="242">
        <f>O48*'Indexed REC Calculator'!$B$92</f>
        <v>83312.707553125001</v>
      </c>
      <c r="Q48" s="242">
        <f>P48*'Indexed REC Calculator'!$B$92</f>
        <v>82896.144015359372</v>
      </c>
      <c r="R48" s="242">
        <f>Q48*'Indexed REC Calculator'!$B$92</f>
        <v>82481.663295282575</v>
      </c>
      <c r="S48" s="242">
        <f>R48*'Indexed REC Calculator'!$B$92</f>
        <v>82069.254978806159</v>
      </c>
      <c r="T48" s="242">
        <f>S48*'Indexed REC Calculator'!$B$92</f>
        <v>81658.908703912122</v>
      </c>
      <c r="U48" s="242">
        <f>T48*'Indexed REC Calculator'!$B$92</f>
        <v>81250.614160392564</v>
      </c>
      <c r="V48" s="242">
        <f>U48*'Indexed REC Calculator'!$B$92</f>
        <v>80844.361089590602</v>
      </c>
      <c r="W48" s="242">
        <f>V48*'Indexed REC Calculator'!$B$92</f>
        <v>80440.139284142642</v>
      </c>
      <c r="X48" s="242">
        <f>W48*'Indexed REC Calculator'!$B$92</f>
        <v>80037.938587721932</v>
      </c>
      <c r="Y48" s="242">
        <f>X48*'Indexed REC Calculator'!$B$92</f>
        <v>79637.748894783319</v>
      </c>
      <c r="Z48" s="242">
        <f>Y48*'Indexed REC Calculator'!$B$92</f>
        <v>79239.560150309408</v>
      </c>
    </row>
    <row r="49" spans="1:26" ht="15.75" x14ac:dyDescent="0.25">
      <c r="A49" s="12" t="s">
        <v>86</v>
      </c>
      <c r="B49" s="11">
        <f t="shared" si="7"/>
        <v>2027</v>
      </c>
      <c r="C49" s="11"/>
      <c r="D49" s="11"/>
      <c r="E49" s="9"/>
      <c r="F49" s="9"/>
      <c r="G49" s="9"/>
      <c r="H49" s="242"/>
      <c r="I49" s="242"/>
      <c r="J49" s="242">
        <v>0</v>
      </c>
      <c r="K49" s="242">
        <v>0</v>
      </c>
      <c r="L49" s="242">
        <v>0</v>
      </c>
      <c r="M49" s="242">
        <f>IF($A$86="No",85000,0)</f>
        <v>85000</v>
      </c>
      <c r="N49" s="242">
        <f>M49*'Indexed REC Calculator'!$B$92</f>
        <v>84575</v>
      </c>
      <c r="O49" s="242">
        <f>N49*'Indexed REC Calculator'!$B$92</f>
        <v>84152.125</v>
      </c>
      <c r="P49" s="242">
        <f>O49*'Indexed REC Calculator'!$B$92</f>
        <v>83731.364375000005</v>
      </c>
      <c r="Q49" s="242">
        <f>P49*'Indexed REC Calculator'!$B$92</f>
        <v>83312.707553125001</v>
      </c>
      <c r="R49" s="242">
        <f>Q49*'Indexed REC Calculator'!$B$92</f>
        <v>82896.144015359372</v>
      </c>
      <c r="S49" s="242">
        <f>R49*'Indexed REC Calculator'!$B$92</f>
        <v>82481.663295282575</v>
      </c>
      <c r="T49" s="242">
        <f>S49*'Indexed REC Calculator'!$B$92</f>
        <v>82069.254978806159</v>
      </c>
      <c r="U49" s="242">
        <f>T49*'Indexed REC Calculator'!$B$92</f>
        <v>81658.908703912122</v>
      </c>
      <c r="V49" s="242">
        <f>U49*'Indexed REC Calculator'!$B$92</f>
        <v>81250.614160392564</v>
      </c>
      <c r="W49" s="242">
        <f>V49*'Indexed REC Calculator'!$B$92</f>
        <v>80844.361089590602</v>
      </c>
      <c r="X49" s="242">
        <f>W49*'Indexed REC Calculator'!$B$92</f>
        <v>80440.139284142642</v>
      </c>
      <c r="Y49" s="242">
        <f>X49*'Indexed REC Calculator'!$B$92</f>
        <v>80037.938587721932</v>
      </c>
      <c r="Z49" s="242">
        <f>Y49*'Indexed REC Calculator'!$B$92</f>
        <v>79637.748894783319</v>
      </c>
    </row>
    <row r="50" spans="1:26" ht="15.75" x14ac:dyDescent="0.25">
      <c r="A50" s="12" t="s">
        <v>86</v>
      </c>
      <c r="B50" s="11">
        <f t="shared" si="7"/>
        <v>2028</v>
      </c>
      <c r="C50" s="11"/>
      <c r="D50" s="11"/>
      <c r="E50" s="9"/>
      <c r="F50" s="9"/>
      <c r="G50" s="9"/>
      <c r="H50" s="242"/>
      <c r="I50" s="242"/>
      <c r="J50" s="242"/>
      <c r="K50" s="242">
        <v>0</v>
      </c>
      <c r="L50" s="242">
        <v>0</v>
      </c>
      <c r="M50" s="242">
        <v>0</v>
      </c>
      <c r="N50" s="242">
        <f>IF($A$86="No",85000,0)</f>
        <v>85000</v>
      </c>
      <c r="O50" s="242">
        <f>N50*'Indexed REC Calculator'!$B$92</f>
        <v>84575</v>
      </c>
      <c r="P50" s="242">
        <f>O50*'Indexed REC Calculator'!$B$92</f>
        <v>84152.125</v>
      </c>
      <c r="Q50" s="242">
        <f>P50*'Indexed REC Calculator'!$B$92</f>
        <v>83731.364375000005</v>
      </c>
      <c r="R50" s="242">
        <f>Q50*'Indexed REC Calculator'!$B$92</f>
        <v>83312.707553125001</v>
      </c>
      <c r="S50" s="242">
        <f>R50*'Indexed REC Calculator'!$B$92</f>
        <v>82896.144015359372</v>
      </c>
      <c r="T50" s="242">
        <f>S50*'Indexed REC Calculator'!$B$92</f>
        <v>82481.663295282575</v>
      </c>
      <c r="U50" s="242">
        <f>T50*'Indexed REC Calculator'!$B$92</f>
        <v>82069.254978806159</v>
      </c>
      <c r="V50" s="242">
        <f>U50*'Indexed REC Calculator'!$B$92</f>
        <v>81658.908703912122</v>
      </c>
      <c r="W50" s="242">
        <f>V50*'Indexed REC Calculator'!$B$92</f>
        <v>81250.614160392564</v>
      </c>
      <c r="X50" s="242">
        <f>W50*'Indexed REC Calculator'!$B$92</f>
        <v>80844.361089590602</v>
      </c>
      <c r="Y50" s="242">
        <f>X50*'Indexed REC Calculator'!$B$92</f>
        <v>80440.139284142642</v>
      </c>
      <c r="Z50" s="242">
        <f>Y50*'Indexed REC Calculator'!$B$92</f>
        <v>80037.938587721932</v>
      </c>
    </row>
    <row r="51" spans="1:26" ht="15.75" x14ac:dyDescent="0.25">
      <c r="A51" s="12" t="s">
        <v>86</v>
      </c>
      <c r="B51" s="11">
        <f t="shared" si="7"/>
        <v>2029</v>
      </c>
      <c r="C51" s="11"/>
      <c r="D51" s="11"/>
      <c r="E51" s="9"/>
      <c r="F51" s="9"/>
      <c r="G51" s="9"/>
      <c r="H51" s="242"/>
      <c r="I51" s="242"/>
      <c r="J51" s="242"/>
      <c r="K51" s="242"/>
      <c r="L51" s="242">
        <v>0</v>
      </c>
      <c r="M51" s="242">
        <v>0</v>
      </c>
      <c r="N51" s="242">
        <v>0</v>
      </c>
      <c r="O51" s="242">
        <f>IF($A$86="No",85000,0)</f>
        <v>85000</v>
      </c>
      <c r="P51" s="242">
        <f>O51*'Indexed REC Calculator'!$B$92</f>
        <v>84575</v>
      </c>
      <c r="Q51" s="242">
        <f>P51*'Indexed REC Calculator'!$B$92</f>
        <v>84152.125</v>
      </c>
      <c r="R51" s="242">
        <f>Q51*'Indexed REC Calculator'!$B$92</f>
        <v>83731.364375000005</v>
      </c>
      <c r="S51" s="242">
        <f>R51*'Indexed REC Calculator'!$B$92</f>
        <v>83312.707553125001</v>
      </c>
      <c r="T51" s="242">
        <f>S51*'Indexed REC Calculator'!$B$92</f>
        <v>82896.144015359372</v>
      </c>
      <c r="U51" s="242">
        <f>T51*'Indexed REC Calculator'!$B$92</f>
        <v>82481.663295282575</v>
      </c>
      <c r="V51" s="242">
        <f>U51*'Indexed REC Calculator'!$B$92</f>
        <v>82069.254978806159</v>
      </c>
      <c r="W51" s="242">
        <f>V51*'Indexed REC Calculator'!$B$92</f>
        <v>81658.908703912122</v>
      </c>
      <c r="X51" s="242">
        <f>W51*'Indexed REC Calculator'!$B$92</f>
        <v>81250.614160392564</v>
      </c>
      <c r="Y51" s="242">
        <f>X51*'Indexed REC Calculator'!$B$92</f>
        <v>80844.361089590602</v>
      </c>
      <c r="Z51" s="242">
        <f>Y51*'Indexed REC Calculator'!$B$92</f>
        <v>80440.139284142642</v>
      </c>
    </row>
    <row r="52" spans="1:26" ht="15.75" x14ac:dyDescent="0.25">
      <c r="A52" s="12" t="s">
        <v>86</v>
      </c>
      <c r="B52" s="11">
        <f t="shared" si="7"/>
        <v>2030</v>
      </c>
      <c r="C52" s="11"/>
      <c r="D52" s="11"/>
      <c r="E52" s="9"/>
      <c r="F52" s="9"/>
      <c r="G52" s="9"/>
      <c r="H52" s="242"/>
      <c r="I52" s="242"/>
      <c r="J52" s="242"/>
      <c r="K52" s="242"/>
      <c r="L52" s="242"/>
      <c r="M52" s="242">
        <v>0</v>
      </c>
      <c r="N52" s="242">
        <v>0</v>
      </c>
      <c r="O52" s="242">
        <v>0</v>
      </c>
      <c r="P52" s="242">
        <f>IF($A$86="No",85000,0)</f>
        <v>85000</v>
      </c>
      <c r="Q52" s="242">
        <f>P52*'Indexed REC Calculator'!$B$92</f>
        <v>84575</v>
      </c>
      <c r="R52" s="242">
        <f>Q52*'Indexed REC Calculator'!$B$92</f>
        <v>84152.125</v>
      </c>
      <c r="S52" s="242">
        <f>R52*'Indexed REC Calculator'!$B$92</f>
        <v>83731.364375000005</v>
      </c>
      <c r="T52" s="242">
        <f>S52*'Indexed REC Calculator'!$B$92</f>
        <v>83312.707553125001</v>
      </c>
      <c r="U52" s="242">
        <f>T52*'Indexed REC Calculator'!$B$92</f>
        <v>82896.144015359372</v>
      </c>
      <c r="V52" s="242">
        <f>U52*'Indexed REC Calculator'!$B$92</f>
        <v>82481.663295282575</v>
      </c>
      <c r="W52" s="242">
        <f>V52*'Indexed REC Calculator'!$B$92</f>
        <v>82069.254978806159</v>
      </c>
      <c r="X52" s="242">
        <f>W52*'Indexed REC Calculator'!$B$92</f>
        <v>81658.908703912122</v>
      </c>
      <c r="Y52" s="242">
        <f>X52*'Indexed REC Calculator'!$B$92</f>
        <v>81250.614160392564</v>
      </c>
      <c r="Z52" s="242">
        <f>Y52*'Indexed REC Calculator'!$B$92</f>
        <v>80844.361089590602</v>
      </c>
    </row>
    <row r="53" spans="1:26" ht="15.75" x14ac:dyDescent="0.25">
      <c r="A53" s="12" t="s">
        <v>86</v>
      </c>
      <c r="B53" s="11">
        <f t="shared" si="7"/>
        <v>2031</v>
      </c>
      <c r="C53" s="11"/>
      <c r="D53" s="11"/>
      <c r="E53" s="9"/>
      <c r="F53" s="9"/>
      <c r="G53" s="9"/>
      <c r="H53" s="242"/>
      <c r="I53" s="242"/>
      <c r="J53" s="242"/>
      <c r="K53" s="242"/>
      <c r="L53" s="242"/>
      <c r="M53" s="242"/>
      <c r="N53" s="242">
        <v>0</v>
      </c>
      <c r="O53" s="242">
        <v>0</v>
      </c>
      <c r="P53" s="242">
        <v>0</v>
      </c>
      <c r="Q53" s="242">
        <f>IF($A$86="No",85000,0)</f>
        <v>85000</v>
      </c>
      <c r="R53" s="242">
        <f>Q53*'Indexed REC Calculator'!$B$92</f>
        <v>84575</v>
      </c>
      <c r="S53" s="242">
        <f>R53*'Indexed REC Calculator'!$B$92</f>
        <v>84152.125</v>
      </c>
      <c r="T53" s="242">
        <f>S53*'Indexed REC Calculator'!$B$92</f>
        <v>83731.364375000005</v>
      </c>
      <c r="U53" s="242">
        <f>T53*'Indexed REC Calculator'!$B$92</f>
        <v>83312.707553125001</v>
      </c>
      <c r="V53" s="242">
        <f>U53*'Indexed REC Calculator'!$B$92</f>
        <v>82896.144015359372</v>
      </c>
      <c r="W53" s="242">
        <f>V53*'Indexed REC Calculator'!$B$92</f>
        <v>82481.663295282575</v>
      </c>
      <c r="X53" s="242">
        <f>W53*'Indexed REC Calculator'!$B$92</f>
        <v>82069.254978806159</v>
      </c>
      <c r="Y53" s="242">
        <f>X53*'Indexed REC Calculator'!$B$92</f>
        <v>81658.908703912122</v>
      </c>
      <c r="Z53" s="242">
        <f>Y53*'Indexed REC Calculator'!$B$92</f>
        <v>81250.614160392564</v>
      </c>
    </row>
    <row r="54" spans="1:26" ht="15.75" x14ac:dyDescent="0.25">
      <c r="A54" s="12" t="s">
        <v>86</v>
      </c>
      <c r="B54" s="11">
        <f t="shared" si="7"/>
        <v>2032</v>
      </c>
      <c r="C54" s="11"/>
      <c r="D54" s="11"/>
      <c r="E54" s="9"/>
      <c r="F54" s="9"/>
      <c r="G54" s="9"/>
      <c r="H54" s="242"/>
      <c r="I54" s="242"/>
      <c r="J54" s="242"/>
      <c r="K54" s="242"/>
      <c r="L54" s="242"/>
      <c r="M54" s="242"/>
      <c r="N54" s="242"/>
      <c r="O54" s="242">
        <v>0</v>
      </c>
      <c r="P54" s="242">
        <v>0</v>
      </c>
      <c r="Q54" s="242">
        <v>0</v>
      </c>
      <c r="R54" s="242">
        <f>IF($A$86="No",85000,0)</f>
        <v>85000</v>
      </c>
      <c r="S54" s="242">
        <f>R54*'Indexed REC Calculator'!$B$92</f>
        <v>84575</v>
      </c>
      <c r="T54" s="242">
        <f>S54*'Indexed REC Calculator'!$B$92</f>
        <v>84152.125</v>
      </c>
      <c r="U54" s="242">
        <f>T54*'Indexed REC Calculator'!$B$92</f>
        <v>83731.364375000005</v>
      </c>
      <c r="V54" s="242">
        <f>U54*'Indexed REC Calculator'!$B$92</f>
        <v>83312.707553125001</v>
      </c>
      <c r="W54" s="242">
        <f>V54*'Indexed REC Calculator'!$B$92</f>
        <v>82896.144015359372</v>
      </c>
      <c r="X54" s="242">
        <f>W54*'Indexed REC Calculator'!$B$92</f>
        <v>82481.663295282575</v>
      </c>
      <c r="Y54" s="242">
        <f>X54*'Indexed REC Calculator'!$B$92</f>
        <v>82069.254978806159</v>
      </c>
      <c r="Z54" s="242">
        <f>Y54*'Indexed REC Calculator'!$B$92</f>
        <v>81658.908703912122</v>
      </c>
    </row>
    <row r="55" spans="1:26" ht="15.75" x14ac:dyDescent="0.25">
      <c r="A55" s="12" t="s">
        <v>86</v>
      </c>
      <c r="B55" s="11">
        <f t="shared" si="7"/>
        <v>2033</v>
      </c>
      <c r="C55" s="11"/>
      <c r="D55" s="11"/>
      <c r="E55" s="9"/>
      <c r="F55" s="9"/>
      <c r="G55" s="9"/>
      <c r="H55" s="242"/>
      <c r="I55" s="242"/>
      <c r="J55" s="242"/>
      <c r="K55" s="242"/>
      <c r="L55" s="242"/>
      <c r="M55" s="242"/>
      <c r="N55" s="242"/>
      <c r="O55" s="242"/>
      <c r="P55" s="242">
        <v>0</v>
      </c>
      <c r="Q55" s="242">
        <v>0</v>
      </c>
      <c r="R55" s="242">
        <v>0</v>
      </c>
      <c r="S55" s="242">
        <f>IF($A$86="No",85000,0)</f>
        <v>85000</v>
      </c>
      <c r="T55" s="242">
        <f>S55*'Indexed REC Calculator'!$B$92</f>
        <v>84575</v>
      </c>
      <c r="U55" s="242">
        <f>T55*'Indexed REC Calculator'!$B$92</f>
        <v>84152.125</v>
      </c>
      <c r="V55" s="242">
        <f>U55*'Indexed REC Calculator'!$B$92</f>
        <v>83731.364375000005</v>
      </c>
      <c r="W55" s="242">
        <f>V55*'Indexed REC Calculator'!$B$92</f>
        <v>83312.707553125001</v>
      </c>
      <c r="X55" s="242">
        <f>W55*'Indexed REC Calculator'!$B$92</f>
        <v>82896.144015359372</v>
      </c>
      <c r="Y55" s="242">
        <f>X55*'Indexed REC Calculator'!$B$92</f>
        <v>82481.663295282575</v>
      </c>
      <c r="Z55" s="242">
        <f>Y55*'Indexed REC Calculator'!$B$92</f>
        <v>82069.254978806159</v>
      </c>
    </row>
    <row r="56" spans="1:26" ht="15.75" x14ac:dyDescent="0.25">
      <c r="A56" s="12" t="s">
        <v>86</v>
      </c>
      <c r="B56" s="11">
        <f t="shared" si="7"/>
        <v>2034</v>
      </c>
      <c r="C56" s="11"/>
      <c r="D56" s="11"/>
      <c r="E56" s="9"/>
      <c r="F56" s="9"/>
      <c r="G56" s="9"/>
      <c r="H56" s="242"/>
      <c r="I56" s="242"/>
      <c r="J56" s="242"/>
      <c r="K56" s="242"/>
      <c r="L56" s="242"/>
      <c r="M56" s="242"/>
      <c r="N56" s="242"/>
      <c r="O56" s="242"/>
      <c r="P56" s="242"/>
      <c r="Q56" s="242">
        <v>0</v>
      </c>
      <c r="R56" s="242">
        <v>0</v>
      </c>
      <c r="S56" s="242">
        <v>0</v>
      </c>
      <c r="T56" s="242">
        <f>IF($A$86="No",85000,0)</f>
        <v>85000</v>
      </c>
      <c r="U56" s="242">
        <f>T56*'Indexed REC Calculator'!$B$92</f>
        <v>84575</v>
      </c>
      <c r="V56" s="242">
        <f>U56*'Indexed REC Calculator'!$B$92</f>
        <v>84152.125</v>
      </c>
      <c r="W56" s="242">
        <f>V56*'Indexed REC Calculator'!$B$92</f>
        <v>83731.364375000005</v>
      </c>
      <c r="X56" s="242">
        <f>W56*'Indexed REC Calculator'!$B$92</f>
        <v>83312.707553125001</v>
      </c>
      <c r="Y56" s="242">
        <f>X56*'Indexed REC Calculator'!$B$92</f>
        <v>82896.144015359372</v>
      </c>
      <c r="Z56" s="242">
        <f>Y56*'Indexed REC Calculator'!$B$92</f>
        <v>82481.663295282575</v>
      </c>
    </row>
    <row r="57" spans="1:26" ht="15.75" x14ac:dyDescent="0.25">
      <c r="A57" s="12" t="s">
        <v>86</v>
      </c>
      <c r="B57" s="11">
        <f t="shared" si="7"/>
        <v>2035</v>
      </c>
      <c r="C57" s="11"/>
      <c r="D57" s="11"/>
      <c r="E57" s="9"/>
      <c r="F57" s="9"/>
      <c r="G57" s="9"/>
      <c r="H57" s="242"/>
      <c r="I57" s="242"/>
      <c r="J57" s="242"/>
      <c r="K57" s="242"/>
      <c r="L57" s="242"/>
      <c r="M57" s="242"/>
      <c r="N57" s="242"/>
      <c r="O57" s="242"/>
      <c r="P57" s="242"/>
      <c r="Q57" s="242"/>
      <c r="R57" s="242">
        <v>0</v>
      </c>
      <c r="S57" s="242">
        <v>0</v>
      </c>
      <c r="T57" s="242">
        <v>0</v>
      </c>
      <c r="U57" s="242">
        <f>IF($A$86="No",85000,0)</f>
        <v>85000</v>
      </c>
      <c r="V57" s="242">
        <f>U57*'Indexed REC Calculator'!$B$92</f>
        <v>84575</v>
      </c>
      <c r="W57" s="242">
        <f>V57*'Indexed REC Calculator'!$B$92</f>
        <v>84152.125</v>
      </c>
      <c r="X57" s="242">
        <f>W57*'Indexed REC Calculator'!$B$92</f>
        <v>83731.364375000005</v>
      </c>
      <c r="Y57" s="242">
        <f>X57*'Indexed REC Calculator'!$B$92</f>
        <v>83312.707553125001</v>
      </c>
      <c r="Z57" s="242">
        <f>Y57*'Indexed REC Calculator'!$B$92</f>
        <v>82896.144015359372</v>
      </c>
    </row>
    <row r="58" spans="1:26" ht="15.75" x14ac:dyDescent="0.25">
      <c r="A58" s="12" t="s">
        <v>86</v>
      </c>
      <c r="B58" s="11">
        <f t="shared" si="7"/>
        <v>2036</v>
      </c>
      <c r="C58" s="11"/>
      <c r="D58" s="11"/>
      <c r="E58" s="9"/>
      <c r="F58" s="9"/>
      <c r="G58" s="9"/>
      <c r="H58" s="242"/>
      <c r="I58" s="242"/>
      <c r="J58" s="242"/>
      <c r="K58" s="242"/>
      <c r="L58" s="242"/>
      <c r="M58" s="242"/>
      <c r="N58" s="242"/>
      <c r="O58" s="242"/>
      <c r="P58" s="242"/>
      <c r="Q58" s="242"/>
      <c r="R58" s="242"/>
      <c r="S58" s="242">
        <v>0</v>
      </c>
      <c r="T58" s="242">
        <v>0</v>
      </c>
      <c r="U58" s="242">
        <v>0</v>
      </c>
      <c r="V58" s="242">
        <f>IF($A$86="No",85000,0)</f>
        <v>85000</v>
      </c>
      <c r="W58" s="242">
        <f>V58*'Indexed REC Calculator'!$B$92</f>
        <v>84575</v>
      </c>
      <c r="X58" s="242">
        <f>W58*'Indexed REC Calculator'!$B$92</f>
        <v>84152.125</v>
      </c>
      <c r="Y58" s="242">
        <f>X58*'Indexed REC Calculator'!$B$92</f>
        <v>83731.364375000005</v>
      </c>
      <c r="Z58" s="242">
        <f>Y58*'Indexed REC Calculator'!$B$92</f>
        <v>83312.707553125001</v>
      </c>
    </row>
    <row r="59" spans="1:26" ht="15.75" x14ac:dyDescent="0.25">
      <c r="A59" s="12" t="s">
        <v>86</v>
      </c>
      <c r="B59" s="11">
        <f t="shared" si="7"/>
        <v>2037</v>
      </c>
      <c r="C59" s="11"/>
      <c r="D59" s="11"/>
      <c r="E59" s="9"/>
      <c r="F59" s="9"/>
      <c r="G59" s="9"/>
      <c r="H59" s="242"/>
      <c r="I59" s="242"/>
      <c r="J59" s="242"/>
      <c r="K59" s="242"/>
      <c r="L59" s="242"/>
      <c r="M59" s="242"/>
      <c r="N59" s="242"/>
      <c r="O59" s="242"/>
      <c r="P59" s="242"/>
      <c r="Q59" s="242"/>
      <c r="R59" s="242"/>
      <c r="S59" s="242"/>
      <c r="T59" s="242">
        <v>0</v>
      </c>
      <c r="U59" s="242">
        <v>0</v>
      </c>
      <c r="V59" s="242">
        <v>0</v>
      </c>
      <c r="W59" s="242">
        <f>IF($A$86="No",85000,0)</f>
        <v>85000</v>
      </c>
      <c r="X59" s="242">
        <f>W59*'Indexed REC Calculator'!$B$92</f>
        <v>84575</v>
      </c>
      <c r="Y59" s="242">
        <f>X59*'Indexed REC Calculator'!$B$92</f>
        <v>84152.125</v>
      </c>
      <c r="Z59" s="242">
        <f>Y59*'Indexed REC Calculator'!$B$92</f>
        <v>83731.364375000005</v>
      </c>
    </row>
    <row r="60" spans="1:26" ht="15.75" x14ac:dyDescent="0.25">
      <c r="A60" s="12" t="s">
        <v>86</v>
      </c>
      <c r="B60" s="11">
        <f t="shared" si="7"/>
        <v>2038</v>
      </c>
      <c r="C60" s="11"/>
      <c r="D60" s="11"/>
      <c r="E60" s="9"/>
      <c r="F60" s="9"/>
      <c r="G60" s="9"/>
      <c r="H60" s="242"/>
      <c r="I60" s="242"/>
      <c r="J60" s="242"/>
      <c r="K60" s="242"/>
      <c r="L60" s="242"/>
      <c r="M60" s="242"/>
      <c r="N60" s="242"/>
      <c r="O60" s="242"/>
      <c r="P60" s="242"/>
      <c r="Q60" s="242"/>
      <c r="R60" s="242"/>
      <c r="S60" s="242"/>
      <c r="T60" s="242"/>
      <c r="U60" s="242">
        <v>0</v>
      </c>
      <c r="V60" s="242">
        <v>0</v>
      </c>
      <c r="W60" s="242">
        <v>0</v>
      </c>
      <c r="X60" s="242">
        <f>IF($A$86="No",85000,0)</f>
        <v>85000</v>
      </c>
      <c r="Y60" s="242">
        <f>X60*'Indexed REC Calculator'!$B$92</f>
        <v>84575</v>
      </c>
      <c r="Z60" s="242">
        <f>Y60*'Indexed REC Calculator'!$B$92</f>
        <v>84152.125</v>
      </c>
    </row>
    <row r="61" spans="1:26" ht="15.75" x14ac:dyDescent="0.25">
      <c r="A61" s="12" t="s">
        <v>86</v>
      </c>
      <c r="B61" s="11">
        <f t="shared" si="7"/>
        <v>2039</v>
      </c>
      <c r="C61" s="11"/>
      <c r="D61" s="11"/>
      <c r="E61" s="9"/>
      <c r="F61" s="9"/>
      <c r="G61" s="9"/>
      <c r="H61" s="242"/>
      <c r="I61" s="242"/>
      <c r="J61" s="242"/>
      <c r="K61" s="242"/>
      <c r="L61" s="242"/>
      <c r="M61" s="242"/>
      <c r="N61" s="242"/>
      <c r="O61" s="242"/>
      <c r="P61" s="242"/>
      <c r="Q61" s="242"/>
      <c r="R61" s="242"/>
      <c r="S61" s="242"/>
      <c r="T61" s="242"/>
      <c r="U61" s="242"/>
      <c r="V61" s="242">
        <v>0</v>
      </c>
      <c r="W61" s="242">
        <v>0</v>
      </c>
      <c r="X61" s="242">
        <v>0</v>
      </c>
      <c r="Y61" s="242">
        <f>IF($A$86="No",85000,0)</f>
        <v>85000</v>
      </c>
      <c r="Z61" s="242">
        <f>Y61*'Indexed REC Calculator'!$B$92</f>
        <v>84575</v>
      </c>
    </row>
    <row r="62" spans="1:26" ht="15.75" x14ac:dyDescent="0.25">
      <c r="A62" s="12" t="s">
        <v>86</v>
      </c>
      <c r="B62" s="11">
        <f t="shared" si="7"/>
        <v>2040</v>
      </c>
      <c r="C62" s="11"/>
      <c r="D62" s="11"/>
      <c r="E62" s="9"/>
      <c r="F62" s="9"/>
      <c r="G62" s="9"/>
      <c r="H62" s="242"/>
      <c r="I62" s="242"/>
      <c r="J62" s="242"/>
      <c r="K62" s="242"/>
      <c r="L62" s="242"/>
      <c r="M62" s="242"/>
      <c r="N62" s="242"/>
      <c r="O62" s="242"/>
      <c r="P62" s="242"/>
      <c r="Q62" s="242"/>
      <c r="R62" s="242"/>
      <c r="S62" s="242"/>
      <c r="T62" s="242"/>
      <c r="U62" s="242"/>
      <c r="V62" s="242"/>
      <c r="W62" s="242">
        <v>0</v>
      </c>
      <c r="X62" s="242">
        <v>0</v>
      </c>
      <c r="Y62" s="242">
        <v>0</v>
      </c>
      <c r="Z62" s="242">
        <f>IF($A$86="No",85000,0)</f>
        <v>85000</v>
      </c>
    </row>
    <row r="63" spans="1:26" ht="15.75" x14ac:dyDescent="0.25">
      <c r="A63" s="12" t="s">
        <v>86</v>
      </c>
      <c r="B63" s="11">
        <f t="shared" si="7"/>
        <v>2041</v>
      </c>
      <c r="C63" s="11"/>
      <c r="D63" s="11"/>
      <c r="E63" s="13"/>
      <c r="F63" s="13"/>
      <c r="G63" s="13"/>
      <c r="H63" s="241"/>
      <c r="I63" s="241"/>
      <c r="J63" s="241"/>
      <c r="K63" s="241"/>
      <c r="L63" s="241"/>
      <c r="M63" s="241"/>
      <c r="N63" s="241"/>
      <c r="O63" s="241"/>
      <c r="P63" s="241"/>
      <c r="Q63" s="241"/>
      <c r="R63" s="241"/>
      <c r="S63" s="241"/>
      <c r="T63" s="241"/>
      <c r="U63" s="241"/>
      <c r="V63" s="241"/>
      <c r="W63" s="241"/>
      <c r="X63" s="241"/>
      <c r="Y63" s="241"/>
      <c r="Z63" s="241"/>
    </row>
    <row r="64" spans="1:26" ht="15.75" x14ac:dyDescent="0.25">
      <c r="A64" s="12" t="s">
        <v>86</v>
      </c>
      <c r="B64" s="11">
        <f t="shared" si="7"/>
        <v>2042</v>
      </c>
      <c r="C64" s="11"/>
      <c r="D64" s="11"/>
      <c r="E64" s="13"/>
      <c r="F64" s="13"/>
      <c r="G64" s="13"/>
      <c r="H64" s="241"/>
      <c r="I64" s="241"/>
      <c r="J64" s="241"/>
      <c r="K64" s="241"/>
      <c r="L64" s="241"/>
      <c r="M64" s="241"/>
      <c r="N64" s="241"/>
      <c r="O64" s="241"/>
      <c r="P64" s="241"/>
      <c r="Q64" s="241"/>
      <c r="R64" s="241"/>
      <c r="S64" s="241"/>
      <c r="T64" s="241"/>
      <c r="U64" s="241"/>
      <c r="V64" s="241"/>
      <c r="W64" s="241"/>
      <c r="X64" s="241"/>
      <c r="Y64" s="241"/>
      <c r="Z64" s="241"/>
    </row>
    <row r="65" spans="1:26" x14ac:dyDescent="0.25">
      <c r="J65" s="172"/>
    </row>
    <row r="67" spans="1:26" ht="15.75" x14ac:dyDescent="0.25">
      <c r="A67" s="177" t="s">
        <v>92</v>
      </c>
      <c r="C67" s="218">
        <v>2020</v>
      </c>
      <c r="D67" s="218">
        <v>2021</v>
      </c>
      <c r="E67" s="218">
        <v>2022</v>
      </c>
      <c r="F67" s="218">
        <f>E67+1</f>
        <v>2023</v>
      </c>
      <c r="G67" s="218">
        <f t="shared" ref="G67:Y67" si="8">F67+1</f>
        <v>2024</v>
      </c>
      <c r="H67" s="218">
        <f t="shared" si="8"/>
        <v>2025</v>
      </c>
      <c r="I67" s="218">
        <f t="shared" si="8"/>
        <v>2026</v>
      </c>
      <c r="J67" s="218">
        <f t="shared" si="8"/>
        <v>2027</v>
      </c>
      <c r="K67" s="218">
        <f t="shared" si="8"/>
        <v>2028</v>
      </c>
      <c r="L67" s="218">
        <f t="shared" si="8"/>
        <v>2029</v>
      </c>
      <c r="M67" s="218">
        <f t="shared" si="8"/>
        <v>2030</v>
      </c>
      <c r="N67" s="218">
        <f t="shared" si="8"/>
        <v>2031</v>
      </c>
      <c r="O67" s="218">
        <f t="shared" si="8"/>
        <v>2032</v>
      </c>
      <c r="P67" s="218">
        <f t="shared" si="8"/>
        <v>2033</v>
      </c>
      <c r="Q67" s="218">
        <f t="shared" si="8"/>
        <v>2034</v>
      </c>
      <c r="R67" s="218">
        <f t="shared" si="8"/>
        <v>2035</v>
      </c>
      <c r="S67" s="218">
        <f t="shared" si="8"/>
        <v>2036</v>
      </c>
      <c r="T67" s="218">
        <f t="shared" si="8"/>
        <v>2037</v>
      </c>
      <c r="U67" s="218">
        <f t="shared" si="8"/>
        <v>2038</v>
      </c>
      <c r="V67" s="218">
        <f t="shared" si="8"/>
        <v>2039</v>
      </c>
      <c r="W67" s="218">
        <f t="shared" si="8"/>
        <v>2040</v>
      </c>
      <c r="X67" s="218">
        <f t="shared" si="8"/>
        <v>2041</v>
      </c>
      <c r="Y67" s="218">
        <f t="shared" si="8"/>
        <v>2042</v>
      </c>
      <c r="Z67" s="218">
        <f t="shared" ref="Z67" si="9">Y67+1</f>
        <v>2043</v>
      </c>
    </row>
    <row r="68" spans="1:26" x14ac:dyDescent="0.25">
      <c r="A68" s="12" t="s">
        <v>90</v>
      </c>
      <c r="C68" s="13">
        <f>IFERROR(SUMIF($A$2:$A$64,$A$68, C2:C64),"error")</f>
        <v>0</v>
      </c>
      <c r="D68" s="13">
        <f t="shared" ref="D68:Z68" si="10">IFERROR(SUMIF($A$2:$A$64,$A$68, D2:D64),"error")</f>
        <v>0</v>
      </c>
      <c r="E68" s="13">
        <f t="shared" si="10"/>
        <v>0</v>
      </c>
      <c r="F68" s="13">
        <f t="shared" si="10"/>
        <v>0</v>
      </c>
      <c r="G68" s="13">
        <f t="shared" si="10"/>
        <v>0</v>
      </c>
      <c r="H68" s="13">
        <f t="shared" si="10"/>
        <v>0</v>
      </c>
      <c r="I68" s="13">
        <f t="shared" si="10"/>
        <v>0</v>
      </c>
      <c r="J68" s="13">
        <f>IFERROR(SUMIF($A$2:$A$64,$A$68, J2:J64),"error")</f>
        <v>1186980</v>
      </c>
      <c r="K68" s="13">
        <f t="shared" si="10"/>
        <v>3686980</v>
      </c>
      <c r="L68" s="13">
        <f t="shared" si="10"/>
        <v>6186980</v>
      </c>
      <c r="M68" s="13">
        <f t="shared" si="10"/>
        <v>8686980</v>
      </c>
      <c r="N68" s="13">
        <f t="shared" si="10"/>
        <v>11186980</v>
      </c>
      <c r="O68" s="13">
        <f t="shared" si="10"/>
        <v>13686980</v>
      </c>
      <c r="P68" s="13">
        <f t="shared" si="10"/>
        <v>14686980</v>
      </c>
      <c r="Q68" s="13">
        <f t="shared" si="10"/>
        <v>15686980</v>
      </c>
      <c r="R68" s="13">
        <f t="shared" si="10"/>
        <v>16686980</v>
      </c>
      <c r="S68" s="13">
        <f t="shared" si="10"/>
        <v>17686980</v>
      </c>
      <c r="T68" s="13">
        <f t="shared" si="10"/>
        <v>18686980</v>
      </c>
      <c r="U68" s="13">
        <f t="shared" si="10"/>
        <v>19686980</v>
      </c>
      <c r="V68" s="13">
        <f t="shared" si="10"/>
        <v>20686980</v>
      </c>
      <c r="W68" s="13">
        <f t="shared" si="10"/>
        <v>21686980</v>
      </c>
      <c r="X68" s="13">
        <f t="shared" si="10"/>
        <v>22686980</v>
      </c>
      <c r="Y68" s="13">
        <f t="shared" si="10"/>
        <v>23686980</v>
      </c>
      <c r="Z68" s="13">
        <f t="shared" si="10"/>
        <v>24686980</v>
      </c>
    </row>
    <row r="69" spans="1:26" x14ac:dyDescent="0.25">
      <c r="A69" s="12" t="s">
        <v>91</v>
      </c>
      <c r="C69" s="13">
        <f>IFERROR(SUMIF($A$2:$A$64,$A$69, C2:C64),"error")</f>
        <v>0</v>
      </c>
      <c r="D69" s="13">
        <f t="shared" ref="D69:Z69" si="11">IFERROR(SUMIF($A$2:$A$64,$A$69, D2:D64),"error")</f>
        <v>0</v>
      </c>
      <c r="E69" s="13">
        <f t="shared" si="11"/>
        <v>0</v>
      </c>
      <c r="F69" s="13">
        <f t="shared" si="11"/>
        <v>0</v>
      </c>
      <c r="G69" s="13">
        <f t="shared" si="11"/>
        <v>0</v>
      </c>
      <c r="H69" s="13">
        <f>IFERROR(SUMIF($A$2:$A$64,$A$69, H2:H64),"error")</f>
        <v>1891521</v>
      </c>
      <c r="I69" s="13">
        <f t="shared" si="11"/>
        <v>4133071.395</v>
      </c>
      <c r="J69" s="13">
        <f t="shared" si="11"/>
        <v>4970625.0380250001</v>
      </c>
      <c r="K69" s="13">
        <f t="shared" si="11"/>
        <v>6445771.9128348753</v>
      </c>
      <c r="L69" s="13">
        <f t="shared" si="11"/>
        <v>7913543.0532707004</v>
      </c>
      <c r="M69" s="13">
        <f t="shared" si="11"/>
        <v>9373975.3380043469</v>
      </c>
      <c r="N69" s="13">
        <f t="shared" si="11"/>
        <v>10327105.461314324</v>
      </c>
      <c r="O69" s="13">
        <f t="shared" si="11"/>
        <v>11275469.934007753</v>
      </c>
      <c r="P69" s="13">
        <f t="shared" si="11"/>
        <v>11969092.584337715</v>
      </c>
      <c r="Q69" s="13">
        <f t="shared" si="11"/>
        <v>12659247.121416025</v>
      </c>
      <c r="R69" s="13">
        <f t="shared" si="11"/>
        <v>13345950.885808945</v>
      </c>
      <c r="S69" s="13">
        <f t="shared" si="11"/>
        <v>14029221.131379901</v>
      </c>
      <c r="T69" s="13">
        <f t="shared" si="11"/>
        <v>14709075.025723003</v>
      </c>
      <c r="U69" s="13">
        <f t="shared" si="11"/>
        <v>15385529.650594387</v>
      </c>
      <c r="V69" s="13">
        <f t="shared" si="11"/>
        <v>16058602.002341416</v>
      </c>
      <c r="W69" s="13">
        <f t="shared" si="11"/>
        <v>16728308.992329707</v>
      </c>
      <c r="X69" s="13">
        <f t="shared" si="11"/>
        <v>17394667.447368059</v>
      </c>
      <c r="Y69" s="13">
        <f t="shared" si="11"/>
        <v>18057694.110131219</v>
      </c>
      <c r="Z69" s="13">
        <f t="shared" si="11"/>
        <v>18729841.714003257</v>
      </c>
    </row>
    <row r="70" spans="1:26" x14ac:dyDescent="0.25">
      <c r="A70" s="12" t="s">
        <v>86</v>
      </c>
      <c r="C70" s="13">
        <f>IFERROR(SUMIF($A$2:$A$64,$A$70, C2:C64),"error")</f>
        <v>0</v>
      </c>
      <c r="D70" s="13">
        <f t="shared" ref="D70:Z70" si="12">IFERROR(SUMIF($A$2:$A$64,$A$70, D2:D64),"error")</f>
        <v>0</v>
      </c>
      <c r="E70" s="13">
        <f t="shared" si="12"/>
        <v>0</v>
      </c>
      <c r="F70" s="13">
        <f t="shared" si="12"/>
        <v>0</v>
      </c>
      <c r="G70" s="13">
        <f t="shared" si="12"/>
        <v>0</v>
      </c>
      <c r="H70" s="13">
        <f t="shared" si="12"/>
        <v>57870</v>
      </c>
      <c r="I70" s="13">
        <f t="shared" si="12"/>
        <v>163324.65</v>
      </c>
      <c r="J70" s="13">
        <f t="shared" si="12"/>
        <v>236508.02674999999</v>
      </c>
      <c r="K70" s="13">
        <f t="shared" si="12"/>
        <v>320325.48661625001</v>
      </c>
      <c r="L70" s="13">
        <f t="shared" si="12"/>
        <v>403723.85918316874</v>
      </c>
      <c r="M70" s="13">
        <f t="shared" si="12"/>
        <v>486705.23988725292</v>
      </c>
      <c r="N70" s="13">
        <f t="shared" si="12"/>
        <v>569271.71368781663</v>
      </c>
      <c r="O70" s="13">
        <f t="shared" si="12"/>
        <v>651425.35511937761</v>
      </c>
      <c r="P70" s="13">
        <f t="shared" si="12"/>
        <v>733168.22834378062</v>
      </c>
      <c r="Q70" s="13">
        <f t="shared" si="12"/>
        <v>814502.38720206171</v>
      </c>
      <c r="R70" s="13">
        <f t="shared" si="12"/>
        <v>895429.87526605139</v>
      </c>
      <c r="S70" s="13">
        <f t="shared" si="12"/>
        <v>975952.72588972119</v>
      </c>
      <c r="T70" s="13">
        <f t="shared" si="12"/>
        <v>1056072.9622602726</v>
      </c>
      <c r="U70" s="13">
        <f t="shared" si="12"/>
        <v>1135792.5974489711</v>
      </c>
      <c r="V70" s="13">
        <f t="shared" si="12"/>
        <v>1215113.6344617263</v>
      </c>
      <c r="W70" s="13">
        <f t="shared" si="12"/>
        <v>1294038.0662894177</v>
      </c>
      <c r="X70" s="13">
        <f t="shared" si="12"/>
        <v>1372567.8759579705</v>
      </c>
      <c r="Y70" s="13">
        <f t="shared" si="12"/>
        <v>1450705.0365781807</v>
      </c>
      <c r="Z70" s="13">
        <f t="shared" si="12"/>
        <v>1528718.2262654081</v>
      </c>
    </row>
    <row r="71" spans="1:26" x14ac:dyDescent="0.25">
      <c r="A71" s="14" t="s">
        <v>93</v>
      </c>
      <c r="C71" s="13">
        <f>SUM(C68:C70)</f>
        <v>0</v>
      </c>
      <c r="D71" s="13">
        <f t="shared" ref="D71" si="13">SUM(D68:D70)</f>
        <v>0</v>
      </c>
      <c r="E71" s="13">
        <f t="shared" ref="E71:Y71" si="14">SUM(E68:E70)</f>
        <v>0</v>
      </c>
      <c r="F71" s="13">
        <f t="shared" si="14"/>
        <v>0</v>
      </c>
      <c r="G71" s="13">
        <f t="shared" si="14"/>
        <v>0</v>
      </c>
      <c r="H71" s="13">
        <f t="shared" si="14"/>
        <v>1949391</v>
      </c>
      <c r="I71" s="13">
        <f t="shared" si="14"/>
        <v>4296396.0449999999</v>
      </c>
      <c r="J71" s="13">
        <f t="shared" si="14"/>
        <v>6394113.0647750003</v>
      </c>
      <c r="K71" s="13">
        <f t="shared" si="14"/>
        <v>10453077.399451125</v>
      </c>
      <c r="L71" s="13">
        <f t="shared" si="14"/>
        <v>14504246.912453869</v>
      </c>
      <c r="M71" s="13">
        <f t="shared" si="14"/>
        <v>18547660.577891599</v>
      </c>
      <c r="N71" s="13">
        <f t="shared" si="14"/>
        <v>22083357.175002143</v>
      </c>
      <c r="O71" s="13">
        <f t="shared" si="14"/>
        <v>25613875.28912713</v>
      </c>
      <c r="P71" s="13">
        <f t="shared" si="14"/>
        <v>27389240.812681496</v>
      </c>
      <c r="Q71" s="13">
        <f t="shared" si="14"/>
        <v>29160729.508618087</v>
      </c>
      <c r="R71" s="13">
        <f t="shared" si="14"/>
        <v>30928360.761074997</v>
      </c>
      <c r="S71" s="13">
        <f t="shared" si="14"/>
        <v>32692153.857269622</v>
      </c>
      <c r="T71" s="13">
        <f t="shared" si="14"/>
        <v>34452127.987983279</v>
      </c>
      <c r="U71" s="13">
        <f t="shared" si="14"/>
        <v>36208302.248043358</v>
      </c>
      <c r="V71" s="13">
        <f t="shared" si="14"/>
        <v>37960695.636803143</v>
      </c>
      <c r="W71" s="13">
        <f t="shared" si="14"/>
        <v>39709327.058619127</v>
      </c>
      <c r="X71" s="13">
        <f t="shared" si="14"/>
        <v>41454215.323326029</v>
      </c>
      <c r="Y71" s="13">
        <f t="shared" si="14"/>
        <v>43195379.146709397</v>
      </c>
      <c r="Z71" s="13">
        <f t="shared" ref="Z71" si="15">SUM(Z68:Z70)</f>
        <v>44945539.940268666</v>
      </c>
    </row>
    <row r="73" spans="1:26" ht="15.75" x14ac:dyDescent="0.25">
      <c r="A73" s="177" t="s">
        <v>94</v>
      </c>
      <c r="C73" s="218">
        <v>2020</v>
      </c>
      <c r="D73" s="218">
        <v>2021</v>
      </c>
      <c r="E73" s="218">
        <v>2022</v>
      </c>
      <c r="F73" s="218">
        <f>E73+1</f>
        <v>2023</v>
      </c>
      <c r="G73" s="218">
        <f t="shared" ref="G73" si="16">F73+1</f>
        <v>2024</v>
      </c>
      <c r="H73" s="218">
        <f t="shared" ref="H73" si="17">G73+1</f>
        <v>2025</v>
      </c>
      <c r="I73" s="218">
        <f t="shared" ref="I73" si="18">H73+1</f>
        <v>2026</v>
      </c>
      <c r="J73" s="218">
        <f t="shared" ref="J73" si="19">I73+1</f>
        <v>2027</v>
      </c>
      <c r="K73" s="218">
        <f t="shared" ref="K73" si="20">J73+1</f>
        <v>2028</v>
      </c>
      <c r="L73" s="218">
        <f t="shared" ref="L73" si="21">K73+1</f>
        <v>2029</v>
      </c>
      <c r="M73" s="218">
        <f t="shared" ref="M73" si="22">L73+1</f>
        <v>2030</v>
      </c>
      <c r="N73" s="218">
        <f t="shared" ref="N73" si="23">M73+1</f>
        <v>2031</v>
      </c>
      <c r="O73" s="218">
        <f t="shared" ref="O73" si="24">N73+1</f>
        <v>2032</v>
      </c>
      <c r="P73" s="218">
        <f t="shared" ref="P73" si="25">O73+1</f>
        <v>2033</v>
      </c>
      <c r="Q73" s="218">
        <f t="shared" ref="Q73" si="26">P73+1</f>
        <v>2034</v>
      </c>
      <c r="R73" s="218">
        <f t="shared" ref="R73" si="27">Q73+1</f>
        <v>2035</v>
      </c>
      <c r="S73" s="218">
        <f t="shared" ref="S73" si="28">R73+1</f>
        <v>2036</v>
      </c>
      <c r="T73" s="218">
        <f t="shared" ref="T73" si="29">S73+1</f>
        <v>2037</v>
      </c>
      <c r="U73" s="218">
        <f t="shared" ref="U73" si="30">T73+1</f>
        <v>2038</v>
      </c>
      <c r="V73" s="218">
        <f t="shared" ref="V73" si="31">U73+1</f>
        <v>2039</v>
      </c>
      <c r="W73" s="218">
        <f t="shared" ref="W73" si="32">V73+1</f>
        <v>2040</v>
      </c>
      <c r="X73" s="218">
        <f t="shared" ref="X73" si="33">W73+1</f>
        <v>2041</v>
      </c>
      <c r="Y73" s="218">
        <f t="shared" ref="Y73" si="34">X73+1</f>
        <v>2042</v>
      </c>
      <c r="Z73" s="218">
        <f t="shared" ref="Z73" si="35">Y73+1</f>
        <v>2043</v>
      </c>
    </row>
    <row r="74" spans="1:26" s="183" customFormat="1" x14ac:dyDescent="0.25">
      <c r="A74" s="293" t="s">
        <v>90</v>
      </c>
      <c r="C74" s="13">
        <f>SUMIFS(C2:C64,$A$2:$A$64,$A$74,$B$2:$B$64,"&lt;=2024")</f>
        <v>0</v>
      </c>
      <c r="D74" s="13">
        <f t="shared" ref="D74:Z74" si="36">SUMIFS(D2:D64,$A$2:$A$64,$A$74,$B$2:$B$64,"&lt;=2024")</f>
        <v>0</v>
      </c>
      <c r="E74" s="13">
        <f t="shared" si="36"/>
        <v>0</v>
      </c>
      <c r="F74" s="13">
        <f t="shared" si="36"/>
        <v>0</v>
      </c>
      <c r="G74" s="13">
        <f t="shared" si="36"/>
        <v>0</v>
      </c>
      <c r="H74" s="13">
        <f t="shared" si="36"/>
        <v>0</v>
      </c>
      <c r="I74" s="13">
        <f t="shared" si="36"/>
        <v>0</v>
      </c>
      <c r="J74" s="13">
        <f t="shared" si="36"/>
        <v>1186980</v>
      </c>
      <c r="K74" s="13">
        <f t="shared" si="36"/>
        <v>1186980</v>
      </c>
      <c r="L74" s="13">
        <f t="shared" si="36"/>
        <v>1186980</v>
      </c>
      <c r="M74" s="13">
        <f t="shared" si="36"/>
        <v>1186980</v>
      </c>
      <c r="N74" s="13">
        <f t="shared" si="36"/>
        <v>1186980</v>
      </c>
      <c r="O74" s="13">
        <f t="shared" si="36"/>
        <v>1186980</v>
      </c>
      <c r="P74" s="13">
        <f t="shared" si="36"/>
        <v>1186980</v>
      </c>
      <c r="Q74" s="13">
        <f t="shared" si="36"/>
        <v>1186980</v>
      </c>
      <c r="R74" s="13">
        <f t="shared" si="36"/>
        <v>1186980</v>
      </c>
      <c r="S74" s="13">
        <f t="shared" si="36"/>
        <v>1186980</v>
      </c>
      <c r="T74" s="13">
        <f t="shared" si="36"/>
        <v>1186980</v>
      </c>
      <c r="U74" s="13">
        <f t="shared" si="36"/>
        <v>1186980</v>
      </c>
      <c r="V74" s="13">
        <f t="shared" si="36"/>
        <v>1186980</v>
      </c>
      <c r="W74" s="13">
        <f t="shared" si="36"/>
        <v>1186980</v>
      </c>
      <c r="X74" s="13">
        <f t="shared" si="36"/>
        <v>1186980</v>
      </c>
      <c r="Y74" s="13">
        <f t="shared" si="36"/>
        <v>1186980</v>
      </c>
      <c r="Z74" s="13">
        <f t="shared" si="36"/>
        <v>1186980</v>
      </c>
    </row>
    <row r="75" spans="1:26" x14ac:dyDescent="0.25">
      <c r="A75" s="12" t="s">
        <v>91</v>
      </c>
      <c r="C75" s="13">
        <f>SUMIFS(C2:C64,$A$2:$A$64,$A$75,$B$2:$B$64,"&lt;=2024")</f>
        <v>0</v>
      </c>
      <c r="D75" s="13">
        <f t="shared" ref="D75:Z75" si="37">SUMIFS(D2:D64,$A$2:$A$64,$A$75,$B$2:$B$64,"&lt;=2024")</f>
        <v>0</v>
      </c>
      <c r="E75" s="13">
        <f t="shared" si="37"/>
        <v>0</v>
      </c>
      <c r="F75" s="13">
        <f t="shared" si="37"/>
        <v>0</v>
      </c>
      <c r="G75" s="13">
        <f t="shared" si="37"/>
        <v>0</v>
      </c>
      <c r="H75" s="13">
        <f t="shared" si="37"/>
        <v>1891521</v>
      </c>
      <c r="I75" s="13">
        <f t="shared" si="37"/>
        <v>4133071.395</v>
      </c>
      <c r="J75" s="13">
        <f t="shared" si="37"/>
        <v>4970625.0380250001</v>
      </c>
      <c r="K75" s="13">
        <f t="shared" si="37"/>
        <v>4945771.9128348753</v>
      </c>
      <c r="L75" s="13">
        <f t="shared" si="37"/>
        <v>4921043.0532707004</v>
      </c>
      <c r="M75" s="13">
        <f t="shared" si="37"/>
        <v>4896437.8380043469</v>
      </c>
      <c r="N75" s="13">
        <f t="shared" si="37"/>
        <v>4871955.6488143252</v>
      </c>
      <c r="O75" s="13">
        <f t="shared" si="37"/>
        <v>4847595.8705702536</v>
      </c>
      <c r="P75" s="13">
        <f t="shared" si="37"/>
        <v>4823357.8912174013</v>
      </c>
      <c r="Q75" s="13">
        <f t="shared" si="37"/>
        <v>4799241.1017613141</v>
      </c>
      <c r="R75" s="13">
        <f t="shared" si="37"/>
        <v>4775244.8962525083</v>
      </c>
      <c r="S75" s="13">
        <f t="shared" si="37"/>
        <v>4751368.671771246</v>
      </c>
      <c r="T75" s="13">
        <f t="shared" si="37"/>
        <v>4727611.8284123894</v>
      </c>
      <c r="U75" s="13">
        <f t="shared" si="37"/>
        <v>4703973.7692703279</v>
      </c>
      <c r="V75" s="13">
        <f t="shared" si="37"/>
        <v>4680453.9004239757</v>
      </c>
      <c r="W75" s="13">
        <f t="shared" si="37"/>
        <v>4657051.6309218556</v>
      </c>
      <c r="X75" s="13">
        <f t="shared" si="37"/>
        <v>4633766.3727672463</v>
      </c>
      <c r="Y75" s="13">
        <f t="shared" si="37"/>
        <v>4610597.5409034099</v>
      </c>
      <c r="Z75" s="13">
        <f t="shared" si="37"/>
        <v>4596230.6276215874</v>
      </c>
    </row>
    <row r="76" spans="1:26" x14ac:dyDescent="0.25">
      <c r="A76" s="12" t="s">
        <v>86</v>
      </c>
      <c r="C76" s="13">
        <f>SUMIFS(C4:C66,$A$2:$A$64,$A$76,$B$2:$B$64,"&lt;=2024")</f>
        <v>0</v>
      </c>
      <c r="D76" s="13">
        <f t="shared" ref="D76:Z76" si="38">SUMIFS(D4:D66,$A$2:$A$64,$A$76,$B$2:$B$64,"&lt;=2024")</f>
        <v>0</v>
      </c>
      <c r="E76" s="13">
        <f t="shared" si="38"/>
        <v>0</v>
      </c>
      <c r="F76" s="13">
        <f t="shared" si="38"/>
        <v>0</v>
      </c>
      <c r="G76" s="13">
        <f t="shared" si="38"/>
        <v>0</v>
      </c>
      <c r="H76" s="13">
        <f t="shared" si="38"/>
        <v>0</v>
      </c>
      <c r="I76" s="13">
        <f t="shared" si="38"/>
        <v>0</v>
      </c>
      <c r="J76" s="13">
        <f t="shared" si="38"/>
        <v>74000</v>
      </c>
      <c r="K76" s="13">
        <f t="shared" si="38"/>
        <v>158630</v>
      </c>
      <c r="L76" s="13">
        <f t="shared" si="38"/>
        <v>242836.85</v>
      </c>
      <c r="M76" s="13">
        <f t="shared" si="38"/>
        <v>241622.66574999999</v>
      </c>
      <c r="N76" s="13">
        <f t="shared" si="38"/>
        <v>240414.55242125</v>
      </c>
      <c r="O76" s="13">
        <f t="shared" si="38"/>
        <v>239212.47965914375</v>
      </c>
      <c r="P76" s="13">
        <f t="shared" si="38"/>
        <v>238016.41726084799</v>
      </c>
      <c r="Q76" s="13">
        <f t="shared" si="38"/>
        <v>236826.33517454375</v>
      </c>
      <c r="R76" s="13">
        <f t="shared" si="38"/>
        <v>235642.20349867106</v>
      </c>
      <c r="S76" s="13">
        <f t="shared" si="38"/>
        <v>234463.9924811777</v>
      </c>
      <c r="T76" s="13">
        <f t="shared" si="38"/>
        <v>233291.67251877178</v>
      </c>
      <c r="U76" s="13">
        <f t="shared" si="38"/>
        <v>232125.21415617794</v>
      </c>
      <c r="V76" s="13">
        <f t="shared" si="38"/>
        <v>230964.58808539703</v>
      </c>
      <c r="W76" s="13">
        <f t="shared" si="38"/>
        <v>229809.76514497004</v>
      </c>
      <c r="X76" s="13">
        <f t="shared" si="38"/>
        <v>228660.7163192452</v>
      </c>
      <c r="Y76" s="13">
        <f t="shared" si="38"/>
        <v>227517.41273764899</v>
      </c>
      <c r="Z76" s="13">
        <f t="shared" si="38"/>
        <v>226379.82567396073</v>
      </c>
    </row>
    <row r="77" spans="1:26" x14ac:dyDescent="0.25">
      <c r="A77" s="14" t="s">
        <v>93</v>
      </c>
      <c r="C77" s="13">
        <f t="shared" ref="C77:Y77" si="39">SUM(C74:C76)</f>
        <v>0</v>
      </c>
      <c r="D77" s="13">
        <f t="shared" si="39"/>
        <v>0</v>
      </c>
      <c r="E77" s="13">
        <f t="shared" si="39"/>
        <v>0</v>
      </c>
      <c r="F77" s="13">
        <f t="shared" si="39"/>
        <v>0</v>
      </c>
      <c r="G77" s="13">
        <f t="shared" si="39"/>
        <v>0</v>
      </c>
      <c r="H77" s="13">
        <f t="shared" si="39"/>
        <v>1891521</v>
      </c>
      <c r="I77" s="13">
        <f t="shared" si="39"/>
        <v>4133071.395</v>
      </c>
      <c r="J77" s="13">
        <f t="shared" si="39"/>
        <v>6231605.0380250001</v>
      </c>
      <c r="K77" s="13">
        <f t="shared" si="39"/>
        <v>6291381.9128348753</v>
      </c>
      <c r="L77" s="13">
        <f t="shared" si="39"/>
        <v>6350859.9032707</v>
      </c>
      <c r="M77" s="13">
        <f t="shared" si="39"/>
        <v>6325040.5037543466</v>
      </c>
      <c r="N77" s="13">
        <f t="shared" si="39"/>
        <v>6299350.2012355756</v>
      </c>
      <c r="O77" s="13">
        <f t="shared" si="39"/>
        <v>6273788.3502293974</v>
      </c>
      <c r="P77" s="13">
        <f t="shared" si="39"/>
        <v>6248354.3084782492</v>
      </c>
      <c r="Q77" s="13">
        <f t="shared" si="39"/>
        <v>6223047.4369358579</v>
      </c>
      <c r="R77" s="13">
        <f t="shared" si="39"/>
        <v>6197867.0997511791</v>
      </c>
      <c r="S77" s="13">
        <f t="shared" si="39"/>
        <v>6172812.6642524237</v>
      </c>
      <c r="T77" s="13">
        <f t="shared" si="39"/>
        <v>6147883.5009311615</v>
      </c>
      <c r="U77" s="13">
        <f t="shared" si="39"/>
        <v>6123078.9834265057</v>
      </c>
      <c r="V77" s="13">
        <f t="shared" si="39"/>
        <v>6098398.4885093728</v>
      </c>
      <c r="W77" s="13">
        <f t="shared" si="39"/>
        <v>6073841.3960668258</v>
      </c>
      <c r="X77" s="13">
        <f t="shared" si="39"/>
        <v>6049407.0890864916</v>
      </c>
      <c r="Y77" s="13">
        <f t="shared" si="39"/>
        <v>6025094.9536410589</v>
      </c>
      <c r="Z77" s="13">
        <f t="shared" ref="Z77" si="40">SUM(Z74:Z76)</f>
        <v>6009590.4532955484</v>
      </c>
    </row>
    <row r="78" spans="1:26" x14ac:dyDescent="0.25">
      <c r="P78" s="185"/>
    </row>
    <row r="79" spans="1:26" ht="15.75" x14ac:dyDescent="0.25">
      <c r="A79" s="1" t="s">
        <v>95</v>
      </c>
      <c r="C79" s="218">
        <v>2020</v>
      </c>
      <c r="D79" s="218">
        <v>2021</v>
      </c>
      <c r="E79" s="218">
        <v>2022</v>
      </c>
      <c r="F79" s="218">
        <f>E79+1</f>
        <v>2023</v>
      </c>
      <c r="G79" s="218">
        <f t="shared" ref="G79" si="41">F79+1</f>
        <v>2024</v>
      </c>
      <c r="H79" s="218">
        <f t="shared" ref="H79" si="42">G79+1</f>
        <v>2025</v>
      </c>
      <c r="I79" s="218">
        <f t="shared" ref="I79" si="43">H79+1</f>
        <v>2026</v>
      </c>
      <c r="J79" s="218">
        <f t="shared" ref="J79" si="44">I79+1</f>
        <v>2027</v>
      </c>
      <c r="K79" s="218">
        <f t="shared" ref="K79" si="45">J79+1</f>
        <v>2028</v>
      </c>
      <c r="L79" s="218">
        <f t="shared" ref="L79" si="46">K79+1</f>
        <v>2029</v>
      </c>
      <c r="M79" s="218">
        <f t="shared" ref="M79" si="47">L79+1</f>
        <v>2030</v>
      </c>
      <c r="N79" s="218">
        <f t="shared" ref="N79" si="48">M79+1</f>
        <v>2031</v>
      </c>
      <c r="O79" s="218">
        <f t="shared" ref="O79" si="49">N79+1</f>
        <v>2032</v>
      </c>
      <c r="P79" s="218">
        <f t="shared" ref="P79" si="50">O79+1</f>
        <v>2033</v>
      </c>
      <c r="Q79" s="218">
        <f t="shared" ref="Q79" si="51">P79+1</f>
        <v>2034</v>
      </c>
      <c r="R79" s="218">
        <f t="shared" ref="R79" si="52">Q79+1</f>
        <v>2035</v>
      </c>
      <c r="S79" s="218">
        <f t="shared" ref="S79" si="53">R79+1</f>
        <v>2036</v>
      </c>
      <c r="T79" s="218">
        <f t="shared" ref="T79" si="54">S79+1</f>
        <v>2037</v>
      </c>
      <c r="U79" s="218">
        <f t="shared" ref="U79" si="55">T79+1</f>
        <v>2038</v>
      </c>
      <c r="V79" s="218">
        <f t="shared" ref="V79" si="56">U79+1</f>
        <v>2039</v>
      </c>
      <c r="W79" s="218">
        <f t="shared" ref="W79" si="57">V79+1</f>
        <v>2040</v>
      </c>
      <c r="X79" s="218">
        <f t="shared" ref="X79" si="58">W79+1</f>
        <v>2041</v>
      </c>
      <c r="Y79" s="218">
        <f t="shared" ref="Y79" si="59">X79+1</f>
        <v>2042</v>
      </c>
      <c r="Z79" s="218">
        <f t="shared" ref="Z79" si="60">Y79+1</f>
        <v>2043</v>
      </c>
    </row>
    <row r="80" spans="1:26" s="183" customFormat="1" x14ac:dyDescent="0.25">
      <c r="A80" s="293" t="s">
        <v>90</v>
      </c>
      <c r="C80" s="294">
        <f>SUMIFS(C2:C64,$A$2:$A$64,$A$80,$B$2:$B$64,"&gt;2024")</f>
        <v>0</v>
      </c>
      <c r="D80" s="294">
        <f t="shared" ref="D80:Z80" si="61">SUMIFS(D2:D64,$A$2:$A$64,$A$80,$B$2:$B$64,"&gt;2024")</f>
        <v>0</v>
      </c>
      <c r="E80" s="294">
        <f t="shared" si="61"/>
        <v>0</v>
      </c>
      <c r="F80" s="294">
        <f t="shared" si="61"/>
        <v>0</v>
      </c>
      <c r="G80" s="294">
        <f t="shared" si="61"/>
        <v>0</v>
      </c>
      <c r="H80" s="294">
        <f t="shared" si="61"/>
        <v>0</v>
      </c>
      <c r="I80" s="294">
        <f t="shared" si="61"/>
        <v>0</v>
      </c>
      <c r="J80" s="294">
        <f t="shared" si="61"/>
        <v>0</v>
      </c>
      <c r="K80" s="294">
        <f t="shared" si="61"/>
        <v>2500000</v>
      </c>
      <c r="L80" s="294">
        <f t="shared" si="61"/>
        <v>5000000</v>
      </c>
      <c r="M80" s="294">
        <f t="shared" si="61"/>
        <v>7500000</v>
      </c>
      <c r="N80" s="294">
        <f t="shared" si="61"/>
        <v>10000000</v>
      </c>
      <c r="O80" s="294">
        <f t="shared" si="61"/>
        <v>12500000</v>
      </c>
      <c r="P80" s="294">
        <f t="shared" si="61"/>
        <v>13500000</v>
      </c>
      <c r="Q80" s="294">
        <f t="shared" si="61"/>
        <v>14500000</v>
      </c>
      <c r="R80" s="294">
        <f t="shared" si="61"/>
        <v>15500000</v>
      </c>
      <c r="S80" s="294">
        <f t="shared" si="61"/>
        <v>16500000</v>
      </c>
      <c r="T80" s="294">
        <f t="shared" si="61"/>
        <v>17500000</v>
      </c>
      <c r="U80" s="294">
        <f t="shared" si="61"/>
        <v>18500000</v>
      </c>
      <c r="V80" s="294">
        <f t="shared" si="61"/>
        <v>19500000</v>
      </c>
      <c r="W80" s="294">
        <f t="shared" si="61"/>
        <v>20500000</v>
      </c>
      <c r="X80" s="294">
        <f t="shared" si="61"/>
        <v>21500000</v>
      </c>
      <c r="Y80" s="294">
        <f t="shared" si="61"/>
        <v>22500000</v>
      </c>
      <c r="Z80" s="294">
        <f t="shared" si="61"/>
        <v>23500000</v>
      </c>
    </row>
    <row r="81" spans="1:26" s="183" customFormat="1" x14ac:dyDescent="0.25">
      <c r="A81" s="293" t="s">
        <v>91</v>
      </c>
      <c r="C81" s="294">
        <f>SUMIFS(C2:C64,$A$2:$A$64,$A$81,$B$2:$B$64,"&gt;2024")</f>
        <v>0</v>
      </c>
      <c r="D81" s="294">
        <f t="shared" ref="D81:Z81" si="62">SUMIFS(D2:D64,$A$2:$A$64,$A$81,$B$2:$B$64,"&gt;2024")</f>
        <v>0</v>
      </c>
      <c r="E81" s="294">
        <f t="shared" si="62"/>
        <v>0</v>
      </c>
      <c r="F81" s="294">
        <f t="shared" si="62"/>
        <v>0</v>
      </c>
      <c r="G81" s="294">
        <f t="shared" si="62"/>
        <v>0</v>
      </c>
      <c r="H81" s="294">
        <f t="shared" si="62"/>
        <v>0</v>
      </c>
      <c r="I81" s="294">
        <f t="shared" si="62"/>
        <v>0</v>
      </c>
      <c r="J81" s="294">
        <f t="shared" si="62"/>
        <v>0</v>
      </c>
      <c r="K81" s="294">
        <f t="shared" si="62"/>
        <v>1500000</v>
      </c>
      <c r="L81" s="294">
        <f t="shared" si="62"/>
        <v>2992500</v>
      </c>
      <c r="M81" s="294">
        <f t="shared" si="62"/>
        <v>4477537.5</v>
      </c>
      <c r="N81" s="294">
        <f t="shared" si="62"/>
        <v>5455149.8125</v>
      </c>
      <c r="O81" s="294">
        <f t="shared" si="62"/>
        <v>6427874.0634375</v>
      </c>
      <c r="P81" s="294">
        <f t="shared" si="62"/>
        <v>7145734.6931203129</v>
      </c>
      <c r="Q81" s="294">
        <f t="shared" si="62"/>
        <v>7860006.0196547117</v>
      </c>
      <c r="R81" s="294">
        <f t="shared" si="62"/>
        <v>8570705.9895564392</v>
      </c>
      <c r="S81" s="294">
        <f t="shared" si="62"/>
        <v>9277852.4596086554</v>
      </c>
      <c r="T81" s="294">
        <f t="shared" si="62"/>
        <v>9981463.1973106135</v>
      </c>
      <c r="U81" s="294">
        <f t="shared" si="62"/>
        <v>10681555.88132406</v>
      </c>
      <c r="V81" s="294">
        <f t="shared" si="62"/>
        <v>11378148.101917438</v>
      </c>
      <c r="W81" s="294">
        <f t="shared" si="62"/>
        <v>12071257.361407852</v>
      </c>
      <c r="X81" s="294">
        <f t="shared" si="62"/>
        <v>12760901.074600812</v>
      </c>
      <c r="Y81" s="294">
        <f t="shared" si="62"/>
        <v>13447096.569227809</v>
      </c>
      <c r="Z81" s="294">
        <f t="shared" si="62"/>
        <v>14133611.08638167</v>
      </c>
    </row>
    <row r="82" spans="1:26" s="183" customFormat="1" x14ac:dyDescent="0.25">
      <c r="A82" s="293" t="s">
        <v>86</v>
      </c>
      <c r="C82" s="294">
        <f>SUMIFS(C2:C64,$A$2:$A$64,$A$82,$B$2:$B$64,"&gt;2024")</f>
        <v>0</v>
      </c>
      <c r="D82" s="294">
        <f t="shared" ref="D82:Z82" si="63">SUMIFS(D2:D64,$A$2:$A$64,$A$82,$B$2:$B$64,"&gt;2024")</f>
        <v>0</v>
      </c>
      <c r="E82" s="294">
        <f t="shared" si="63"/>
        <v>0</v>
      </c>
      <c r="F82" s="294">
        <f t="shared" si="63"/>
        <v>0</v>
      </c>
      <c r="G82" s="294">
        <f t="shared" si="63"/>
        <v>0</v>
      </c>
      <c r="H82" s="294">
        <f t="shared" si="63"/>
        <v>0</v>
      </c>
      <c r="I82" s="294">
        <f t="shared" si="63"/>
        <v>0</v>
      </c>
      <c r="J82" s="294">
        <f t="shared" si="63"/>
        <v>0</v>
      </c>
      <c r="K82" s="294">
        <f t="shared" si="63"/>
        <v>85000</v>
      </c>
      <c r="L82" s="294">
        <f t="shared" si="63"/>
        <v>169575</v>
      </c>
      <c r="M82" s="294">
        <f t="shared" si="63"/>
        <v>253727.125</v>
      </c>
      <c r="N82" s="294">
        <f t="shared" si="63"/>
        <v>337458.489375</v>
      </c>
      <c r="O82" s="294">
        <f t="shared" si="63"/>
        <v>420771.19692812499</v>
      </c>
      <c r="P82" s="294">
        <f t="shared" si="63"/>
        <v>503667.34094348439</v>
      </c>
      <c r="Q82" s="294">
        <f t="shared" si="63"/>
        <v>586149.00423876697</v>
      </c>
      <c r="R82" s="294">
        <f t="shared" si="63"/>
        <v>668218.2592175731</v>
      </c>
      <c r="S82" s="294">
        <f t="shared" si="63"/>
        <v>749877.16792148526</v>
      </c>
      <c r="T82" s="294">
        <f t="shared" si="63"/>
        <v>831127.78208187781</v>
      </c>
      <c r="U82" s="294">
        <f t="shared" si="63"/>
        <v>911972.1431714684</v>
      </c>
      <c r="V82" s="294">
        <f t="shared" si="63"/>
        <v>992412.28245561104</v>
      </c>
      <c r="W82" s="294">
        <f t="shared" si="63"/>
        <v>1072450.2210433329</v>
      </c>
      <c r="X82" s="294">
        <f t="shared" si="63"/>
        <v>1152087.9699381161</v>
      </c>
      <c r="Y82" s="294">
        <f t="shared" si="63"/>
        <v>1231327.5300884256</v>
      </c>
      <c r="Z82" s="294">
        <f t="shared" si="63"/>
        <v>1310170.8924379835</v>
      </c>
    </row>
    <row r="83" spans="1:26" x14ac:dyDescent="0.25">
      <c r="A83" s="14" t="s">
        <v>93</v>
      </c>
      <c r="C83" s="172">
        <f>SUM(C80:C82)</f>
        <v>0</v>
      </c>
      <c r="D83" s="172">
        <f t="shared" ref="D83:Z83" si="64">SUM(D80:D82)</f>
        <v>0</v>
      </c>
      <c r="E83" s="172">
        <f t="shared" si="64"/>
        <v>0</v>
      </c>
      <c r="F83" s="172">
        <f t="shared" si="64"/>
        <v>0</v>
      </c>
      <c r="G83" s="172">
        <f t="shared" si="64"/>
        <v>0</v>
      </c>
      <c r="H83" s="172">
        <f t="shared" si="64"/>
        <v>0</v>
      </c>
      <c r="I83" s="172">
        <f t="shared" si="64"/>
        <v>0</v>
      </c>
      <c r="J83" s="172">
        <f t="shared" si="64"/>
        <v>0</v>
      </c>
      <c r="K83" s="172">
        <f t="shared" si="64"/>
        <v>4085000</v>
      </c>
      <c r="L83" s="172">
        <f t="shared" si="64"/>
        <v>8162075</v>
      </c>
      <c r="M83" s="172">
        <f t="shared" si="64"/>
        <v>12231264.625</v>
      </c>
      <c r="N83" s="172">
        <f t="shared" si="64"/>
        <v>15792608.301875001</v>
      </c>
      <c r="O83" s="172">
        <f t="shared" si="64"/>
        <v>19348645.260365624</v>
      </c>
      <c r="P83" s="172">
        <f t="shared" si="64"/>
        <v>21149402.034063797</v>
      </c>
      <c r="Q83" s="172">
        <f t="shared" si="64"/>
        <v>22946155.023893479</v>
      </c>
      <c r="R83" s="172">
        <f t="shared" si="64"/>
        <v>24738924.248774011</v>
      </c>
      <c r="S83" s="172">
        <f t="shared" si="64"/>
        <v>26527729.627530139</v>
      </c>
      <c r="T83" s="172">
        <f t="shared" si="64"/>
        <v>28312590.979392491</v>
      </c>
      <c r="U83" s="172">
        <f t="shared" si="64"/>
        <v>30093528.024495527</v>
      </c>
      <c r="V83" s="172">
        <f t="shared" si="64"/>
        <v>31870560.38437305</v>
      </c>
      <c r="W83" s="172">
        <f t="shared" si="64"/>
        <v>33643707.582451187</v>
      </c>
      <c r="X83" s="172">
        <f t="shared" si="64"/>
        <v>35412989.04453893</v>
      </c>
      <c r="Y83" s="172">
        <f t="shared" si="64"/>
        <v>37178424.099316232</v>
      </c>
      <c r="Z83" s="172">
        <f t="shared" si="64"/>
        <v>38943781.978819661</v>
      </c>
    </row>
    <row r="85" spans="1:26" x14ac:dyDescent="0.25">
      <c r="A85" s="177" t="s">
        <v>96</v>
      </c>
    </row>
    <row r="86" spans="1:26" x14ac:dyDescent="0.25">
      <c r="A86" s="177" t="s">
        <v>97</v>
      </c>
      <c r="P86" s="185"/>
      <c r="W86" s="97">
        <f>'Collections and ACP'!L27</f>
        <v>0</v>
      </c>
    </row>
    <row r="87" spans="1:26" x14ac:dyDescent="0.25">
      <c r="P87" s="185"/>
      <c r="W87" s="97" t="e">
        <f>'Collections and ACP'!#REF!</f>
        <v>#REF!</v>
      </c>
    </row>
    <row r="88" spans="1:26" x14ac:dyDescent="0.25">
      <c r="P88" s="185"/>
      <c r="W88" s="97">
        <f>'Collections and ACP'!M27</f>
        <v>0</v>
      </c>
    </row>
    <row r="89" spans="1:26" ht="15.75" x14ac:dyDescent="0.25">
      <c r="B89" s="1"/>
      <c r="C89" s="1"/>
      <c r="D89" s="1"/>
      <c r="E89" s="177"/>
      <c r="F89" s="177"/>
      <c r="G89" s="177"/>
      <c r="H89" s="218">
        <f t="shared" ref="H89:Z89" si="65">H79</f>
        <v>2025</v>
      </c>
      <c r="I89" s="218">
        <f t="shared" si="65"/>
        <v>2026</v>
      </c>
      <c r="J89" s="218">
        <f t="shared" si="65"/>
        <v>2027</v>
      </c>
      <c r="K89" s="218">
        <f t="shared" si="65"/>
        <v>2028</v>
      </c>
      <c r="L89" s="218">
        <f t="shared" si="65"/>
        <v>2029</v>
      </c>
      <c r="M89" s="218">
        <f t="shared" si="65"/>
        <v>2030</v>
      </c>
      <c r="N89" s="218">
        <f t="shared" si="65"/>
        <v>2031</v>
      </c>
      <c r="O89" s="218">
        <f t="shared" si="65"/>
        <v>2032</v>
      </c>
      <c r="P89" s="218">
        <f t="shared" si="65"/>
        <v>2033</v>
      </c>
      <c r="Q89" s="218">
        <f t="shared" si="65"/>
        <v>2034</v>
      </c>
      <c r="R89" s="218">
        <f t="shared" si="65"/>
        <v>2035</v>
      </c>
      <c r="S89" s="218">
        <f t="shared" si="65"/>
        <v>2036</v>
      </c>
      <c r="T89" s="218">
        <f t="shared" si="65"/>
        <v>2037</v>
      </c>
      <c r="U89" s="218">
        <f t="shared" si="65"/>
        <v>2038</v>
      </c>
      <c r="V89" s="218">
        <f t="shared" si="65"/>
        <v>2039</v>
      </c>
      <c r="W89" s="218">
        <f t="shared" si="65"/>
        <v>2040</v>
      </c>
      <c r="X89" s="218">
        <f t="shared" si="65"/>
        <v>2041</v>
      </c>
      <c r="Y89" s="218">
        <f t="shared" si="65"/>
        <v>2042</v>
      </c>
      <c r="Z89" s="218">
        <f t="shared" si="65"/>
        <v>2043</v>
      </c>
    </row>
    <row r="90" spans="1:26" ht="15.75" x14ac:dyDescent="0.25">
      <c r="B90" s="1"/>
      <c r="C90" s="1"/>
      <c r="D90" s="1"/>
      <c r="E90" s="11">
        <v>2023</v>
      </c>
      <c r="F90" s="11"/>
      <c r="G90" s="177" t="s">
        <v>98</v>
      </c>
      <c r="H90" s="28">
        <f>SUMIF($B$2:$B$64,$E90,H$2:H$64)+SUMIF($B$2:$B$64,$F90,H$2:H$64)</f>
        <v>0</v>
      </c>
      <c r="I90" s="28">
        <f>SUMIF($B$2:$B$64,$E90,I$2:I$64)+SUMIF($B$2:$B$64,$F90,I$2:I$64)</f>
        <v>2356752</v>
      </c>
      <c r="J90" s="28">
        <f t="shared" ref="J90:Z90" si="66">SUMIF($B$2:$B$64,$E90,J$2:J$64)+SUMIF($B$2:$B$64,$F90,J$2:J$64)</f>
        <v>3173431.2399999998</v>
      </c>
      <c r="K90" s="28">
        <f t="shared" si="66"/>
        <v>3161706.3988000001</v>
      </c>
      <c r="L90" s="28">
        <f t="shared" si="66"/>
        <v>3150040.1818059999</v>
      </c>
      <c r="M90" s="28">
        <f t="shared" si="66"/>
        <v>3138432.2958969702</v>
      </c>
      <c r="N90" s="28">
        <f t="shared" si="66"/>
        <v>3126882.4494174849</v>
      </c>
      <c r="O90" s="28">
        <f t="shared" si="66"/>
        <v>3115390.3521703975</v>
      </c>
      <c r="P90" s="28">
        <f t="shared" si="66"/>
        <v>3103955.7154095452</v>
      </c>
      <c r="Q90" s="28">
        <f t="shared" si="66"/>
        <v>3092578.2518324973</v>
      </c>
      <c r="R90" s="28">
        <f t="shared" si="66"/>
        <v>3081257.675573335</v>
      </c>
      <c r="S90" s="28">
        <f t="shared" si="66"/>
        <v>3069993.7021954684</v>
      </c>
      <c r="T90" s="28">
        <f t="shared" si="66"/>
        <v>3058786.0486844913</v>
      </c>
      <c r="U90" s="28">
        <f t="shared" si="66"/>
        <v>3047634.433441069</v>
      </c>
      <c r="V90" s="28">
        <f t="shared" si="66"/>
        <v>3036538.5762738632</v>
      </c>
      <c r="W90" s="28">
        <f t="shared" si="66"/>
        <v>3025498.1983924941</v>
      </c>
      <c r="X90" s="28">
        <f t="shared" si="66"/>
        <v>3014513.0224005319</v>
      </c>
      <c r="Y90" s="28">
        <f t="shared" si="66"/>
        <v>3003582.7722885292</v>
      </c>
      <c r="Z90" s="28">
        <f t="shared" si="66"/>
        <v>2992707.1734270868</v>
      </c>
    </row>
    <row r="91" spans="1:26" ht="15.75" x14ac:dyDescent="0.25">
      <c r="B91" s="172"/>
      <c r="C91" s="172"/>
      <c r="D91" s="172"/>
      <c r="E91" s="11">
        <v>2024</v>
      </c>
      <c r="F91" s="11">
        <v>2025</v>
      </c>
      <c r="G91" s="177" t="s">
        <v>99</v>
      </c>
      <c r="H91" s="28">
        <f>SUMIF($B$2:$B$64,$E91,H$2:H$64)+SUMIF($B$2:$B$64,$F91,H$2:H$64)</f>
        <v>0</v>
      </c>
      <c r="I91" s="28">
        <f t="shared" ref="I91:Z99" si="67">SUMIF($B$2:$B$64,$E91,I$2:I$64)+SUMIF($B$2:$B$64,$F91,I$2:I$64)</f>
        <v>0</v>
      </c>
      <c r="J91" s="28">
        <f>SUMIF($B$2:$B$64,$E91,J$2:J$64)+SUMIF($B$2:$B$64,$F91,J$2:J$64)</f>
        <v>1290736</v>
      </c>
      <c r="K91" s="28">
        <f t="shared" si="67"/>
        <v>5371074.9050000003</v>
      </c>
      <c r="L91" s="28">
        <f t="shared" si="67"/>
        <v>5358512.1154749999</v>
      </c>
      <c r="M91" s="28">
        <f t="shared" si="67"/>
        <v>5346012.139897625</v>
      </c>
      <c r="N91" s="28">
        <f t="shared" si="67"/>
        <v>5333574.6641981369</v>
      </c>
      <c r="O91" s="28">
        <f t="shared" si="67"/>
        <v>5321199.3758771457</v>
      </c>
      <c r="P91" s="28">
        <f t="shared" si="67"/>
        <v>5308885.9639977608</v>
      </c>
      <c r="Q91" s="28">
        <f t="shared" si="67"/>
        <v>5296634.1191777717</v>
      </c>
      <c r="R91" s="28">
        <f t="shared" si="67"/>
        <v>5284443.5335818827</v>
      </c>
      <c r="S91" s="28">
        <f t="shared" si="67"/>
        <v>5272313.9009139733</v>
      </c>
      <c r="T91" s="28">
        <f t="shared" si="67"/>
        <v>5260244.9164094031</v>
      </c>
      <c r="U91" s="28">
        <f t="shared" si="67"/>
        <v>5248236.2768273558</v>
      </c>
      <c r="V91" s="28">
        <f t="shared" si="67"/>
        <v>5236287.6804432198</v>
      </c>
      <c r="W91" s="28">
        <f t="shared" si="67"/>
        <v>5224398.8270410039</v>
      </c>
      <c r="X91" s="28">
        <f t="shared" si="67"/>
        <v>5212569.4179057982</v>
      </c>
      <c r="Y91" s="28">
        <f t="shared" si="67"/>
        <v>5200799.15581627</v>
      </c>
      <c r="Z91" s="28">
        <f t="shared" si="67"/>
        <v>5189087.7450371878</v>
      </c>
    </row>
    <row r="92" spans="1:26" ht="15.75" x14ac:dyDescent="0.25">
      <c r="B92" s="198"/>
      <c r="C92" s="198"/>
      <c r="D92" s="198"/>
      <c r="E92" s="11">
        <v>2026</v>
      </c>
      <c r="F92" s="11">
        <v>2027</v>
      </c>
      <c r="G92" s="177" t="s">
        <v>100</v>
      </c>
      <c r="H92" s="28">
        <f t="shared" ref="H92:W99" si="68">SUMIF($B$2:$B$64,$E92,H$2:H$64)+SUMIF($B$2:$B$64,$F92,H$2:H$64)</f>
        <v>0</v>
      </c>
      <c r="I92" s="28">
        <f t="shared" si="68"/>
        <v>0</v>
      </c>
      <c r="J92" s="28">
        <f t="shared" si="68"/>
        <v>0</v>
      </c>
      <c r="K92" s="28">
        <f t="shared" si="68"/>
        <v>0</v>
      </c>
      <c r="L92" s="28">
        <f t="shared" si="68"/>
        <v>4085000</v>
      </c>
      <c r="M92" s="28">
        <f t="shared" si="68"/>
        <v>8162075</v>
      </c>
      <c r="N92" s="28">
        <f t="shared" si="68"/>
        <v>8146264.625</v>
      </c>
      <c r="O92" s="28">
        <f t="shared" si="68"/>
        <v>8130533.3018749999</v>
      </c>
      <c r="P92" s="28">
        <f t="shared" si="68"/>
        <v>8114880.6353656249</v>
      </c>
      <c r="Q92" s="28">
        <f t="shared" si="68"/>
        <v>8099306.2321887966</v>
      </c>
      <c r="R92" s="28">
        <f t="shared" si="68"/>
        <v>8083809.7010278534</v>
      </c>
      <c r="S92" s="28">
        <f t="shared" si="68"/>
        <v>8068390.6525227139</v>
      </c>
      <c r="T92" s="28">
        <f t="shared" si="68"/>
        <v>8053048.6992601007</v>
      </c>
      <c r="U92" s="28">
        <f t="shared" si="68"/>
        <v>8037783.4557638001</v>
      </c>
      <c r="V92" s="28">
        <f t="shared" si="68"/>
        <v>8022594.5384849813</v>
      </c>
      <c r="W92" s="28">
        <f t="shared" si="68"/>
        <v>8007481.5657925559</v>
      </c>
      <c r="X92" s="28">
        <f t="shared" si="67"/>
        <v>7992444.1579635935</v>
      </c>
      <c r="Y92" s="28">
        <f t="shared" si="67"/>
        <v>7977481.9371737754</v>
      </c>
      <c r="Z92" s="28">
        <f t="shared" si="67"/>
        <v>7962594.5274879057</v>
      </c>
    </row>
    <row r="93" spans="1:26" ht="15.75" x14ac:dyDescent="0.25">
      <c r="B93" s="198"/>
      <c r="C93" s="198"/>
      <c r="D93" s="198"/>
      <c r="E93" s="11">
        <v>2028</v>
      </c>
      <c r="F93" s="11">
        <v>2029</v>
      </c>
      <c r="G93" s="177" t="s">
        <v>101</v>
      </c>
      <c r="H93" s="28">
        <f t="shared" si="68"/>
        <v>0</v>
      </c>
      <c r="I93" s="28">
        <f t="shared" si="67"/>
        <v>0</v>
      </c>
      <c r="J93" s="28">
        <f t="shared" si="67"/>
        <v>0</v>
      </c>
      <c r="K93" s="28">
        <f t="shared" si="67"/>
        <v>0</v>
      </c>
      <c r="L93" s="28">
        <f t="shared" si="67"/>
        <v>0</v>
      </c>
      <c r="M93" s="28">
        <f t="shared" si="67"/>
        <v>0</v>
      </c>
      <c r="N93" s="28">
        <f t="shared" si="67"/>
        <v>3585000</v>
      </c>
      <c r="O93" s="28">
        <f t="shared" si="67"/>
        <v>7164575</v>
      </c>
      <c r="P93" s="28">
        <f t="shared" si="67"/>
        <v>7153752.125</v>
      </c>
      <c r="Q93" s="28">
        <f t="shared" si="67"/>
        <v>7142983.3643749999</v>
      </c>
      <c r="R93" s="28">
        <f t="shared" si="67"/>
        <v>7132268.4475531243</v>
      </c>
      <c r="S93" s="28">
        <f t="shared" si="67"/>
        <v>7121607.1053153593</v>
      </c>
      <c r="T93" s="28">
        <f t="shared" si="67"/>
        <v>7110999.0697887829</v>
      </c>
      <c r="U93" s="28">
        <f t="shared" si="67"/>
        <v>7100444.0744398385</v>
      </c>
      <c r="V93" s="28">
        <f t="shared" si="67"/>
        <v>7089941.8540676394</v>
      </c>
      <c r="W93" s="28">
        <f t="shared" si="67"/>
        <v>7079492.1447973009</v>
      </c>
      <c r="X93" s="28">
        <f t="shared" si="67"/>
        <v>7069094.6840733141</v>
      </c>
      <c r="Y93" s="28">
        <f t="shared" si="67"/>
        <v>7058749.2106529484</v>
      </c>
      <c r="Z93" s="28">
        <f t="shared" si="67"/>
        <v>7048455.4645996839</v>
      </c>
    </row>
    <row r="94" spans="1:26" ht="15.75" x14ac:dyDescent="0.25">
      <c r="B94" s="198"/>
      <c r="C94" s="198"/>
      <c r="D94" s="198"/>
      <c r="E94" s="11">
        <v>2030</v>
      </c>
      <c r="F94" s="11">
        <v>2031</v>
      </c>
      <c r="G94" s="177" t="s">
        <v>102</v>
      </c>
      <c r="H94" s="28">
        <f t="shared" si="68"/>
        <v>0</v>
      </c>
      <c r="I94" s="28">
        <f t="shared" si="67"/>
        <v>0</v>
      </c>
      <c r="J94" s="28">
        <f t="shared" si="67"/>
        <v>0</v>
      </c>
      <c r="K94" s="28">
        <f t="shared" si="67"/>
        <v>0</v>
      </c>
      <c r="L94" s="28">
        <f t="shared" si="67"/>
        <v>0</v>
      </c>
      <c r="M94" s="28">
        <f t="shared" si="67"/>
        <v>0</v>
      </c>
      <c r="N94" s="28">
        <f t="shared" si="67"/>
        <v>0</v>
      </c>
      <c r="O94" s="28">
        <f t="shared" si="67"/>
        <v>0</v>
      </c>
      <c r="P94" s="28">
        <f t="shared" si="67"/>
        <v>1835000</v>
      </c>
      <c r="Q94" s="28">
        <f t="shared" si="67"/>
        <v>3665825</v>
      </c>
      <c r="R94" s="28">
        <f t="shared" si="67"/>
        <v>3657495.875</v>
      </c>
      <c r="S94" s="28">
        <f t="shared" si="67"/>
        <v>3649208.3956249999</v>
      </c>
      <c r="T94" s="28">
        <f t="shared" si="67"/>
        <v>3640962.3536468749</v>
      </c>
      <c r="U94" s="28">
        <f t="shared" si="67"/>
        <v>3632757.5418786407</v>
      </c>
      <c r="V94" s="28">
        <f t="shared" si="67"/>
        <v>3624593.754169248</v>
      </c>
      <c r="W94" s="28">
        <f t="shared" si="67"/>
        <v>3616470.7853984013</v>
      </c>
      <c r="X94" s="28">
        <f t="shared" si="67"/>
        <v>3608388.4314714093</v>
      </c>
      <c r="Y94" s="28">
        <f t="shared" si="67"/>
        <v>3600346.4893140523</v>
      </c>
      <c r="Z94" s="28">
        <f t="shared" si="67"/>
        <v>3592344.7568674823</v>
      </c>
    </row>
    <row r="95" spans="1:26" ht="15.75" x14ac:dyDescent="0.25">
      <c r="B95" s="198"/>
      <c r="C95" s="198"/>
      <c r="D95" s="198"/>
      <c r="E95" s="11">
        <v>2032</v>
      </c>
      <c r="F95" s="11">
        <v>2033</v>
      </c>
      <c r="G95" s="177" t="s">
        <v>103</v>
      </c>
      <c r="H95" s="28">
        <f t="shared" si="68"/>
        <v>0</v>
      </c>
      <c r="I95" s="28">
        <f t="shared" si="67"/>
        <v>0</v>
      </c>
      <c r="J95" s="28">
        <f t="shared" si="67"/>
        <v>0</v>
      </c>
      <c r="K95" s="28">
        <f t="shared" si="67"/>
        <v>0</v>
      </c>
      <c r="L95" s="28">
        <f t="shared" si="67"/>
        <v>0</v>
      </c>
      <c r="M95" s="28">
        <f t="shared" si="67"/>
        <v>0</v>
      </c>
      <c r="N95" s="28">
        <f t="shared" si="67"/>
        <v>0</v>
      </c>
      <c r="O95" s="28">
        <f t="shared" si="67"/>
        <v>0</v>
      </c>
      <c r="P95" s="28">
        <f t="shared" si="67"/>
        <v>0</v>
      </c>
      <c r="Q95" s="28">
        <f t="shared" si="67"/>
        <v>0</v>
      </c>
      <c r="R95" s="28">
        <f t="shared" si="67"/>
        <v>1835000</v>
      </c>
      <c r="S95" s="28">
        <f t="shared" si="67"/>
        <v>3665825</v>
      </c>
      <c r="T95" s="28">
        <f t="shared" si="67"/>
        <v>3657495.875</v>
      </c>
      <c r="U95" s="28">
        <f t="shared" si="67"/>
        <v>3649208.3956249999</v>
      </c>
      <c r="V95" s="28">
        <f t="shared" si="67"/>
        <v>3640962.3536468749</v>
      </c>
      <c r="W95" s="28">
        <f t="shared" si="67"/>
        <v>3632757.5418786407</v>
      </c>
      <c r="X95" s="28">
        <f t="shared" si="67"/>
        <v>3624593.754169248</v>
      </c>
      <c r="Y95" s="28">
        <f t="shared" si="67"/>
        <v>3616470.7853984013</v>
      </c>
      <c r="Z95" s="28">
        <f t="shared" si="67"/>
        <v>3608388.4314714093</v>
      </c>
    </row>
    <row r="96" spans="1:26" ht="15.75" x14ac:dyDescent="0.25">
      <c r="B96" s="198"/>
      <c r="C96" s="198"/>
      <c r="D96" s="198"/>
      <c r="E96" s="11">
        <v>2034</v>
      </c>
      <c r="F96" s="11">
        <v>2035</v>
      </c>
      <c r="G96" s="177" t="s">
        <v>104</v>
      </c>
      <c r="H96" s="28">
        <f t="shared" si="68"/>
        <v>0</v>
      </c>
      <c r="I96" s="28">
        <f t="shared" si="67"/>
        <v>0</v>
      </c>
      <c r="J96" s="28">
        <f t="shared" si="67"/>
        <v>0</v>
      </c>
      <c r="K96" s="28">
        <f t="shared" si="67"/>
        <v>0</v>
      </c>
      <c r="L96" s="28">
        <f t="shared" si="67"/>
        <v>0</v>
      </c>
      <c r="M96" s="28">
        <f t="shared" si="67"/>
        <v>0</v>
      </c>
      <c r="N96" s="28">
        <f t="shared" si="67"/>
        <v>0</v>
      </c>
      <c r="O96" s="28">
        <f t="shared" si="67"/>
        <v>0</v>
      </c>
      <c r="P96" s="28">
        <f t="shared" si="67"/>
        <v>0</v>
      </c>
      <c r="Q96" s="28">
        <f t="shared" si="67"/>
        <v>0</v>
      </c>
      <c r="R96" s="28">
        <f t="shared" si="67"/>
        <v>0</v>
      </c>
      <c r="S96" s="28">
        <f t="shared" si="67"/>
        <v>0</v>
      </c>
      <c r="T96" s="28">
        <f t="shared" si="67"/>
        <v>1835000</v>
      </c>
      <c r="U96" s="28">
        <f t="shared" si="67"/>
        <v>3665825</v>
      </c>
      <c r="V96" s="28">
        <f t="shared" si="67"/>
        <v>3657495.875</v>
      </c>
      <c r="W96" s="28">
        <f t="shared" si="67"/>
        <v>3649208.3956249999</v>
      </c>
      <c r="X96" s="28">
        <f t="shared" si="67"/>
        <v>3640962.3536468749</v>
      </c>
      <c r="Y96" s="28">
        <f t="shared" si="67"/>
        <v>3632757.5418786407</v>
      </c>
      <c r="Z96" s="28">
        <f t="shared" si="67"/>
        <v>3624593.754169248</v>
      </c>
    </row>
    <row r="97" spans="2:26" ht="15.75" x14ac:dyDescent="0.25">
      <c r="B97" s="198"/>
      <c r="C97" s="198"/>
      <c r="D97" s="198"/>
      <c r="E97" s="11">
        <v>2036</v>
      </c>
      <c r="F97" s="11">
        <v>2037</v>
      </c>
      <c r="G97" s="177" t="s">
        <v>105</v>
      </c>
      <c r="H97" s="28">
        <f t="shared" si="68"/>
        <v>0</v>
      </c>
      <c r="I97" s="28">
        <f t="shared" si="67"/>
        <v>0</v>
      </c>
      <c r="J97" s="28">
        <f t="shared" si="67"/>
        <v>0</v>
      </c>
      <c r="K97" s="28">
        <f t="shared" si="67"/>
        <v>0</v>
      </c>
      <c r="L97" s="28">
        <f t="shared" si="67"/>
        <v>0</v>
      </c>
      <c r="M97" s="28">
        <f t="shared" si="67"/>
        <v>0</v>
      </c>
      <c r="N97" s="28">
        <f t="shared" si="67"/>
        <v>0</v>
      </c>
      <c r="O97" s="28">
        <f t="shared" si="67"/>
        <v>0</v>
      </c>
      <c r="P97" s="28">
        <f t="shared" si="67"/>
        <v>0</v>
      </c>
      <c r="Q97" s="28">
        <f t="shared" si="67"/>
        <v>0</v>
      </c>
      <c r="R97" s="28">
        <f t="shared" si="67"/>
        <v>0</v>
      </c>
      <c r="S97" s="28">
        <f t="shared" si="67"/>
        <v>0</v>
      </c>
      <c r="T97" s="28">
        <f t="shared" si="67"/>
        <v>0</v>
      </c>
      <c r="U97" s="28">
        <f t="shared" si="67"/>
        <v>0</v>
      </c>
      <c r="V97" s="28">
        <f t="shared" si="67"/>
        <v>1835000</v>
      </c>
      <c r="W97" s="28">
        <f t="shared" si="67"/>
        <v>3665825</v>
      </c>
      <c r="X97" s="28">
        <f t="shared" si="67"/>
        <v>3657495.875</v>
      </c>
      <c r="Y97" s="28">
        <f t="shared" si="67"/>
        <v>3649208.3956249999</v>
      </c>
      <c r="Z97" s="28">
        <f t="shared" si="67"/>
        <v>3640962.3536468749</v>
      </c>
    </row>
    <row r="98" spans="2:26" ht="15.75" x14ac:dyDescent="0.25">
      <c r="B98" s="198"/>
      <c r="C98" s="198"/>
      <c r="D98" s="198"/>
      <c r="E98" s="11">
        <v>2038</v>
      </c>
      <c r="F98" s="11">
        <v>2039</v>
      </c>
      <c r="G98" s="177" t="s">
        <v>106</v>
      </c>
      <c r="H98" s="28">
        <f t="shared" si="68"/>
        <v>0</v>
      </c>
      <c r="I98" s="28">
        <f t="shared" si="67"/>
        <v>0</v>
      </c>
      <c r="J98" s="28">
        <f t="shared" si="67"/>
        <v>0</v>
      </c>
      <c r="K98" s="28">
        <f t="shared" si="67"/>
        <v>0</v>
      </c>
      <c r="L98" s="28">
        <f t="shared" si="67"/>
        <v>0</v>
      </c>
      <c r="M98" s="28">
        <f t="shared" si="67"/>
        <v>0</v>
      </c>
      <c r="N98" s="28">
        <f t="shared" si="67"/>
        <v>0</v>
      </c>
      <c r="O98" s="28">
        <f t="shared" si="67"/>
        <v>0</v>
      </c>
      <c r="P98" s="28">
        <f t="shared" si="67"/>
        <v>0</v>
      </c>
      <c r="Q98" s="28">
        <f t="shared" si="67"/>
        <v>0</v>
      </c>
      <c r="R98" s="28">
        <f t="shared" si="67"/>
        <v>0</v>
      </c>
      <c r="S98" s="28">
        <f t="shared" si="67"/>
        <v>0</v>
      </c>
      <c r="T98" s="28">
        <f t="shared" si="67"/>
        <v>0</v>
      </c>
      <c r="U98" s="28">
        <f t="shared" si="67"/>
        <v>0</v>
      </c>
      <c r="V98" s="28">
        <f t="shared" si="67"/>
        <v>0</v>
      </c>
      <c r="W98" s="28">
        <f t="shared" si="67"/>
        <v>0</v>
      </c>
      <c r="X98" s="28">
        <f t="shared" si="67"/>
        <v>1835000</v>
      </c>
      <c r="Y98" s="28">
        <f t="shared" si="67"/>
        <v>3665825</v>
      </c>
      <c r="Z98" s="28">
        <f t="shared" si="67"/>
        <v>3661245.875</v>
      </c>
    </row>
    <row r="99" spans="2:26" ht="15.75" x14ac:dyDescent="0.25">
      <c r="B99" s="198"/>
      <c r="C99" s="198"/>
      <c r="D99" s="198"/>
      <c r="E99" s="11">
        <v>2040</v>
      </c>
      <c r="F99" s="11">
        <v>2041</v>
      </c>
      <c r="G99" s="177" t="s">
        <v>107</v>
      </c>
      <c r="H99" s="28">
        <f t="shared" si="68"/>
        <v>0</v>
      </c>
      <c r="I99" s="28">
        <f t="shared" si="67"/>
        <v>0</v>
      </c>
      <c r="J99" s="28">
        <f t="shared" si="67"/>
        <v>0</v>
      </c>
      <c r="K99" s="28">
        <f t="shared" si="67"/>
        <v>0</v>
      </c>
      <c r="L99" s="28">
        <f t="shared" si="67"/>
        <v>0</v>
      </c>
      <c r="M99" s="28">
        <f t="shared" si="67"/>
        <v>0</v>
      </c>
      <c r="N99" s="28">
        <f t="shared" si="67"/>
        <v>0</v>
      </c>
      <c r="O99" s="28">
        <f t="shared" si="67"/>
        <v>0</v>
      </c>
      <c r="P99" s="28">
        <f t="shared" si="67"/>
        <v>0</v>
      </c>
      <c r="Q99" s="28">
        <f t="shared" si="67"/>
        <v>0</v>
      </c>
      <c r="R99" s="28">
        <f t="shared" si="67"/>
        <v>0</v>
      </c>
      <c r="S99" s="28">
        <f t="shared" si="67"/>
        <v>0</v>
      </c>
      <c r="T99" s="28">
        <f t="shared" si="67"/>
        <v>0</v>
      </c>
      <c r="U99" s="28">
        <f t="shared" si="67"/>
        <v>0</v>
      </c>
      <c r="V99" s="28">
        <f t="shared" si="67"/>
        <v>0</v>
      </c>
      <c r="W99" s="28">
        <f t="shared" si="67"/>
        <v>0</v>
      </c>
      <c r="X99" s="28">
        <f t="shared" si="67"/>
        <v>0</v>
      </c>
      <c r="Y99" s="28">
        <f t="shared" si="67"/>
        <v>0</v>
      </c>
      <c r="Z99" s="28">
        <f t="shared" si="67"/>
        <v>1835000</v>
      </c>
    </row>
  </sheetData>
  <dataConsolidate/>
  <dataValidations count="1">
    <dataValidation type="list" allowBlank="1" showInputMessage="1" showErrorMessage="1" sqref="A86" xr:uid="{737C3D83-33B6-437A-8262-F3C205D96D2F}">
      <formula1>"Yes, No"</formula1>
    </dataValidation>
  </dataValidations>
  <pageMargins left="0.7" right="0.7" top="0.75" bottom="0.75" header="0.3" footer="0.3"/>
  <pageSetup scale="27" fitToHeight="3" orientation="portrait" r:id="rId1"/>
  <customProperties>
    <customPr name="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9C4E6-F6F4-4A6B-81EC-323BF3DB61BD}">
  <sheetPr>
    <tabColor theme="5" tint="0.59999389629810485"/>
    <pageSetUpPr fitToPage="1"/>
  </sheetPr>
  <dimension ref="A1:AH156"/>
  <sheetViews>
    <sheetView zoomScaleNormal="100" workbookViewId="0">
      <selection activeCell="G91" sqref="G91"/>
    </sheetView>
  </sheetViews>
  <sheetFormatPr defaultRowHeight="15" x14ac:dyDescent="0.25"/>
  <cols>
    <col min="1" max="1" width="25.5703125" style="1" bestFit="1" customWidth="1"/>
    <col min="2" max="2" width="7.5703125" bestFit="1" customWidth="1"/>
    <col min="3" max="3" width="5.42578125" bestFit="1" customWidth="1"/>
    <col min="4" max="4" width="13.42578125" bestFit="1" customWidth="1"/>
    <col min="5" max="5" width="12.42578125" bestFit="1" customWidth="1"/>
    <col min="6" max="6" width="14.42578125" bestFit="1" customWidth="1"/>
    <col min="7" max="7" width="12.42578125" bestFit="1" customWidth="1"/>
    <col min="8" max="9" width="16" bestFit="1" customWidth="1"/>
    <col min="10" max="22" width="15.42578125" bestFit="1" customWidth="1"/>
    <col min="23" max="23" width="14.42578125" bestFit="1" customWidth="1"/>
    <col min="24" max="24" width="12.140625" bestFit="1" customWidth="1"/>
  </cols>
  <sheetData>
    <row r="1" spans="1:24" ht="15.75" x14ac:dyDescent="0.25">
      <c r="A1" s="177" t="s">
        <v>88</v>
      </c>
      <c r="B1" s="177" t="s">
        <v>89</v>
      </c>
      <c r="C1" s="218">
        <v>2022</v>
      </c>
      <c r="D1" s="218">
        <f t="shared" ref="D1:W1" si="0">C1+1</f>
        <v>2023</v>
      </c>
      <c r="E1" s="218">
        <f t="shared" si="0"/>
        <v>2024</v>
      </c>
      <c r="F1" s="218">
        <f t="shared" si="0"/>
        <v>2025</v>
      </c>
      <c r="G1" s="218">
        <f t="shared" si="0"/>
        <v>2026</v>
      </c>
      <c r="H1" s="218">
        <f t="shared" si="0"/>
        <v>2027</v>
      </c>
      <c r="I1" s="218">
        <f t="shared" si="0"/>
        <v>2028</v>
      </c>
      <c r="J1" s="218">
        <f t="shared" si="0"/>
        <v>2029</v>
      </c>
      <c r="K1" s="218">
        <f t="shared" si="0"/>
        <v>2030</v>
      </c>
      <c r="L1" s="218">
        <f t="shared" si="0"/>
        <v>2031</v>
      </c>
      <c r="M1" s="218">
        <f t="shared" si="0"/>
        <v>2032</v>
      </c>
      <c r="N1" s="218">
        <f t="shared" si="0"/>
        <v>2033</v>
      </c>
      <c r="O1" s="218">
        <f t="shared" si="0"/>
        <v>2034</v>
      </c>
      <c r="P1" s="218">
        <f t="shared" si="0"/>
        <v>2035</v>
      </c>
      <c r="Q1" s="218">
        <f t="shared" si="0"/>
        <v>2036</v>
      </c>
      <c r="R1" s="218">
        <f t="shared" si="0"/>
        <v>2037</v>
      </c>
      <c r="S1" s="218">
        <f t="shared" si="0"/>
        <v>2038</v>
      </c>
      <c r="T1" s="218">
        <f t="shared" si="0"/>
        <v>2039</v>
      </c>
      <c r="U1" s="218">
        <f t="shared" si="0"/>
        <v>2040</v>
      </c>
      <c r="V1" s="218">
        <f t="shared" si="0"/>
        <v>2041</v>
      </c>
      <c r="W1" s="218">
        <f t="shared" si="0"/>
        <v>2042</v>
      </c>
      <c r="X1" s="218">
        <v>2043</v>
      </c>
    </row>
    <row r="2" spans="1:24" ht="15.75" x14ac:dyDescent="0.25">
      <c r="A2" s="177" t="s">
        <v>90</v>
      </c>
      <c r="B2" s="11">
        <v>2022</v>
      </c>
      <c r="C2" s="219"/>
      <c r="D2" s="219"/>
      <c r="E2" s="219"/>
      <c r="F2" s="74">
        <f>'Indexed REC Activities'!H2*'Indexed REC Calculator'!F9</f>
        <v>0</v>
      </c>
      <c r="G2" s="181">
        <f>'Indexed REC Activities'!I2*'Indexed REC Calculator'!G9</f>
        <v>0</v>
      </c>
      <c r="H2" s="181">
        <f>'Indexed REC Activities'!J2*'Indexed REC Calculator'!H9</f>
        <v>0</v>
      </c>
      <c r="I2" s="181">
        <f>'Indexed REC Activities'!K2*'Indexed REC Calculator'!I9</f>
        <v>0</v>
      </c>
      <c r="J2" s="181">
        <f>'Indexed REC Activities'!L2*'Indexed REC Calculator'!J9</f>
        <v>0</v>
      </c>
      <c r="K2" s="181">
        <f>'Indexed REC Activities'!M2*'Indexed REC Calculator'!K9</f>
        <v>0</v>
      </c>
      <c r="L2" s="181">
        <f>'Indexed REC Activities'!N2*'Indexed REC Calculator'!L9</f>
        <v>0</v>
      </c>
      <c r="M2" s="181">
        <f>'Indexed REC Activities'!O2*'Indexed REC Calculator'!M9</f>
        <v>0</v>
      </c>
      <c r="N2" s="181">
        <f>'Indexed REC Activities'!P2*'Indexed REC Calculator'!N9</f>
        <v>0</v>
      </c>
      <c r="O2" s="181">
        <f>'Indexed REC Activities'!Q2*'Indexed REC Calculator'!O9</f>
        <v>0</v>
      </c>
      <c r="P2" s="181">
        <f>'Indexed REC Activities'!R2*'Indexed REC Calculator'!P9</f>
        <v>0</v>
      </c>
      <c r="Q2" s="181">
        <f>'Indexed REC Activities'!S2*'Indexed REC Calculator'!Q9</f>
        <v>0</v>
      </c>
      <c r="R2" s="181">
        <f>'Indexed REC Activities'!T2*'Indexed REC Calculator'!R9</f>
        <v>0</v>
      </c>
      <c r="S2" s="181">
        <f>'Indexed REC Activities'!U2*'Indexed REC Calculator'!S9</f>
        <v>0</v>
      </c>
      <c r="T2" s="181">
        <f>'Indexed REC Activities'!V2*'Indexed REC Calculator'!T9</f>
        <v>0</v>
      </c>
      <c r="U2" s="181">
        <f>'Indexed REC Activities'!W2*'Indexed REC Calculator'!U9</f>
        <v>0</v>
      </c>
      <c r="V2" s="181">
        <f>'Indexed REC Activities'!X2*'Indexed REC Calculator'!V9</f>
        <v>0</v>
      </c>
      <c r="W2" s="181">
        <f>'Indexed REC Activities'!Y2*'Indexed REC Calculator'!W9</f>
        <v>0</v>
      </c>
      <c r="X2" s="181">
        <f>'Indexed REC Activities'!Z2*'Indexed REC Calculator'!X9</f>
        <v>0</v>
      </c>
    </row>
    <row r="3" spans="1:24" ht="15.75" x14ac:dyDescent="0.25">
      <c r="A3" s="177" t="s">
        <v>90</v>
      </c>
      <c r="B3" s="11">
        <f>B2+1</f>
        <v>2023</v>
      </c>
      <c r="C3" s="181">
        <f>'Indexed REC Activities'!E3*'Indexed REC Calculator'!C10</f>
        <v>0</v>
      </c>
      <c r="D3" s="181">
        <f>'Indexed REC Activities'!F3*'Indexed REC Calculator'!D10</f>
        <v>0</v>
      </c>
      <c r="E3" s="181">
        <f>'Indexed REC Activities'!G3*'Indexed REC Calculator'!E10</f>
        <v>0</v>
      </c>
      <c r="F3" s="181">
        <f>'Indexed REC Activities'!H3*'Indexed REC Calculator'!F10</f>
        <v>0</v>
      </c>
      <c r="G3" s="181">
        <f>'Indexed REC Activities'!I3*'Indexed REC Calculator'!G10</f>
        <v>0</v>
      </c>
      <c r="H3" s="181">
        <f>'Indexed REC Activities'!J3*'Indexed REC Calculator'!H10</f>
        <v>23412364.379999992</v>
      </c>
      <c r="I3" s="181">
        <f>'Indexed REC Activities'!K3*'Indexed REC Calculator'!I10</f>
        <v>21772007.639999997</v>
      </c>
      <c r="J3" s="181">
        <f>'Indexed REC Activities'!L3*'Indexed REC Calculator'!J10</f>
        <v>20935260.009999998</v>
      </c>
      <c r="K3" s="181">
        <f>'Indexed REC Activities'!M3*'Indexed REC Calculator'!K10</f>
        <v>19642857.729999993</v>
      </c>
      <c r="L3" s="181">
        <f>'Indexed REC Activities'!N3*'Indexed REC Calculator'!L10</f>
        <v>18441586.379999992</v>
      </c>
      <c r="M3" s="181">
        <f>'Indexed REC Activities'!O3*'Indexed REC Calculator'!M10</f>
        <v>18723263.799999997</v>
      </c>
      <c r="N3" s="181">
        <f>'Indexed REC Activities'!P3*'Indexed REC Calculator'!N10</f>
        <v>18052208.769999992</v>
      </c>
      <c r="O3" s="181">
        <f>'Indexed REC Activities'!Q3*'Indexed REC Calculator'!O10</f>
        <v>17157468.729999993</v>
      </c>
      <c r="P3" s="181">
        <f>'Indexed REC Activities'!R3*'Indexed REC Calculator'!P10</f>
        <v>16063897.569999995</v>
      </c>
      <c r="Q3" s="181">
        <f>'Indexed REC Activities'!S3*'Indexed REC Calculator'!Q10</f>
        <v>14953757.149999999</v>
      </c>
      <c r="R3" s="181">
        <f>'Indexed REC Activities'!T3*'Indexed REC Calculator'!R10</f>
        <v>14141863.409999995</v>
      </c>
      <c r="S3" s="181">
        <f>'Indexed REC Activities'!U3*'Indexed REC Calculator'!S10</f>
        <v>13098000.029999996</v>
      </c>
      <c r="T3" s="181">
        <f>'Indexed REC Activities'!V3*'Indexed REC Calculator'!T10</f>
        <v>12136982.949999994</v>
      </c>
      <c r="U3" s="181">
        <f>'Indexed REC Activities'!W3*'Indexed REC Calculator'!U10</f>
        <v>11242242.909999995</v>
      </c>
      <c r="V3" s="181">
        <f>'Indexed REC Activities'!X3*'Indexed REC Calculator'!V10</f>
        <v>10289510.459999995</v>
      </c>
      <c r="W3" s="181">
        <f>'Indexed REC Activities'!Y3*'Indexed REC Calculator'!W10</f>
        <v>9336778.0099999961</v>
      </c>
      <c r="X3" s="181">
        <f>'Indexed REC Activities'!Z3*'Indexed REC Calculator'!X10</f>
        <v>-6176191.6649999982</v>
      </c>
    </row>
    <row r="4" spans="1:24" ht="15.75" x14ac:dyDescent="0.25">
      <c r="A4" s="177" t="s">
        <v>90</v>
      </c>
      <c r="B4" s="11">
        <f t="shared" ref="B4:B22" si="1">B3+1</f>
        <v>2024</v>
      </c>
      <c r="C4" s="181">
        <f>'Indexed REC Activities'!E4*'Indexed REC Calculator'!C11</f>
        <v>0</v>
      </c>
      <c r="D4" s="181">
        <f>'Indexed REC Activities'!F4*'Indexed REC Calculator'!D11</f>
        <v>0</v>
      </c>
      <c r="E4" s="181">
        <f>'Indexed REC Activities'!G4*'Indexed REC Calculator'!E11</f>
        <v>0</v>
      </c>
      <c r="F4" s="181">
        <f>'Indexed REC Activities'!H4*'Indexed REC Calculator'!F11</f>
        <v>0</v>
      </c>
      <c r="G4" s="181">
        <f>'Indexed REC Activities'!I4*'Indexed REC Calculator'!G11</f>
        <v>0</v>
      </c>
      <c r="H4" s="181">
        <f>'Indexed REC Activities'!J4*'Indexed REC Calculator'!H11</f>
        <v>3798487.6149999998</v>
      </c>
      <c r="I4" s="181">
        <f>'Indexed REC Activities'!K4*'Indexed REC Calculator'!I11</f>
        <v>3088623.9550000005</v>
      </c>
      <c r="J4" s="181">
        <f>'Indexed REC Activities'!L4*'Indexed REC Calculator'!J11</f>
        <v>2726521.7850000015</v>
      </c>
      <c r="K4" s="181">
        <f>'Indexed REC Activities'!M4*'Indexed REC Calculator'!K11</f>
        <v>2167235.2650000006</v>
      </c>
      <c r="L4" s="181">
        <f>'Indexed REC Activities'!N4*'Indexed REC Calculator'!L11</f>
        <v>1647385.6149999995</v>
      </c>
      <c r="M4" s="181">
        <f>'Indexed REC Activities'!O4*'Indexed REC Calculator'!M11</f>
        <v>1769281.3950000007</v>
      </c>
      <c r="N4" s="181">
        <f>'Indexed REC Activities'!P4*'Indexed REC Calculator'!N11</f>
        <v>1478882.625</v>
      </c>
      <c r="O4" s="181">
        <f>'Indexed REC Activities'!Q4*'Indexed REC Calculator'!O11</f>
        <v>1091684.2650000006</v>
      </c>
      <c r="P4" s="181">
        <f>'Indexed REC Activities'!R4*'Indexed REC Calculator'!P11</f>
        <v>618441.82500000054</v>
      </c>
      <c r="Q4" s="181">
        <f>'Indexed REC Activities'!S4*'Indexed REC Calculator'!Q11</f>
        <v>138029.04500000185</v>
      </c>
      <c r="R4" s="181">
        <f>'Indexed REC Activities'!T4*'Indexed REC Calculator'!R11</f>
        <v>-213317.61499999958</v>
      </c>
      <c r="S4" s="181">
        <f>'Indexed REC Activities'!U4*'Indexed REC Calculator'!S11</f>
        <v>-665049.03499999887</v>
      </c>
      <c r="T4" s="181">
        <f>'Indexed REC Activities'!V4*'Indexed REC Calculator'!T11</f>
        <v>-1080928.7550000001</v>
      </c>
      <c r="U4" s="181">
        <f>'Indexed REC Activities'!W4*'Indexed REC Calculator'!U11</f>
        <v>-1468127.1149999995</v>
      </c>
      <c r="V4" s="181">
        <f>'Indexed REC Activities'!X4*'Indexed REC Calculator'!V11</f>
        <v>-1880421.6649999991</v>
      </c>
      <c r="W4" s="181">
        <f>'Indexed REC Activities'!Y4*'Indexed REC Calculator'!W11</f>
        <v>-2292716.2149999985</v>
      </c>
      <c r="X4" s="181">
        <f>'Indexed REC Activities'!Z4*'Indexed REC Calculator'!X11</f>
        <v>-2672744.2349999994</v>
      </c>
    </row>
    <row r="5" spans="1:24" ht="15.75" x14ac:dyDescent="0.25">
      <c r="A5" s="177" t="s">
        <v>90</v>
      </c>
      <c r="B5" s="11">
        <f t="shared" si="1"/>
        <v>2025</v>
      </c>
      <c r="C5" s="181">
        <f>'Indexed REC Activities'!E5*'Indexed REC Calculator'!C12</f>
        <v>0</v>
      </c>
      <c r="D5" s="181">
        <f>'Indexed REC Activities'!F5*'Indexed REC Calculator'!D12</f>
        <v>0</v>
      </c>
      <c r="E5" s="181">
        <f>'Indexed REC Activities'!G5*'Indexed REC Calculator'!E12</f>
        <v>0</v>
      </c>
      <c r="F5" s="181">
        <f>'Indexed REC Activities'!H5*'Indexed REC Calculator'!F12</f>
        <v>0</v>
      </c>
      <c r="G5" s="181">
        <f>'Indexed REC Activities'!I5*'Indexed REC Calculator'!G12</f>
        <v>0</v>
      </c>
      <c r="H5" s="181">
        <f>'Indexed REC Activities'!J5*'Indexed REC Calculator'!H12</f>
        <v>0</v>
      </c>
      <c r="I5" s="181">
        <f>'Indexed REC Activities'!K5*'Indexed REC Calculator'!I12</f>
        <v>21537500.000000004</v>
      </c>
      <c r="J5" s="181">
        <f>'Indexed REC Activities'!L5*'Indexed REC Calculator'!J12</f>
        <v>19012500.000000011</v>
      </c>
      <c r="K5" s="181">
        <f>'Indexed REC Activities'!M5*'Indexed REC Calculator'!K12</f>
        <v>15112500.000000004</v>
      </c>
      <c r="L5" s="181">
        <f>'Indexed REC Activities'!N5*'Indexed REC Calculator'!L12</f>
        <v>11487499.999999996</v>
      </c>
      <c r="M5" s="181">
        <f>'Indexed REC Activities'!O5*'Indexed REC Calculator'!M12</f>
        <v>12337500.000000006</v>
      </c>
      <c r="N5" s="181">
        <f>'Indexed REC Activities'!P5*'Indexed REC Calculator'!N12</f>
        <v>10312500</v>
      </c>
      <c r="O5" s="181">
        <f>'Indexed REC Activities'!Q5*'Indexed REC Calculator'!O12</f>
        <v>7612500.0000000047</v>
      </c>
      <c r="P5" s="181">
        <f>'Indexed REC Activities'!R5*'Indexed REC Calculator'!P12</f>
        <v>4312500.0000000037</v>
      </c>
      <c r="Q5" s="181">
        <f>'Indexed REC Activities'!S5*'Indexed REC Calculator'!Q12</f>
        <v>962500.00000001281</v>
      </c>
      <c r="R5" s="181">
        <f>'Indexed REC Activities'!T5*'Indexed REC Calculator'!R12</f>
        <v>-1487499.9999999972</v>
      </c>
      <c r="S5" s="181">
        <f>'Indexed REC Activities'!U5*'Indexed REC Calculator'!S12</f>
        <v>-4637499.9999999925</v>
      </c>
      <c r="T5" s="181">
        <f>'Indexed REC Activities'!V5*'Indexed REC Calculator'!T12</f>
        <v>-7537500.0000000019</v>
      </c>
      <c r="U5" s="181">
        <f>'Indexed REC Activities'!W5*'Indexed REC Calculator'!U12</f>
        <v>-10237499.999999996</v>
      </c>
      <c r="V5" s="181">
        <f>'Indexed REC Activities'!X5*'Indexed REC Calculator'!V12</f>
        <v>-13112499.999999994</v>
      </c>
      <c r="W5" s="181">
        <f>'Indexed REC Activities'!Y5*'Indexed REC Calculator'!W12</f>
        <v>-15987499.999999991</v>
      </c>
      <c r="X5" s="181">
        <f>'Indexed REC Activities'!Z5*'Indexed REC Calculator'!X12</f>
        <v>-18637499.999999996</v>
      </c>
    </row>
    <row r="6" spans="1:24" ht="15.75" x14ac:dyDescent="0.25">
      <c r="A6" s="177" t="s">
        <v>90</v>
      </c>
      <c r="B6" s="11">
        <f t="shared" si="1"/>
        <v>2026</v>
      </c>
      <c r="C6" s="181">
        <f>'Indexed REC Activities'!E6*'Indexed REC Calculator'!C13</f>
        <v>0</v>
      </c>
      <c r="D6" s="181">
        <f>'Indexed REC Activities'!F6*'Indexed REC Calculator'!D13</f>
        <v>0</v>
      </c>
      <c r="E6" s="181">
        <f>'Indexed REC Activities'!G6*'Indexed REC Calculator'!E13</f>
        <v>0</v>
      </c>
      <c r="F6" s="181">
        <f>'Indexed REC Activities'!H6*'Indexed REC Calculator'!F13</f>
        <v>0</v>
      </c>
      <c r="G6" s="181">
        <f>'Indexed REC Activities'!I6*'Indexed REC Calculator'!G13</f>
        <v>0</v>
      </c>
      <c r="H6" s="181">
        <f>'Indexed REC Activities'!J6*'Indexed REC Calculator'!H13</f>
        <v>0</v>
      </c>
      <c r="I6" s="181">
        <f>'Indexed REC Activities'!K6*'Indexed REC Calculator'!I13</f>
        <v>0</v>
      </c>
      <c r="J6" s="181">
        <f>'Indexed REC Activities'!L6*'Indexed REC Calculator'!J13</f>
        <v>19012500.000000011</v>
      </c>
      <c r="K6" s="181">
        <f>'Indexed REC Activities'!M6*'Indexed REC Calculator'!K13</f>
        <v>15112500.000000004</v>
      </c>
      <c r="L6" s="181">
        <f>'Indexed REC Activities'!N6*'Indexed REC Calculator'!L13</f>
        <v>11487499.999999996</v>
      </c>
      <c r="M6" s="181">
        <f>'Indexed REC Activities'!O6*'Indexed REC Calculator'!M13</f>
        <v>12337500.000000006</v>
      </c>
      <c r="N6" s="181">
        <f>'Indexed REC Activities'!P6*'Indexed REC Calculator'!N13</f>
        <v>10312500</v>
      </c>
      <c r="O6" s="181">
        <f>'Indexed REC Activities'!Q6*'Indexed REC Calculator'!O13</f>
        <v>7612500.0000000047</v>
      </c>
      <c r="P6" s="181">
        <f>'Indexed REC Activities'!R6*'Indexed REC Calculator'!P13</f>
        <v>4312500.0000000037</v>
      </c>
      <c r="Q6" s="181">
        <f>'Indexed REC Activities'!S6*'Indexed REC Calculator'!Q13</f>
        <v>962500.00000001281</v>
      </c>
      <c r="R6" s="181">
        <f>'Indexed REC Activities'!T6*'Indexed REC Calculator'!R13</f>
        <v>-1487499.9999999972</v>
      </c>
      <c r="S6" s="181">
        <f>'Indexed REC Activities'!U6*'Indexed REC Calculator'!S13</f>
        <v>-4637499.9999999925</v>
      </c>
      <c r="T6" s="181">
        <f>'Indexed REC Activities'!V6*'Indexed REC Calculator'!T13</f>
        <v>-7537500.0000000019</v>
      </c>
      <c r="U6" s="181">
        <f>'Indexed REC Activities'!W6*'Indexed REC Calculator'!U13</f>
        <v>-10237499.999999996</v>
      </c>
      <c r="V6" s="181">
        <f>'Indexed REC Activities'!X6*'Indexed REC Calculator'!V13</f>
        <v>-13112499.999999994</v>
      </c>
      <c r="W6" s="181">
        <f>'Indexed REC Activities'!Y6*'Indexed REC Calculator'!W13</f>
        <v>-15987499.999999991</v>
      </c>
      <c r="X6" s="181">
        <f>'Indexed REC Activities'!Z6*'Indexed REC Calculator'!X13</f>
        <v>-18637499.999999996</v>
      </c>
    </row>
    <row r="7" spans="1:24" ht="15.75" x14ac:dyDescent="0.25">
      <c r="A7" s="177" t="s">
        <v>90</v>
      </c>
      <c r="B7" s="11">
        <f t="shared" si="1"/>
        <v>2027</v>
      </c>
      <c r="C7" s="181">
        <f>'Indexed REC Activities'!E7*'Indexed REC Calculator'!C14</f>
        <v>0</v>
      </c>
      <c r="D7" s="181">
        <f>'Indexed REC Activities'!F7*'Indexed REC Calculator'!D14</f>
        <v>0</v>
      </c>
      <c r="E7" s="181">
        <f>'Indexed REC Activities'!G7*'Indexed REC Calculator'!E14</f>
        <v>0</v>
      </c>
      <c r="F7" s="181">
        <f>'Indexed REC Activities'!H7*'Indexed REC Calculator'!F14</f>
        <v>0</v>
      </c>
      <c r="G7" s="181">
        <f>'Indexed REC Activities'!I7*'Indexed REC Calculator'!G14</f>
        <v>0</v>
      </c>
      <c r="H7" s="181">
        <f>'Indexed REC Activities'!J7*'Indexed REC Calculator'!H14</f>
        <v>0</v>
      </c>
      <c r="I7" s="181">
        <f>'Indexed REC Activities'!K7*'Indexed REC Calculator'!I14</f>
        <v>0</v>
      </c>
      <c r="J7" s="181">
        <f>'Indexed REC Activities'!L7*'Indexed REC Calculator'!J14</f>
        <v>0</v>
      </c>
      <c r="K7" s="181">
        <f>'Indexed REC Activities'!M7*'Indexed REC Calculator'!K14</f>
        <v>15112500.000000004</v>
      </c>
      <c r="L7" s="181">
        <f>'Indexed REC Activities'!N7*'Indexed REC Calculator'!L14</f>
        <v>11487499.999999996</v>
      </c>
      <c r="M7" s="181">
        <f>'Indexed REC Activities'!O7*'Indexed REC Calculator'!M14</f>
        <v>12337500.000000006</v>
      </c>
      <c r="N7" s="181">
        <f>'Indexed REC Activities'!P7*'Indexed REC Calculator'!N14</f>
        <v>10312500</v>
      </c>
      <c r="O7" s="181">
        <f>'Indexed REC Activities'!Q7*'Indexed REC Calculator'!O14</f>
        <v>7612500.0000000047</v>
      </c>
      <c r="P7" s="181">
        <f>'Indexed REC Activities'!R7*'Indexed REC Calculator'!P14</f>
        <v>4312500.0000000037</v>
      </c>
      <c r="Q7" s="181">
        <f>'Indexed REC Activities'!S7*'Indexed REC Calculator'!Q14</f>
        <v>962500.00000001281</v>
      </c>
      <c r="R7" s="181">
        <f>'Indexed REC Activities'!T7*'Indexed REC Calculator'!R14</f>
        <v>-1487499.9999999972</v>
      </c>
      <c r="S7" s="181">
        <f>'Indexed REC Activities'!U7*'Indexed REC Calculator'!S14</f>
        <v>-4637499.9999999925</v>
      </c>
      <c r="T7" s="181">
        <f>'Indexed REC Activities'!V7*'Indexed REC Calculator'!T14</f>
        <v>-7537500.0000000019</v>
      </c>
      <c r="U7" s="181">
        <f>'Indexed REC Activities'!W7*'Indexed REC Calculator'!U14</f>
        <v>-10237499.999999996</v>
      </c>
      <c r="V7" s="181">
        <f>'Indexed REC Activities'!X7*'Indexed REC Calculator'!V14</f>
        <v>-13112499.999999994</v>
      </c>
      <c r="W7" s="181">
        <f>'Indexed REC Activities'!Y7*'Indexed REC Calculator'!W14</f>
        <v>-15987499.999999991</v>
      </c>
      <c r="X7" s="181">
        <f>'Indexed REC Activities'!Z7*'Indexed REC Calculator'!X14</f>
        <v>-18637499.999999996</v>
      </c>
    </row>
    <row r="8" spans="1:24" ht="15.75" x14ac:dyDescent="0.25">
      <c r="A8" s="177" t="s">
        <v>90</v>
      </c>
      <c r="B8" s="11">
        <f t="shared" si="1"/>
        <v>2028</v>
      </c>
      <c r="C8" s="181">
        <f>'Indexed REC Activities'!E8*'Indexed REC Calculator'!C15</f>
        <v>0</v>
      </c>
      <c r="D8" s="181">
        <f>'Indexed REC Activities'!F8*'Indexed REC Calculator'!D15</f>
        <v>0</v>
      </c>
      <c r="E8" s="181">
        <f>'Indexed REC Activities'!G8*'Indexed REC Calculator'!E15</f>
        <v>0</v>
      </c>
      <c r="F8" s="181">
        <f>'Indexed REC Activities'!H8*'Indexed REC Calculator'!F15</f>
        <v>0</v>
      </c>
      <c r="G8" s="181">
        <f>'Indexed REC Activities'!I8*'Indexed REC Calculator'!G15</f>
        <v>0</v>
      </c>
      <c r="H8" s="181">
        <f>'Indexed REC Activities'!J8*'Indexed REC Calculator'!H15</f>
        <v>0</v>
      </c>
      <c r="I8" s="181">
        <f>'Indexed REC Activities'!K8*'Indexed REC Calculator'!I15</f>
        <v>0</v>
      </c>
      <c r="J8" s="181">
        <f>'Indexed REC Activities'!L8*'Indexed REC Calculator'!J15</f>
        <v>0</v>
      </c>
      <c r="K8" s="181">
        <f>'Indexed REC Activities'!M8*'Indexed REC Calculator'!K15</f>
        <v>0</v>
      </c>
      <c r="L8" s="181">
        <f>'Indexed REC Activities'!N8*'Indexed REC Calculator'!L15</f>
        <v>11487499.999999996</v>
      </c>
      <c r="M8" s="181">
        <f>'Indexed REC Activities'!O8*'Indexed REC Calculator'!M15</f>
        <v>12337500.000000006</v>
      </c>
      <c r="N8" s="181">
        <f>'Indexed REC Activities'!P8*'Indexed REC Calculator'!N15</f>
        <v>10312500</v>
      </c>
      <c r="O8" s="181">
        <f>'Indexed REC Activities'!Q8*'Indexed REC Calculator'!O15</f>
        <v>7612500.0000000047</v>
      </c>
      <c r="P8" s="181">
        <f>'Indexed REC Activities'!R8*'Indexed REC Calculator'!P15</f>
        <v>4312500.0000000037</v>
      </c>
      <c r="Q8" s="181">
        <f>'Indexed REC Activities'!S8*'Indexed REC Calculator'!Q15</f>
        <v>962500.00000001281</v>
      </c>
      <c r="R8" s="181">
        <f>'Indexed REC Activities'!T8*'Indexed REC Calculator'!R15</f>
        <v>-1487499.9999999972</v>
      </c>
      <c r="S8" s="181">
        <f>'Indexed REC Activities'!U8*'Indexed REC Calculator'!S15</f>
        <v>-4637499.9999999925</v>
      </c>
      <c r="T8" s="181">
        <f>'Indexed REC Activities'!V8*'Indexed REC Calculator'!T15</f>
        <v>-7537500.0000000019</v>
      </c>
      <c r="U8" s="181">
        <f>'Indexed REC Activities'!W8*'Indexed REC Calculator'!U15</f>
        <v>-10237499.999999996</v>
      </c>
      <c r="V8" s="181">
        <f>'Indexed REC Activities'!X8*'Indexed REC Calculator'!V15</f>
        <v>-13112499.999999994</v>
      </c>
      <c r="W8" s="181">
        <f>'Indexed REC Activities'!Y8*'Indexed REC Calculator'!W15</f>
        <v>-15987499.999999991</v>
      </c>
      <c r="X8" s="181">
        <f>'Indexed REC Activities'!Z8*'Indexed REC Calculator'!X15</f>
        <v>-18637499.999999996</v>
      </c>
    </row>
    <row r="9" spans="1:24" ht="15.75" x14ac:dyDescent="0.25">
      <c r="A9" s="177" t="s">
        <v>90</v>
      </c>
      <c r="B9" s="11">
        <f t="shared" si="1"/>
        <v>2029</v>
      </c>
      <c r="C9" s="181">
        <f>'Indexed REC Activities'!E9*'Indexed REC Calculator'!C16</f>
        <v>0</v>
      </c>
      <c r="D9" s="181">
        <f>'Indexed REC Activities'!F9*'Indexed REC Calculator'!D16</f>
        <v>0</v>
      </c>
      <c r="E9" s="181">
        <f>'Indexed REC Activities'!G9*'Indexed REC Calculator'!E16</f>
        <v>0</v>
      </c>
      <c r="F9" s="181">
        <f>'Indexed REC Activities'!H9*'Indexed REC Calculator'!F16</f>
        <v>0</v>
      </c>
      <c r="G9" s="181">
        <f>'Indexed REC Activities'!I9*'Indexed REC Calculator'!G16</f>
        <v>0</v>
      </c>
      <c r="H9" s="181">
        <f>'Indexed REC Activities'!J9*'Indexed REC Calculator'!H16</f>
        <v>0</v>
      </c>
      <c r="I9" s="181">
        <f>'Indexed REC Activities'!K9*'Indexed REC Calculator'!I16</f>
        <v>0</v>
      </c>
      <c r="J9" s="181">
        <f>'Indexed REC Activities'!L9*'Indexed REC Calculator'!J16</f>
        <v>0</v>
      </c>
      <c r="K9" s="181">
        <f>'Indexed REC Activities'!M9*'Indexed REC Calculator'!K16</f>
        <v>0</v>
      </c>
      <c r="L9" s="181">
        <f>'Indexed REC Activities'!N9*'Indexed REC Calculator'!L16</f>
        <v>0</v>
      </c>
      <c r="M9" s="181">
        <f>'Indexed REC Activities'!O9*'Indexed REC Calculator'!M16</f>
        <v>12337500.000000006</v>
      </c>
      <c r="N9" s="181">
        <f>'Indexed REC Activities'!P9*'Indexed REC Calculator'!N16</f>
        <v>10312500</v>
      </c>
      <c r="O9" s="181">
        <f>'Indexed REC Activities'!Q9*'Indexed REC Calculator'!O16</f>
        <v>7612500.0000000047</v>
      </c>
      <c r="P9" s="181">
        <f>'Indexed REC Activities'!R9*'Indexed REC Calculator'!P16</f>
        <v>4312500.0000000037</v>
      </c>
      <c r="Q9" s="181">
        <f>'Indexed REC Activities'!S9*'Indexed REC Calculator'!Q16</f>
        <v>962500.00000001281</v>
      </c>
      <c r="R9" s="181">
        <f>'Indexed REC Activities'!T9*'Indexed REC Calculator'!R16</f>
        <v>-1487499.9999999972</v>
      </c>
      <c r="S9" s="181">
        <f>'Indexed REC Activities'!U9*'Indexed REC Calculator'!S16</f>
        <v>-4637499.9999999925</v>
      </c>
      <c r="T9" s="181">
        <f>'Indexed REC Activities'!V9*'Indexed REC Calculator'!T16</f>
        <v>-7537500.0000000019</v>
      </c>
      <c r="U9" s="181">
        <f>'Indexed REC Activities'!W9*'Indexed REC Calculator'!U16</f>
        <v>-10237499.999999996</v>
      </c>
      <c r="V9" s="181">
        <f>'Indexed REC Activities'!X9*'Indexed REC Calculator'!V16</f>
        <v>-13112499.999999994</v>
      </c>
      <c r="W9" s="181">
        <f>'Indexed REC Activities'!Y9*'Indexed REC Calculator'!W16</f>
        <v>-15987499.999999991</v>
      </c>
      <c r="X9" s="181">
        <f>'Indexed REC Activities'!Z9*'Indexed REC Calculator'!X16</f>
        <v>-18637499.999999996</v>
      </c>
    </row>
    <row r="10" spans="1:24" ht="15.75" x14ac:dyDescent="0.25">
      <c r="A10" s="177" t="s">
        <v>90</v>
      </c>
      <c r="B10" s="11">
        <f t="shared" si="1"/>
        <v>2030</v>
      </c>
      <c r="C10" s="181">
        <f>'Indexed REC Activities'!E10*'Indexed REC Calculator'!C17</f>
        <v>0</v>
      </c>
      <c r="D10" s="181">
        <f>'Indexed REC Activities'!F10*'Indexed REC Calculator'!D17</f>
        <v>0</v>
      </c>
      <c r="E10" s="181">
        <f>'Indexed REC Activities'!G10*'Indexed REC Calculator'!E17</f>
        <v>0</v>
      </c>
      <c r="F10" s="181">
        <f>'Indexed REC Activities'!H10*'Indexed REC Calculator'!F17</f>
        <v>0</v>
      </c>
      <c r="G10" s="181">
        <f>'Indexed REC Activities'!I10*'Indexed REC Calculator'!G17</f>
        <v>0</v>
      </c>
      <c r="H10" s="181">
        <f>'Indexed REC Activities'!J10*'Indexed REC Calculator'!H17</f>
        <v>0</v>
      </c>
      <c r="I10" s="181">
        <f>'Indexed REC Activities'!K10*'Indexed REC Calculator'!I17</f>
        <v>0</v>
      </c>
      <c r="J10" s="181">
        <f>'Indexed REC Activities'!L10*'Indexed REC Calculator'!J17</f>
        <v>0</v>
      </c>
      <c r="K10" s="181">
        <f>'Indexed REC Activities'!M10*'Indexed REC Calculator'!K17</f>
        <v>0</v>
      </c>
      <c r="L10" s="181">
        <f>'Indexed REC Activities'!N10*'Indexed REC Calculator'!L17</f>
        <v>0</v>
      </c>
      <c r="M10" s="181">
        <f>'Indexed REC Activities'!O10*'Indexed REC Calculator'!M17</f>
        <v>0</v>
      </c>
      <c r="N10" s="181">
        <f>'Indexed REC Activities'!P10*'Indexed REC Calculator'!N17</f>
        <v>4125000</v>
      </c>
      <c r="O10" s="181">
        <f>'Indexed REC Activities'!Q10*'Indexed REC Calculator'!O17</f>
        <v>3045000.0000000019</v>
      </c>
      <c r="P10" s="181">
        <f>'Indexed REC Activities'!R10*'Indexed REC Calculator'!P17</f>
        <v>1725000.0000000014</v>
      </c>
      <c r="Q10" s="181">
        <f>'Indexed REC Activities'!S10*'Indexed REC Calculator'!Q17</f>
        <v>385000.00000000512</v>
      </c>
      <c r="R10" s="181">
        <f>'Indexed REC Activities'!T10*'Indexed REC Calculator'!R17</f>
        <v>-594999.99999999884</v>
      </c>
      <c r="S10" s="181">
        <f>'Indexed REC Activities'!U10*'Indexed REC Calculator'!S17</f>
        <v>-1854999.999999997</v>
      </c>
      <c r="T10" s="181">
        <f>'Indexed REC Activities'!V10*'Indexed REC Calculator'!T17</f>
        <v>-3015000.0000000005</v>
      </c>
      <c r="U10" s="181">
        <f>'Indexed REC Activities'!W10*'Indexed REC Calculator'!U17</f>
        <v>-4094999.9999999991</v>
      </c>
      <c r="V10" s="181">
        <f>'Indexed REC Activities'!X10*'Indexed REC Calculator'!V17</f>
        <v>-5244999.9999999972</v>
      </c>
      <c r="W10" s="181">
        <f>'Indexed REC Activities'!Y10*'Indexed REC Calculator'!W17</f>
        <v>-6394999.9999999963</v>
      </c>
      <c r="X10" s="181">
        <f>'Indexed REC Activities'!Z10*'Indexed REC Calculator'!X17</f>
        <v>-7454999.9999999981</v>
      </c>
    </row>
    <row r="11" spans="1:24" ht="15.75" x14ac:dyDescent="0.25">
      <c r="A11" s="177" t="s">
        <v>90</v>
      </c>
      <c r="B11" s="11">
        <f t="shared" si="1"/>
        <v>2031</v>
      </c>
      <c r="C11" s="181">
        <f>'Indexed REC Activities'!E11*'Indexed REC Calculator'!C18</f>
        <v>0</v>
      </c>
      <c r="D11" s="181">
        <f>'Indexed REC Activities'!F11*'Indexed REC Calculator'!D18</f>
        <v>0</v>
      </c>
      <c r="E11" s="181">
        <f>'Indexed REC Activities'!G11*'Indexed REC Calculator'!E18</f>
        <v>0</v>
      </c>
      <c r="F11" s="181">
        <f>'Indexed REC Activities'!H11*'Indexed REC Calculator'!F18</f>
        <v>0</v>
      </c>
      <c r="G11" s="181">
        <f>'Indexed REC Activities'!I11*'Indexed REC Calculator'!G18</f>
        <v>0</v>
      </c>
      <c r="H11" s="181">
        <f>'Indexed REC Activities'!J11*'Indexed REC Calculator'!H18</f>
        <v>0</v>
      </c>
      <c r="I11" s="181">
        <f>'Indexed REC Activities'!K11*'Indexed REC Calculator'!I18</f>
        <v>0</v>
      </c>
      <c r="J11" s="181">
        <f>'Indexed REC Activities'!L11*'Indexed REC Calculator'!J18</f>
        <v>0</v>
      </c>
      <c r="K11" s="181">
        <f>'Indexed REC Activities'!M11*'Indexed REC Calculator'!K18</f>
        <v>0</v>
      </c>
      <c r="L11" s="181">
        <f>'Indexed REC Activities'!N11*'Indexed REC Calculator'!L18</f>
        <v>0</v>
      </c>
      <c r="M11" s="181">
        <f>'Indexed REC Activities'!O11*'Indexed REC Calculator'!M18</f>
        <v>0</v>
      </c>
      <c r="N11" s="181">
        <f>'Indexed REC Activities'!P11*'Indexed REC Calculator'!N18</f>
        <v>0</v>
      </c>
      <c r="O11" s="181">
        <f>'Indexed REC Activities'!Q11*'Indexed REC Calculator'!O18</f>
        <v>3045000.0000000019</v>
      </c>
      <c r="P11" s="181">
        <f>'Indexed REC Activities'!R11*'Indexed REC Calculator'!P18</f>
        <v>1725000.0000000014</v>
      </c>
      <c r="Q11" s="181">
        <f>'Indexed REC Activities'!S11*'Indexed REC Calculator'!Q18</f>
        <v>385000.00000000512</v>
      </c>
      <c r="R11" s="181">
        <f>'Indexed REC Activities'!T11*'Indexed REC Calculator'!R18</f>
        <v>-594999.99999999884</v>
      </c>
      <c r="S11" s="181">
        <f>'Indexed REC Activities'!U11*'Indexed REC Calculator'!S18</f>
        <v>-1854999.999999997</v>
      </c>
      <c r="T11" s="181">
        <f>'Indexed REC Activities'!V11*'Indexed REC Calculator'!T18</f>
        <v>-3015000.0000000005</v>
      </c>
      <c r="U11" s="181">
        <f>'Indexed REC Activities'!W11*'Indexed REC Calculator'!U18</f>
        <v>-4094999.9999999991</v>
      </c>
      <c r="V11" s="181">
        <f>'Indexed REC Activities'!X11*'Indexed REC Calculator'!V18</f>
        <v>-5244999.9999999972</v>
      </c>
      <c r="W11" s="181">
        <f>'Indexed REC Activities'!Y11*'Indexed REC Calculator'!W18</f>
        <v>-6394999.9999999963</v>
      </c>
      <c r="X11" s="181">
        <f>'Indexed REC Activities'!Z11*'Indexed REC Calculator'!X18</f>
        <v>-7454999.9999999981</v>
      </c>
    </row>
    <row r="12" spans="1:24" ht="15.75" x14ac:dyDescent="0.25">
      <c r="A12" s="177" t="s">
        <v>90</v>
      </c>
      <c r="B12" s="11">
        <f t="shared" si="1"/>
        <v>2032</v>
      </c>
      <c r="C12" s="181">
        <f>'Indexed REC Activities'!E12*'Indexed REC Calculator'!C19</f>
        <v>0</v>
      </c>
      <c r="D12" s="181">
        <f>'Indexed REC Activities'!F12*'Indexed REC Calculator'!D19</f>
        <v>0</v>
      </c>
      <c r="E12" s="181">
        <f>'Indexed REC Activities'!G12*'Indexed REC Calculator'!E19</f>
        <v>0</v>
      </c>
      <c r="F12" s="181">
        <f>'Indexed REC Activities'!H12*'Indexed REC Calculator'!F19</f>
        <v>0</v>
      </c>
      <c r="G12" s="181">
        <f>'Indexed REC Activities'!I12*'Indexed REC Calculator'!G19</f>
        <v>0</v>
      </c>
      <c r="H12" s="181">
        <f>'Indexed REC Activities'!J12*'Indexed REC Calculator'!H19</f>
        <v>0</v>
      </c>
      <c r="I12" s="181">
        <f>'Indexed REC Activities'!K12*'Indexed REC Calculator'!I19</f>
        <v>0</v>
      </c>
      <c r="J12" s="181">
        <f>'Indexed REC Activities'!L12*'Indexed REC Calculator'!J19</f>
        <v>0</v>
      </c>
      <c r="K12" s="181">
        <f>'Indexed REC Activities'!M12*'Indexed REC Calculator'!K19</f>
        <v>0</v>
      </c>
      <c r="L12" s="181">
        <f>'Indexed REC Activities'!N12*'Indexed REC Calculator'!L19</f>
        <v>0</v>
      </c>
      <c r="M12" s="181">
        <f>'Indexed REC Activities'!O12*'Indexed REC Calculator'!M19</f>
        <v>0</v>
      </c>
      <c r="N12" s="181">
        <f>'Indexed REC Activities'!P12*'Indexed REC Calculator'!N19</f>
        <v>0</v>
      </c>
      <c r="O12" s="181">
        <f>'Indexed REC Activities'!Q12*'Indexed REC Calculator'!O19</f>
        <v>0</v>
      </c>
      <c r="P12" s="181">
        <f>'Indexed REC Activities'!R12*'Indexed REC Calculator'!P19</f>
        <v>1725000.0000000014</v>
      </c>
      <c r="Q12" s="181">
        <f>'Indexed REC Activities'!S12*'Indexed REC Calculator'!Q19</f>
        <v>385000.00000000512</v>
      </c>
      <c r="R12" s="181">
        <f>'Indexed REC Activities'!T12*'Indexed REC Calculator'!R19</f>
        <v>-594999.99999999884</v>
      </c>
      <c r="S12" s="181">
        <f>'Indexed REC Activities'!U12*'Indexed REC Calculator'!S19</f>
        <v>-1854999.999999997</v>
      </c>
      <c r="T12" s="181">
        <f>'Indexed REC Activities'!V12*'Indexed REC Calculator'!T19</f>
        <v>-3015000.0000000005</v>
      </c>
      <c r="U12" s="181">
        <f>'Indexed REC Activities'!W12*'Indexed REC Calculator'!U19</f>
        <v>-4094999.9999999991</v>
      </c>
      <c r="V12" s="181">
        <f>'Indexed REC Activities'!X12*'Indexed REC Calculator'!V19</f>
        <v>-5244999.9999999972</v>
      </c>
      <c r="W12" s="181">
        <f>'Indexed REC Activities'!Y12*'Indexed REC Calculator'!W19</f>
        <v>-6394999.9999999963</v>
      </c>
      <c r="X12" s="181">
        <f>'Indexed REC Activities'!Z12*'Indexed REC Calculator'!X19</f>
        <v>-7454999.9999999981</v>
      </c>
    </row>
    <row r="13" spans="1:24" ht="15.75" x14ac:dyDescent="0.25">
      <c r="A13" s="177" t="s">
        <v>90</v>
      </c>
      <c r="B13" s="11">
        <f t="shared" si="1"/>
        <v>2033</v>
      </c>
      <c r="C13" s="181">
        <f>'Indexed REC Activities'!E13*'Indexed REC Calculator'!C20</f>
        <v>0</v>
      </c>
      <c r="D13" s="181">
        <f>'Indexed REC Activities'!F13*'Indexed REC Calculator'!D20</f>
        <v>0</v>
      </c>
      <c r="E13" s="181">
        <f>'Indexed REC Activities'!G13*'Indexed REC Calculator'!E20</f>
        <v>0</v>
      </c>
      <c r="F13" s="181">
        <f>'Indexed REC Activities'!H13*'Indexed REC Calculator'!F20</f>
        <v>0</v>
      </c>
      <c r="G13" s="181">
        <f>'Indexed REC Activities'!I13*'Indexed REC Calculator'!G20</f>
        <v>0</v>
      </c>
      <c r="H13" s="181">
        <f>'Indexed REC Activities'!J13*'Indexed REC Calculator'!H20</f>
        <v>0</v>
      </c>
      <c r="I13" s="181">
        <f>'Indexed REC Activities'!K13*'Indexed REC Calculator'!I20</f>
        <v>0</v>
      </c>
      <c r="J13" s="181">
        <f>'Indexed REC Activities'!L13*'Indexed REC Calculator'!J20</f>
        <v>0</v>
      </c>
      <c r="K13" s="181">
        <f>'Indexed REC Activities'!M13*'Indexed REC Calculator'!K20</f>
        <v>0</v>
      </c>
      <c r="L13" s="181">
        <f>'Indexed REC Activities'!N13*'Indexed REC Calculator'!L20</f>
        <v>0</v>
      </c>
      <c r="M13" s="181">
        <f>'Indexed REC Activities'!O13*'Indexed REC Calculator'!M20</f>
        <v>0</v>
      </c>
      <c r="N13" s="181">
        <f>'Indexed REC Activities'!P13*'Indexed REC Calculator'!N20</f>
        <v>0</v>
      </c>
      <c r="O13" s="181">
        <f>'Indexed REC Activities'!Q13*'Indexed REC Calculator'!O20</f>
        <v>0</v>
      </c>
      <c r="P13" s="181">
        <f>'Indexed REC Activities'!R13*'Indexed REC Calculator'!P20</f>
        <v>0</v>
      </c>
      <c r="Q13" s="181">
        <f>'Indexed REC Activities'!S13*'Indexed REC Calculator'!Q20</f>
        <v>385000.00000000512</v>
      </c>
      <c r="R13" s="181">
        <f>'Indexed REC Activities'!T13*'Indexed REC Calculator'!R20</f>
        <v>-594999.99999999884</v>
      </c>
      <c r="S13" s="181">
        <f>'Indexed REC Activities'!U13*'Indexed REC Calculator'!S20</f>
        <v>-1854999.999999997</v>
      </c>
      <c r="T13" s="181">
        <f>'Indexed REC Activities'!V13*'Indexed REC Calculator'!T20</f>
        <v>-3015000.0000000005</v>
      </c>
      <c r="U13" s="181">
        <f>'Indexed REC Activities'!W13*'Indexed REC Calculator'!U20</f>
        <v>-4094999.9999999991</v>
      </c>
      <c r="V13" s="181">
        <f>'Indexed REC Activities'!X13*'Indexed REC Calculator'!V20</f>
        <v>-5244999.9999999972</v>
      </c>
      <c r="W13" s="181">
        <f>'Indexed REC Activities'!Y13*'Indexed REC Calculator'!W20</f>
        <v>-6394999.9999999963</v>
      </c>
      <c r="X13" s="181">
        <f>'Indexed REC Activities'!Z13*'Indexed REC Calculator'!X20</f>
        <v>-7454999.9999999981</v>
      </c>
    </row>
    <row r="14" spans="1:24" ht="15.75" x14ac:dyDescent="0.25">
      <c r="A14" s="177" t="s">
        <v>90</v>
      </c>
      <c r="B14" s="11">
        <f t="shared" si="1"/>
        <v>2034</v>
      </c>
      <c r="C14" s="181">
        <f>'Indexed REC Activities'!E14*'Indexed REC Calculator'!C21</f>
        <v>0</v>
      </c>
      <c r="D14" s="181">
        <f>'Indexed REC Activities'!F14*'Indexed REC Calculator'!D21</f>
        <v>0</v>
      </c>
      <c r="E14" s="181">
        <f>'Indexed REC Activities'!G14*'Indexed REC Calculator'!E21</f>
        <v>0</v>
      </c>
      <c r="F14" s="181">
        <f>'Indexed REC Activities'!H14*'Indexed REC Calculator'!F21</f>
        <v>0</v>
      </c>
      <c r="G14" s="181">
        <f>'Indexed REC Activities'!I14*'Indexed REC Calculator'!G21</f>
        <v>0</v>
      </c>
      <c r="H14" s="181">
        <f>'Indexed REC Activities'!J14*'Indexed REC Calculator'!H21</f>
        <v>0</v>
      </c>
      <c r="I14" s="181">
        <f>'Indexed REC Activities'!K14*'Indexed REC Calculator'!I21</f>
        <v>0</v>
      </c>
      <c r="J14" s="181">
        <f>'Indexed REC Activities'!L14*'Indexed REC Calculator'!J21</f>
        <v>0</v>
      </c>
      <c r="K14" s="181">
        <f>'Indexed REC Activities'!M14*'Indexed REC Calculator'!K21</f>
        <v>0</v>
      </c>
      <c r="L14" s="181">
        <f>'Indexed REC Activities'!N14*'Indexed REC Calculator'!L21</f>
        <v>0</v>
      </c>
      <c r="M14" s="181">
        <f>'Indexed REC Activities'!O14*'Indexed REC Calculator'!M21</f>
        <v>0</v>
      </c>
      <c r="N14" s="181">
        <f>'Indexed REC Activities'!P14*'Indexed REC Calculator'!N21</f>
        <v>0</v>
      </c>
      <c r="O14" s="181">
        <f>'Indexed REC Activities'!Q14*'Indexed REC Calculator'!O21</f>
        <v>0</v>
      </c>
      <c r="P14" s="181">
        <f>'Indexed REC Activities'!R14*'Indexed REC Calculator'!P21</f>
        <v>0</v>
      </c>
      <c r="Q14" s="181">
        <f>'Indexed REC Activities'!S14*'Indexed REC Calculator'!Q21</f>
        <v>0</v>
      </c>
      <c r="R14" s="181">
        <f>'Indexed REC Activities'!T14*'Indexed REC Calculator'!R21</f>
        <v>-594999.99999999884</v>
      </c>
      <c r="S14" s="181">
        <f>'Indexed REC Activities'!U14*'Indexed REC Calculator'!S21</f>
        <v>-1854999.999999997</v>
      </c>
      <c r="T14" s="181">
        <f>'Indexed REC Activities'!V14*'Indexed REC Calculator'!T21</f>
        <v>-3015000.0000000005</v>
      </c>
      <c r="U14" s="181">
        <f>'Indexed REC Activities'!W14*'Indexed REC Calculator'!U21</f>
        <v>-4094999.9999999991</v>
      </c>
      <c r="V14" s="181">
        <f>'Indexed REC Activities'!X14*'Indexed REC Calculator'!V21</f>
        <v>-5244999.9999999972</v>
      </c>
      <c r="W14" s="181">
        <f>'Indexed REC Activities'!Y14*'Indexed REC Calculator'!W21</f>
        <v>-6394999.9999999963</v>
      </c>
      <c r="X14" s="181">
        <f>'Indexed REC Activities'!Z14*'Indexed REC Calculator'!X21</f>
        <v>-7454999.9999999981</v>
      </c>
    </row>
    <row r="15" spans="1:24" ht="15.75" x14ac:dyDescent="0.25">
      <c r="A15" s="177" t="s">
        <v>90</v>
      </c>
      <c r="B15" s="11">
        <f t="shared" si="1"/>
        <v>2035</v>
      </c>
      <c r="C15" s="181">
        <f>'Indexed REC Activities'!E15*'Indexed REC Calculator'!C22</f>
        <v>0</v>
      </c>
      <c r="D15" s="181">
        <f>'Indexed REC Activities'!F15*'Indexed REC Calculator'!D22</f>
        <v>0</v>
      </c>
      <c r="E15" s="181">
        <f>'Indexed REC Activities'!G15*'Indexed REC Calculator'!E22</f>
        <v>0</v>
      </c>
      <c r="F15" s="181">
        <f>'Indexed REC Activities'!H15*'Indexed REC Calculator'!F22</f>
        <v>0</v>
      </c>
      <c r="G15" s="181">
        <f>'Indexed REC Activities'!I15*'Indexed REC Calculator'!G22</f>
        <v>0</v>
      </c>
      <c r="H15" s="181">
        <f>'Indexed REC Activities'!J15*'Indexed REC Calculator'!H22</f>
        <v>0</v>
      </c>
      <c r="I15" s="181">
        <f>'Indexed REC Activities'!K15*'Indexed REC Calculator'!I22</f>
        <v>0</v>
      </c>
      <c r="J15" s="181">
        <f>'Indexed REC Activities'!L15*'Indexed REC Calculator'!J22</f>
        <v>0</v>
      </c>
      <c r="K15" s="181">
        <f>'Indexed REC Activities'!M15*'Indexed REC Calculator'!K22</f>
        <v>0</v>
      </c>
      <c r="L15" s="181">
        <f>'Indexed REC Activities'!N15*'Indexed REC Calculator'!L22</f>
        <v>0</v>
      </c>
      <c r="M15" s="181">
        <f>'Indexed REC Activities'!O15*'Indexed REC Calculator'!M22</f>
        <v>0</v>
      </c>
      <c r="N15" s="181">
        <f>'Indexed REC Activities'!P15*'Indexed REC Calculator'!N22</f>
        <v>0</v>
      </c>
      <c r="O15" s="181">
        <f>'Indexed REC Activities'!Q15*'Indexed REC Calculator'!O22</f>
        <v>0</v>
      </c>
      <c r="P15" s="181">
        <f>'Indexed REC Activities'!R15*'Indexed REC Calculator'!P22</f>
        <v>0</v>
      </c>
      <c r="Q15" s="181">
        <f>'Indexed REC Activities'!S15*'Indexed REC Calculator'!Q22</f>
        <v>0</v>
      </c>
      <c r="R15" s="181">
        <f>'Indexed REC Activities'!T15*'Indexed REC Calculator'!R22</f>
        <v>0</v>
      </c>
      <c r="S15" s="181">
        <f>'Indexed REC Activities'!U15*'Indexed REC Calculator'!S22</f>
        <v>-1854999.999999997</v>
      </c>
      <c r="T15" s="181">
        <f>'Indexed REC Activities'!V15*'Indexed REC Calculator'!T22</f>
        <v>-3015000.0000000005</v>
      </c>
      <c r="U15" s="181">
        <f>'Indexed REC Activities'!W15*'Indexed REC Calculator'!U22</f>
        <v>-4094999.9999999991</v>
      </c>
      <c r="V15" s="181">
        <f>'Indexed REC Activities'!X15*'Indexed REC Calculator'!V22</f>
        <v>-5244999.9999999972</v>
      </c>
      <c r="W15" s="181">
        <f>'Indexed REC Activities'!Y15*'Indexed REC Calculator'!W22</f>
        <v>-6394999.9999999963</v>
      </c>
      <c r="X15" s="181">
        <f>'Indexed REC Activities'!Z15*'Indexed REC Calculator'!X22</f>
        <v>-7454999.9999999981</v>
      </c>
    </row>
    <row r="16" spans="1:24" ht="15.75" x14ac:dyDescent="0.25">
      <c r="A16" s="177" t="s">
        <v>90</v>
      </c>
      <c r="B16" s="11">
        <f t="shared" si="1"/>
        <v>2036</v>
      </c>
      <c r="C16" s="181">
        <f>'Indexed REC Activities'!E16*'Indexed REC Calculator'!C23</f>
        <v>0</v>
      </c>
      <c r="D16" s="181">
        <f>'Indexed REC Activities'!F16*'Indexed REC Calculator'!D23</f>
        <v>0</v>
      </c>
      <c r="E16" s="181">
        <f>'Indexed REC Activities'!G16*'Indexed REC Calculator'!E23</f>
        <v>0</v>
      </c>
      <c r="F16" s="181">
        <f>'Indexed REC Activities'!H16*'Indexed REC Calculator'!F23</f>
        <v>0</v>
      </c>
      <c r="G16" s="181">
        <f>'Indexed REC Activities'!I16*'Indexed REC Calculator'!G23</f>
        <v>0</v>
      </c>
      <c r="H16" s="181">
        <f>'Indexed REC Activities'!J16*'Indexed REC Calculator'!H23</f>
        <v>0</v>
      </c>
      <c r="I16" s="181">
        <f>'Indexed REC Activities'!K16*'Indexed REC Calculator'!I23</f>
        <v>0</v>
      </c>
      <c r="J16" s="181">
        <f>'Indexed REC Activities'!L16*'Indexed REC Calculator'!J23</f>
        <v>0</v>
      </c>
      <c r="K16" s="181">
        <f>'Indexed REC Activities'!M16*'Indexed REC Calculator'!K23</f>
        <v>0</v>
      </c>
      <c r="L16" s="181">
        <f>'Indexed REC Activities'!N16*'Indexed REC Calculator'!L23</f>
        <v>0</v>
      </c>
      <c r="M16" s="181">
        <f>'Indexed REC Activities'!O16*'Indexed REC Calculator'!M23</f>
        <v>0</v>
      </c>
      <c r="N16" s="181">
        <f>'Indexed REC Activities'!P16*'Indexed REC Calculator'!N23</f>
        <v>0</v>
      </c>
      <c r="O16" s="181">
        <f>'Indexed REC Activities'!Q16*'Indexed REC Calculator'!O23</f>
        <v>0</v>
      </c>
      <c r="P16" s="181">
        <f>'Indexed REC Activities'!R16*'Indexed REC Calculator'!P23</f>
        <v>0</v>
      </c>
      <c r="Q16" s="181">
        <f>'Indexed REC Activities'!S16*'Indexed REC Calculator'!Q23</f>
        <v>0</v>
      </c>
      <c r="R16" s="181">
        <f>'Indexed REC Activities'!T16*'Indexed REC Calculator'!R23</f>
        <v>0</v>
      </c>
      <c r="S16" s="181">
        <f>'Indexed REC Activities'!U16*'Indexed REC Calculator'!S23</f>
        <v>0</v>
      </c>
      <c r="T16" s="181">
        <f>'Indexed REC Activities'!V16*'Indexed REC Calculator'!T23</f>
        <v>-3015000.0000000005</v>
      </c>
      <c r="U16" s="181">
        <f>'Indexed REC Activities'!W16*'Indexed REC Calculator'!U23</f>
        <v>-4094999.9999999991</v>
      </c>
      <c r="V16" s="181">
        <f>'Indexed REC Activities'!X16*'Indexed REC Calculator'!V23</f>
        <v>-5244999.9999999972</v>
      </c>
      <c r="W16" s="181">
        <f>'Indexed REC Activities'!Y16*'Indexed REC Calculator'!W23</f>
        <v>-6394999.9999999963</v>
      </c>
      <c r="X16" s="181">
        <f>'Indexed REC Activities'!Z16*'Indexed REC Calculator'!X23</f>
        <v>-7454999.9999999981</v>
      </c>
    </row>
    <row r="17" spans="1:24" ht="15.75" x14ac:dyDescent="0.25">
      <c r="A17" s="177" t="s">
        <v>90</v>
      </c>
      <c r="B17" s="11">
        <f t="shared" si="1"/>
        <v>2037</v>
      </c>
      <c r="C17" s="181">
        <f>'Indexed REC Activities'!E17*'Indexed REC Calculator'!C24</f>
        <v>0</v>
      </c>
      <c r="D17" s="181">
        <f>'Indexed REC Activities'!F17*'Indexed REC Calculator'!D24</f>
        <v>0</v>
      </c>
      <c r="E17" s="181">
        <f>'Indexed REC Activities'!G17*'Indexed REC Calculator'!E24</f>
        <v>0</v>
      </c>
      <c r="F17" s="181">
        <f>'Indexed REC Activities'!H17*'Indexed REC Calculator'!F24</f>
        <v>0</v>
      </c>
      <c r="G17" s="181">
        <f>'Indexed REC Activities'!I17*'Indexed REC Calculator'!G24</f>
        <v>0</v>
      </c>
      <c r="H17" s="181">
        <f>'Indexed REC Activities'!J17*'Indexed REC Calculator'!H24</f>
        <v>0</v>
      </c>
      <c r="I17" s="181">
        <f>'Indexed REC Activities'!K17*'Indexed REC Calculator'!I24</f>
        <v>0</v>
      </c>
      <c r="J17" s="181">
        <f>'Indexed REC Activities'!L17*'Indexed REC Calculator'!J24</f>
        <v>0</v>
      </c>
      <c r="K17" s="181">
        <f>'Indexed REC Activities'!M17*'Indexed REC Calculator'!K24</f>
        <v>0</v>
      </c>
      <c r="L17" s="181">
        <f>'Indexed REC Activities'!N17*'Indexed REC Calculator'!L24</f>
        <v>0</v>
      </c>
      <c r="M17" s="181">
        <f>'Indexed REC Activities'!O17*'Indexed REC Calculator'!M24</f>
        <v>0</v>
      </c>
      <c r="N17" s="181">
        <f>'Indexed REC Activities'!P17*'Indexed REC Calculator'!N24</f>
        <v>0</v>
      </c>
      <c r="O17" s="181">
        <f>'Indexed REC Activities'!Q17*'Indexed REC Calculator'!O24</f>
        <v>0</v>
      </c>
      <c r="P17" s="181">
        <f>'Indexed REC Activities'!R17*'Indexed REC Calculator'!P24</f>
        <v>0</v>
      </c>
      <c r="Q17" s="181">
        <f>'Indexed REC Activities'!S17*'Indexed REC Calculator'!Q24</f>
        <v>0</v>
      </c>
      <c r="R17" s="181">
        <f>'Indexed REC Activities'!T17*'Indexed REC Calculator'!R24</f>
        <v>0</v>
      </c>
      <c r="S17" s="181">
        <f>'Indexed REC Activities'!U17*'Indexed REC Calculator'!S24</f>
        <v>0</v>
      </c>
      <c r="T17" s="181">
        <f>'Indexed REC Activities'!V17*'Indexed REC Calculator'!T24</f>
        <v>0</v>
      </c>
      <c r="U17" s="181">
        <f>'Indexed REC Activities'!W17*'Indexed REC Calculator'!U24</f>
        <v>-4094999.9999999991</v>
      </c>
      <c r="V17" s="181">
        <f>'Indexed REC Activities'!X17*'Indexed REC Calculator'!V24</f>
        <v>-5244999.9999999972</v>
      </c>
      <c r="W17" s="181">
        <f>'Indexed REC Activities'!Y17*'Indexed REC Calculator'!W24</f>
        <v>-6394999.9999999963</v>
      </c>
      <c r="X17" s="181">
        <f>'Indexed REC Activities'!Z17*'Indexed REC Calculator'!X24</f>
        <v>-7454999.9999999981</v>
      </c>
    </row>
    <row r="18" spans="1:24" ht="15.75" x14ac:dyDescent="0.25">
      <c r="A18" s="177" t="s">
        <v>90</v>
      </c>
      <c r="B18" s="11">
        <f t="shared" si="1"/>
        <v>2038</v>
      </c>
      <c r="C18" s="181">
        <f>'Indexed REC Activities'!E18*'Indexed REC Calculator'!C25</f>
        <v>0</v>
      </c>
      <c r="D18" s="181">
        <f>'Indexed REC Activities'!F18*'Indexed REC Calculator'!D25</f>
        <v>0</v>
      </c>
      <c r="E18" s="181">
        <f>'Indexed REC Activities'!G18*'Indexed REC Calculator'!E25</f>
        <v>0</v>
      </c>
      <c r="F18" s="181">
        <f>'Indexed REC Activities'!H18*'Indexed REC Calculator'!F25</f>
        <v>0</v>
      </c>
      <c r="G18" s="181">
        <f>'Indexed REC Activities'!I18*'Indexed REC Calculator'!G25</f>
        <v>0</v>
      </c>
      <c r="H18" s="181">
        <f>'Indexed REC Activities'!J18*'Indexed REC Calculator'!H25</f>
        <v>0</v>
      </c>
      <c r="I18" s="181">
        <f>'Indexed REC Activities'!K18*'Indexed REC Calculator'!I25</f>
        <v>0</v>
      </c>
      <c r="J18" s="181">
        <f>'Indexed REC Activities'!L18*'Indexed REC Calculator'!J25</f>
        <v>0</v>
      </c>
      <c r="K18" s="181">
        <f>'Indexed REC Activities'!M18*'Indexed REC Calculator'!K25</f>
        <v>0</v>
      </c>
      <c r="L18" s="181">
        <f>'Indexed REC Activities'!N18*'Indexed REC Calculator'!L25</f>
        <v>0</v>
      </c>
      <c r="M18" s="181">
        <f>'Indexed REC Activities'!O18*'Indexed REC Calculator'!M25</f>
        <v>0</v>
      </c>
      <c r="N18" s="181">
        <f>'Indexed REC Activities'!P18*'Indexed REC Calculator'!N25</f>
        <v>0</v>
      </c>
      <c r="O18" s="181">
        <f>'Indexed REC Activities'!Q18*'Indexed REC Calculator'!O25</f>
        <v>0</v>
      </c>
      <c r="P18" s="181">
        <f>'Indexed REC Activities'!R18*'Indexed REC Calculator'!P25</f>
        <v>0</v>
      </c>
      <c r="Q18" s="181">
        <f>'Indexed REC Activities'!S18*'Indexed REC Calculator'!Q25</f>
        <v>0</v>
      </c>
      <c r="R18" s="181">
        <f>'Indexed REC Activities'!T18*'Indexed REC Calculator'!R25</f>
        <v>0</v>
      </c>
      <c r="S18" s="181">
        <f>'Indexed REC Activities'!U18*'Indexed REC Calculator'!S25</f>
        <v>0</v>
      </c>
      <c r="T18" s="181">
        <f>'Indexed REC Activities'!V18*'Indexed REC Calculator'!T25</f>
        <v>0</v>
      </c>
      <c r="U18" s="181">
        <f>'Indexed REC Activities'!W18*'Indexed REC Calculator'!U25</f>
        <v>0</v>
      </c>
      <c r="V18" s="181">
        <f>'Indexed REC Activities'!X18*'Indexed REC Calculator'!V25</f>
        <v>-5244999.9999999972</v>
      </c>
      <c r="W18" s="181">
        <f>'Indexed REC Activities'!Y18*'Indexed REC Calculator'!W25</f>
        <v>-6394999.9999999963</v>
      </c>
      <c r="X18" s="181">
        <f>'Indexed REC Activities'!Z18*'Indexed REC Calculator'!X25</f>
        <v>-7454999.9999999981</v>
      </c>
    </row>
    <row r="19" spans="1:24" ht="15.75" x14ac:dyDescent="0.25">
      <c r="A19" s="177" t="s">
        <v>90</v>
      </c>
      <c r="B19" s="11">
        <f t="shared" si="1"/>
        <v>2039</v>
      </c>
      <c r="C19" s="181">
        <f>'Indexed REC Activities'!E19*'Indexed REC Calculator'!C26</f>
        <v>0</v>
      </c>
      <c r="D19" s="181">
        <f>'Indexed REC Activities'!F19*'Indexed REC Calculator'!D26</f>
        <v>0</v>
      </c>
      <c r="E19" s="181">
        <f>'Indexed REC Activities'!G19*'Indexed REC Calculator'!E26</f>
        <v>0</v>
      </c>
      <c r="F19" s="181">
        <f>'Indexed REC Activities'!H19*'Indexed REC Calculator'!F26</f>
        <v>0</v>
      </c>
      <c r="G19" s="181">
        <f>'Indexed REC Activities'!I19*'Indexed REC Calculator'!G26</f>
        <v>0</v>
      </c>
      <c r="H19" s="181">
        <f>'Indexed REC Activities'!J19*'Indexed REC Calculator'!H26</f>
        <v>0</v>
      </c>
      <c r="I19" s="181">
        <f>'Indexed REC Activities'!K19*'Indexed REC Calculator'!I26</f>
        <v>0</v>
      </c>
      <c r="J19" s="181">
        <f>'Indexed REC Activities'!L19*'Indexed REC Calculator'!J26</f>
        <v>0</v>
      </c>
      <c r="K19" s="181">
        <f>'Indexed REC Activities'!M19*'Indexed REC Calculator'!K26</f>
        <v>0</v>
      </c>
      <c r="L19" s="181">
        <f>'Indexed REC Activities'!N19*'Indexed REC Calculator'!L26</f>
        <v>0</v>
      </c>
      <c r="M19" s="181">
        <f>'Indexed REC Activities'!O19*'Indexed REC Calculator'!M26</f>
        <v>0</v>
      </c>
      <c r="N19" s="181">
        <f>'Indexed REC Activities'!P19*'Indexed REC Calculator'!N26</f>
        <v>0</v>
      </c>
      <c r="O19" s="181">
        <f>'Indexed REC Activities'!Q19*'Indexed REC Calculator'!O26</f>
        <v>0</v>
      </c>
      <c r="P19" s="181">
        <f>'Indexed REC Activities'!R19*'Indexed REC Calculator'!P26</f>
        <v>0</v>
      </c>
      <c r="Q19" s="181">
        <f>'Indexed REC Activities'!S19*'Indexed REC Calculator'!Q26</f>
        <v>0</v>
      </c>
      <c r="R19" s="181">
        <f>'Indexed REC Activities'!T19*'Indexed REC Calculator'!R26</f>
        <v>0</v>
      </c>
      <c r="S19" s="181">
        <f>'Indexed REC Activities'!U19*'Indexed REC Calculator'!S26</f>
        <v>0</v>
      </c>
      <c r="T19" s="181">
        <f>'Indexed REC Activities'!V19*'Indexed REC Calculator'!T26</f>
        <v>0</v>
      </c>
      <c r="U19" s="181">
        <f>'Indexed REC Activities'!W19*'Indexed REC Calculator'!U26</f>
        <v>0</v>
      </c>
      <c r="V19" s="181">
        <f>'Indexed REC Activities'!X19*'Indexed REC Calculator'!V26</f>
        <v>0</v>
      </c>
      <c r="W19" s="181">
        <f>'Indexed REC Activities'!Y19*'Indexed REC Calculator'!W26</f>
        <v>-6394999.9999999963</v>
      </c>
      <c r="X19" s="181">
        <f>'Indexed REC Activities'!Z19*'Indexed REC Calculator'!X26</f>
        <v>-7454999.9999999981</v>
      </c>
    </row>
    <row r="20" spans="1:24" ht="15.75" x14ac:dyDescent="0.25">
      <c r="A20" s="177" t="s">
        <v>90</v>
      </c>
      <c r="B20" s="11">
        <f t="shared" si="1"/>
        <v>2040</v>
      </c>
      <c r="C20" s="181">
        <f>'Indexed REC Activities'!E20*'Indexed REC Calculator'!C27</f>
        <v>0</v>
      </c>
      <c r="D20" s="181">
        <f>'Indexed REC Activities'!F20*'Indexed REC Calculator'!D27</f>
        <v>0</v>
      </c>
      <c r="E20" s="181">
        <f>'Indexed REC Activities'!G20*'Indexed REC Calculator'!E27</f>
        <v>0</v>
      </c>
      <c r="F20" s="181">
        <f>'Indexed REC Activities'!H20*'Indexed REC Calculator'!F27</f>
        <v>0</v>
      </c>
      <c r="G20" s="181">
        <f>'Indexed REC Activities'!I20*'Indexed REC Calculator'!G27</f>
        <v>0</v>
      </c>
      <c r="H20" s="181">
        <f>'Indexed REC Activities'!J20*'Indexed REC Calculator'!H27</f>
        <v>0</v>
      </c>
      <c r="I20" s="181">
        <f>'Indexed REC Activities'!K20*'Indexed REC Calculator'!I27</f>
        <v>0</v>
      </c>
      <c r="J20" s="181">
        <f>'Indexed REC Activities'!L20*'Indexed REC Calculator'!J27</f>
        <v>0</v>
      </c>
      <c r="K20" s="181">
        <f>'Indexed REC Activities'!M20*'Indexed REC Calculator'!K27</f>
        <v>0</v>
      </c>
      <c r="L20" s="181">
        <f>'Indexed REC Activities'!N20*'Indexed REC Calculator'!L27</f>
        <v>0</v>
      </c>
      <c r="M20" s="181">
        <f>'Indexed REC Activities'!O20*'Indexed REC Calculator'!M27</f>
        <v>0</v>
      </c>
      <c r="N20" s="181">
        <f>'Indexed REC Activities'!P20*'Indexed REC Calculator'!N27</f>
        <v>0</v>
      </c>
      <c r="O20" s="181">
        <f>'Indexed REC Activities'!Q20*'Indexed REC Calculator'!O27</f>
        <v>0</v>
      </c>
      <c r="P20" s="181">
        <f>'Indexed REC Activities'!R20*'Indexed REC Calculator'!P27</f>
        <v>0</v>
      </c>
      <c r="Q20" s="181">
        <f>'Indexed REC Activities'!S20*'Indexed REC Calculator'!Q27</f>
        <v>0</v>
      </c>
      <c r="R20" s="181">
        <f>'Indexed REC Activities'!T20*'Indexed REC Calculator'!R27</f>
        <v>0</v>
      </c>
      <c r="S20" s="181">
        <f>'Indexed REC Activities'!U20*'Indexed REC Calculator'!S27</f>
        <v>0</v>
      </c>
      <c r="T20" s="181">
        <f>'Indexed REC Activities'!V20*'Indexed REC Calculator'!T27</f>
        <v>0</v>
      </c>
      <c r="U20" s="181">
        <f>'Indexed REC Activities'!W20*'Indexed REC Calculator'!U27</f>
        <v>0</v>
      </c>
      <c r="V20" s="181">
        <f>'Indexed REC Activities'!X20*'Indexed REC Calculator'!V27</f>
        <v>0</v>
      </c>
      <c r="W20" s="181">
        <f>'Indexed REC Activities'!Y20*'Indexed REC Calculator'!W27</f>
        <v>0</v>
      </c>
      <c r="X20" s="181">
        <f>'Indexed REC Activities'!Z20*'Indexed REC Calculator'!X27</f>
        <v>-7454999.9999999981</v>
      </c>
    </row>
    <row r="21" spans="1:24" ht="15.75" x14ac:dyDescent="0.25">
      <c r="A21" s="177" t="s">
        <v>90</v>
      </c>
      <c r="B21" s="11">
        <f t="shared" si="1"/>
        <v>2041</v>
      </c>
      <c r="C21" s="181">
        <f>'Indexed REC Activities'!E21*'Indexed REC Calculator'!C28</f>
        <v>0</v>
      </c>
      <c r="D21" s="181">
        <f>'Indexed REC Activities'!F21*'Indexed REC Calculator'!D28</f>
        <v>0</v>
      </c>
      <c r="E21" s="181">
        <f>'Indexed REC Activities'!G21*'Indexed REC Calculator'!E28</f>
        <v>0</v>
      </c>
      <c r="F21" s="181">
        <f>'Indexed REC Activities'!H21*'Indexed REC Calculator'!F28</f>
        <v>0</v>
      </c>
      <c r="G21" s="181">
        <f>'Indexed REC Activities'!I21*'Indexed REC Calculator'!G28</f>
        <v>0</v>
      </c>
      <c r="H21" s="181">
        <f>'Indexed REC Activities'!J21*'Indexed REC Calculator'!H28</f>
        <v>0</v>
      </c>
      <c r="I21" s="181">
        <f>'Indexed REC Activities'!K21*'Indexed REC Calculator'!I28</f>
        <v>0</v>
      </c>
      <c r="J21" s="181">
        <f>'Indexed REC Activities'!L21*'Indexed REC Calculator'!J28</f>
        <v>0</v>
      </c>
      <c r="K21" s="181">
        <f>'Indexed REC Activities'!M21*'Indexed REC Calculator'!K28</f>
        <v>0</v>
      </c>
      <c r="L21" s="181">
        <f>'Indexed REC Activities'!N21*'Indexed REC Calculator'!L28</f>
        <v>0</v>
      </c>
      <c r="M21" s="181">
        <f>'Indexed REC Activities'!O21*'Indexed REC Calculator'!M28</f>
        <v>0</v>
      </c>
      <c r="N21" s="181">
        <f>'Indexed REC Activities'!P21*'Indexed REC Calculator'!N28</f>
        <v>0</v>
      </c>
      <c r="O21" s="181">
        <f>'Indexed REC Activities'!Q21*'Indexed REC Calculator'!O28</f>
        <v>0</v>
      </c>
      <c r="P21" s="181">
        <f>'Indexed REC Activities'!R21*'Indexed REC Calculator'!P28</f>
        <v>0</v>
      </c>
      <c r="Q21" s="181">
        <f>'Indexed REC Activities'!S21*'Indexed REC Calculator'!Q28</f>
        <v>0</v>
      </c>
      <c r="R21" s="181">
        <f>'Indexed REC Activities'!T21*'Indexed REC Calculator'!R28</f>
        <v>0</v>
      </c>
      <c r="S21" s="181">
        <f>'Indexed REC Activities'!U21*'Indexed REC Calculator'!S28</f>
        <v>0</v>
      </c>
      <c r="T21" s="181">
        <f>'Indexed REC Activities'!V21*'Indexed REC Calculator'!T28</f>
        <v>0</v>
      </c>
      <c r="U21" s="181">
        <f>'Indexed REC Activities'!W21*'Indexed REC Calculator'!U28</f>
        <v>0</v>
      </c>
      <c r="V21" s="181">
        <f>'Indexed REC Activities'!X21*'Indexed REC Calculator'!V28</f>
        <v>0</v>
      </c>
      <c r="W21" s="181">
        <f>'Indexed REC Activities'!Y21*'Indexed REC Calculator'!W28</f>
        <v>0</v>
      </c>
      <c r="X21" s="181">
        <f>'Indexed REC Activities'!Z21*'Indexed REC Calculator'!X28</f>
        <v>0</v>
      </c>
    </row>
    <row r="22" spans="1:24" ht="15.75" x14ac:dyDescent="0.25">
      <c r="A22" s="177" t="s">
        <v>90</v>
      </c>
      <c r="B22" s="11">
        <f t="shared" si="1"/>
        <v>2042</v>
      </c>
      <c r="C22" s="181">
        <f>'Indexed REC Activities'!E22*'Indexed REC Calculator'!C29</f>
        <v>0</v>
      </c>
      <c r="D22" s="181">
        <f>'Indexed REC Activities'!F22*'Indexed REC Calculator'!D29</f>
        <v>0</v>
      </c>
      <c r="E22" s="181">
        <f>'Indexed REC Activities'!G22*'Indexed REC Calculator'!E29</f>
        <v>0</v>
      </c>
      <c r="F22" s="181">
        <f>'Indexed REC Activities'!H22*'Indexed REC Calculator'!F29</f>
        <v>0</v>
      </c>
      <c r="G22" s="181">
        <f>'Indexed REC Activities'!I22*'Indexed REC Calculator'!G29</f>
        <v>0</v>
      </c>
      <c r="H22" s="181">
        <f>'Indexed REC Activities'!J22*'Indexed REC Calculator'!H29</f>
        <v>0</v>
      </c>
      <c r="I22" s="181">
        <f>'Indexed REC Activities'!K22*'Indexed REC Calculator'!I29</f>
        <v>0</v>
      </c>
      <c r="J22" s="181">
        <f>'Indexed REC Activities'!L22*'Indexed REC Calculator'!J29</f>
        <v>0</v>
      </c>
      <c r="K22" s="181">
        <f>'Indexed REC Activities'!M22*'Indexed REC Calculator'!K29</f>
        <v>0</v>
      </c>
      <c r="L22" s="181">
        <f>'Indexed REC Activities'!N22*'Indexed REC Calculator'!L29</f>
        <v>0</v>
      </c>
      <c r="M22" s="181">
        <f>'Indexed REC Activities'!O22*'Indexed REC Calculator'!M29</f>
        <v>0</v>
      </c>
      <c r="N22" s="181">
        <f>'Indexed REC Activities'!P22*'Indexed REC Calculator'!N29</f>
        <v>0</v>
      </c>
      <c r="O22" s="181">
        <f>'Indexed REC Activities'!Q22*'Indexed REC Calculator'!O29</f>
        <v>0</v>
      </c>
      <c r="P22" s="181">
        <f>'Indexed REC Activities'!R22*'Indexed REC Calculator'!P29</f>
        <v>0</v>
      </c>
      <c r="Q22" s="181">
        <f>'Indexed REC Activities'!S22*'Indexed REC Calculator'!Q29</f>
        <v>0</v>
      </c>
      <c r="R22" s="181">
        <f>'Indexed REC Activities'!T22*'Indexed REC Calculator'!R29</f>
        <v>0</v>
      </c>
      <c r="S22" s="181">
        <f>'Indexed REC Activities'!U22*'Indexed REC Calculator'!S29</f>
        <v>0</v>
      </c>
      <c r="T22" s="181">
        <f>'Indexed REC Activities'!V22*'Indexed REC Calculator'!T29</f>
        <v>0</v>
      </c>
      <c r="U22" s="181">
        <f>'Indexed REC Activities'!W22*'Indexed REC Calculator'!U29</f>
        <v>0</v>
      </c>
      <c r="V22" s="181">
        <f>'Indexed REC Activities'!X22*'Indexed REC Calculator'!V29</f>
        <v>0</v>
      </c>
      <c r="W22" s="181">
        <f>'Indexed REC Activities'!Y22*'Indexed REC Calculator'!W29</f>
        <v>0</v>
      </c>
      <c r="X22" s="181">
        <f>'Indexed REC Activities'!Z22*'Indexed REC Calculator'!X29</f>
        <v>0</v>
      </c>
    </row>
    <row r="23" spans="1:24" ht="15.75" x14ac:dyDescent="0.25">
      <c r="A23" s="12" t="s">
        <v>91</v>
      </c>
      <c r="B23" s="11">
        <v>2022</v>
      </c>
      <c r="C23" s="181">
        <f>'Indexed REC Activities'!E23*'Indexed REC Calculator'!C30</f>
        <v>0</v>
      </c>
      <c r="D23" s="181">
        <f>'Indexed REC Activities'!F23*'Indexed REC Calculator'!D30</f>
        <v>0</v>
      </c>
      <c r="E23" s="181">
        <f>'Indexed REC Activities'!G23*'Indexed REC Calculator'!E30</f>
        <v>0</v>
      </c>
      <c r="F23" s="181">
        <f>'Indexed REC Activities'!H23*'Indexed REC Calculator'!F36</f>
        <v>44006236.064999998</v>
      </c>
      <c r="G23" s="181">
        <f>'Indexed REC Activities'!I23*'Indexed REC Calculator'!G36</f>
        <v>39419817.808274999</v>
      </c>
      <c r="H23" s="181">
        <f>'Indexed REC Activities'!J23*'Indexed REC Calculator'!H36</f>
        <v>38248939.118660621</v>
      </c>
      <c r="I23" s="181">
        <f>'Indexed REC Activities'!K23*'Indexed REC Calculator'!I36</f>
        <v>34368380.594050273</v>
      </c>
      <c r="J23" s="181">
        <f>'Indexed REC Activities'!L23*'Indexed REC Calculator'!J36</f>
        <v>32324025.593872603</v>
      </c>
      <c r="K23" s="181">
        <f>'Indexed REC Activities'!M23*'Indexed REC Calculator'!K36</f>
        <v>29284668.010967243</v>
      </c>
      <c r="L23" s="181">
        <f>'Indexed REC Activities'!N23*'Indexed REC Calculator'!L36</f>
        <v>26476798.700970791</v>
      </c>
      <c r="M23" s="181">
        <f>'Indexed REC Activities'!O23*'Indexed REC Calculator'!M36</f>
        <v>26965357.584453013</v>
      </c>
      <c r="N23" s="181">
        <f>'Indexed REC Activities'!P23*'Indexed REC Calculator'!N36</f>
        <v>25358622.232684489</v>
      </c>
      <c r="O23" s="181">
        <f>'Indexed REC Activities'!Q23*'Indexed REC Calculator'!O36</f>
        <v>23279097.093485042</v>
      </c>
      <c r="P23" s="181">
        <f>'Indexed REC Activities'!R23*'Indexed REC Calculator'!P36</f>
        <v>20787962.49170047</v>
      </c>
      <c r="Q23" s="181">
        <f>'Indexed REC Activities'!S23*'Indexed REC Calculator'!Q36</f>
        <v>18285356.267283149</v>
      </c>
      <c r="R23" s="181">
        <f>'Indexed REC Activities'!T23*'Indexed REC Calculator'!R36</f>
        <v>16448452.15885639</v>
      </c>
      <c r="S23" s="181">
        <f>'Indexed REC Activities'!U23*'Indexed REC Calculator'!S36</f>
        <v>14133245.688905831</v>
      </c>
      <c r="T23" s="181">
        <f>'Indexed REC Activities'!V23*'Indexed REC Calculator'!T36</f>
        <v>12017113.357121469</v>
      </c>
      <c r="U23" s="181">
        <f>'Indexed REC Activities'!W23*'Indexed REC Calculator'!U36</f>
        <v>10062150.312190194</v>
      </c>
      <c r="V23" s="181">
        <f>'Indexed REC Activities'!X23*'Indexed REC Calculator'!V36</f>
        <v>8004234.4176957449</v>
      </c>
      <c r="W23" s="181">
        <f>'Indexed REC Activities'!Y23*'Indexed REC Calculator'!W36</f>
        <v>5966646.1283884337</v>
      </c>
      <c r="X23" s="181">
        <f>'Indexed REC Activities'!Z23*'Indexed REC Calculator'!X36</f>
        <v>-12949453.419231681</v>
      </c>
    </row>
    <row r="24" spans="1:24" ht="15.75" x14ac:dyDescent="0.25">
      <c r="A24" s="12" t="s">
        <v>91</v>
      </c>
      <c r="B24" s="11">
        <f t="shared" ref="B24:B43" si="2">B23+1</f>
        <v>2023</v>
      </c>
      <c r="C24" s="181">
        <f>'Indexed REC Activities'!E24*'Indexed REC Calculator'!C37</f>
        <v>0</v>
      </c>
      <c r="D24" s="181">
        <f>'Indexed REC Activities'!F24*'Indexed REC Calculator'!D37</f>
        <v>0</v>
      </c>
      <c r="E24" s="181">
        <f>'Indexed REC Activities'!G24*'Indexed REC Calculator'!E37</f>
        <v>0</v>
      </c>
      <c r="F24" s="181">
        <f>'Indexed REC Activities'!H24*'Indexed REC Calculator'!F37</f>
        <v>0</v>
      </c>
      <c r="G24" s="181">
        <f>'Indexed REC Activities'!I24*'Indexed REC Calculator'!G37</f>
        <v>70434040.319999993</v>
      </c>
      <c r="H24" s="181">
        <f>'Indexed REC Activities'!J24*'Indexed REC Calculator'!H37</f>
        <v>68917198.579199985</v>
      </c>
      <c r="I24" s="181">
        <f>'Indexed REC Activities'!K24*'Indexed REC Calculator'!I37</f>
        <v>64160075.279808</v>
      </c>
      <c r="J24" s="181">
        <f>'Indexed REC Activities'!L24*'Indexed REC Calculator'!J37</f>
        <v>61599689.364942722</v>
      </c>
      <c r="K24" s="181">
        <f>'Indexed REC Activities'!M24*'Indexed REC Calculator'!K37</f>
        <v>57849824.905437514</v>
      </c>
      <c r="L24" s="181">
        <f>'Indexed REC Activities'!N24*'Indexed REC Calculator'!L37</f>
        <v>54377401.300272636</v>
      </c>
      <c r="M24" s="181">
        <f>'Indexed REC Activities'!O24*'Indexed REC Calculator'!M37</f>
        <v>54848181.829495221</v>
      </c>
      <c r="N24" s="181">
        <f>'Indexed REC Activities'!P24*'Indexed REC Calculator'!N37</f>
        <v>52813491.213239744</v>
      </c>
      <c r="O24" s="181">
        <f>'Indexed REC Activities'!Q24*'Indexed REC Calculator'!O37</f>
        <v>50213893.81241028</v>
      </c>
      <c r="P24" s="181">
        <f>'Indexed REC Activities'!R24*'Indexed REC Calculator'!P37</f>
        <v>47122560.427188903</v>
      </c>
      <c r="Q24" s="181">
        <f>'Indexed REC Activities'!S24*'Indexed REC Calculator'!Q37</f>
        <v>44018065.898223236</v>
      </c>
      <c r="R24" s="181">
        <f>'Indexed REC Activities'!T24*'Indexed REC Calculator'!R37</f>
        <v>41710328.873335354</v>
      </c>
      <c r="S24" s="181">
        <f>'Indexed REC Activities'!U24*'Indexed REC Calculator'!S37</f>
        <v>38831080.635071822</v>
      </c>
      <c r="T24" s="181">
        <f>'Indexed REC Activities'!V24*'Indexed REC Calculator'!T37</f>
        <v>36190482.367868073</v>
      </c>
      <c r="U24" s="181">
        <f>'Indexed REC Activities'!W24*'Indexed REC Calculator'!U37</f>
        <v>33743195.902852103</v>
      </c>
      <c r="V24" s="181">
        <f>'Indexed REC Activities'!X24*'Indexed REC Calculator'!V37</f>
        <v>31173319.978571765</v>
      </c>
      <c r="W24" s="181">
        <f>'Indexed REC Activities'!Y24*'Indexed REC Calculator'!W37</f>
        <v>28628299.233636666</v>
      </c>
      <c r="X24" s="181">
        <f>'Indexed REC Activities'!Z24*'Indexed REC Calculator'!X37</f>
        <v>-15410511.678724781</v>
      </c>
    </row>
    <row r="25" spans="1:24" ht="15.75" x14ac:dyDescent="0.25">
      <c r="A25" s="12" t="s">
        <v>91</v>
      </c>
      <c r="B25" s="11">
        <f t="shared" si="2"/>
        <v>2024</v>
      </c>
      <c r="C25" s="181">
        <f>'Indexed REC Activities'!E25*'Indexed REC Calculator'!C38</f>
        <v>0</v>
      </c>
      <c r="D25" s="181">
        <f>'Indexed REC Activities'!F25*'Indexed REC Calculator'!D38</f>
        <v>0</v>
      </c>
      <c r="E25" s="181">
        <f>'Indexed REC Activities'!G25*'Indexed REC Calculator'!E38</f>
        <v>0</v>
      </c>
      <c r="F25" s="181">
        <f>'Indexed REC Activities'!H25*'Indexed REC Calculator'!F38</f>
        <v>0</v>
      </c>
      <c r="G25" s="181">
        <f>'Indexed REC Activities'!I25*'Indexed REC Calculator'!G38</f>
        <v>0</v>
      </c>
      <c r="H25" s="181">
        <f>'Indexed REC Activities'!J25*'Indexed REC Calculator'!H38</f>
        <v>17529123.074999999</v>
      </c>
      <c r="I25" s="181">
        <f>'Indexed REC Activities'!K25*'Indexed REC Calculator'!I38</f>
        <v>15750700.207725001</v>
      </c>
      <c r="J25" s="181">
        <f>'Indexed REC Activities'!L25*'Indexed REC Calculator'!J38</f>
        <v>14813791.858556628</v>
      </c>
      <c r="K25" s="181">
        <f>'Indexed REC Activities'!M25*'Indexed REC Calculator'!K38</f>
        <v>13420883.339593548</v>
      </c>
      <c r="L25" s="181">
        <f>'Indexed REC Activities'!N25*'Indexed REC Calculator'!L38</f>
        <v>12134063.682694091</v>
      </c>
      <c r="M25" s="181">
        <f>'Indexed REC Activities'!O25*'Indexed REC Calculator'!M38</f>
        <v>12357965.547563493</v>
      </c>
      <c r="N25" s="181">
        <f>'Indexed REC Activities'!P25*'Indexed REC Calculator'!N38</f>
        <v>11621614.098893821</v>
      </c>
      <c r="O25" s="181">
        <f>'Indexed REC Activities'!Q25*'Indexed REC Calculator'!O38</f>
        <v>10668587.61129643</v>
      </c>
      <c r="P25" s="181">
        <f>'Indexed REC Activities'!R25*'Indexed REC Calculator'!P38</f>
        <v>9526924.4426631145</v>
      </c>
      <c r="Q25" s="181">
        <f>'Indexed REC Activities'!S25*'Indexed REC Calculator'!Q38</f>
        <v>8380003.9390648836</v>
      </c>
      <c r="R25" s="181">
        <f>'Indexed REC Activities'!T25*'Indexed REC Calculator'!R38</f>
        <v>7538168.3500125157</v>
      </c>
      <c r="S25" s="181">
        <f>'Indexed REC Activities'!U25*'Indexed REC Calculator'!S38</f>
        <v>6477131.3620349839</v>
      </c>
      <c r="T25" s="181">
        <f>'Indexed REC Activities'!V25*'Indexed REC Calculator'!T38</f>
        <v>5507328.1481011976</v>
      </c>
      <c r="U25" s="181">
        <f>'Indexed REC Activities'!W25*'Indexed REC Calculator'!U38</f>
        <v>4611387.277287391</v>
      </c>
      <c r="V25" s="181">
        <f>'Indexed REC Activities'!X25*'Indexed REC Calculator'!V38</f>
        <v>3668264.0999182006</v>
      </c>
      <c r="W25" s="181">
        <f>'Indexed REC Activities'!Y25*'Indexed REC Calculator'!W38</f>
        <v>2734456.8696407699</v>
      </c>
      <c r="X25" s="181">
        <f>'Indexed REC Activities'!Z25*'Indexed REC Calculator'!X38</f>
        <v>-5904934.2309624627</v>
      </c>
    </row>
    <row r="26" spans="1:24" ht="15.75" x14ac:dyDescent="0.25">
      <c r="A26" s="12" t="s">
        <v>91</v>
      </c>
      <c r="B26" s="11">
        <f t="shared" si="2"/>
        <v>2025</v>
      </c>
      <c r="C26" s="181">
        <f>'Indexed REC Activities'!E26*'Indexed REC Calculator'!C39</f>
        <v>0</v>
      </c>
      <c r="D26" s="181">
        <f>'Indexed REC Activities'!F26*'Indexed REC Calculator'!D39</f>
        <v>0</v>
      </c>
      <c r="E26" s="181">
        <f>'Indexed REC Activities'!G26*'Indexed REC Calculator'!E39</f>
        <v>0</v>
      </c>
      <c r="F26" s="181">
        <f>'Indexed REC Activities'!H26*'Indexed REC Calculator'!F39</f>
        <v>0</v>
      </c>
      <c r="G26" s="181">
        <f>'Indexed REC Activities'!I26*'Indexed REC Calculator'!G39</f>
        <v>0</v>
      </c>
      <c r="H26" s="181">
        <f>'Indexed REC Activities'!J26*'Indexed REC Calculator'!H39</f>
        <v>0</v>
      </c>
      <c r="I26" s="181">
        <f>'Indexed REC Activities'!K26*'Indexed REC Calculator'!I39</f>
        <v>27667500</v>
      </c>
      <c r="J26" s="181">
        <f>'Indexed REC Activities'!L26*'Indexed REC Calculator'!J39</f>
        <v>26021737.500000004</v>
      </c>
      <c r="K26" s="181">
        <f>'Indexed REC Activities'!M26*'Indexed REC Calculator'!K39</f>
        <v>23574970.3125</v>
      </c>
      <c r="L26" s="181">
        <f>'Indexed REC Activities'!N26*'Indexed REC Calculator'!L39</f>
        <v>21314557.607812494</v>
      </c>
      <c r="M26" s="181">
        <f>'Indexed REC Activities'!O26*'Indexed REC Calculator'!M39</f>
        <v>21707861.065092187</v>
      </c>
      <c r="N26" s="181">
        <f>'Indexed REC Activities'!P26*'Indexed REC Calculator'!N39</f>
        <v>20414394.524723649</v>
      </c>
      <c r="O26" s="181">
        <f>'Indexed REC Activities'!Q26*'Indexed REC Calculator'!O39</f>
        <v>18740319.086942881</v>
      </c>
      <c r="P26" s="181">
        <f>'Indexed REC Activities'!R26*'Indexed REC Calculator'!P39</f>
        <v>16734886.610825388</v>
      </c>
      <c r="Q26" s="181">
        <f>'Indexed REC Activities'!S26*'Indexed REC Calculator'!Q39</f>
        <v>14720219.160184639</v>
      </c>
      <c r="R26" s="181">
        <f>'Indexed REC Activities'!T26*'Indexed REC Calculator'!R39</f>
        <v>13241460.384198096</v>
      </c>
      <c r="S26" s="181">
        <f>'Indexed REC Activities'!U26*'Indexed REC Calculator'!S39</f>
        <v>11377654.935696799</v>
      </c>
      <c r="T26" s="181">
        <f>'Indexed REC Activities'!V26*'Indexed REC Calculator'!T39</f>
        <v>9674109.6921429187</v>
      </c>
      <c r="U26" s="181">
        <f>'Indexed REC Activities'!W26*'Indexed REC Calculator'!U39</f>
        <v>8100310.1964809187</v>
      </c>
      <c r="V26" s="181">
        <f>'Indexed REC Activities'!X26*'Indexed REC Calculator'!V39</f>
        <v>6443630.8002808541</v>
      </c>
      <c r="W26" s="181">
        <f>'Indexed REC Activities'!Y26*'Indexed REC Calculator'!W39</f>
        <v>4803315.6902878778</v>
      </c>
      <c r="X26" s="181">
        <f>'Indexed REC Activities'!Z26*'Indexed REC Calculator'!X39</f>
        <v>-10372539.993810952</v>
      </c>
    </row>
    <row r="27" spans="1:24" ht="15.75" x14ac:dyDescent="0.25">
      <c r="A27" s="12" t="s">
        <v>91</v>
      </c>
      <c r="B27" s="11">
        <f t="shared" si="2"/>
        <v>2026</v>
      </c>
      <c r="C27" s="181">
        <f>'Indexed REC Activities'!E27*'Indexed REC Calculator'!C40</f>
        <v>0</v>
      </c>
      <c r="D27" s="181">
        <f>'Indexed REC Activities'!F27*'Indexed REC Calculator'!D40</f>
        <v>0</v>
      </c>
      <c r="E27" s="181">
        <f>'Indexed REC Activities'!G27*'Indexed REC Calculator'!E40</f>
        <v>0</v>
      </c>
      <c r="F27" s="181">
        <f>'Indexed REC Activities'!H27*'Indexed REC Calculator'!F40</f>
        <v>0</v>
      </c>
      <c r="G27" s="181">
        <f>'Indexed REC Activities'!I27*'Indexed REC Calculator'!G40</f>
        <v>0</v>
      </c>
      <c r="H27" s="181">
        <f>'Indexed REC Activities'!J27*'Indexed REC Calculator'!H40</f>
        <v>0</v>
      </c>
      <c r="I27" s="181">
        <f>'Indexed REC Activities'!K27*'Indexed REC Calculator'!I40</f>
        <v>0</v>
      </c>
      <c r="J27" s="181">
        <f>'Indexed REC Activities'!L27*'Indexed REC Calculator'!J40</f>
        <v>26152500.000000004</v>
      </c>
      <c r="K27" s="181">
        <f>'Indexed REC Activities'!M27*'Indexed REC Calculator'!K40</f>
        <v>23693437.5</v>
      </c>
      <c r="L27" s="181">
        <f>'Indexed REC Activities'!N27*'Indexed REC Calculator'!L40</f>
        <v>21421665.937499996</v>
      </c>
      <c r="M27" s="181">
        <f>'Indexed REC Activities'!O27*'Indexed REC Calculator'!M40</f>
        <v>21816945.794062503</v>
      </c>
      <c r="N27" s="181">
        <f>'Indexed REC Activities'!P27*'Indexed REC Calculator'!N40</f>
        <v>20516979.421832811</v>
      </c>
      <c r="O27" s="181">
        <f>'Indexed REC Activities'!Q27*'Indexed REC Calculator'!O40</f>
        <v>18834491.544666212</v>
      </c>
      <c r="P27" s="181">
        <f>'Indexed REC Activities'!R27*'Indexed REC Calculator'!P40</f>
        <v>16818981.518417474</v>
      </c>
      <c r="Q27" s="181">
        <f>'Indexed REC Activities'!S27*'Indexed REC Calculator'!Q40</f>
        <v>14794190.11073833</v>
      </c>
      <c r="R27" s="181">
        <f>'Indexed REC Activities'!T27*'Indexed REC Calculator'!R40</f>
        <v>13308000.38612874</v>
      </c>
      <c r="S27" s="181">
        <f>'Indexed REC Activities'!U27*'Indexed REC Calculator'!S40</f>
        <v>11434829.081102312</v>
      </c>
      <c r="T27" s="181">
        <f>'Indexed REC Activities'!V27*'Indexed REC Calculator'!T40</f>
        <v>9722723.3086863514</v>
      </c>
      <c r="U27" s="181">
        <f>'Indexed REC Activities'!W27*'Indexed REC Calculator'!U40</f>
        <v>8141015.2728451435</v>
      </c>
      <c r="V27" s="181">
        <f>'Indexed REC Activities'!X27*'Indexed REC Calculator'!V40</f>
        <v>6476010.8545536222</v>
      </c>
      <c r="W27" s="181">
        <f>'Indexed REC Activities'!Y27*'Indexed REC Calculator'!W40</f>
        <v>4827452.955063194</v>
      </c>
      <c r="X27" s="181">
        <f>'Indexed REC Activities'!Z27*'Indexed REC Calculator'!X40</f>
        <v>-10424663.310362764</v>
      </c>
    </row>
    <row r="28" spans="1:24" ht="15.75" x14ac:dyDescent="0.25">
      <c r="A28" s="12" t="s">
        <v>91</v>
      </c>
      <c r="B28" s="11">
        <f t="shared" si="2"/>
        <v>2027</v>
      </c>
      <c r="C28" s="181">
        <f>'Indexed REC Activities'!E28*'Indexed REC Calculator'!C41</f>
        <v>0</v>
      </c>
      <c r="D28" s="181">
        <f>'Indexed REC Activities'!F28*'Indexed REC Calculator'!D41</f>
        <v>0</v>
      </c>
      <c r="E28" s="181">
        <f>'Indexed REC Activities'!G28*'Indexed REC Calculator'!E41</f>
        <v>0</v>
      </c>
      <c r="F28" s="181">
        <f>'Indexed REC Activities'!H28*'Indexed REC Calculator'!F41</f>
        <v>0</v>
      </c>
      <c r="G28" s="181">
        <f>'Indexed REC Activities'!I28*'Indexed REC Calculator'!G41</f>
        <v>0</v>
      </c>
      <c r="H28" s="181">
        <f>'Indexed REC Activities'!J28*'Indexed REC Calculator'!H41</f>
        <v>0</v>
      </c>
      <c r="I28" s="181">
        <f>'Indexed REC Activities'!K28*'Indexed REC Calculator'!I41</f>
        <v>0</v>
      </c>
      <c r="J28" s="181">
        <f>'Indexed REC Activities'!L28*'Indexed REC Calculator'!J41</f>
        <v>0</v>
      </c>
      <c r="K28" s="181">
        <f>'Indexed REC Activities'!M28*'Indexed REC Calculator'!K41</f>
        <v>23812500</v>
      </c>
      <c r="L28" s="181">
        <f>'Indexed REC Activities'!N28*'Indexed REC Calculator'!L41</f>
        <v>21529312.499999996</v>
      </c>
      <c r="M28" s="181">
        <f>'Indexed REC Activities'!O28*'Indexed REC Calculator'!M41</f>
        <v>21926578.6875</v>
      </c>
      <c r="N28" s="181">
        <f>'Indexed REC Activities'!P28*'Indexed REC Calculator'!N41</f>
        <v>20620079.820937496</v>
      </c>
      <c r="O28" s="181">
        <f>'Indexed REC Activities'!Q28*'Indexed REC Calculator'!O41</f>
        <v>18929137.230820313</v>
      </c>
      <c r="P28" s="181">
        <f>'Indexed REC Activities'!R28*'Indexed REC Calculator'!P41</f>
        <v>16903499.013484899</v>
      </c>
      <c r="Q28" s="181">
        <f>'Indexed REC Activities'!S28*'Indexed REC Calculator'!Q41</f>
        <v>14868532.774611387</v>
      </c>
      <c r="R28" s="181">
        <f>'Indexed REC Activities'!T28*'Indexed REC Calculator'!R41</f>
        <v>13374874.759928381</v>
      </c>
      <c r="S28" s="181">
        <f>'Indexed REC Activities'!U28*'Indexed REC Calculator'!S41</f>
        <v>11492290.533771167</v>
      </c>
      <c r="T28" s="181">
        <f>'Indexed REC Activities'!V28*'Indexed REC Calculator'!T41</f>
        <v>9771581.2147601508</v>
      </c>
      <c r="U28" s="181">
        <f>'Indexed REC Activities'!W28*'Indexed REC Calculator'!U41</f>
        <v>8181924.8973318031</v>
      </c>
      <c r="V28" s="181">
        <f>'Indexed REC Activities'!X28*'Indexed REC Calculator'!V41</f>
        <v>6508553.6226669559</v>
      </c>
      <c r="W28" s="181">
        <f>'Indexed REC Activities'!Y28*'Indexed REC Calculator'!W41</f>
        <v>4851711.5126263248</v>
      </c>
      <c r="X28" s="181">
        <f>'Indexed REC Activities'!Z28*'Indexed REC Calculator'!X41</f>
        <v>-10477048.553128406</v>
      </c>
    </row>
    <row r="29" spans="1:24" ht="15.75" x14ac:dyDescent="0.25">
      <c r="A29" s="12" t="s">
        <v>91</v>
      </c>
      <c r="B29" s="11">
        <f t="shared" si="2"/>
        <v>2028</v>
      </c>
      <c r="C29" s="181">
        <f>'Indexed REC Activities'!E29*'Indexed REC Calculator'!C42</f>
        <v>0</v>
      </c>
      <c r="D29" s="181">
        <f>'Indexed REC Activities'!F29*'Indexed REC Calculator'!D42</f>
        <v>0</v>
      </c>
      <c r="E29" s="181">
        <f>'Indexed REC Activities'!G29*'Indexed REC Calculator'!E42</f>
        <v>0</v>
      </c>
      <c r="F29" s="181">
        <f>'Indexed REC Activities'!H29*'Indexed REC Calculator'!F42</f>
        <v>0</v>
      </c>
      <c r="G29" s="181">
        <f>'Indexed REC Activities'!I29*'Indexed REC Calculator'!G42</f>
        <v>0</v>
      </c>
      <c r="H29" s="181">
        <f>'Indexed REC Activities'!J29*'Indexed REC Calculator'!H42</f>
        <v>0</v>
      </c>
      <c r="I29" s="181">
        <f>'Indexed REC Activities'!K29*'Indexed REC Calculator'!I42</f>
        <v>0</v>
      </c>
      <c r="J29" s="181">
        <f>'Indexed REC Activities'!L29*'Indexed REC Calculator'!J42</f>
        <v>0</v>
      </c>
      <c r="K29" s="181">
        <f>'Indexed REC Activities'!M29*'Indexed REC Calculator'!K42</f>
        <v>0</v>
      </c>
      <c r="L29" s="181">
        <f>'Indexed REC Activities'!N29*'Indexed REC Calculator'!L42</f>
        <v>14424999.999999996</v>
      </c>
      <c r="M29" s="181">
        <f>'Indexed REC Activities'!O29*'Indexed REC Calculator'!M42</f>
        <v>14691175</v>
      </c>
      <c r="N29" s="181">
        <f>'Indexed REC Activities'!P29*'Indexed REC Calculator'!N42</f>
        <v>13815798.874999998</v>
      </c>
      <c r="O29" s="181">
        <f>'Indexed REC Activities'!Q29*'Indexed REC Calculator'!O42</f>
        <v>12682839.015625</v>
      </c>
      <c r="P29" s="181">
        <f>'Indexed REC Activities'!R29*'Indexed REC Calculator'!P42</f>
        <v>11325627.479721874</v>
      </c>
      <c r="Q29" s="181">
        <f>'Indexed REC Activities'!S29*'Indexed REC Calculator'!Q42</f>
        <v>9962166.0131399557</v>
      </c>
      <c r="R29" s="181">
        <f>'Indexed REC Activities'!T29*'Indexed REC Calculator'!R42</f>
        <v>8961390.123905113</v>
      </c>
      <c r="S29" s="181">
        <f>'Indexed REC Activities'!U29*'Indexed REC Calculator'!S42</f>
        <v>7700027.1583056394</v>
      </c>
      <c r="T29" s="181">
        <f>'Indexed REC Activities'!V29*'Indexed REC Calculator'!T42</f>
        <v>6547123.0919666002</v>
      </c>
      <c r="U29" s="181">
        <f>'Indexed REC Activities'!W29*'Indexed REC Calculator'!U42</f>
        <v>5482026.7318806043</v>
      </c>
      <c r="V29" s="181">
        <f>'Indexed REC Activities'!X29*'Indexed REC Calculator'!V42</f>
        <v>4360839.948185565</v>
      </c>
      <c r="W29" s="181">
        <f>'Indexed REC Activities'!Y29*'Indexed REC Calculator'!W42</f>
        <v>3250727.9816591791</v>
      </c>
      <c r="X29" s="181">
        <f>'Indexed REC Activities'!Z29*'Indexed REC Calculator'!X42</f>
        <v>-7019798.02554667</v>
      </c>
    </row>
    <row r="30" spans="1:24" ht="15.75" x14ac:dyDescent="0.25">
      <c r="A30" s="12" t="s">
        <v>91</v>
      </c>
      <c r="B30" s="11">
        <f t="shared" si="2"/>
        <v>2029</v>
      </c>
      <c r="C30" s="181">
        <f>'Indexed REC Activities'!E30*'Indexed REC Calculator'!C43</f>
        <v>0</v>
      </c>
      <c r="D30" s="181">
        <f>'Indexed REC Activities'!F30*'Indexed REC Calculator'!D43</f>
        <v>0</v>
      </c>
      <c r="E30" s="181">
        <f>'Indexed REC Activities'!G30*'Indexed REC Calculator'!E43</f>
        <v>0</v>
      </c>
      <c r="F30" s="181">
        <f>'Indexed REC Activities'!H30*'Indexed REC Calculator'!F43</f>
        <v>0</v>
      </c>
      <c r="G30" s="181">
        <f>'Indexed REC Activities'!I30*'Indexed REC Calculator'!G43</f>
        <v>0</v>
      </c>
      <c r="H30" s="181">
        <f>'Indexed REC Activities'!J30*'Indexed REC Calculator'!H43</f>
        <v>0</v>
      </c>
      <c r="I30" s="181">
        <f>'Indexed REC Activities'!K30*'Indexed REC Calculator'!I43</f>
        <v>0</v>
      </c>
      <c r="J30" s="181">
        <f>'Indexed REC Activities'!L30*'Indexed REC Calculator'!J43</f>
        <v>0</v>
      </c>
      <c r="K30" s="181">
        <f>'Indexed REC Activities'!M30*'Indexed REC Calculator'!K43</f>
        <v>0</v>
      </c>
      <c r="L30" s="181">
        <f>'Indexed REC Activities'!N30*'Indexed REC Calculator'!L43</f>
        <v>0</v>
      </c>
      <c r="M30" s="181">
        <f>'Indexed REC Activities'!O30*'Indexed REC Calculator'!M43</f>
        <v>14765000</v>
      </c>
      <c r="N30" s="181">
        <f>'Indexed REC Activities'!P30*'Indexed REC Calculator'!N43</f>
        <v>13885224.999999998</v>
      </c>
      <c r="O30" s="181">
        <f>'Indexed REC Activities'!Q30*'Indexed REC Calculator'!O43</f>
        <v>12746571.875</v>
      </c>
      <c r="P30" s="181">
        <f>'Indexed REC Activities'!R30*'Indexed REC Calculator'!P43</f>
        <v>11382540.180624999</v>
      </c>
      <c r="Q30" s="181">
        <f>'Indexed REC Activities'!S30*'Indexed REC Calculator'!Q43</f>
        <v>10012227.148884378</v>
      </c>
      <c r="R30" s="181">
        <f>'Indexed REC Activities'!T30*'Indexed REC Calculator'!R43</f>
        <v>9006422.2350805141</v>
      </c>
      <c r="S30" s="181">
        <f>'Indexed REC Activities'!U30*'Indexed REC Calculator'!S43</f>
        <v>7738720.7621162198</v>
      </c>
      <c r="T30" s="181">
        <f>'Indexed REC Activities'!V30*'Indexed REC Calculator'!T43</f>
        <v>6580023.2080066334</v>
      </c>
      <c r="U30" s="181">
        <f>'Indexed REC Activities'!W30*'Indexed REC Calculator'!U43</f>
        <v>5509574.6049051303</v>
      </c>
      <c r="V30" s="181">
        <f>'Indexed REC Activities'!X30*'Indexed REC Calculator'!V43</f>
        <v>4382753.7167694122</v>
      </c>
      <c r="W30" s="181">
        <f>'Indexed REC Activities'!Y30*'Indexed REC Calculator'!W43</f>
        <v>3267063.2981499285</v>
      </c>
      <c r="X30" s="181">
        <f>'Indexed REC Activities'!Z30*'Indexed REC Calculator'!X43</f>
        <v>-7055073.3925092164</v>
      </c>
    </row>
    <row r="31" spans="1:24" ht="15.75" x14ac:dyDescent="0.25">
      <c r="A31" s="12" t="s">
        <v>91</v>
      </c>
      <c r="B31" s="11">
        <f t="shared" si="2"/>
        <v>2030</v>
      </c>
      <c r="C31" s="181">
        <f>'Indexed REC Activities'!E31*'Indexed REC Calculator'!C44</f>
        <v>0</v>
      </c>
      <c r="D31" s="181">
        <f>'Indexed REC Activities'!F31*'Indexed REC Calculator'!D44</f>
        <v>0</v>
      </c>
      <c r="E31" s="181">
        <f>'Indexed REC Activities'!G31*'Indexed REC Calculator'!E44</f>
        <v>0</v>
      </c>
      <c r="F31" s="181">
        <f>'Indexed REC Activities'!H31*'Indexed REC Calculator'!F44</f>
        <v>0</v>
      </c>
      <c r="G31" s="181">
        <f>'Indexed REC Activities'!I31*'Indexed REC Calculator'!G44</f>
        <v>0</v>
      </c>
      <c r="H31" s="181">
        <f>'Indexed REC Activities'!J31*'Indexed REC Calculator'!H44</f>
        <v>0</v>
      </c>
      <c r="I31" s="181">
        <f>'Indexed REC Activities'!K31*'Indexed REC Calculator'!I44</f>
        <v>0</v>
      </c>
      <c r="J31" s="181">
        <f>'Indexed REC Activities'!L31*'Indexed REC Calculator'!J44</f>
        <v>0</v>
      </c>
      <c r="K31" s="181">
        <f>'Indexed REC Activities'!M31*'Indexed REC Calculator'!K44</f>
        <v>0</v>
      </c>
      <c r="L31" s="181">
        <f>'Indexed REC Activities'!N31*'Indexed REC Calculator'!L44</f>
        <v>0</v>
      </c>
      <c r="M31" s="181">
        <f>'Indexed REC Activities'!O31*'Indexed REC Calculator'!M44</f>
        <v>0</v>
      </c>
      <c r="N31" s="181">
        <f>'Indexed REC Activities'!P31*'Indexed REC Calculator'!N44</f>
        <v>10466249.999999998</v>
      </c>
      <c r="O31" s="181">
        <f>'Indexed REC Activities'!Q31*'Indexed REC Calculator'!O44</f>
        <v>9607968.75</v>
      </c>
      <c r="P31" s="181">
        <f>'Indexed REC Activities'!R31*'Indexed REC Calculator'!P44</f>
        <v>8579804.15625</v>
      </c>
      <c r="Q31" s="181">
        <f>'Indexed REC Activities'!S31*'Indexed REC Calculator'!Q44</f>
        <v>7546904.8860937525</v>
      </c>
      <c r="R31" s="181">
        <f>'Indexed REC Activities'!T31*'Indexed REC Calculator'!R44</f>
        <v>6788760.4787039058</v>
      </c>
      <c r="S31" s="181">
        <f>'Indexed REC Activities'!U31*'Indexed REC Calculator'!S44</f>
        <v>5833206.6046102159</v>
      </c>
      <c r="T31" s="181">
        <f>'Indexed REC Activities'!V31*'Indexed REC Calculator'!T44</f>
        <v>4959816.4884472117</v>
      </c>
      <c r="U31" s="181">
        <f>'Indexed REC Activities'!W31*'Indexed REC Calculator'!U44</f>
        <v>4152945.6820892943</v>
      </c>
      <c r="V31" s="181">
        <f>'Indexed REC Activities'!X31*'Indexed REC Calculator'!V44</f>
        <v>3303583.2035950343</v>
      </c>
      <c r="W31" s="181">
        <f>'Indexed REC Activities'!Y31*'Indexed REC Calculator'!W44</f>
        <v>2462610.5262436653</v>
      </c>
      <c r="X31" s="181">
        <f>'Indexed REC Activities'!Z31*'Indexed REC Calculator'!X44</f>
        <v>-5317894.5169667462</v>
      </c>
    </row>
    <row r="32" spans="1:24" ht="15.75" x14ac:dyDescent="0.25">
      <c r="A32" s="12" t="s">
        <v>91</v>
      </c>
      <c r="B32" s="11">
        <f t="shared" si="2"/>
        <v>2031</v>
      </c>
      <c r="C32" s="181">
        <f>'Indexed REC Activities'!E32*'Indexed REC Calculator'!C45</f>
        <v>0</v>
      </c>
      <c r="D32" s="181">
        <f>'Indexed REC Activities'!F32*'Indexed REC Calculator'!D45</f>
        <v>0</v>
      </c>
      <c r="E32" s="181">
        <f>'Indexed REC Activities'!G32*'Indexed REC Calculator'!E45</f>
        <v>0</v>
      </c>
      <c r="F32" s="181">
        <f>'Indexed REC Activities'!H32*'Indexed REC Calculator'!F45</f>
        <v>0</v>
      </c>
      <c r="G32" s="181">
        <f>'Indexed REC Activities'!I32*'Indexed REC Calculator'!G45</f>
        <v>0</v>
      </c>
      <c r="H32" s="181">
        <f>'Indexed REC Activities'!J32*'Indexed REC Calculator'!H45</f>
        <v>0</v>
      </c>
      <c r="I32" s="181">
        <f>'Indexed REC Activities'!K32*'Indexed REC Calculator'!I45</f>
        <v>0</v>
      </c>
      <c r="J32" s="181">
        <f>'Indexed REC Activities'!L32*'Indexed REC Calculator'!J45</f>
        <v>0</v>
      </c>
      <c r="K32" s="181">
        <f>'Indexed REC Activities'!M32*'Indexed REC Calculator'!K45</f>
        <v>0</v>
      </c>
      <c r="L32" s="181">
        <f>'Indexed REC Activities'!N32*'Indexed REC Calculator'!L45</f>
        <v>0</v>
      </c>
      <c r="M32" s="181">
        <f>'Indexed REC Activities'!O32*'Indexed REC Calculator'!M45</f>
        <v>0</v>
      </c>
      <c r="N32" s="181">
        <f>'Indexed REC Activities'!P32*'Indexed REC Calculator'!N45</f>
        <v>0</v>
      </c>
      <c r="O32" s="181">
        <f>'Indexed REC Activities'!Q32*'Indexed REC Calculator'!O45</f>
        <v>9656250</v>
      </c>
      <c r="P32" s="181">
        <f>'Indexed REC Activities'!R32*'Indexed REC Calculator'!P45</f>
        <v>8622918.75</v>
      </c>
      <c r="Q32" s="181">
        <f>'Indexed REC Activities'!S32*'Indexed REC Calculator'!Q45</f>
        <v>7584829.0312500028</v>
      </c>
      <c r="R32" s="181">
        <f>'Indexed REC Activities'!T32*'Indexed REC Calculator'!R45</f>
        <v>6822874.8529687496</v>
      </c>
      <c r="S32" s="181">
        <f>'Indexed REC Activities'!U32*'Indexed REC Calculator'!S45</f>
        <v>5862519.2006132826</v>
      </c>
      <c r="T32" s="181">
        <f>'Indexed REC Activities'!V32*'Indexed REC Calculator'!T45</f>
        <v>4984740.1893941825</v>
      </c>
      <c r="U32" s="181">
        <f>'Indexed REC Activities'!W32*'Indexed REC Calculator'!U45</f>
        <v>4173814.7558686375</v>
      </c>
      <c r="V32" s="181">
        <f>'Indexed REC Activities'!X32*'Indexed REC Calculator'!V45</f>
        <v>3320184.1242161151</v>
      </c>
      <c r="W32" s="181">
        <f>'Indexed REC Activities'!Y32*'Indexed REC Calculator'!W45</f>
        <v>2474985.4535112213</v>
      </c>
      <c r="X32" s="181">
        <f>'Indexed REC Activities'!Z32*'Indexed REC Calculator'!X45</f>
        <v>-5344617.6049917052</v>
      </c>
    </row>
    <row r="33" spans="1:24" ht="15.75" x14ac:dyDescent="0.25">
      <c r="A33" s="12" t="s">
        <v>91</v>
      </c>
      <c r="B33" s="11">
        <f t="shared" si="2"/>
        <v>2032</v>
      </c>
      <c r="C33" s="181">
        <f>'Indexed REC Activities'!E33*'Indexed REC Calculator'!C46</f>
        <v>0</v>
      </c>
      <c r="D33" s="181">
        <f>'Indexed REC Activities'!F33*'Indexed REC Calculator'!D46</f>
        <v>0</v>
      </c>
      <c r="E33" s="181">
        <f>'Indexed REC Activities'!G33*'Indexed REC Calculator'!E46</f>
        <v>0</v>
      </c>
      <c r="F33" s="181">
        <f>'Indexed REC Activities'!H33*'Indexed REC Calculator'!F46</f>
        <v>0</v>
      </c>
      <c r="G33" s="181">
        <f>'Indexed REC Activities'!I33*'Indexed REC Calculator'!G46</f>
        <v>0</v>
      </c>
      <c r="H33" s="181">
        <f>'Indexed REC Activities'!J33*'Indexed REC Calculator'!H46</f>
        <v>0</v>
      </c>
      <c r="I33" s="181">
        <f>'Indexed REC Activities'!K33*'Indexed REC Calculator'!I46</f>
        <v>0</v>
      </c>
      <c r="J33" s="181">
        <f>'Indexed REC Activities'!L33*'Indexed REC Calculator'!J46</f>
        <v>0</v>
      </c>
      <c r="K33" s="181">
        <f>'Indexed REC Activities'!M33*'Indexed REC Calculator'!K46</f>
        <v>0</v>
      </c>
      <c r="L33" s="181">
        <f>'Indexed REC Activities'!N33*'Indexed REC Calculator'!L46</f>
        <v>0</v>
      </c>
      <c r="M33" s="181">
        <f>'Indexed REC Activities'!O33*'Indexed REC Calculator'!M46</f>
        <v>0</v>
      </c>
      <c r="N33" s="181">
        <f>'Indexed REC Activities'!P33*'Indexed REC Calculator'!N46</f>
        <v>0</v>
      </c>
      <c r="O33" s="181">
        <f>'Indexed REC Activities'!Q33*'Indexed REC Calculator'!O46</f>
        <v>0</v>
      </c>
      <c r="P33" s="181">
        <f>'Indexed REC Activities'!R33*'Indexed REC Calculator'!P46</f>
        <v>8666250</v>
      </c>
      <c r="Q33" s="181">
        <f>'Indexed REC Activities'!S33*'Indexed REC Calculator'!Q46</f>
        <v>7622943.7500000028</v>
      </c>
      <c r="R33" s="181">
        <f>'Indexed REC Activities'!T33*'Indexed REC Calculator'!R46</f>
        <v>6857160.65625</v>
      </c>
      <c r="S33" s="181">
        <f>'Indexed REC Activities'!U33*'Indexed REC Calculator'!S46</f>
        <v>5891979.0960937515</v>
      </c>
      <c r="T33" s="181">
        <f>'Indexed REC Activities'!V33*'Indexed REC Calculator'!T46</f>
        <v>5009789.1350695295</v>
      </c>
      <c r="U33" s="181">
        <f>'Indexed REC Activities'!W33*'Indexed REC Calculator'!U46</f>
        <v>4194788.699365465</v>
      </c>
      <c r="V33" s="181">
        <f>'Indexed REC Activities'!X33*'Indexed REC Calculator'!V46</f>
        <v>3336868.4665488596</v>
      </c>
      <c r="W33" s="181">
        <f>'Indexed REC Activities'!Y33*'Indexed REC Calculator'!W46</f>
        <v>2487422.5663429359</v>
      </c>
      <c r="X33" s="181">
        <f>'Indexed REC Activities'!Z33*'Indexed REC Calculator'!X46</f>
        <v>-5371474.9798911605</v>
      </c>
    </row>
    <row r="34" spans="1:24" ht="15.75" x14ac:dyDescent="0.25">
      <c r="A34" s="12" t="s">
        <v>91</v>
      </c>
      <c r="B34" s="11">
        <f t="shared" si="2"/>
        <v>2033</v>
      </c>
      <c r="C34" s="181">
        <f>'Indexed REC Activities'!E34*'Indexed REC Calculator'!C47</f>
        <v>0</v>
      </c>
      <c r="D34" s="181">
        <f>'Indexed REC Activities'!F34*'Indexed REC Calculator'!D47</f>
        <v>0</v>
      </c>
      <c r="E34" s="181">
        <f>'Indexed REC Activities'!G34*'Indexed REC Calculator'!E47</f>
        <v>0</v>
      </c>
      <c r="F34" s="181">
        <f>'Indexed REC Activities'!H34*'Indexed REC Calculator'!F47</f>
        <v>0</v>
      </c>
      <c r="G34" s="181">
        <f>'Indexed REC Activities'!I34*'Indexed REC Calculator'!G47</f>
        <v>0</v>
      </c>
      <c r="H34" s="181">
        <f>'Indexed REC Activities'!J34*'Indexed REC Calculator'!H47</f>
        <v>0</v>
      </c>
      <c r="I34" s="181">
        <f>'Indexed REC Activities'!K34*'Indexed REC Calculator'!I47</f>
        <v>0</v>
      </c>
      <c r="J34" s="181">
        <f>'Indexed REC Activities'!L34*'Indexed REC Calculator'!J47</f>
        <v>0</v>
      </c>
      <c r="K34" s="181">
        <f>'Indexed REC Activities'!M34*'Indexed REC Calculator'!K47</f>
        <v>0</v>
      </c>
      <c r="L34" s="181">
        <f>'Indexed REC Activities'!N34*'Indexed REC Calculator'!L47</f>
        <v>0</v>
      </c>
      <c r="M34" s="181">
        <f>'Indexed REC Activities'!O34*'Indexed REC Calculator'!M47</f>
        <v>0</v>
      </c>
      <c r="N34" s="181">
        <f>'Indexed REC Activities'!P34*'Indexed REC Calculator'!N47</f>
        <v>0</v>
      </c>
      <c r="O34" s="181">
        <f>'Indexed REC Activities'!Q34*'Indexed REC Calculator'!O47</f>
        <v>0</v>
      </c>
      <c r="P34" s="181">
        <f>'Indexed REC Activities'!R34*'Indexed REC Calculator'!P47</f>
        <v>0</v>
      </c>
      <c r="Q34" s="181">
        <f>'Indexed REC Activities'!S34*'Indexed REC Calculator'!Q47</f>
        <v>7661250.0000000028</v>
      </c>
      <c r="R34" s="181">
        <f>'Indexed REC Activities'!T34*'Indexed REC Calculator'!R47</f>
        <v>6891618.75</v>
      </c>
      <c r="S34" s="181">
        <f>'Indexed REC Activities'!U34*'Indexed REC Calculator'!S47</f>
        <v>5921587.0312500009</v>
      </c>
      <c r="T34" s="181">
        <f>'Indexed REC Activities'!V34*'Indexed REC Calculator'!T47</f>
        <v>5034963.9548437484</v>
      </c>
      <c r="U34" s="181">
        <f>'Indexed REC Activities'!W34*'Indexed REC Calculator'!U47</f>
        <v>4215868.0395632805</v>
      </c>
      <c r="V34" s="181">
        <f>'Indexed REC Activities'!X34*'Indexed REC Calculator'!V47</f>
        <v>3353636.6497978484</v>
      </c>
      <c r="W34" s="181">
        <f>'Indexed REC Activities'!Y34*'Indexed REC Calculator'!W47</f>
        <v>2499922.1772290813</v>
      </c>
      <c r="X34" s="181">
        <f>'Indexed REC Activities'!Z34*'Indexed REC Calculator'!X47</f>
        <v>-5398467.3164735278</v>
      </c>
    </row>
    <row r="35" spans="1:24" ht="15.75" x14ac:dyDescent="0.25">
      <c r="A35" s="12" t="s">
        <v>91</v>
      </c>
      <c r="B35" s="11">
        <f t="shared" si="2"/>
        <v>2034</v>
      </c>
      <c r="C35" s="181">
        <f>'Indexed REC Activities'!E35*'Indexed REC Calculator'!C48</f>
        <v>0</v>
      </c>
      <c r="D35" s="181">
        <f>'Indexed REC Activities'!F35*'Indexed REC Calculator'!D48</f>
        <v>0</v>
      </c>
      <c r="E35" s="181">
        <f>'Indexed REC Activities'!G35*'Indexed REC Calculator'!E48</f>
        <v>0</v>
      </c>
      <c r="F35" s="181">
        <f>'Indexed REC Activities'!H35*'Indexed REC Calculator'!F48</f>
        <v>0</v>
      </c>
      <c r="G35" s="181">
        <f>'Indexed REC Activities'!I35*'Indexed REC Calculator'!G48</f>
        <v>0</v>
      </c>
      <c r="H35" s="181">
        <f>'Indexed REC Activities'!J35*'Indexed REC Calculator'!H48</f>
        <v>0</v>
      </c>
      <c r="I35" s="181">
        <f>'Indexed REC Activities'!K35*'Indexed REC Calculator'!I48</f>
        <v>0</v>
      </c>
      <c r="J35" s="181">
        <f>'Indexed REC Activities'!L35*'Indexed REC Calculator'!J48</f>
        <v>0</v>
      </c>
      <c r="K35" s="181">
        <f>'Indexed REC Activities'!M35*'Indexed REC Calculator'!K48</f>
        <v>0</v>
      </c>
      <c r="L35" s="181">
        <f>'Indexed REC Activities'!N35*'Indexed REC Calculator'!L48</f>
        <v>0</v>
      </c>
      <c r="M35" s="181">
        <f>'Indexed REC Activities'!O35*'Indexed REC Calculator'!M48</f>
        <v>0</v>
      </c>
      <c r="N35" s="181">
        <f>'Indexed REC Activities'!P35*'Indexed REC Calculator'!N48</f>
        <v>0</v>
      </c>
      <c r="O35" s="181">
        <f>'Indexed REC Activities'!Q35*'Indexed REC Calculator'!O48</f>
        <v>0</v>
      </c>
      <c r="P35" s="181">
        <f>'Indexed REC Activities'!R35*'Indexed REC Calculator'!P48</f>
        <v>0</v>
      </c>
      <c r="Q35" s="181">
        <f>'Indexed REC Activities'!S35*'Indexed REC Calculator'!Q48</f>
        <v>0</v>
      </c>
      <c r="R35" s="181">
        <f>'Indexed REC Activities'!T35*'Indexed REC Calculator'!R48</f>
        <v>6926250</v>
      </c>
      <c r="S35" s="181">
        <f>'Indexed REC Activities'!U35*'Indexed REC Calculator'!S48</f>
        <v>5951343.7500000009</v>
      </c>
      <c r="T35" s="181">
        <f>'Indexed REC Activities'!V35*'Indexed REC Calculator'!T48</f>
        <v>5060265.2812499981</v>
      </c>
      <c r="U35" s="181">
        <f>'Indexed REC Activities'!W35*'Indexed REC Calculator'!U48</f>
        <v>4237053.3060937496</v>
      </c>
      <c r="V35" s="181">
        <f>'Indexed REC Activities'!X35*'Indexed REC Calculator'!V48</f>
        <v>3370489.0952742193</v>
      </c>
      <c r="W35" s="181">
        <f>'Indexed REC Activities'!Y35*'Indexed REC Calculator'!W48</f>
        <v>2512484.6002302323</v>
      </c>
      <c r="X35" s="181">
        <f>'Indexed REC Activities'!Z35*'Indexed REC Calculator'!X48</f>
        <v>-5425595.2929382194</v>
      </c>
    </row>
    <row r="36" spans="1:24" ht="15.75" x14ac:dyDescent="0.25">
      <c r="A36" s="12" t="s">
        <v>91</v>
      </c>
      <c r="B36" s="11">
        <f t="shared" si="2"/>
        <v>2035</v>
      </c>
      <c r="C36" s="181">
        <f>'Indexed REC Activities'!E36*'Indexed REC Calculator'!C49</f>
        <v>0</v>
      </c>
      <c r="D36" s="181">
        <f>'Indexed REC Activities'!F36*'Indexed REC Calculator'!D49</f>
        <v>0</v>
      </c>
      <c r="E36" s="181">
        <f>'Indexed REC Activities'!G36*'Indexed REC Calculator'!E49</f>
        <v>0</v>
      </c>
      <c r="F36" s="181">
        <f>'Indexed REC Activities'!H36*'Indexed REC Calculator'!F49</f>
        <v>0</v>
      </c>
      <c r="G36" s="181">
        <f>'Indexed REC Activities'!I36*'Indexed REC Calculator'!G49</f>
        <v>0</v>
      </c>
      <c r="H36" s="181">
        <f>'Indexed REC Activities'!J36*'Indexed REC Calculator'!H49</f>
        <v>0</v>
      </c>
      <c r="I36" s="181">
        <f>'Indexed REC Activities'!K36*'Indexed REC Calculator'!I49</f>
        <v>0</v>
      </c>
      <c r="J36" s="181">
        <f>'Indexed REC Activities'!L36*'Indexed REC Calculator'!J49</f>
        <v>0</v>
      </c>
      <c r="K36" s="181">
        <f>'Indexed REC Activities'!M36*'Indexed REC Calculator'!K49</f>
        <v>0</v>
      </c>
      <c r="L36" s="181">
        <f>'Indexed REC Activities'!N36*'Indexed REC Calculator'!L49</f>
        <v>0</v>
      </c>
      <c r="M36" s="181">
        <f>'Indexed REC Activities'!O36*'Indexed REC Calculator'!M49</f>
        <v>0</v>
      </c>
      <c r="N36" s="181">
        <f>'Indexed REC Activities'!P36*'Indexed REC Calculator'!N49</f>
        <v>0</v>
      </c>
      <c r="O36" s="181">
        <f>'Indexed REC Activities'!Q36*'Indexed REC Calculator'!O49</f>
        <v>0</v>
      </c>
      <c r="P36" s="181">
        <f>'Indexed REC Activities'!R36*'Indexed REC Calculator'!P49</f>
        <v>0</v>
      </c>
      <c r="Q36" s="181">
        <f>'Indexed REC Activities'!S36*'Indexed REC Calculator'!Q49</f>
        <v>0</v>
      </c>
      <c r="R36" s="181">
        <f>'Indexed REC Activities'!T36*'Indexed REC Calculator'!R49</f>
        <v>0</v>
      </c>
      <c r="S36" s="181">
        <f>'Indexed REC Activities'!U36*'Indexed REC Calculator'!S49</f>
        <v>5981250.0000000009</v>
      </c>
      <c r="T36" s="181">
        <f>'Indexed REC Activities'!V36*'Indexed REC Calculator'!T49</f>
        <v>5085693.7499999981</v>
      </c>
      <c r="U36" s="181">
        <f>'Indexed REC Activities'!W36*'Indexed REC Calculator'!U49</f>
        <v>4258345.03125</v>
      </c>
      <c r="V36" s="181">
        <f>'Indexed REC Activities'!X36*'Indexed REC Calculator'!V49</f>
        <v>3387426.2264062506</v>
      </c>
      <c r="W36" s="181">
        <f>'Indexed REC Activities'!Y36*'Indexed REC Calculator'!W49</f>
        <v>2525110.150985158</v>
      </c>
      <c r="X36" s="181">
        <f>'Indexed REC Activities'!Z36*'Indexed REC Calculator'!X49</f>
        <v>-5452859.5908926828</v>
      </c>
    </row>
    <row r="37" spans="1:24" ht="15.75" x14ac:dyDescent="0.25">
      <c r="A37" s="12" t="s">
        <v>91</v>
      </c>
      <c r="B37" s="11">
        <f t="shared" si="2"/>
        <v>2036</v>
      </c>
      <c r="C37" s="181">
        <f>'Indexed REC Activities'!E37*'Indexed REC Calculator'!C50</f>
        <v>0</v>
      </c>
      <c r="D37" s="181">
        <f>'Indexed REC Activities'!F37*'Indexed REC Calculator'!D50</f>
        <v>0</v>
      </c>
      <c r="E37" s="181">
        <f>'Indexed REC Activities'!G37*'Indexed REC Calculator'!E50</f>
        <v>0</v>
      </c>
      <c r="F37" s="181">
        <f>'Indexed REC Activities'!H37*'Indexed REC Calculator'!F50</f>
        <v>0</v>
      </c>
      <c r="G37" s="181">
        <f>'Indexed REC Activities'!I37*'Indexed REC Calculator'!G50</f>
        <v>0</v>
      </c>
      <c r="H37" s="181">
        <f>'Indexed REC Activities'!J37*'Indexed REC Calculator'!H50</f>
        <v>0</v>
      </c>
      <c r="I37" s="181">
        <f>'Indexed REC Activities'!K37*'Indexed REC Calculator'!I50</f>
        <v>0</v>
      </c>
      <c r="J37" s="181">
        <f>'Indexed REC Activities'!L37*'Indexed REC Calculator'!J50</f>
        <v>0</v>
      </c>
      <c r="K37" s="181">
        <f>'Indexed REC Activities'!M37*'Indexed REC Calculator'!K50</f>
        <v>0</v>
      </c>
      <c r="L37" s="181">
        <f>'Indexed REC Activities'!N37*'Indexed REC Calculator'!L50</f>
        <v>0</v>
      </c>
      <c r="M37" s="181">
        <f>'Indexed REC Activities'!O37*'Indexed REC Calculator'!M50</f>
        <v>0</v>
      </c>
      <c r="N37" s="181">
        <f>'Indexed REC Activities'!P37*'Indexed REC Calculator'!N50</f>
        <v>0</v>
      </c>
      <c r="O37" s="181">
        <f>'Indexed REC Activities'!Q37*'Indexed REC Calculator'!O50</f>
        <v>0</v>
      </c>
      <c r="P37" s="181">
        <f>'Indexed REC Activities'!R37*'Indexed REC Calculator'!P50</f>
        <v>0</v>
      </c>
      <c r="Q37" s="181">
        <f>'Indexed REC Activities'!S37*'Indexed REC Calculator'!Q50</f>
        <v>0</v>
      </c>
      <c r="R37" s="181">
        <f>'Indexed REC Activities'!T37*'Indexed REC Calculator'!R50</f>
        <v>0</v>
      </c>
      <c r="S37" s="181">
        <f>'Indexed REC Activities'!U37*'Indexed REC Calculator'!S50</f>
        <v>0</v>
      </c>
      <c r="T37" s="181">
        <f>'Indexed REC Activities'!V37*'Indexed REC Calculator'!T50</f>
        <v>5111249.9999999981</v>
      </c>
      <c r="U37" s="181">
        <f>'Indexed REC Activities'!W37*'Indexed REC Calculator'!U50</f>
        <v>4279743.75</v>
      </c>
      <c r="V37" s="181">
        <f>'Indexed REC Activities'!X37*'Indexed REC Calculator'!V50</f>
        <v>3404448.4687500005</v>
      </c>
      <c r="W37" s="181">
        <f>'Indexed REC Activities'!Y37*'Indexed REC Calculator'!W50</f>
        <v>2537799.1467187516</v>
      </c>
      <c r="X37" s="181">
        <f>'Indexed REC Activities'!Z37*'Indexed REC Calculator'!X50</f>
        <v>-5480260.8953695297</v>
      </c>
    </row>
    <row r="38" spans="1:24" ht="15.75" x14ac:dyDescent="0.25">
      <c r="A38" s="12" t="s">
        <v>91</v>
      </c>
      <c r="B38" s="11">
        <f t="shared" si="2"/>
        <v>2037</v>
      </c>
      <c r="C38" s="181">
        <f>'Indexed REC Activities'!E38*'Indexed REC Calculator'!C51</f>
        <v>0</v>
      </c>
      <c r="D38" s="181">
        <f>'Indexed REC Activities'!F38*'Indexed REC Calculator'!D51</f>
        <v>0</v>
      </c>
      <c r="E38" s="181">
        <f>'Indexed REC Activities'!G38*'Indexed REC Calculator'!E51</f>
        <v>0</v>
      </c>
      <c r="F38" s="181">
        <f>'Indexed REC Activities'!H38*'Indexed REC Calculator'!F51</f>
        <v>0</v>
      </c>
      <c r="G38" s="181">
        <f>'Indexed REC Activities'!I38*'Indexed REC Calculator'!G51</f>
        <v>0</v>
      </c>
      <c r="H38" s="181">
        <f>'Indexed REC Activities'!J38*'Indexed REC Calculator'!H51</f>
        <v>0</v>
      </c>
      <c r="I38" s="181">
        <f>'Indexed REC Activities'!K38*'Indexed REC Calculator'!I51</f>
        <v>0</v>
      </c>
      <c r="J38" s="181">
        <f>'Indexed REC Activities'!L38*'Indexed REC Calculator'!J51</f>
        <v>0</v>
      </c>
      <c r="K38" s="181">
        <f>'Indexed REC Activities'!M38*'Indexed REC Calculator'!K51</f>
        <v>0</v>
      </c>
      <c r="L38" s="181">
        <f>'Indexed REC Activities'!N38*'Indexed REC Calculator'!L51</f>
        <v>0</v>
      </c>
      <c r="M38" s="181">
        <f>'Indexed REC Activities'!O38*'Indexed REC Calculator'!M51</f>
        <v>0</v>
      </c>
      <c r="N38" s="181">
        <f>'Indexed REC Activities'!P38*'Indexed REC Calculator'!N51</f>
        <v>0</v>
      </c>
      <c r="O38" s="181">
        <f>'Indexed REC Activities'!Q38*'Indexed REC Calculator'!O51</f>
        <v>0</v>
      </c>
      <c r="P38" s="181">
        <f>'Indexed REC Activities'!R38*'Indexed REC Calculator'!P51</f>
        <v>0</v>
      </c>
      <c r="Q38" s="181">
        <f>'Indexed REC Activities'!S38*'Indexed REC Calculator'!Q51</f>
        <v>0</v>
      </c>
      <c r="R38" s="181">
        <f>'Indexed REC Activities'!T38*'Indexed REC Calculator'!R51</f>
        <v>0</v>
      </c>
      <c r="S38" s="181">
        <f>'Indexed REC Activities'!U38*'Indexed REC Calculator'!S51</f>
        <v>0</v>
      </c>
      <c r="T38" s="181">
        <f>'Indexed REC Activities'!V38*'Indexed REC Calculator'!T51</f>
        <v>0</v>
      </c>
      <c r="U38" s="181">
        <f>'Indexed REC Activities'!W38*'Indexed REC Calculator'!U51</f>
        <v>4301250</v>
      </c>
      <c r="V38" s="181">
        <f>'Indexed REC Activities'!X38*'Indexed REC Calculator'!V51</f>
        <v>3421556.2500000005</v>
      </c>
      <c r="W38" s="181">
        <f>'Indexed REC Activities'!Y38*'Indexed REC Calculator'!W51</f>
        <v>2550551.9062500019</v>
      </c>
      <c r="X38" s="181">
        <f>'Indexed REC Activities'!Z38*'Indexed REC Calculator'!X51</f>
        <v>-5507799.8948437488</v>
      </c>
    </row>
    <row r="39" spans="1:24" ht="15.75" x14ac:dyDescent="0.25">
      <c r="A39" s="12" t="s">
        <v>91</v>
      </c>
      <c r="B39" s="11">
        <f t="shared" si="2"/>
        <v>2038</v>
      </c>
      <c r="C39" s="181">
        <f>'Indexed REC Activities'!E39*'Indexed REC Calculator'!C52</f>
        <v>0</v>
      </c>
      <c r="D39" s="181">
        <f>'Indexed REC Activities'!F39*'Indexed REC Calculator'!D52</f>
        <v>0</v>
      </c>
      <c r="E39" s="181">
        <f>'Indexed REC Activities'!G39*'Indexed REC Calculator'!E52</f>
        <v>0</v>
      </c>
      <c r="F39" s="181">
        <f>'Indexed REC Activities'!H39*'Indexed REC Calculator'!F52</f>
        <v>0</v>
      </c>
      <c r="G39" s="181">
        <f>'Indexed REC Activities'!I39*'Indexed REC Calculator'!G52</f>
        <v>0</v>
      </c>
      <c r="H39" s="181">
        <f>'Indexed REC Activities'!J39*'Indexed REC Calculator'!H52</f>
        <v>0</v>
      </c>
      <c r="I39" s="181">
        <f>'Indexed REC Activities'!K39*'Indexed REC Calculator'!I52</f>
        <v>0</v>
      </c>
      <c r="J39" s="181">
        <f>'Indexed REC Activities'!L39*'Indexed REC Calculator'!J52</f>
        <v>0</v>
      </c>
      <c r="K39" s="181">
        <f>'Indexed REC Activities'!M39*'Indexed REC Calculator'!K52</f>
        <v>0</v>
      </c>
      <c r="L39" s="181">
        <f>'Indexed REC Activities'!N39*'Indexed REC Calculator'!L52</f>
        <v>0</v>
      </c>
      <c r="M39" s="181">
        <f>'Indexed REC Activities'!O39*'Indexed REC Calculator'!M52</f>
        <v>0</v>
      </c>
      <c r="N39" s="181">
        <f>'Indexed REC Activities'!P39*'Indexed REC Calculator'!N52</f>
        <v>0</v>
      </c>
      <c r="O39" s="181">
        <f>'Indexed REC Activities'!Q39*'Indexed REC Calculator'!O52</f>
        <v>0</v>
      </c>
      <c r="P39" s="181">
        <f>'Indexed REC Activities'!R39*'Indexed REC Calculator'!P52</f>
        <v>0</v>
      </c>
      <c r="Q39" s="181">
        <f>'Indexed REC Activities'!S39*'Indexed REC Calculator'!Q52</f>
        <v>0</v>
      </c>
      <c r="R39" s="181">
        <f>'Indexed REC Activities'!T39*'Indexed REC Calculator'!R52</f>
        <v>0</v>
      </c>
      <c r="S39" s="181">
        <f>'Indexed REC Activities'!U39*'Indexed REC Calculator'!S52</f>
        <v>0</v>
      </c>
      <c r="T39" s="181">
        <f>'Indexed REC Activities'!V39*'Indexed REC Calculator'!T52</f>
        <v>0</v>
      </c>
      <c r="U39" s="181">
        <f>'Indexed REC Activities'!W39*'Indexed REC Calculator'!U52</f>
        <v>0</v>
      </c>
      <c r="V39" s="181">
        <f>'Indexed REC Activities'!X39*'Indexed REC Calculator'!V52</f>
        <v>3438750.0000000005</v>
      </c>
      <c r="W39" s="181">
        <f>'Indexed REC Activities'!Y39*'Indexed REC Calculator'!W52</f>
        <v>2563368.7500000019</v>
      </c>
      <c r="X39" s="181">
        <f>'Indexed REC Activities'!Z39*'Indexed REC Calculator'!X52</f>
        <v>-5535477.2812499991</v>
      </c>
    </row>
    <row r="40" spans="1:24" ht="15.75" x14ac:dyDescent="0.25">
      <c r="A40" s="12" t="s">
        <v>91</v>
      </c>
      <c r="B40" s="11">
        <f t="shared" si="2"/>
        <v>2039</v>
      </c>
      <c r="C40" s="181">
        <f>'Indexed REC Activities'!E40*'Indexed REC Calculator'!C53</f>
        <v>0</v>
      </c>
      <c r="D40" s="181">
        <f>'Indexed REC Activities'!F40*'Indexed REC Calculator'!D53</f>
        <v>0</v>
      </c>
      <c r="E40" s="181">
        <f>'Indexed REC Activities'!G40*'Indexed REC Calculator'!E53</f>
        <v>0</v>
      </c>
      <c r="F40" s="181">
        <f>'Indexed REC Activities'!H40*'Indexed REC Calculator'!F53</f>
        <v>0</v>
      </c>
      <c r="G40" s="181">
        <f>'Indexed REC Activities'!I40*'Indexed REC Calculator'!G53</f>
        <v>0</v>
      </c>
      <c r="H40" s="181">
        <f>'Indexed REC Activities'!J40*'Indexed REC Calculator'!H53</f>
        <v>0</v>
      </c>
      <c r="I40" s="181">
        <f>'Indexed REC Activities'!K40*'Indexed REC Calculator'!I53</f>
        <v>0</v>
      </c>
      <c r="J40" s="181">
        <f>'Indexed REC Activities'!L40*'Indexed REC Calculator'!J53</f>
        <v>0</v>
      </c>
      <c r="K40" s="181">
        <f>'Indexed REC Activities'!M40*'Indexed REC Calculator'!K53</f>
        <v>0</v>
      </c>
      <c r="L40" s="181">
        <f>'Indexed REC Activities'!N40*'Indexed REC Calculator'!L53</f>
        <v>0</v>
      </c>
      <c r="M40" s="181">
        <f>'Indexed REC Activities'!O40*'Indexed REC Calculator'!M53</f>
        <v>0</v>
      </c>
      <c r="N40" s="181">
        <f>'Indexed REC Activities'!P40*'Indexed REC Calculator'!N53</f>
        <v>0</v>
      </c>
      <c r="O40" s="181">
        <f>'Indexed REC Activities'!Q40*'Indexed REC Calculator'!O53</f>
        <v>0</v>
      </c>
      <c r="P40" s="181">
        <f>'Indexed REC Activities'!R40*'Indexed REC Calculator'!P53</f>
        <v>0</v>
      </c>
      <c r="Q40" s="181">
        <f>'Indexed REC Activities'!S40*'Indexed REC Calculator'!Q53</f>
        <v>0</v>
      </c>
      <c r="R40" s="181">
        <f>'Indexed REC Activities'!T40*'Indexed REC Calculator'!R53</f>
        <v>0</v>
      </c>
      <c r="S40" s="181">
        <f>'Indexed REC Activities'!U40*'Indexed REC Calculator'!S53</f>
        <v>0</v>
      </c>
      <c r="T40" s="181">
        <f>'Indexed REC Activities'!V40*'Indexed REC Calculator'!T53</f>
        <v>0</v>
      </c>
      <c r="U40" s="181">
        <f>'Indexed REC Activities'!W40*'Indexed REC Calculator'!U53</f>
        <v>0</v>
      </c>
      <c r="V40" s="181">
        <f>'Indexed REC Activities'!X40*'Indexed REC Calculator'!V53</f>
        <v>0</v>
      </c>
      <c r="W40" s="181">
        <f>'Indexed REC Activities'!Y40*'Indexed REC Calculator'!W53</f>
        <v>2576250.0000000019</v>
      </c>
      <c r="X40" s="181">
        <f>'Indexed REC Activities'!Z40*'Indexed REC Calculator'!X53</f>
        <v>-5591249.9999999991</v>
      </c>
    </row>
    <row r="41" spans="1:24" ht="15.75" x14ac:dyDescent="0.25">
      <c r="A41" s="12" t="s">
        <v>91</v>
      </c>
      <c r="B41" s="11">
        <f t="shared" si="2"/>
        <v>2040</v>
      </c>
      <c r="C41" s="181">
        <f>'Indexed REC Activities'!E41*'Indexed REC Calculator'!C54</f>
        <v>0</v>
      </c>
      <c r="D41" s="181">
        <f>'Indexed REC Activities'!F41*'Indexed REC Calculator'!D54</f>
        <v>0</v>
      </c>
      <c r="E41" s="181">
        <f>'Indexed REC Activities'!G41*'Indexed REC Calculator'!E54</f>
        <v>0</v>
      </c>
      <c r="F41" s="181">
        <f>'Indexed REC Activities'!H41*'Indexed REC Calculator'!F54</f>
        <v>0</v>
      </c>
      <c r="G41" s="181">
        <f>'Indexed REC Activities'!I41*'Indexed REC Calculator'!G54</f>
        <v>0</v>
      </c>
      <c r="H41" s="181">
        <f>'Indexed REC Activities'!J41*'Indexed REC Calculator'!H54</f>
        <v>0</v>
      </c>
      <c r="I41" s="181">
        <f>'Indexed REC Activities'!K41*'Indexed REC Calculator'!I54</f>
        <v>0</v>
      </c>
      <c r="J41" s="181">
        <f>'Indexed REC Activities'!L41*'Indexed REC Calculator'!J54</f>
        <v>0</v>
      </c>
      <c r="K41" s="181">
        <f>'Indexed REC Activities'!M41*'Indexed REC Calculator'!K54</f>
        <v>0</v>
      </c>
      <c r="L41" s="181">
        <f>'Indexed REC Activities'!N41*'Indexed REC Calculator'!L54</f>
        <v>0</v>
      </c>
      <c r="M41" s="181">
        <f>'Indexed REC Activities'!O41*'Indexed REC Calculator'!M54</f>
        <v>0</v>
      </c>
      <c r="N41" s="181">
        <f>'Indexed REC Activities'!P41*'Indexed REC Calculator'!N54</f>
        <v>0</v>
      </c>
      <c r="O41" s="181">
        <f>'Indexed REC Activities'!Q41*'Indexed REC Calculator'!O54</f>
        <v>0</v>
      </c>
      <c r="P41" s="181">
        <f>'Indexed REC Activities'!R41*'Indexed REC Calculator'!P54</f>
        <v>0</v>
      </c>
      <c r="Q41" s="181">
        <f>'Indexed REC Activities'!S41*'Indexed REC Calculator'!Q54</f>
        <v>0</v>
      </c>
      <c r="R41" s="181">
        <f>'Indexed REC Activities'!T41*'Indexed REC Calculator'!R54</f>
        <v>0</v>
      </c>
      <c r="S41" s="181">
        <f>'Indexed REC Activities'!U41*'Indexed REC Calculator'!S54</f>
        <v>0</v>
      </c>
      <c r="T41" s="181">
        <f>'Indexed REC Activities'!V41*'Indexed REC Calculator'!T54</f>
        <v>0</v>
      </c>
      <c r="U41" s="181">
        <f>'Indexed REC Activities'!W41*'Indexed REC Calculator'!U54</f>
        <v>0</v>
      </c>
      <c r="V41" s="181">
        <f>'Indexed REC Activities'!X41*'Indexed REC Calculator'!V54</f>
        <v>0</v>
      </c>
      <c r="W41" s="181">
        <f>'Indexed REC Activities'!Y41*'Indexed REC Calculator'!W54</f>
        <v>0</v>
      </c>
      <c r="X41" s="181">
        <f>'Indexed REC Activities'!Z41*'Indexed REC Calculator'!X54</f>
        <v>-5591249.9999999991</v>
      </c>
    </row>
    <row r="42" spans="1:24" ht="15.75" x14ac:dyDescent="0.25">
      <c r="A42" s="12" t="s">
        <v>91</v>
      </c>
      <c r="B42" s="11">
        <f t="shared" si="2"/>
        <v>2041</v>
      </c>
      <c r="C42" s="181">
        <f>'Indexed REC Activities'!E42*'Indexed REC Calculator'!C55</f>
        <v>0</v>
      </c>
      <c r="D42" s="181">
        <f>'Indexed REC Activities'!F42*'Indexed REC Calculator'!D55</f>
        <v>0</v>
      </c>
      <c r="E42" s="181">
        <f>'Indexed REC Activities'!G42*'Indexed REC Calculator'!E55</f>
        <v>0</v>
      </c>
      <c r="F42" s="181">
        <f>'Indexed REC Activities'!H42*'Indexed REC Calculator'!F55</f>
        <v>0</v>
      </c>
      <c r="G42" s="181">
        <f>'Indexed REC Activities'!I42*'Indexed REC Calculator'!G55</f>
        <v>0</v>
      </c>
      <c r="H42" s="181">
        <f>'Indexed REC Activities'!J42*'Indexed REC Calculator'!H55</f>
        <v>0</v>
      </c>
      <c r="I42" s="181">
        <f>'Indexed REC Activities'!K42*'Indexed REC Calculator'!I55</f>
        <v>0</v>
      </c>
      <c r="J42" s="181">
        <f>'Indexed REC Activities'!L42*'Indexed REC Calculator'!J55</f>
        <v>0</v>
      </c>
      <c r="K42" s="181">
        <f>'Indexed REC Activities'!M42*'Indexed REC Calculator'!K55</f>
        <v>0</v>
      </c>
      <c r="L42" s="181">
        <f>'Indexed REC Activities'!N42*'Indexed REC Calculator'!L55</f>
        <v>0</v>
      </c>
      <c r="M42" s="181">
        <f>'Indexed REC Activities'!O42*'Indexed REC Calculator'!M55</f>
        <v>0</v>
      </c>
      <c r="N42" s="181">
        <f>'Indexed REC Activities'!P42*'Indexed REC Calculator'!N55</f>
        <v>0</v>
      </c>
      <c r="O42" s="181">
        <f>'Indexed REC Activities'!Q42*'Indexed REC Calculator'!O55</f>
        <v>0</v>
      </c>
      <c r="P42" s="181">
        <f>'Indexed REC Activities'!R42*'Indexed REC Calculator'!P55</f>
        <v>0</v>
      </c>
      <c r="Q42" s="181">
        <f>'Indexed REC Activities'!S42*'Indexed REC Calculator'!Q55</f>
        <v>0</v>
      </c>
      <c r="R42" s="181">
        <f>'Indexed REC Activities'!T42*'Indexed REC Calculator'!R55</f>
        <v>0</v>
      </c>
      <c r="S42" s="181">
        <f>'Indexed REC Activities'!U42*'Indexed REC Calculator'!S55</f>
        <v>0</v>
      </c>
      <c r="T42" s="181">
        <f>'Indexed REC Activities'!V42*'Indexed REC Calculator'!T55</f>
        <v>0</v>
      </c>
      <c r="U42" s="181">
        <f>'Indexed REC Activities'!W42*'Indexed REC Calculator'!U55</f>
        <v>0</v>
      </c>
      <c r="V42" s="181">
        <f>'Indexed REC Activities'!X42*'Indexed REC Calculator'!V55</f>
        <v>0</v>
      </c>
      <c r="W42" s="181">
        <f>'Indexed REC Activities'!Y42*'Indexed REC Calculator'!W55</f>
        <v>0</v>
      </c>
      <c r="X42" s="181">
        <f>'Indexed REC Activities'!Z42*'Indexed REC Calculator'!X55</f>
        <v>0</v>
      </c>
    </row>
    <row r="43" spans="1:24" ht="15.75" x14ac:dyDescent="0.25">
      <c r="A43" s="12" t="s">
        <v>91</v>
      </c>
      <c r="B43" s="11">
        <f t="shared" si="2"/>
        <v>2042</v>
      </c>
      <c r="C43" s="181">
        <f>'Indexed REC Activities'!E43*'Indexed REC Calculator'!C56</f>
        <v>0</v>
      </c>
      <c r="D43" s="181">
        <f>'Indexed REC Activities'!F43*'Indexed REC Calculator'!D56</f>
        <v>0</v>
      </c>
      <c r="E43" s="181">
        <f>'Indexed REC Activities'!G43*'Indexed REC Calculator'!E56</f>
        <v>0</v>
      </c>
      <c r="F43" s="181">
        <f>'Indexed REC Activities'!H43*'Indexed REC Calculator'!F56</f>
        <v>0</v>
      </c>
      <c r="G43" s="181">
        <f>'Indexed REC Activities'!I43*'Indexed REC Calculator'!G56</f>
        <v>0</v>
      </c>
      <c r="H43" s="181">
        <f>'Indexed REC Activities'!J43*'Indexed REC Calculator'!H56</f>
        <v>0</v>
      </c>
      <c r="I43" s="181">
        <f>'Indexed REC Activities'!K43*'Indexed REC Calculator'!I56</f>
        <v>0</v>
      </c>
      <c r="J43" s="181">
        <f>'Indexed REC Activities'!L43*'Indexed REC Calculator'!J56</f>
        <v>0</v>
      </c>
      <c r="K43" s="181">
        <f>'Indexed REC Activities'!M43*'Indexed REC Calculator'!K56</f>
        <v>0</v>
      </c>
      <c r="L43" s="181">
        <f>'Indexed REC Activities'!N43*'Indexed REC Calculator'!L56</f>
        <v>0</v>
      </c>
      <c r="M43" s="181">
        <f>'Indexed REC Activities'!O43*'Indexed REC Calculator'!M56</f>
        <v>0</v>
      </c>
      <c r="N43" s="181">
        <f>'Indexed REC Activities'!P43*'Indexed REC Calculator'!N56</f>
        <v>0</v>
      </c>
      <c r="O43" s="181">
        <f>'Indexed REC Activities'!Q43*'Indexed REC Calculator'!O56</f>
        <v>0</v>
      </c>
      <c r="P43" s="181">
        <f>'Indexed REC Activities'!R43*'Indexed REC Calculator'!P56</f>
        <v>0</v>
      </c>
      <c r="Q43" s="181">
        <f>'Indexed REC Activities'!S43*'Indexed REC Calculator'!Q56</f>
        <v>0</v>
      </c>
      <c r="R43" s="181">
        <f>'Indexed REC Activities'!T43*'Indexed REC Calculator'!R56</f>
        <v>0</v>
      </c>
      <c r="S43" s="181">
        <f>'Indexed REC Activities'!U43*'Indexed REC Calculator'!S56</f>
        <v>0</v>
      </c>
      <c r="T43" s="181">
        <f>'Indexed REC Activities'!V43*'Indexed REC Calculator'!T56</f>
        <v>0</v>
      </c>
      <c r="U43" s="181">
        <f>'Indexed REC Activities'!W43*'Indexed REC Calculator'!U56</f>
        <v>0</v>
      </c>
      <c r="V43" s="181">
        <f>'Indexed REC Activities'!X43*'Indexed REC Calculator'!V56</f>
        <v>0</v>
      </c>
      <c r="W43" s="181">
        <f>'Indexed REC Activities'!Y43*'Indexed REC Calculator'!W56</f>
        <v>0</v>
      </c>
      <c r="X43" s="181">
        <f>'Indexed REC Activities'!Z43*'Indexed REC Calculator'!X56</f>
        <v>0</v>
      </c>
    </row>
    <row r="44" spans="1:24" ht="15.75" x14ac:dyDescent="0.25">
      <c r="A44" s="12" t="s">
        <v>86</v>
      </c>
      <c r="B44" s="11">
        <v>2022</v>
      </c>
      <c r="C44" s="181">
        <f>'Indexed REC Activities'!E44*'Indexed REC Calculator'!C57</f>
        <v>0</v>
      </c>
      <c r="D44" s="181">
        <f>'Indexed REC Activities'!F44*'Indexed REC Calculator'!D57</f>
        <v>0</v>
      </c>
      <c r="E44" s="181">
        <f>'Indexed REC Activities'!G44*'Indexed REC Calculator'!E57</f>
        <v>0</v>
      </c>
      <c r="F44" s="181">
        <f>'Indexed REC Activities'!H44*'Indexed REC Calculator'!F63</f>
        <v>3109644.45</v>
      </c>
      <c r="G44" s="181">
        <f>'Indexed REC Activities'!I44*'Indexed REC Calculator'!G63</f>
        <v>2960509.1197499996</v>
      </c>
      <c r="H44" s="181">
        <f>'Indexed REC Activities'!J44*'Indexed REC Calculator'!H63</f>
        <v>2915914.3458412499</v>
      </c>
      <c r="I44" s="181">
        <f>'Indexed REC Activities'!K44*'Indexed REC Calculator'!I63</f>
        <v>2788462.3337398688</v>
      </c>
      <c r="J44" s="181">
        <f>'Indexed REC Activities'!L44*'Indexed REC Calculator'!J63</f>
        <v>2717231.5579539891</v>
      </c>
      <c r="K44" s="181">
        <f>'Indexed REC Activities'!M44*'Indexed REC Calculator'!K63</f>
        <v>2615602.6734288847</v>
      </c>
      <c r="L44" s="181">
        <f>'Indexed REC Activities'!N44*'Indexed REC Calculator'!L63</f>
        <v>2521099.2472428917</v>
      </c>
      <c r="M44" s="181">
        <f>'Indexed REC Activities'!O44*'Indexed REC Calculator'!M63</f>
        <v>2527491.1421491718</v>
      </c>
      <c r="N44" s="181">
        <f>'Indexed REC Activities'!P44*'Indexed REC Calculator'!N63</f>
        <v>2469821.4882287402</v>
      </c>
      <c r="O44" s="181">
        <f>'Indexed REC Activities'!Q44*'Indexed REC Calculator'!O63</f>
        <v>2397729.66449608</v>
      </c>
      <c r="P44" s="181">
        <f>'Indexed REC Activities'!R44*'Indexed REC Calculator'!P63</f>
        <v>2313087.2350835283</v>
      </c>
      <c r="Q44" s="181">
        <f>'Indexed REC Activities'!S44*'Indexed REC Calculator'!Q63</f>
        <v>2228135.9759328137</v>
      </c>
      <c r="R44" s="181">
        <f>'Indexed REC Activities'!T44*'Indexed REC Calculator'!R63</f>
        <v>2163593.4184537372</v>
      </c>
      <c r="S44" s="181">
        <f>'Indexed REC Activities'!U44*'Indexed REC Calculator'!S63</f>
        <v>2084459.1922325063</v>
      </c>
      <c r="T44" s="181">
        <f>'Indexed REC Activities'!V44*'Indexed REC Calculator'!T63</f>
        <v>2011457.0341390828</v>
      </c>
      <c r="U44" s="181">
        <f>'Indexed REC Activities'!W44*'Indexed REC Calculator'!U63</f>
        <v>1943427.0594448298</v>
      </c>
      <c r="V44" s="181">
        <f>'Indexed REC Activities'!X44*'Indexed REC Calculator'!V63</f>
        <v>1872288.3963815582</v>
      </c>
      <c r="W44" s="181">
        <f>'Indexed REC Activities'!Y44*'Indexed REC Calculator'!W63</f>
        <v>1801812.5342724333</v>
      </c>
      <c r="X44" s="181">
        <f>'Indexed REC Activities'!Z44*'Indexed REC Calculator'!X63</f>
        <v>-396188.32634643815</v>
      </c>
    </row>
    <row r="45" spans="1:24" ht="15.75" x14ac:dyDescent="0.25">
      <c r="A45" s="12" t="s">
        <v>86</v>
      </c>
      <c r="B45" s="11">
        <f t="shared" ref="B45:B64" si="3">B44+1</f>
        <v>2023</v>
      </c>
      <c r="C45" s="181">
        <f>'Indexed REC Activities'!E45*'Indexed REC Calculator'!C64</f>
        <v>0</v>
      </c>
      <c r="D45" s="181">
        <f>'Indexed REC Activities'!F45*'Indexed REC Calculator'!D64</f>
        <v>0</v>
      </c>
      <c r="E45" s="181">
        <f>'Indexed REC Activities'!G45*'Indexed REC Calculator'!E64</f>
        <v>0</v>
      </c>
      <c r="F45" s="181">
        <f>'Indexed REC Activities'!H45*'Indexed REC Calculator'!F64</f>
        <v>0</v>
      </c>
      <c r="G45" s="181">
        <f>'Indexed REC Activities'!I45*'Indexed REC Calculator'!G64</f>
        <v>5887825.9199999999</v>
      </c>
      <c r="H45" s="181">
        <f>'Indexed REC Activities'!J45*'Indexed REC Calculator'!H64</f>
        <v>5803674.8447999991</v>
      </c>
      <c r="I45" s="181">
        <f>'Indexed REC Activities'!K45*'Indexed REC Calculator'!I64</f>
        <v>5567371.8474479998</v>
      </c>
      <c r="J45" s="181">
        <f>'Indexed REC Activities'!L45*'Indexed REC Calculator'!J64</f>
        <v>5434327.57305294</v>
      </c>
      <c r="K45" s="181">
        <f>'Indexed REC Activities'!M45*'Indexed REC Calculator'!K64</f>
        <v>5245469.8462688951</v>
      </c>
      <c r="L45" s="181">
        <f>'Indexed REC Activities'!N45*'Indexed REC Calculator'!L64</f>
        <v>5069708.7760198768</v>
      </c>
      <c r="M45" s="181">
        <f>'Indexed REC Activities'!O45*'Indexed REC Calculator'!M64</f>
        <v>5079247.9961537626</v>
      </c>
      <c r="N45" s="181">
        <f>'Indexed REC Activities'!P45*'Indexed REC Calculator'!N64</f>
        <v>4971152.3637992535</v>
      </c>
      <c r="O45" s="181">
        <f>'Indexed REC Activities'!Q45*'Indexed REC Calculator'!O64</f>
        <v>4836582.0747644287</v>
      </c>
      <c r="P45" s="181">
        <f>'Indexed REC Activities'!R45*'Indexed REC Calculator'!P64</f>
        <v>4678974.1087931357</v>
      </c>
      <c r="Q45" s="181">
        <f>'Indexed REC Activities'!S45*'Indexed REC Calculator'!Q64</f>
        <v>4520809.8241369668</v>
      </c>
      <c r="R45" s="181">
        <f>'Indexed REC Activities'!T45*'Indexed REC Calculator'!R64</f>
        <v>4400135.8827022454</v>
      </c>
      <c r="S45" s="181">
        <f>'Indexed REC Activities'!U45*'Indexed REC Calculator'!S64</f>
        <v>4252675.7910498483</v>
      </c>
      <c r="T45" s="181">
        <f>'Indexed REC Activities'!V45*'Indexed REC Calculator'!T64</f>
        <v>4116487.607645296</v>
      </c>
      <c r="U45" s="181">
        <f>'Indexed REC Activities'!W45*'Indexed REC Calculator'!U64</f>
        <v>3989441.2085198099</v>
      </c>
      <c r="V45" s="181">
        <f>'Indexed REC Activities'!X45*'Indexed REC Calculator'!V64</f>
        <v>3856696.4214826771</v>
      </c>
      <c r="W45" s="181">
        <f>'Indexed REC Activities'!Y45*'Indexed REC Calculator'!W64</f>
        <v>3725179.3462857027</v>
      </c>
      <c r="X45" s="181">
        <f>'Indexed REC Activities'!Z45*'Indexed REC Calculator'!X64</f>
        <v>-723928.63417414471</v>
      </c>
    </row>
    <row r="46" spans="1:24" ht="15.75" x14ac:dyDescent="0.25">
      <c r="A46" s="12" t="s">
        <v>86</v>
      </c>
      <c r="B46" s="11">
        <f t="shared" si="3"/>
        <v>2024</v>
      </c>
      <c r="C46" s="181">
        <f>'Indexed REC Activities'!E46*'Indexed REC Calculator'!C65</f>
        <v>0</v>
      </c>
      <c r="D46" s="181">
        <f>'Indexed REC Activities'!F46*'Indexed REC Calculator'!D65</f>
        <v>0</v>
      </c>
      <c r="E46" s="181">
        <f>'Indexed REC Activities'!G46*'Indexed REC Calculator'!E65</f>
        <v>0</v>
      </c>
      <c r="F46" s="181">
        <f>'Indexed REC Activities'!H46*'Indexed REC Calculator'!F65</f>
        <v>0</v>
      </c>
      <c r="G46" s="181">
        <f>'Indexed REC Activities'!I46*'Indexed REC Calculator'!G65</f>
        <v>0</v>
      </c>
      <c r="H46" s="181">
        <f>'Indexed REC Activities'!J46*'Indexed REC Calculator'!H65</f>
        <v>3766229.9999999995</v>
      </c>
      <c r="I46" s="181">
        <f>'Indexed REC Activities'!K46*'Indexed REC Calculator'!I65</f>
        <v>3601611.4499999997</v>
      </c>
      <c r="J46" s="181">
        <f>'Indexed REC Activities'!L46*'Indexed REC Calculator'!J65</f>
        <v>3509608.9242500002</v>
      </c>
      <c r="K46" s="181">
        <f>'Indexed REC Activities'!M46*'Indexed REC Calculator'!K65</f>
        <v>3378343.8360587498</v>
      </c>
      <c r="L46" s="181">
        <f>'Indexed REC Activities'!N46*'Indexed REC Calculator'!L65</f>
        <v>3256282.0754613932</v>
      </c>
      <c r="M46" s="181">
        <f>'Indexed REC Activities'!O46*'Indexed REC Calculator'!M65</f>
        <v>3264537.9237126326</v>
      </c>
      <c r="N46" s="181">
        <f>'Indexed REC Activities'!P46*'Indexed REC Calculator'!N65</f>
        <v>3190051.1058832547</v>
      </c>
      <c r="O46" s="181">
        <f>'Indexed REC Activities'!Q46*'Indexed REC Calculator'!O65</f>
        <v>3096936.4402608243</v>
      </c>
      <c r="P46" s="181">
        <f>'Indexed REC Activities'!R46*'Indexed REC Calculator'!P65</f>
        <v>2987611.2615630715</v>
      </c>
      <c r="Q46" s="181">
        <f>'Indexed REC Activities'!S46*'Indexed REC Calculator'!Q65</f>
        <v>2877887.1946653211</v>
      </c>
      <c r="R46" s="181">
        <f>'Indexed REC Activities'!T46*'Indexed REC Calculator'!R65</f>
        <v>2794523.2520306166</v>
      </c>
      <c r="S46" s="181">
        <f>'Indexed REC Activities'!U46*'Indexed REC Calculator'!S65</f>
        <v>2692312.5347486581</v>
      </c>
      <c r="T46" s="181">
        <f>'Indexed REC Activities'!V46*'Indexed REC Calculator'!T65</f>
        <v>2598022.0703293844</v>
      </c>
      <c r="U46" s="181">
        <f>'Indexed REC Activities'!W46*'Indexed REC Calculator'!U65</f>
        <v>2510153.7377227838</v>
      </c>
      <c r="V46" s="181">
        <f>'Indexed REC Activities'!X46*'Indexed REC Calculator'!V65</f>
        <v>2418270.1858719187</v>
      </c>
      <c r="W46" s="181">
        <f>'Indexed REC Activities'!Y46*'Indexed REC Calculator'!W65</f>
        <v>2327242.7156961197</v>
      </c>
      <c r="X46" s="181">
        <f>'Indexed REC Activities'!Z46*'Indexed REC Calculator'!X65</f>
        <v>-509153.41316286672</v>
      </c>
    </row>
    <row r="47" spans="1:24" ht="15.75" x14ac:dyDescent="0.25">
      <c r="A47" s="12" t="s">
        <v>86</v>
      </c>
      <c r="B47" s="11">
        <f t="shared" si="3"/>
        <v>2025</v>
      </c>
      <c r="C47" s="181">
        <f>'Indexed REC Activities'!E47*'Indexed REC Calculator'!C66</f>
        <v>0</v>
      </c>
      <c r="D47" s="181">
        <f>'Indexed REC Activities'!F47*'Indexed REC Calculator'!D66</f>
        <v>0</v>
      </c>
      <c r="E47" s="181">
        <f>'Indexed REC Activities'!G47*'Indexed REC Calculator'!E66</f>
        <v>0</v>
      </c>
      <c r="F47" s="181">
        <f>'Indexed REC Activities'!H47*'Indexed REC Calculator'!F66</f>
        <v>0</v>
      </c>
      <c r="G47" s="181">
        <f>'Indexed REC Activities'!I47*'Indexed REC Calculator'!G66</f>
        <v>0</v>
      </c>
      <c r="H47" s="181">
        <f>'Indexed REC Activities'!J47*'Indexed REC Calculator'!H66</f>
        <v>0</v>
      </c>
      <c r="I47" s="181">
        <f>'Indexed REC Activities'!K47*'Indexed REC Calculator'!I66</f>
        <v>4157775</v>
      </c>
      <c r="J47" s="181">
        <f>'Indexed REC Activities'!L47*'Indexed REC Calculator'!J66</f>
        <v>4051565.375</v>
      </c>
      <c r="K47" s="181">
        <f>'Indexed REC Activities'!M47*'Indexed REC Calculator'!K66</f>
        <v>3900030.2331249998</v>
      </c>
      <c r="L47" s="181">
        <f>'Indexed REC Activities'!N47*'Indexed REC Calculator'!L66</f>
        <v>3759119.6036156248</v>
      </c>
      <c r="M47" s="181">
        <f>'Indexed REC Activities'!O47*'Indexed REC Calculator'!M66</f>
        <v>3768650.3261656095</v>
      </c>
      <c r="N47" s="181">
        <f>'Indexed REC Activities'!P47*'Indexed REC Calculator'!N66</f>
        <v>3682661.1978823398</v>
      </c>
      <c r="O47" s="181">
        <f>'Indexed REC Activities'!Q47*'Indexed REC Calculator'!O66</f>
        <v>3575167.695534023</v>
      </c>
      <c r="P47" s="181">
        <f>'Indexed REC Activities'!R47*'Indexed REC Calculator'!P66</f>
        <v>3448960.4404843287</v>
      </c>
      <c r="Q47" s="181">
        <f>'Indexed REC Activities'!S47*'Indexed REC Calculator'!Q66</f>
        <v>3322292.7006186647</v>
      </c>
      <c r="R47" s="181">
        <f>'Indexed REC Activities'!T47*'Indexed REC Calculator'!R66</f>
        <v>3226055.6352383867</v>
      </c>
      <c r="S47" s="181">
        <f>'Indexed REC Activities'!U47*'Indexed REC Calculator'!S66</f>
        <v>3108061.4620893109</v>
      </c>
      <c r="T47" s="181">
        <f>'Indexed REC Activities'!V47*'Indexed REC Calculator'!T66</f>
        <v>2999210.5932092583</v>
      </c>
      <c r="U47" s="181">
        <f>'Indexed REC Activities'!W47*'Indexed REC Calculator'!U66</f>
        <v>2897773.5665684724</v>
      </c>
      <c r="V47" s="181">
        <f>'Indexed REC Activities'!X47*'Indexed REC Calculator'!V66</f>
        <v>2791701.2875066292</v>
      </c>
      <c r="W47" s="181">
        <f>'Indexed REC Activities'!Y47*'Indexed REC Calculator'!W66</f>
        <v>2686617.2868962404</v>
      </c>
      <c r="X47" s="181">
        <f>'Indexed REC Activities'!Z47*'Indexed REC Calculator'!X66</f>
        <v>-587777.26631595381</v>
      </c>
    </row>
    <row r="48" spans="1:24" ht="15.75" x14ac:dyDescent="0.25">
      <c r="A48" s="12" t="s">
        <v>86</v>
      </c>
      <c r="B48" s="11">
        <f t="shared" si="3"/>
        <v>2026</v>
      </c>
      <c r="C48" s="181">
        <f>'Indexed REC Activities'!E48*'Indexed REC Calculator'!C67</f>
        <v>0</v>
      </c>
      <c r="D48" s="181">
        <f>'Indexed REC Activities'!F48*'Indexed REC Calculator'!D67</f>
        <v>0</v>
      </c>
      <c r="E48" s="181">
        <f>'Indexed REC Activities'!G48*'Indexed REC Calculator'!E67</f>
        <v>0</v>
      </c>
      <c r="F48" s="181">
        <f>'Indexed REC Activities'!H48*'Indexed REC Calculator'!F67</f>
        <v>0</v>
      </c>
      <c r="G48" s="181">
        <f>'Indexed REC Activities'!I48*'Indexed REC Calculator'!G67</f>
        <v>0</v>
      </c>
      <c r="H48" s="181">
        <f>'Indexed REC Activities'!J48*'Indexed REC Calculator'!H67</f>
        <v>0</v>
      </c>
      <c r="I48" s="181">
        <f>'Indexed REC Activities'!K48*'Indexed REC Calculator'!I67</f>
        <v>0</v>
      </c>
      <c r="J48" s="181">
        <f>'Indexed REC Activities'!L48*'Indexed REC Calculator'!J67</f>
        <v>4071925</v>
      </c>
      <c r="K48" s="181">
        <f>'Indexed REC Activities'!M48*'Indexed REC Calculator'!K67</f>
        <v>3919628.375</v>
      </c>
      <c r="L48" s="181">
        <f>'Indexed REC Activities'!N48*'Indexed REC Calculator'!L67</f>
        <v>3778009.6518749995</v>
      </c>
      <c r="M48" s="181">
        <f>'Indexed REC Activities'!O48*'Indexed REC Calculator'!M67</f>
        <v>3787588.2675031251</v>
      </c>
      <c r="N48" s="181">
        <f>'Indexed REC Activities'!P48*'Indexed REC Calculator'!N67</f>
        <v>3701167.0330475778</v>
      </c>
      <c r="O48" s="181">
        <f>'Indexed REC Activities'!Q48*'Indexed REC Calculator'!O67</f>
        <v>3593133.3623457518</v>
      </c>
      <c r="P48" s="181">
        <f>'Indexed REC Activities'!R48*'Indexed REC Calculator'!P67</f>
        <v>3466291.8999842503</v>
      </c>
      <c r="Q48" s="181">
        <f>'Indexed REC Activities'!S48*'Indexed REC Calculator'!Q67</f>
        <v>3338987.6388127287</v>
      </c>
      <c r="R48" s="181">
        <f>'Indexed REC Activities'!T48*'Indexed REC Calculator'!R67</f>
        <v>3242266.9700888307</v>
      </c>
      <c r="S48" s="181">
        <f>'Indexed REC Activities'!U48*'Indexed REC Calculator'!S67</f>
        <v>3123679.8613962922</v>
      </c>
      <c r="T48" s="181">
        <f>'Indexed REC Activities'!V48*'Indexed REC Calculator'!T67</f>
        <v>3014282.0032253852</v>
      </c>
      <c r="U48" s="181">
        <f>'Indexed REC Activities'!W48*'Indexed REC Calculator'!U67</f>
        <v>2912335.2427823842</v>
      </c>
      <c r="V48" s="181">
        <f>'Indexed REC Activities'!X48*'Indexed REC Calculator'!V67</f>
        <v>2805729.9371925923</v>
      </c>
      <c r="W48" s="181">
        <f>'Indexed REC Activities'!Y48*'Indexed REC Calculator'!W67</f>
        <v>2700117.8762776284</v>
      </c>
      <c r="X48" s="181">
        <f>'Indexed REC Activities'!Z48*'Indexed REC Calculator'!X67</f>
        <v>-590730.92092055653</v>
      </c>
    </row>
    <row r="49" spans="1:24" ht="15.75" x14ac:dyDescent="0.25">
      <c r="A49" s="12" t="s">
        <v>86</v>
      </c>
      <c r="B49" s="11">
        <f t="shared" si="3"/>
        <v>2027</v>
      </c>
      <c r="C49" s="181">
        <f>'Indexed REC Activities'!E49*'Indexed REC Calculator'!C68</f>
        <v>0</v>
      </c>
      <c r="D49" s="181">
        <f>'Indexed REC Activities'!F49*'Indexed REC Calculator'!D68</f>
        <v>0</v>
      </c>
      <c r="E49" s="181">
        <f>'Indexed REC Activities'!G49*'Indexed REC Calculator'!E68</f>
        <v>0</v>
      </c>
      <c r="F49" s="181">
        <f>'Indexed REC Activities'!H49*'Indexed REC Calculator'!F68</f>
        <v>0</v>
      </c>
      <c r="G49" s="181">
        <f>'Indexed REC Activities'!I49*'Indexed REC Calculator'!G68</f>
        <v>0</v>
      </c>
      <c r="H49" s="181">
        <f>'Indexed REC Activities'!J49*'Indexed REC Calculator'!H68</f>
        <v>0</v>
      </c>
      <c r="I49" s="181">
        <f>'Indexed REC Activities'!K49*'Indexed REC Calculator'!I68</f>
        <v>0</v>
      </c>
      <c r="J49" s="181">
        <f>'Indexed REC Activities'!L49*'Indexed REC Calculator'!J68</f>
        <v>0</v>
      </c>
      <c r="K49" s="181">
        <f>'Indexed REC Activities'!M49*'Indexed REC Calculator'!K68</f>
        <v>3939325</v>
      </c>
      <c r="L49" s="181">
        <f>'Indexed REC Activities'!N49*'Indexed REC Calculator'!L68</f>
        <v>3796994.6249999995</v>
      </c>
      <c r="M49" s="181">
        <f>'Indexed REC Activities'!O49*'Indexed REC Calculator'!M68</f>
        <v>3806621.3743750001</v>
      </c>
      <c r="N49" s="181">
        <f>'Indexed REC Activities'!P49*'Indexed REC Calculator'!N68</f>
        <v>3719765.8623593748</v>
      </c>
      <c r="O49" s="181">
        <f>'Indexed REC Activities'!Q49*'Indexed REC Calculator'!O68</f>
        <v>3611189.308890203</v>
      </c>
      <c r="P49" s="181">
        <f>'Indexed REC Activities'!R49*'Indexed REC Calculator'!P68</f>
        <v>3483710.4522454776</v>
      </c>
      <c r="Q49" s="181">
        <f>'Indexed REC Activities'!S49*'Indexed REC Calculator'!Q68</f>
        <v>3355766.4711685716</v>
      </c>
      <c r="R49" s="181">
        <f>'Indexed REC Activities'!T49*'Indexed REC Calculator'!R68</f>
        <v>3258559.7689334983</v>
      </c>
      <c r="S49" s="181">
        <f>'Indexed REC Activities'!U49*'Indexed REC Calculator'!S68</f>
        <v>3139376.7451219014</v>
      </c>
      <c r="T49" s="181">
        <f>'Indexed REC Activities'!V49*'Indexed REC Calculator'!T68</f>
        <v>3029429.1489702365</v>
      </c>
      <c r="U49" s="181">
        <f>'Indexed REC Activities'!W49*'Indexed REC Calculator'!U68</f>
        <v>2926970.0932486276</v>
      </c>
      <c r="V49" s="181">
        <f>'Indexed REC Activities'!X49*'Indexed REC Calculator'!V68</f>
        <v>2819829.0826056204</v>
      </c>
      <c r="W49" s="181">
        <f>'Indexed REC Activities'!Y49*'Indexed REC Calculator'!W68</f>
        <v>2713686.3078167122</v>
      </c>
      <c r="X49" s="181">
        <f>'Indexed REC Activities'!Z49*'Indexed REC Calculator'!X68</f>
        <v>-593699.41801060946</v>
      </c>
    </row>
    <row r="50" spans="1:24" ht="15.75" x14ac:dyDescent="0.25">
      <c r="A50" s="12" t="s">
        <v>86</v>
      </c>
      <c r="B50" s="11">
        <f t="shared" si="3"/>
        <v>2028</v>
      </c>
      <c r="C50" s="181">
        <f>'Indexed REC Activities'!E50*'Indexed REC Calculator'!C69</f>
        <v>0</v>
      </c>
      <c r="D50" s="181">
        <f>'Indexed REC Activities'!F50*'Indexed REC Calculator'!D69</f>
        <v>0</v>
      </c>
      <c r="E50" s="181">
        <f>'Indexed REC Activities'!G50*'Indexed REC Calculator'!E69</f>
        <v>0</v>
      </c>
      <c r="F50" s="181">
        <f>'Indexed REC Activities'!H50*'Indexed REC Calculator'!F69</f>
        <v>0</v>
      </c>
      <c r="G50" s="181">
        <f>'Indexed REC Activities'!I50*'Indexed REC Calculator'!G69</f>
        <v>0</v>
      </c>
      <c r="H50" s="181">
        <f>'Indexed REC Activities'!J50*'Indexed REC Calculator'!H69</f>
        <v>0</v>
      </c>
      <c r="I50" s="181">
        <f>'Indexed REC Activities'!K50*'Indexed REC Calculator'!I69</f>
        <v>0</v>
      </c>
      <c r="J50" s="181">
        <f>'Indexed REC Activities'!L50*'Indexed REC Calculator'!J69</f>
        <v>0</v>
      </c>
      <c r="K50" s="181">
        <f>'Indexed REC Activities'!M50*'Indexed REC Calculator'!K69</f>
        <v>0</v>
      </c>
      <c r="L50" s="181">
        <f>'Indexed REC Activities'!N50*'Indexed REC Calculator'!L69</f>
        <v>3816074.9999999995</v>
      </c>
      <c r="M50" s="181">
        <f>'Indexed REC Activities'!O50*'Indexed REC Calculator'!M69</f>
        <v>3825750.125</v>
      </c>
      <c r="N50" s="181">
        <f>'Indexed REC Activities'!P50*'Indexed REC Calculator'!N69</f>
        <v>3738458.1531249997</v>
      </c>
      <c r="O50" s="181">
        <f>'Indexed REC Activities'!Q50*'Indexed REC Calculator'!O69</f>
        <v>3629335.988834375</v>
      </c>
      <c r="P50" s="181">
        <f>'Indexed REC Activities'!R50*'Indexed REC Calculator'!P69</f>
        <v>3501216.5349200782</v>
      </c>
      <c r="Q50" s="181">
        <f>'Indexed REC Activities'!S50*'Indexed REC Calculator'!Q69</f>
        <v>3372629.619264896</v>
      </c>
      <c r="R50" s="181">
        <f>'Indexed REC Activities'!T50*'Indexed REC Calculator'!R69</f>
        <v>3274934.4411391946</v>
      </c>
      <c r="S50" s="181">
        <f>'Indexed REC Activities'!U50*'Indexed REC Calculator'!S69</f>
        <v>3155152.5076602027</v>
      </c>
      <c r="T50" s="181">
        <f>'Indexed REC Activities'!V50*'Indexed REC Calculator'!T69</f>
        <v>3044652.411025363</v>
      </c>
      <c r="U50" s="181">
        <f>'Indexed REC Activities'!W50*'Indexed REC Calculator'!U69</f>
        <v>2941678.4856770127</v>
      </c>
      <c r="V50" s="181">
        <f>'Indexed REC Activities'!X50*'Indexed REC Calculator'!V69</f>
        <v>2833999.0779955983</v>
      </c>
      <c r="W50" s="181">
        <f>'Indexed REC Activities'!Y50*'Indexed REC Calculator'!W69</f>
        <v>2727322.9224288566</v>
      </c>
      <c r="X50" s="181">
        <f>'Indexed REC Activities'!Z50*'Indexed REC Calculator'!X69</f>
        <v>-596682.8321714669</v>
      </c>
    </row>
    <row r="51" spans="1:24" ht="15.75" x14ac:dyDescent="0.25">
      <c r="A51" s="12" t="s">
        <v>86</v>
      </c>
      <c r="B51" s="11">
        <f t="shared" si="3"/>
        <v>2029</v>
      </c>
      <c r="C51" s="181">
        <f>'Indexed REC Activities'!E51*'Indexed REC Calculator'!C70</f>
        <v>0</v>
      </c>
      <c r="D51" s="181">
        <f>'Indexed REC Activities'!F51*'Indexed REC Calculator'!D70</f>
        <v>0</v>
      </c>
      <c r="E51" s="181">
        <f>'Indexed REC Activities'!G51*'Indexed REC Calculator'!E70</f>
        <v>0</v>
      </c>
      <c r="F51" s="181">
        <f>'Indexed REC Activities'!H51*'Indexed REC Calculator'!F70</f>
        <v>0</v>
      </c>
      <c r="G51" s="181">
        <f>'Indexed REC Activities'!I51*'Indexed REC Calculator'!G70</f>
        <v>0</v>
      </c>
      <c r="H51" s="181">
        <f>'Indexed REC Activities'!J51*'Indexed REC Calculator'!H70</f>
        <v>0</v>
      </c>
      <c r="I51" s="181">
        <f>'Indexed REC Activities'!K51*'Indexed REC Calculator'!I70</f>
        <v>0</v>
      </c>
      <c r="J51" s="181">
        <f>'Indexed REC Activities'!L51*'Indexed REC Calculator'!J70</f>
        <v>0</v>
      </c>
      <c r="K51" s="181">
        <f>'Indexed REC Activities'!M51*'Indexed REC Calculator'!K70</f>
        <v>0</v>
      </c>
      <c r="L51" s="181">
        <f>'Indexed REC Activities'!N51*'Indexed REC Calculator'!L70</f>
        <v>0</v>
      </c>
      <c r="M51" s="181">
        <f>'Indexed REC Activities'!O51*'Indexed REC Calculator'!M70</f>
        <v>3844975</v>
      </c>
      <c r="N51" s="181">
        <f>'Indexed REC Activities'!P51*'Indexed REC Calculator'!N70</f>
        <v>3757244.3749999995</v>
      </c>
      <c r="O51" s="181">
        <f>'Indexed REC Activities'!Q51*'Indexed REC Calculator'!O70</f>
        <v>3647573.8581249998</v>
      </c>
      <c r="P51" s="181">
        <f>'Indexed REC Activities'!R51*'Indexed REC Calculator'!P70</f>
        <v>3518810.5878593749</v>
      </c>
      <c r="Q51" s="181">
        <f>'Indexed REC Activities'!S51*'Indexed REC Calculator'!Q70</f>
        <v>3389577.5067988909</v>
      </c>
      <c r="R51" s="181">
        <f>'Indexed REC Activities'!T51*'Indexed REC Calculator'!R70</f>
        <v>3291391.3981298436</v>
      </c>
      <c r="S51" s="181">
        <f>'Indexed REC Activities'!U51*'Indexed REC Calculator'!S70</f>
        <v>3171007.5453871386</v>
      </c>
      <c r="T51" s="181">
        <f>'Indexed REC Activities'!V51*'Indexed REC Calculator'!T70</f>
        <v>3059952.1718847873</v>
      </c>
      <c r="U51" s="181">
        <f>'Indexed REC Activities'!W51*'Indexed REC Calculator'!U70</f>
        <v>2956460.789625138</v>
      </c>
      <c r="V51" s="181">
        <f>'Indexed REC Activities'!X51*'Indexed REC Calculator'!V70</f>
        <v>2848240.2793925614</v>
      </c>
      <c r="W51" s="181">
        <f>'Indexed REC Activities'!Y51*'Indexed REC Calculator'!W70</f>
        <v>2741028.0627425695</v>
      </c>
      <c r="X51" s="181">
        <f>'Indexed REC Activities'!Z51*'Indexed REC Calculator'!X70</f>
        <v>-599681.23836328322</v>
      </c>
    </row>
    <row r="52" spans="1:24" ht="15.75" x14ac:dyDescent="0.25">
      <c r="A52" s="12" t="s">
        <v>86</v>
      </c>
      <c r="B52" s="11">
        <f t="shared" si="3"/>
        <v>2030</v>
      </c>
      <c r="C52" s="181">
        <f>'Indexed REC Activities'!E52*'Indexed REC Calculator'!C71</f>
        <v>0</v>
      </c>
      <c r="D52" s="181">
        <f>'Indexed REC Activities'!F52*'Indexed REC Calculator'!D71</f>
        <v>0</v>
      </c>
      <c r="E52" s="181">
        <f>'Indexed REC Activities'!G52*'Indexed REC Calculator'!E71</f>
        <v>0</v>
      </c>
      <c r="F52" s="181">
        <f>'Indexed REC Activities'!H52*'Indexed REC Calculator'!F71</f>
        <v>0</v>
      </c>
      <c r="G52" s="181">
        <f>'Indexed REC Activities'!I52*'Indexed REC Calculator'!G71</f>
        <v>0</v>
      </c>
      <c r="H52" s="181">
        <f>'Indexed REC Activities'!J52*'Indexed REC Calculator'!H71</f>
        <v>0</v>
      </c>
      <c r="I52" s="181">
        <f>'Indexed REC Activities'!K52*'Indexed REC Calculator'!I71</f>
        <v>0</v>
      </c>
      <c r="J52" s="181">
        <f>'Indexed REC Activities'!L52*'Indexed REC Calculator'!J71</f>
        <v>0</v>
      </c>
      <c r="K52" s="181">
        <f>'Indexed REC Activities'!M52*'Indexed REC Calculator'!K71</f>
        <v>0</v>
      </c>
      <c r="L52" s="181">
        <f>'Indexed REC Activities'!N52*'Indexed REC Calculator'!L71</f>
        <v>0</v>
      </c>
      <c r="M52" s="181">
        <f>'Indexed REC Activities'!O52*'Indexed REC Calculator'!M71</f>
        <v>0</v>
      </c>
      <c r="N52" s="181">
        <f>'Indexed REC Activities'!P52*'Indexed REC Calculator'!N71</f>
        <v>3776124.9999999995</v>
      </c>
      <c r="O52" s="181">
        <f>'Indexed REC Activities'!Q52*'Indexed REC Calculator'!O71</f>
        <v>3665903.375</v>
      </c>
      <c r="P52" s="181">
        <f>'Indexed REC Activities'!R52*'Indexed REC Calculator'!P71</f>
        <v>3536493.0531250001</v>
      </c>
      <c r="Q52" s="181">
        <f>'Indexed REC Activities'!S52*'Indexed REC Calculator'!Q71</f>
        <v>3406610.5595968752</v>
      </c>
      <c r="R52" s="181">
        <f>'Indexed REC Activities'!T52*'Indexed REC Calculator'!R71</f>
        <v>3307931.053396828</v>
      </c>
      <c r="S52" s="181">
        <f>'Indexed REC Activities'!U52*'Indexed REC Calculator'!S71</f>
        <v>3186942.2566704913</v>
      </c>
      <c r="T52" s="181">
        <f>'Indexed REC Activities'!V52*'Indexed REC Calculator'!T71</f>
        <v>3075328.8159646103</v>
      </c>
      <c r="U52" s="181">
        <f>'Indexed REC Activities'!W52*'Indexed REC Calculator'!U71</f>
        <v>2971317.3765076767</v>
      </c>
      <c r="V52" s="181">
        <f>'Indexed REC Activities'!X52*'Indexed REC Calculator'!V71</f>
        <v>2862553.0446156394</v>
      </c>
      <c r="W52" s="181">
        <f>'Indexed REC Activities'!Y52*'Indexed REC Calculator'!W71</f>
        <v>2754802.0731081101</v>
      </c>
      <c r="X52" s="181">
        <f>'Indexed REC Activities'!Z52*'Indexed REC Calculator'!X71</f>
        <v>-602694.71192289784</v>
      </c>
    </row>
    <row r="53" spans="1:24" ht="15.75" x14ac:dyDescent="0.25">
      <c r="A53" s="12" t="s">
        <v>86</v>
      </c>
      <c r="B53" s="11">
        <f t="shared" si="3"/>
        <v>2031</v>
      </c>
      <c r="C53" s="181">
        <f>'Indexed REC Activities'!E53*'Indexed REC Calculator'!C72</f>
        <v>0</v>
      </c>
      <c r="D53" s="181">
        <f>'Indexed REC Activities'!F53*'Indexed REC Calculator'!D72</f>
        <v>0</v>
      </c>
      <c r="E53" s="181">
        <f>'Indexed REC Activities'!G53*'Indexed REC Calculator'!E72</f>
        <v>0</v>
      </c>
      <c r="F53" s="181">
        <f>'Indexed REC Activities'!H53*'Indexed REC Calculator'!F72</f>
        <v>0</v>
      </c>
      <c r="G53" s="181">
        <f>'Indexed REC Activities'!I53*'Indexed REC Calculator'!G72</f>
        <v>0</v>
      </c>
      <c r="H53" s="181">
        <f>'Indexed REC Activities'!J53*'Indexed REC Calculator'!H72</f>
        <v>0</v>
      </c>
      <c r="I53" s="181">
        <f>'Indexed REC Activities'!K53*'Indexed REC Calculator'!I72</f>
        <v>0</v>
      </c>
      <c r="J53" s="181">
        <f>'Indexed REC Activities'!L53*'Indexed REC Calculator'!J72</f>
        <v>0</v>
      </c>
      <c r="K53" s="181">
        <f>'Indexed REC Activities'!M53*'Indexed REC Calculator'!K72</f>
        <v>0</v>
      </c>
      <c r="L53" s="181">
        <f>'Indexed REC Activities'!N53*'Indexed REC Calculator'!L72</f>
        <v>0</v>
      </c>
      <c r="M53" s="181">
        <f>'Indexed REC Activities'!O53*'Indexed REC Calculator'!M72</f>
        <v>0</v>
      </c>
      <c r="N53" s="181">
        <f>'Indexed REC Activities'!P53*'Indexed REC Calculator'!N72</f>
        <v>0</v>
      </c>
      <c r="O53" s="181">
        <f>'Indexed REC Activities'!Q53*'Indexed REC Calculator'!O72</f>
        <v>3684325</v>
      </c>
      <c r="P53" s="181">
        <f>'Indexed REC Activities'!R53*'Indexed REC Calculator'!P72</f>
        <v>3554264.375</v>
      </c>
      <c r="Q53" s="181">
        <f>'Indexed REC Activities'!S53*'Indexed REC Calculator'!Q72</f>
        <v>3423729.2056250004</v>
      </c>
      <c r="R53" s="181">
        <f>'Indexed REC Activities'!T53*'Indexed REC Calculator'!R72</f>
        <v>3324553.8225093749</v>
      </c>
      <c r="S53" s="181">
        <f>'Indexed REC Activities'!U53*'Indexed REC Calculator'!S72</f>
        <v>3202957.0418798905</v>
      </c>
      <c r="T53" s="181">
        <f>'Indexed REC Activities'!V53*'Indexed REC Calculator'!T72</f>
        <v>3090782.7296126741</v>
      </c>
      <c r="U53" s="181">
        <f>'Indexed REC Activities'!W53*'Indexed REC Calculator'!U72</f>
        <v>2986248.6196057056</v>
      </c>
      <c r="V53" s="181">
        <f>'Indexed REC Activities'!X53*'Indexed REC Calculator'!V72</f>
        <v>2876937.7332820497</v>
      </c>
      <c r="W53" s="181">
        <f>'Indexed REC Activities'!Y53*'Indexed REC Calculator'!W72</f>
        <v>2768645.2996061407</v>
      </c>
      <c r="X53" s="181">
        <f>'Indexed REC Activities'!Z53*'Indexed REC Calculator'!X72</f>
        <v>-605723.32856572641</v>
      </c>
    </row>
    <row r="54" spans="1:24" ht="15.75" x14ac:dyDescent="0.25">
      <c r="A54" s="12" t="s">
        <v>86</v>
      </c>
      <c r="B54" s="11">
        <f t="shared" si="3"/>
        <v>2032</v>
      </c>
      <c r="C54" s="181">
        <f>'Indexed REC Activities'!E54*'Indexed REC Calculator'!C73</f>
        <v>0</v>
      </c>
      <c r="D54" s="181">
        <f>'Indexed REC Activities'!F54*'Indexed REC Calculator'!D73</f>
        <v>0</v>
      </c>
      <c r="E54" s="181">
        <f>'Indexed REC Activities'!G54*'Indexed REC Calculator'!E73</f>
        <v>0</v>
      </c>
      <c r="F54" s="181">
        <f>'Indexed REC Activities'!H54*'Indexed REC Calculator'!F73</f>
        <v>0</v>
      </c>
      <c r="G54" s="181">
        <f>'Indexed REC Activities'!I54*'Indexed REC Calculator'!G73</f>
        <v>0</v>
      </c>
      <c r="H54" s="181">
        <f>'Indexed REC Activities'!J54*'Indexed REC Calculator'!H73</f>
        <v>0</v>
      </c>
      <c r="I54" s="181">
        <f>'Indexed REC Activities'!K54*'Indexed REC Calculator'!I73</f>
        <v>0</v>
      </c>
      <c r="J54" s="181">
        <f>'Indexed REC Activities'!L54*'Indexed REC Calculator'!J73</f>
        <v>0</v>
      </c>
      <c r="K54" s="181">
        <f>'Indexed REC Activities'!M54*'Indexed REC Calculator'!K73</f>
        <v>0</v>
      </c>
      <c r="L54" s="181">
        <f>'Indexed REC Activities'!N54*'Indexed REC Calculator'!L73</f>
        <v>0</v>
      </c>
      <c r="M54" s="181">
        <f>'Indexed REC Activities'!O54*'Indexed REC Calculator'!M73</f>
        <v>0</v>
      </c>
      <c r="N54" s="181">
        <f>'Indexed REC Activities'!P54*'Indexed REC Calculator'!N73</f>
        <v>0</v>
      </c>
      <c r="O54" s="181">
        <f>'Indexed REC Activities'!Q54*'Indexed REC Calculator'!O73</f>
        <v>0</v>
      </c>
      <c r="P54" s="181">
        <f>'Indexed REC Activities'!R54*'Indexed REC Calculator'!P73</f>
        <v>3572125</v>
      </c>
      <c r="Q54" s="181">
        <f>'Indexed REC Activities'!S54*'Indexed REC Calculator'!Q73</f>
        <v>3440933.875</v>
      </c>
      <c r="R54" s="181">
        <f>'Indexed REC Activities'!T54*'Indexed REC Calculator'!R73</f>
        <v>3341260.1231249999</v>
      </c>
      <c r="S54" s="181">
        <f>'Indexed REC Activities'!U54*'Indexed REC Calculator'!S73</f>
        <v>3219052.303396875</v>
      </c>
      <c r="T54" s="181">
        <f>'Indexed REC Activities'!V54*'Indexed REC Calculator'!T73</f>
        <v>3106314.3011182654</v>
      </c>
      <c r="U54" s="181">
        <f>'Indexed REC Activities'!W54*'Indexed REC Calculator'!U73</f>
        <v>3001254.8940760861</v>
      </c>
      <c r="V54" s="181">
        <f>'Indexed REC Activities'!X54*'Indexed REC Calculator'!V73</f>
        <v>2891394.7068161308</v>
      </c>
      <c r="W54" s="181">
        <f>'Indexed REC Activities'!Y54*'Indexed REC Calculator'!W73</f>
        <v>2782558.0900564231</v>
      </c>
      <c r="X54" s="181">
        <f>'Indexed REC Activities'!Z54*'Indexed REC Calculator'!X73</f>
        <v>-608767.16438766476</v>
      </c>
    </row>
    <row r="55" spans="1:24" ht="15.75" x14ac:dyDescent="0.25">
      <c r="A55" s="12" t="s">
        <v>86</v>
      </c>
      <c r="B55" s="11">
        <f t="shared" si="3"/>
        <v>2033</v>
      </c>
      <c r="C55" s="181">
        <f>'Indexed REC Activities'!E55*'Indexed REC Calculator'!C74</f>
        <v>0</v>
      </c>
      <c r="D55" s="181">
        <f>'Indexed REC Activities'!F55*'Indexed REC Calculator'!D74</f>
        <v>0</v>
      </c>
      <c r="E55" s="181">
        <f>'Indexed REC Activities'!G55*'Indexed REC Calculator'!E74</f>
        <v>0</v>
      </c>
      <c r="F55" s="181">
        <f>'Indexed REC Activities'!H55*'Indexed REC Calculator'!F74</f>
        <v>0</v>
      </c>
      <c r="G55" s="181">
        <f>'Indexed REC Activities'!I55*'Indexed REC Calculator'!G74</f>
        <v>0</v>
      </c>
      <c r="H55" s="181">
        <f>'Indexed REC Activities'!J55*'Indexed REC Calculator'!H74</f>
        <v>0</v>
      </c>
      <c r="I55" s="181">
        <f>'Indexed REC Activities'!K55*'Indexed REC Calculator'!I74</f>
        <v>0</v>
      </c>
      <c r="J55" s="181">
        <f>'Indexed REC Activities'!L55*'Indexed REC Calculator'!J74</f>
        <v>0</v>
      </c>
      <c r="K55" s="181">
        <f>'Indexed REC Activities'!M55*'Indexed REC Calculator'!K74</f>
        <v>0</v>
      </c>
      <c r="L55" s="181">
        <f>'Indexed REC Activities'!N55*'Indexed REC Calculator'!L74</f>
        <v>0</v>
      </c>
      <c r="M55" s="181">
        <f>'Indexed REC Activities'!O55*'Indexed REC Calculator'!M74</f>
        <v>0</v>
      </c>
      <c r="N55" s="181">
        <f>'Indexed REC Activities'!P55*'Indexed REC Calculator'!N74</f>
        <v>0</v>
      </c>
      <c r="O55" s="181">
        <f>'Indexed REC Activities'!Q55*'Indexed REC Calculator'!O74</f>
        <v>0</v>
      </c>
      <c r="P55" s="181">
        <f>'Indexed REC Activities'!R55*'Indexed REC Calculator'!P74</f>
        <v>0</v>
      </c>
      <c r="Q55" s="181">
        <f>'Indexed REC Activities'!S55*'Indexed REC Calculator'!Q74</f>
        <v>3458225</v>
      </c>
      <c r="R55" s="181">
        <f>'Indexed REC Activities'!T55*'Indexed REC Calculator'!R74</f>
        <v>3358050.375</v>
      </c>
      <c r="S55" s="181">
        <f>'Indexed REC Activities'!U55*'Indexed REC Calculator'!S74</f>
        <v>3235228.4456250002</v>
      </c>
      <c r="T55" s="181">
        <f>'Indexed REC Activities'!V55*'Indexed REC Calculator'!T74</f>
        <v>3121923.920721875</v>
      </c>
      <c r="U55" s="181">
        <f>'Indexed REC Activities'!W55*'Indexed REC Calculator'!U74</f>
        <v>3016336.5769608906</v>
      </c>
      <c r="V55" s="181">
        <f>'Indexed REC Activities'!X55*'Indexed REC Calculator'!V74</f>
        <v>2905924.3284584228</v>
      </c>
      <c r="W55" s="181">
        <f>'Indexed REC Activities'!Y55*'Indexed REC Calculator'!W74</f>
        <v>2796540.794026556</v>
      </c>
      <c r="X55" s="181">
        <f>'Indexed REC Activities'!Z55*'Indexed REC Calculator'!X74</f>
        <v>-611826.29586699978</v>
      </c>
    </row>
    <row r="56" spans="1:24" ht="15.75" x14ac:dyDescent="0.25">
      <c r="A56" s="12" t="s">
        <v>86</v>
      </c>
      <c r="B56" s="11">
        <f t="shared" si="3"/>
        <v>2034</v>
      </c>
      <c r="C56" s="181">
        <f>'Indexed REC Activities'!E56*'Indexed REC Calculator'!C75</f>
        <v>0</v>
      </c>
      <c r="D56" s="181">
        <f>'Indexed REC Activities'!F56*'Indexed REC Calculator'!D75</f>
        <v>0</v>
      </c>
      <c r="E56" s="181">
        <f>'Indexed REC Activities'!G56*'Indexed REC Calculator'!E75</f>
        <v>0</v>
      </c>
      <c r="F56" s="181">
        <f>'Indexed REC Activities'!H56*'Indexed REC Calculator'!F75</f>
        <v>0</v>
      </c>
      <c r="G56" s="181">
        <f>'Indexed REC Activities'!I56*'Indexed REC Calculator'!G75</f>
        <v>0</v>
      </c>
      <c r="H56" s="181">
        <f>'Indexed REC Activities'!J56*'Indexed REC Calculator'!H75</f>
        <v>0</v>
      </c>
      <c r="I56" s="181">
        <f>'Indexed REC Activities'!K56*'Indexed REC Calculator'!I75</f>
        <v>0</v>
      </c>
      <c r="J56" s="181">
        <f>'Indexed REC Activities'!L56*'Indexed REC Calculator'!J75</f>
        <v>0</v>
      </c>
      <c r="K56" s="181">
        <f>'Indexed REC Activities'!M56*'Indexed REC Calculator'!K75</f>
        <v>0</v>
      </c>
      <c r="L56" s="181">
        <f>'Indexed REC Activities'!N56*'Indexed REC Calculator'!L75</f>
        <v>0</v>
      </c>
      <c r="M56" s="181">
        <f>'Indexed REC Activities'!O56*'Indexed REC Calculator'!M75</f>
        <v>0</v>
      </c>
      <c r="N56" s="181">
        <f>'Indexed REC Activities'!P56*'Indexed REC Calculator'!N75</f>
        <v>0</v>
      </c>
      <c r="O56" s="181">
        <f>'Indexed REC Activities'!Q56*'Indexed REC Calculator'!O75</f>
        <v>0</v>
      </c>
      <c r="P56" s="181">
        <f>'Indexed REC Activities'!R56*'Indexed REC Calculator'!P75</f>
        <v>0</v>
      </c>
      <c r="Q56" s="181">
        <f>'Indexed REC Activities'!S56*'Indexed REC Calculator'!Q75</f>
        <v>0</v>
      </c>
      <c r="R56" s="181">
        <f>'Indexed REC Activities'!T56*'Indexed REC Calculator'!R75</f>
        <v>3374925</v>
      </c>
      <c r="S56" s="181">
        <f>'Indexed REC Activities'!U56*'Indexed REC Calculator'!S75</f>
        <v>3251485.875</v>
      </c>
      <c r="T56" s="181">
        <f>'Indexed REC Activities'!V56*'Indexed REC Calculator'!T75</f>
        <v>3137611.9806249999</v>
      </c>
      <c r="U56" s="181">
        <f>'Indexed REC Activities'!W56*'Indexed REC Calculator'!U75</f>
        <v>3031494.0471968749</v>
      </c>
      <c r="V56" s="181">
        <f>'Indexed REC Activities'!X56*'Indexed REC Calculator'!V75</f>
        <v>2920526.963274797</v>
      </c>
      <c r="W56" s="181">
        <f>'Indexed REC Activities'!Y56*'Indexed REC Calculator'!W75</f>
        <v>2810593.7628407595</v>
      </c>
      <c r="X56" s="181">
        <f>'Indexed REC Activities'!Z56*'Indexed REC Calculator'!X75</f>
        <v>-614900.79986633151</v>
      </c>
    </row>
    <row r="57" spans="1:24" ht="15.75" x14ac:dyDescent="0.25">
      <c r="A57" s="12" t="s">
        <v>86</v>
      </c>
      <c r="B57" s="11">
        <f t="shared" si="3"/>
        <v>2035</v>
      </c>
      <c r="C57" s="181">
        <f>'Indexed REC Activities'!E57*'Indexed REC Calculator'!C76</f>
        <v>0</v>
      </c>
      <c r="D57" s="181">
        <f>'Indexed REC Activities'!F57*'Indexed REC Calculator'!D76</f>
        <v>0</v>
      </c>
      <c r="E57" s="181">
        <f>'Indexed REC Activities'!G57*'Indexed REC Calculator'!E76</f>
        <v>0</v>
      </c>
      <c r="F57" s="181">
        <f>'Indexed REC Activities'!H57*'Indexed REC Calculator'!F76</f>
        <v>0</v>
      </c>
      <c r="G57" s="181">
        <f>'Indexed REC Activities'!I57*'Indexed REC Calculator'!G76</f>
        <v>0</v>
      </c>
      <c r="H57" s="181">
        <f>'Indexed REC Activities'!J57*'Indexed REC Calculator'!H76</f>
        <v>0</v>
      </c>
      <c r="I57" s="181">
        <f>'Indexed REC Activities'!K57*'Indexed REC Calculator'!I76</f>
        <v>0</v>
      </c>
      <c r="J57" s="181">
        <f>'Indexed REC Activities'!L57*'Indexed REC Calculator'!J76</f>
        <v>0</v>
      </c>
      <c r="K57" s="181">
        <f>'Indexed REC Activities'!M57*'Indexed REC Calculator'!K76</f>
        <v>0</v>
      </c>
      <c r="L57" s="181">
        <f>'Indexed REC Activities'!N57*'Indexed REC Calculator'!L76</f>
        <v>0</v>
      </c>
      <c r="M57" s="181">
        <f>'Indexed REC Activities'!O57*'Indexed REC Calculator'!M76</f>
        <v>0</v>
      </c>
      <c r="N57" s="181">
        <f>'Indexed REC Activities'!P57*'Indexed REC Calculator'!N76</f>
        <v>0</v>
      </c>
      <c r="O57" s="181">
        <f>'Indexed REC Activities'!Q57*'Indexed REC Calculator'!O76</f>
        <v>0</v>
      </c>
      <c r="P57" s="181">
        <f>'Indexed REC Activities'!R57*'Indexed REC Calculator'!P76</f>
        <v>0</v>
      </c>
      <c r="Q57" s="181">
        <f>'Indexed REC Activities'!S57*'Indexed REC Calculator'!Q76</f>
        <v>0</v>
      </c>
      <c r="R57" s="181">
        <f>'Indexed REC Activities'!T57*'Indexed REC Calculator'!R76</f>
        <v>0</v>
      </c>
      <c r="S57" s="181">
        <f>'Indexed REC Activities'!U57*'Indexed REC Calculator'!S76</f>
        <v>3267825</v>
      </c>
      <c r="T57" s="181">
        <f>'Indexed REC Activities'!V57*'Indexed REC Calculator'!T76</f>
        <v>3153378.8749999995</v>
      </c>
      <c r="U57" s="181">
        <f>'Indexed REC Activities'!W57*'Indexed REC Calculator'!U76</f>
        <v>3046727.6856249999</v>
      </c>
      <c r="V57" s="181">
        <f>'Indexed REC Activities'!X57*'Indexed REC Calculator'!V76</f>
        <v>2935202.9781656251</v>
      </c>
      <c r="W57" s="181">
        <f>'Indexed REC Activities'!Y57*'Indexed REC Calculator'!W76</f>
        <v>2824717.3495887034</v>
      </c>
      <c r="X57" s="181">
        <f>'Indexed REC Activities'!Z57*'Indexed REC Calculator'!X76</f>
        <v>-617990.75363450393</v>
      </c>
    </row>
    <row r="58" spans="1:24" ht="15.75" x14ac:dyDescent="0.25">
      <c r="A58" s="12" t="s">
        <v>86</v>
      </c>
      <c r="B58" s="11">
        <f t="shared" si="3"/>
        <v>2036</v>
      </c>
      <c r="C58" s="181">
        <f>'Indexed REC Activities'!E58*'Indexed REC Calculator'!C77</f>
        <v>0</v>
      </c>
      <c r="D58" s="181">
        <f>'Indexed REC Activities'!F58*'Indexed REC Calculator'!D77</f>
        <v>0</v>
      </c>
      <c r="E58" s="181">
        <f>'Indexed REC Activities'!G58*'Indexed REC Calculator'!E77</f>
        <v>0</v>
      </c>
      <c r="F58" s="181">
        <f>'Indexed REC Activities'!H58*'Indexed REC Calculator'!F77</f>
        <v>0</v>
      </c>
      <c r="G58" s="181">
        <f>'Indexed REC Activities'!I58*'Indexed REC Calculator'!G77</f>
        <v>0</v>
      </c>
      <c r="H58" s="181">
        <f>'Indexed REC Activities'!J58*'Indexed REC Calculator'!H77</f>
        <v>0</v>
      </c>
      <c r="I58" s="181">
        <f>'Indexed REC Activities'!K58*'Indexed REC Calculator'!I77</f>
        <v>0</v>
      </c>
      <c r="J58" s="181">
        <f>'Indexed REC Activities'!L58*'Indexed REC Calculator'!J77</f>
        <v>0</v>
      </c>
      <c r="K58" s="181">
        <f>'Indexed REC Activities'!M58*'Indexed REC Calculator'!K77</f>
        <v>0</v>
      </c>
      <c r="L58" s="181">
        <f>'Indexed REC Activities'!N58*'Indexed REC Calculator'!L77</f>
        <v>0</v>
      </c>
      <c r="M58" s="181">
        <f>'Indexed REC Activities'!O58*'Indexed REC Calculator'!M77</f>
        <v>0</v>
      </c>
      <c r="N58" s="181">
        <f>'Indexed REC Activities'!P58*'Indexed REC Calculator'!N77</f>
        <v>0</v>
      </c>
      <c r="O58" s="181">
        <f>'Indexed REC Activities'!Q58*'Indexed REC Calculator'!O77</f>
        <v>0</v>
      </c>
      <c r="P58" s="181">
        <f>'Indexed REC Activities'!R58*'Indexed REC Calculator'!P77</f>
        <v>0</v>
      </c>
      <c r="Q58" s="181">
        <f>'Indexed REC Activities'!S58*'Indexed REC Calculator'!Q77</f>
        <v>0</v>
      </c>
      <c r="R58" s="181">
        <f>'Indexed REC Activities'!T58*'Indexed REC Calculator'!R77</f>
        <v>0</v>
      </c>
      <c r="S58" s="181">
        <f>'Indexed REC Activities'!U58*'Indexed REC Calculator'!S77</f>
        <v>0</v>
      </c>
      <c r="T58" s="181">
        <f>'Indexed REC Activities'!V58*'Indexed REC Calculator'!T77</f>
        <v>3169224.9999999995</v>
      </c>
      <c r="U58" s="181">
        <f>'Indexed REC Activities'!W58*'Indexed REC Calculator'!U77</f>
        <v>3062037.875</v>
      </c>
      <c r="V58" s="181">
        <f>'Indexed REC Activities'!X58*'Indexed REC Calculator'!V77</f>
        <v>2949952.7418749998</v>
      </c>
      <c r="W58" s="181">
        <f>'Indexed REC Activities'!Y58*'Indexed REC Calculator'!W77</f>
        <v>2838911.9091343754</v>
      </c>
      <c r="X58" s="181">
        <f>'Indexed REC Activities'!Z58*'Indexed REC Calculator'!X77</f>
        <v>-621096.23480854672</v>
      </c>
    </row>
    <row r="59" spans="1:24" ht="15.75" x14ac:dyDescent="0.25">
      <c r="A59" s="12" t="s">
        <v>86</v>
      </c>
      <c r="B59" s="11">
        <f t="shared" si="3"/>
        <v>2037</v>
      </c>
      <c r="C59" s="181">
        <f>'Indexed REC Activities'!E59*'Indexed REC Calculator'!C78</f>
        <v>0</v>
      </c>
      <c r="D59" s="181">
        <f>'Indexed REC Activities'!F59*'Indexed REC Calculator'!D78</f>
        <v>0</v>
      </c>
      <c r="E59" s="181">
        <f>'Indexed REC Activities'!G59*'Indexed REC Calculator'!E78</f>
        <v>0</v>
      </c>
      <c r="F59" s="181">
        <f>'Indexed REC Activities'!H59*'Indexed REC Calculator'!F78</f>
        <v>0</v>
      </c>
      <c r="G59" s="181">
        <f>'Indexed REC Activities'!I59*'Indexed REC Calculator'!G78</f>
        <v>0</v>
      </c>
      <c r="H59" s="181">
        <f>'Indexed REC Activities'!J59*'Indexed REC Calculator'!H78</f>
        <v>0</v>
      </c>
      <c r="I59" s="181">
        <f>'Indexed REC Activities'!K59*'Indexed REC Calculator'!I78</f>
        <v>0</v>
      </c>
      <c r="J59" s="181">
        <f>'Indexed REC Activities'!L59*'Indexed REC Calculator'!J78</f>
        <v>0</v>
      </c>
      <c r="K59" s="181">
        <f>'Indexed REC Activities'!M59*'Indexed REC Calculator'!K78</f>
        <v>0</v>
      </c>
      <c r="L59" s="181">
        <f>'Indexed REC Activities'!N59*'Indexed REC Calculator'!L78</f>
        <v>0</v>
      </c>
      <c r="M59" s="181">
        <f>'Indexed REC Activities'!O59*'Indexed REC Calculator'!M78</f>
        <v>0</v>
      </c>
      <c r="N59" s="181">
        <f>'Indexed REC Activities'!P59*'Indexed REC Calculator'!N78</f>
        <v>0</v>
      </c>
      <c r="O59" s="181">
        <f>'Indexed REC Activities'!Q59*'Indexed REC Calculator'!O78</f>
        <v>0</v>
      </c>
      <c r="P59" s="181">
        <f>'Indexed REC Activities'!R59*'Indexed REC Calculator'!P78</f>
        <v>0</v>
      </c>
      <c r="Q59" s="181">
        <f>'Indexed REC Activities'!S59*'Indexed REC Calculator'!Q78</f>
        <v>0</v>
      </c>
      <c r="R59" s="181">
        <f>'Indexed REC Activities'!T59*'Indexed REC Calculator'!R78</f>
        <v>0</v>
      </c>
      <c r="S59" s="181">
        <f>'Indexed REC Activities'!U59*'Indexed REC Calculator'!S78</f>
        <v>0</v>
      </c>
      <c r="T59" s="181">
        <f>'Indexed REC Activities'!V59*'Indexed REC Calculator'!T78</f>
        <v>0</v>
      </c>
      <c r="U59" s="181">
        <f>'Indexed REC Activities'!W59*'Indexed REC Calculator'!U78</f>
        <v>3077425</v>
      </c>
      <c r="V59" s="181">
        <f>'Indexed REC Activities'!X59*'Indexed REC Calculator'!V78</f>
        <v>2964776.625</v>
      </c>
      <c r="W59" s="181">
        <f>'Indexed REC Activities'!Y59*'Indexed REC Calculator'!W78</f>
        <v>2853177.7981250002</v>
      </c>
      <c r="X59" s="181">
        <f>'Indexed REC Activities'!Z59*'Indexed REC Calculator'!X78</f>
        <v>-624217.32141562493</v>
      </c>
    </row>
    <row r="60" spans="1:24" ht="15.75" x14ac:dyDescent="0.25">
      <c r="A60" s="12" t="s">
        <v>86</v>
      </c>
      <c r="B60" s="11">
        <f t="shared" si="3"/>
        <v>2038</v>
      </c>
      <c r="C60" s="181">
        <f>'Indexed REC Activities'!E60*'Indexed REC Calculator'!C79</f>
        <v>0</v>
      </c>
      <c r="D60" s="181">
        <f>'Indexed REC Activities'!F60*'Indexed REC Calculator'!D79</f>
        <v>0</v>
      </c>
      <c r="E60" s="181">
        <f>'Indexed REC Activities'!G60*'Indexed REC Calculator'!E79</f>
        <v>0</v>
      </c>
      <c r="F60" s="181">
        <f>'Indexed REC Activities'!H60*'Indexed REC Calculator'!F79</f>
        <v>0</v>
      </c>
      <c r="G60" s="181">
        <f>'Indexed REC Activities'!I60*'Indexed REC Calculator'!G79</f>
        <v>0</v>
      </c>
      <c r="H60" s="181">
        <f>'Indexed REC Activities'!J60*'Indexed REC Calculator'!H79</f>
        <v>0</v>
      </c>
      <c r="I60" s="181">
        <f>'Indexed REC Activities'!K60*'Indexed REC Calculator'!I79</f>
        <v>0</v>
      </c>
      <c r="J60" s="181">
        <f>'Indexed REC Activities'!L60*'Indexed REC Calculator'!J79</f>
        <v>0</v>
      </c>
      <c r="K60" s="181">
        <f>'Indexed REC Activities'!M60*'Indexed REC Calculator'!K79</f>
        <v>0</v>
      </c>
      <c r="L60" s="181">
        <f>'Indexed REC Activities'!N60*'Indexed REC Calculator'!L79</f>
        <v>0</v>
      </c>
      <c r="M60" s="181">
        <f>'Indexed REC Activities'!O60*'Indexed REC Calculator'!M79</f>
        <v>0</v>
      </c>
      <c r="N60" s="181">
        <f>'Indexed REC Activities'!P60*'Indexed REC Calculator'!N79</f>
        <v>0</v>
      </c>
      <c r="O60" s="181">
        <f>'Indexed REC Activities'!Q60*'Indexed REC Calculator'!O79</f>
        <v>0</v>
      </c>
      <c r="P60" s="181">
        <f>'Indexed REC Activities'!R60*'Indexed REC Calculator'!P79</f>
        <v>0</v>
      </c>
      <c r="Q60" s="181">
        <f>'Indexed REC Activities'!S60*'Indexed REC Calculator'!Q79</f>
        <v>0</v>
      </c>
      <c r="R60" s="181">
        <f>'Indexed REC Activities'!T60*'Indexed REC Calculator'!R79</f>
        <v>0</v>
      </c>
      <c r="S60" s="181">
        <f>'Indexed REC Activities'!U60*'Indexed REC Calculator'!S79</f>
        <v>0</v>
      </c>
      <c r="T60" s="181">
        <f>'Indexed REC Activities'!V60*'Indexed REC Calculator'!T79</f>
        <v>0</v>
      </c>
      <c r="U60" s="181">
        <f>'Indexed REC Activities'!W60*'Indexed REC Calculator'!U79</f>
        <v>0</v>
      </c>
      <c r="V60" s="181">
        <f>'Indexed REC Activities'!X60*'Indexed REC Calculator'!V79</f>
        <v>2979675</v>
      </c>
      <c r="W60" s="181">
        <f>'Indexed REC Activities'!Y60*'Indexed REC Calculator'!W79</f>
        <v>2867515.375</v>
      </c>
      <c r="X60" s="181">
        <f>'Indexed REC Activities'!Z60*'Indexed REC Calculator'!X79</f>
        <v>-627354.09187499981</v>
      </c>
    </row>
    <row r="61" spans="1:24" ht="15.75" x14ac:dyDescent="0.25">
      <c r="A61" s="12" t="s">
        <v>86</v>
      </c>
      <c r="B61" s="11">
        <f t="shared" si="3"/>
        <v>2039</v>
      </c>
      <c r="C61" s="181">
        <f>'Indexed REC Activities'!E61*'Indexed REC Calculator'!C80</f>
        <v>0</v>
      </c>
      <c r="D61" s="181">
        <f>'Indexed REC Activities'!F61*'Indexed REC Calculator'!D80</f>
        <v>0</v>
      </c>
      <c r="E61" s="181">
        <f>'Indexed REC Activities'!G61*'Indexed REC Calculator'!E80</f>
        <v>0</v>
      </c>
      <c r="F61" s="181">
        <f>'Indexed REC Activities'!H61*'Indexed REC Calculator'!F80</f>
        <v>0</v>
      </c>
      <c r="G61" s="181">
        <f>'Indexed REC Activities'!I61*'Indexed REC Calculator'!G80</f>
        <v>0</v>
      </c>
      <c r="H61" s="181">
        <f>'Indexed REC Activities'!J61*'Indexed REC Calculator'!H80</f>
        <v>0</v>
      </c>
      <c r="I61" s="181">
        <f>'Indexed REC Activities'!K61*'Indexed REC Calculator'!I80</f>
        <v>0</v>
      </c>
      <c r="J61" s="181">
        <f>'Indexed REC Activities'!L61*'Indexed REC Calculator'!J80</f>
        <v>0</v>
      </c>
      <c r="K61" s="181">
        <f>'Indexed REC Activities'!M61*'Indexed REC Calculator'!K80</f>
        <v>0</v>
      </c>
      <c r="L61" s="181">
        <f>'Indexed REC Activities'!N61*'Indexed REC Calculator'!L80</f>
        <v>0</v>
      </c>
      <c r="M61" s="181">
        <f>'Indexed REC Activities'!O61*'Indexed REC Calculator'!M80</f>
        <v>0</v>
      </c>
      <c r="N61" s="181">
        <f>'Indexed REC Activities'!P61*'Indexed REC Calculator'!N80</f>
        <v>0</v>
      </c>
      <c r="O61" s="181">
        <f>'Indexed REC Activities'!Q61*'Indexed REC Calculator'!O80</f>
        <v>0</v>
      </c>
      <c r="P61" s="181">
        <f>'Indexed REC Activities'!R61*'Indexed REC Calculator'!P80</f>
        <v>0</v>
      </c>
      <c r="Q61" s="181">
        <f>'Indexed REC Activities'!S61*'Indexed REC Calculator'!Q80</f>
        <v>0</v>
      </c>
      <c r="R61" s="181">
        <f>'Indexed REC Activities'!T61*'Indexed REC Calculator'!R80</f>
        <v>0</v>
      </c>
      <c r="S61" s="181">
        <f>'Indexed REC Activities'!U61*'Indexed REC Calculator'!S80</f>
        <v>0</v>
      </c>
      <c r="T61" s="181">
        <f>'Indexed REC Activities'!V61*'Indexed REC Calculator'!T80</f>
        <v>0</v>
      </c>
      <c r="U61" s="181">
        <f>'Indexed REC Activities'!W61*'Indexed REC Calculator'!U80</f>
        <v>0</v>
      </c>
      <c r="V61" s="181">
        <f>'Indexed REC Activities'!X61*'Indexed REC Calculator'!V80</f>
        <v>0</v>
      </c>
      <c r="W61" s="181">
        <f>'Indexed REC Activities'!Y61*'Indexed REC Calculator'!W80</f>
        <v>2881925</v>
      </c>
      <c r="X61" s="181">
        <f>'Indexed REC Activities'!Z61*'Indexed REC Calculator'!X80</f>
        <v>-630506.62499999988</v>
      </c>
    </row>
    <row r="62" spans="1:24" ht="15.75" x14ac:dyDescent="0.25">
      <c r="A62" s="12" t="s">
        <v>86</v>
      </c>
      <c r="B62" s="11">
        <f t="shared" si="3"/>
        <v>2040</v>
      </c>
      <c r="C62" s="181">
        <f>'Indexed REC Activities'!E62*'Indexed REC Calculator'!C81</f>
        <v>0</v>
      </c>
      <c r="D62" s="181">
        <f>'Indexed REC Activities'!F62*'Indexed REC Calculator'!D81</f>
        <v>0</v>
      </c>
      <c r="E62" s="181">
        <f>'Indexed REC Activities'!G62*'Indexed REC Calculator'!E81</f>
        <v>0</v>
      </c>
      <c r="F62" s="181">
        <f>'Indexed REC Activities'!H62*'Indexed REC Calculator'!F81</f>
        <v>0</v>
      </c>
      <c r="G62" s="181">
        <f>'Indexed REC Activities'!I62*'Indexed REC Calculator'!G81</f>
        <v>0</v>
      </c>
      <c r="H62" s="181">
        <f>'Indexed REC Activities'!J62*'Indexed REC Calculator'!H81</f>
        <v>0</v>
      </c>
      <c r="I62" s="181">
        <f>'Indexed REC Activities'!K62*'Indexed REC Calculator'!I81</f>
        <v>0</v>
      </c>
      <c r="J62" s="181">
        <f>'Indexed REC Activities'!L62*'Indexed REC Calculator'!J81</f>
        <v>0</v>
      </c>
      <c r="K62" s="181">
        <f>'Indexed REC Activities'!M62*'Indexed REC Calculator'!K81</f>
        <v>0</v>
      </c>
      <c r="L62" s="181">
        <f>'Indexed REC Activities'!N62*'Indexed REC Calculator'!L81</f>
        <v>0</v>
      </c>
      <c r="M62" s="181">
        <f>'Indexed REC Activities'!O62*'Indexed REC Calculator'!M81</f>
        <v>0</v>
      </c>
      <c r="N62" s="181">
        <f>'Indexed REC Activities'!P62*'Indexed REC Calculator'!N81</f>
        <v>0</v>
      </c>
      <c r="O62" s="181">
        <f>'Indexed REC Activities'!Q62*'Indexed REC Calculator'!O81</f>
        <v>0</v>
      </c>
      <c r="P62" s="181">
        <f>'Indexed REC Activities'!R62*'Indexed REC Calculator'!P81</f>
        <v>0</v>
      </c>
      <c r="Q62" s="181">
        <f>'Indexed REC Activities'!S62*'Indexed REC Calculator'!Q81</f>
        <v>0</v>
      </c>
      <c r="R62" s="181">
        <f>'Indexed REC Activities'!T62*'Indexed REC Calculator'!R81</f>
        <v>0</v>
      </c>
      <c r="S62" s="181">
        <f>'Indexed REC Activities'!U62*'Indexed REC Calculator'!S81</f>
        <v>0</v>
      </c>
      <c r="T62" s="181">
        <f>'Indexed REC Activities'!V62*'Indexed REC Calculator'!T81</f>
        <v>0</v>
      </c>
      <c r="U62" s="181">
        <f>'Indexed REC Activities'!W62*'Indexed REC Calculator'!U81</f>
        <v>0</v>
      </c>
      <c r="V62" s="181">
        <f>'Indexed REC Activities'!X62*'Indexed REC Calculator'!V81</f>
        <v>0</v>
      </c>
      <c r="W62" s="181">
        <f>'Indexed REC Activities'!Y62*'Indexed REC Calculator'!W81</f>
        <v>0</v>
      </c>
      <c r="X62" s="181">
        <f>'Indexed REC Activities'!Z62*'Indexed REC Calculator'!X81</f>
        <v>-633674.99999999988</v>
      </c>
    </row>
    <row r="63" spans="1:24" ht="15.75" x14ac:dyDescent="0.25">
      <c r="A63" s="12" t="s">
        <v>86</v>
      </c>
      <c r="B63" s="11">
        <f t="shared" si="3"/>
        <v>2041</v>
      </c>
      <c r="C63" s="181">
        <f>'Indexed REC Activities'!E63*'Indexed REC Calculator'!C82</f>
        <v>0</v>
      </c>
      <c r="D63" s="181">
        <f>'Indexed REC Activities'!F63*'Indexed REC Calculator'!D82</f>
        <v>0</v>
      </c>
      <c r="E63" s="181">
        <f>'Indexed REC Activities'!G63*'Indexed REC Calculator'!E82</f>
        <v>0</v>
      </c>
      <c r="F63" s="181">
        <f>'Indexed REC Activities'!H63*'Indexed REC Calculator'!F82</f>
        <v>0</v>
      </c>
      <c r="G63" s="181">
        <f>'Indexed REC Activities'!I63*'Indexed REC Calculator'!G82</f>
        <v>0</v>
      </c>
      <c r="H63" s="181">
        <f>'Indexed REC Activities'!J63*'Indexed REC Calculator'!H82</f>
        <v>0</v>
      </c>
      <c r="I63" s="181">
        <f>'Indexed REC Activities'!K63*'Indexed REC Calculator'!I82</f>
        <v>0</v>
      </c>
      <c r="J63" s="181">
        <f>'Indexed REC Activities'!L63*'Indexed REC Calculator'!J82</f>
        <v>0</v>
      </c>
      <c r="K63" s="181">
        <f>'Indexed REC Activities'!M63*'Indexed REC Calculator'!K82</f>
        <v>0</v>
      </c>
      <c r="L63" s="181">
        <f>'Indexed REC Activities'!N63*'Indexed REC Calculator'!L82</f>
        <v>0</v>
      </c>
      <c r="M63" s="181">
        <f>'Indexed REC Activities'!O63*'Indexed REC Calculator'!M82</f>
        <v>0</v>
      </c>
      <c r="N63" s="181">
        <f>'Indexed REC Activities'!P63*'Indexed REC Calculator'!N82</f>
        <v>0</v>
      </c>
      <c r="O63" s="181">
        <f>'Indexed REC Activities'!Q63*'Indexed REC Calculator'!O82</f>
        <v>0</v>
      </c>
      <c r="P63" s="181">
        <f>'Indexed REC Activities'!R63*'Indexed REC Calculator'!P82</f>
        <v>0</v>
      </c>
      <c r="Q63" s="181">
        <f>'Indexed REC Activities'!S63*'Indexed REC Calculator'!Q82</f>
        <v>0</v>
      </c>
      <c r="R63" s="181">
        <f>'Indexed REC Activities'!T63*'Indexed REC Calculator'!R82</f>
        <v>0</v>
      </c>
      <c r="S63" s="181">
        <f>'Indexed REC Activities'!U63*'Indexed REC Calculator'!S82</f>
        <v>0</v>
      </c>
      <c r="T63" s="181">
        <f>'Indexed REC Activities'!V63*'Indexed REC Calculator'!T82</f>
        <v>0</v>
      </c>
      <c r="U63" s="181">
        <f>'Indexed REC Activities'!W63*'Indexed REC Calculator'!U82</f>
        <v>0</v>
      </c>
      <c r="V63" s="181">
        <f>'Indexed REC Activities'!X63*'Indexed REC Calculator'!V82</f>
        <v>0</v>
      </c>
      <c r="W63" s="181">
        <f>'Indexed REC Activities'!Y63*'Indexed REC Calculator'!W82</f>
        <v>0</v>
      </c>
      <c r="X63" s="181">
        <f>'Indexed REC Activities'!Z63*'Indexed REC Calculator'!X82</f>
        <v>0</v>
      </c>
    </row>
    <row r="64" spans="1:24" ht="15.75" x14ac:dyDescent="0.25">
      <c r="A64" s="12" t="s">
        <v>86</v>
      </c>
      <c r="B64" s="11">
        <f t="shared" si="3"/>
        <v>2042</v>
      </c>
      <c r="C64" s="181">
        <f>'Indexed REC Activities'!E64*'Indexed REC Calculator'!C83</f>
        <v>0</v>
      </c>
      <c r="D64" s="181">
        <f>'Indexed REC Activities'!F64*'Indexed REC Calculator'!D83</f>
        <v>0</v>
      </c>
      <c r="E64" s="181">
        <f>'Indexed REC Activities'!G64*'Indexed REC Calculator'!E83</f>
        <v>0</v>
      </c>
      <c r="F64" s="181">
        <f>'Indexed REC Activities'!H64*'Indexed REC Calculator'!F83</f>
        <v>0</v>
      </c>
      <c r="G64" s="181">
        <f>'Indexed REC Activities'!I64*'Indexed REC Calculator'!G83</f>
        <v>0</v>
      </c>
      <c r="H64" s="181">
        <f>'Indexed REC Activities'!J64*'Indexed REC Calculator'!H83</f>
        <v>0</v>
      </c>
      <c r="I64" s="181">
        <f>'Indexed REC Activities'!K64*'Indexed REC Calculator'!I83</f>
        <v>0</v>
      </c>
      <c r="J64" s="181">
        <f>'Indexed REC Activities'!L64*'Indexed REC Calculator'!J83</f>
        <v>0</v>
      </c>
      <c r="K64" s="181">
        <f>'Indexed REC Activities'!M64*'Indexed REC Calculator'!K83</f>
        <v>0</v>
      </c>
      <c r="L64" s="181">
        <f>'Indexed REC Activities'!N64*'Indexed REC Calculator'!L83</f>
        <v>0</v>
      </c>
      <c r="M64" s="181">
        <f>'Indexed REC Activities'!O64*'Indexed REC Calculator'!M83</f>
        <v>0</v>
      </c>
      <c r="N64" s="181">
        <f>'Indexed REC Activities'!P64*'Indexed REC Calculator'!N83</f>
        <v>0</v>
      </c>
      <c r="O64" s="181">
        <f>'Indexed REC Activities'!Q64*'Indexed REC Calculator'!O83</f>
        <v>0</v>
      </c>
      <c r="P64" s="181">
        <f>'Indexed REC Activities'!R64*'Indexed REC Calculator'!P83</f>
        <v>0</v>
      </c>
      <c r="Q64" s="181">
        <f>'Indexed REC Activities'!S64*'Indexed REC Calculator'!Q83</f>
        <v>0</v>
      </c>
      <c r="R64" s="181">
        <f>'Indexed REC Activities'!T64*'Indexed REC Calculator'!R83</f>
        <v>0</v>
      </c>
      <c r="S64" s="181">
        <f>'Indexed REC Activities'!U64*'Indexed REC Calculator'!S83</f>
        <v>0</v>
      </c>
      <c r="T64" s="181">
        <f>'Indexed REC Activities'!V64*'Indexed REC Calculator'!T83</f>
        <v>0</v>
      </c>
      <c r="U64" s="181">
        <f>'Indexed REC Activities'!W64*'Indexed REC Calculator'!U83</f>
        <v>0</v>
      </c>
      <c r="V64" s="181">
        <f>'Indexed REC Activities'!X64*'Indexed REC Calculator'!V83</f>
        <v>0</v>
      </c>
      <c r="W64" s="181">
        <f>'Indexed REC Activities'!Y64*'Indexed REC Calculator'!W83</f>
        <v>0</v>
      </c>
      <c r="X64" s="181">
        <f>'Indexed REC Activities'!Z64*'Indexed REC Calculator'!X83</f>
        <v>0</v>
      </c>
    </row>
    <row r="67" spans="1:24" ht="15.75" x14ac:dyDescent="0.25">
      <c r="A67" s="177" t="s">
        <v>108</v>
      </c>
      <c r="C67" s="218">
        <v>2022</v>
      </c>
      <c r="D67" s="218">
        <f t="shared" ref="D67:W67" si="4">C67+1</f>
        <v>2023</v>
      </c>
      <c r="E67" s="218">
        <f t="shared" si="4"/>
        <v>2024</v>
      </c>
      <c r="F67" s="218">
        <f t="shared" si="4"/>
        <v>2025</v>
      </c>
      <c r="G67" s="218">
        <f t="shared" si="4"/>
        <v>2026</v>
      </c>
      <c r="H67" s="218">
        <f t="shared" si="4"/>
        <v>2027</v>
      </c>
      <c r="I67" s="218">
        <f t="shared" si="4"/>
        <v>2028</v>
      </c>
      <c r="J67" s="218">
        <f t="shared" si="4"/>
        <v>2029</v>
      </c>
      <c r="K67" s="218">
        <f t="shared" si="4"/>
        <v>2030</v>
      </c>
      <c r="L67" s="218">
        <f t="shared" si="4"/>
        <v>2031</v>
      </c>
      <c r="M67" s="218">
        <f t="shared" si="4"/>
        <v>2032</v>
      </c>
      <c r="N67" s="218">
        <f t="shared" si="4"/>
        <v>2033</v>
      </c>
      <c r="O67" s="218">
        <f t="shared" si="4"/>
        <v>2034</v>
      </c>
      <c r="P67" s="218">
        <f t="shared" si="4"/>
        <v>2035</v>
      </c>
      <c r="Q67" s="218">
        <f t="shared" si="4"/>
        <v>2036</v>
      </c>
      <c r="R67" s="218">
        <f t="shared" si="4"/>
        <v>2037</v>
      </c>
      <c r="S67" s="218">
        <f t="shared" si="4"/>
        <v>2038</v>
      </c>
      <c r="T67" s="218">
        <f t="shared" si="4"/>
        <v>2039</v>
      </c>
      <c r="U67" s="218">
        <f t="shared" si="4"/>
        <v>2040</v>
      </c>
      <c r="V67" s="218">
        <f t="shared" si="4"/>
        <v>2041</v>
      </c>
      <c r="W67" s="218">
        <f t="shared" si="4"/>
        <v>2042</v>
      </c>
      <c r="X67" s="218">
        <f t="shared" ref="X67" si="5">W67+1</f>
        <v>2043</v>
      </c>
    </row>
    <row r="68" spans="1:24" x14ac:dyDescent="0.25">
      <c r="A68" s="12" t="s">
        <v>90</v>
      </c>
      <c r="C68" s="181">
        <f t="shared" ref="C68:X68" si="6">IFERROR(SUMIF($A$2:$A$64,$A$68, C2:C64),"error")</f>
        <v>0</v>
      </c>
      <c r="D68" s="181">
        <f t="shared" si="6"/>
        <v>0</v>
      </c>
      <c r="E68" s="181">
        <f t="shared" si="6"/>
        <v>0</v>
      </c>
      <c r="F68" s="181">
        <f t="shared" si="6"/>
        <v>0</v>
      </c>
      <c r="G68" s="181">
        <f t="shared" si="6"/>
        <v>0</v>
      </c>
      <c r="H68" s="181">
        <f t="shared" si="6"/>
        <v>27210851.99499999</v>
      </c>
      <c r="I68" s="181">
        <f t="shared" si="6"/>
        <v>46398131.594999999</v>
      </c>
      <c r="J68" s="181">
        <f t="shared" si="6"/>
        <v>61686781.795000017</v>
      </c>
      <c r="K68" s="181">
        <f t="shared" si="6"/>
        <v>67147592.995000005</v>
      </c>
      <c r="L68" s="181">
        <f t="shared" si="6"/>
        <v>66038971.994999975</v>
      </c>
      <c r="M68" s="181">
        <f t="shared" si="6"/>
        <v>82180045.195000023</v>
      </c>
      <c r="N68" s="181">
        <f t="shared" si="6"/>
        <v>75218591.394999996</v>
      </c>
      <c r="O68" s="181">
        <f t="shared" si="6"/>
        <v>62401652.99500002</v>
      </c>
      <c r="P68" s="181">
        <f t="shared" si="6"/>
        <v>43419839.395000011</v>
      </c>
      <c r="Q68" s="181">
        <f t="shared" si="6"/>
        <v>21444286.195000075</v>
      </c>
      <c r="R68" s="181">
        <f t="shared" si="6"/>
        <v>3516045.7950000158</v>
      </c>
      <c r="S68" s="181">
        <f t="shared" si="6"/>
        <v>-21884549.004999943</v>
      </c>
      <c r="T68" s="181">
        <f t="shared" si="6"/>
        <v>-47736445.805000015</v>
      </c>
      <c r="U68" s="181">
        <f t="shared" si="6"/>
        <v>-74173384.204999983</v>
      </c>
      <c r="V68" s="181">
        <f t="shared" si="6"/>
        <v>-104358411.20499997</v>
      </c>
      <c r="W68" s="181">
        <f t="shared" si="6"/>
        <v>-136843438.20499995</v>
      </c>
      <c r="X68" s="181">
        <f t="shared" si="6"/>
        <v>-184041435.89999998</v>
      </c>
    </row>
    <row r="69" spans="1:24" x14ac:dyDescent="0.25">
      <c r="A69" s="12" t="s">
        <v>91</v>
      </c>
      <c r="C69" s="181">
        <f t="shared" ref="C69:X69" si="7">IFERROR(SUMIF($A$2:$A$64,$A$69, C2:C64),"error")</f>
        <v>0</v>
      </c>
      <c r="D69" s="181">
        <f t="shared" si="7"/>
        <v>0</v>
      </c>
      <c r="E69" s="181">
        <f t="shared" si="7"/>
        <v>0</v>
      </c>
      <c r="F69" s="181">
        <f t="shared" si="7"/>
        <v>44006236.064999998</v>
      </c>
      <c r="G69" s="181">
        <f t="shared" si="7"/>
        <v>109853858.12827499</v>
      </c>
      <c r="H69" s="181">
        <f t="shared" si="7"/>
        <v>124695260.7728606</v>
      </c>
      <c r="I69" s="181">
        <f t="shared" si="7"/>
        <v>141946656.08158326</v>
      </c>
      <c r="J69" s="181">
        <f t="shared" si="7"/>
        <v>160911744.31737196</v>
      </c>
      <c r="K69" s="181">
        <f>IFERROR(SUMIF($A$2:$A$64,$A$69, K2:K64),"error")</f>
        <v>171636284.06849831</v>
      </c>
      <c r="L69" s="181">
        <f t="shared" si="7"/>
        <v>171678799.72925001</v>
      </c>
      <c r="M69" s="181">
        <f t="shared" si="7"/>
        <v>189079065.50816643</v>
      </c>
      <c r="N69" s="181">
        <f t="shared" si="7"/>
        <v>189512455.18731201</v>
      </c>
      <c r="O69" s="181">
        <f t="shared" si="7"/>
        <v>185359156.02024615</v>
      </c>
      <c r="P69" s="181">
        <f t="shared" si="7"/>
        <v>176471955.0708771</v>
      </c>
      <c r="Q69" s="181">
        <f t="shared" si="7"/>
        <v>165456688.97947374</v>
      </c>
      <c r="R69" s="181">
        <f t="shared" si="7"/>
        <v>157875762.00936773</v>
      </c>
      <c r="S69" s="181">
        <f t="shared" si="7"/>
        <v>144626865.83957204</v>
      </c>
      <c r="T69" s="181">
        <f t="shared" si="7"/>
        <v>131257003.18765807</v>
      </c>
      <c r="U69" s="181">
        <f t="shared" si="7"/>
        <v>117645394.46000372</v>
      </c>
      <c r="V69" s="181">
        <f t="shared" si="7"/>
        <v>101354549.92323042</v>
      </c>
      <c r="W69" s="181">
        <f t="shared" si="7"/>
        <v>83520178.946963415</v>
      </c>
      <c r="X69" s="181">
        <f t="shared" si="7"/>
        <v>-139630969.97789425</v>
      </c>
    </row>
    <row r="70" spans="1:24" x14ac:dyDescent="0.25">
      <c r="A70" s="12" t="s">
        <v>86</v>
      </c>
      <c r="C70" s="181">
        <f t="shared" ref="C70:X70" si="8">IFERROR(SUMIF($A$2:$A$64,$A$70, C2:C64),"error")</f>
        <v>0</v>
      </c>
      <c r="D70" s="181">
        <f t="shared" si="8"/>
        <v>0</v>
      </c>
      <c r="E70" s="181">
        <f t="shared" si="8"/>
        <v>0</v>
      </c>
      <c r="F70" s="181">
        <f t="shared" si="8"/>
        <v>3109644.45</v>
      </c>
      <c r="G70" s="181">
        <f t="shared" si="8"/>
        <v>8848335.0397499986</v>
      </c>
      <c r="H70" s="181">
        <f t="shared" si="8"/>
        <v>12485819.190641249</v>
      </c>
      <c r="I70" s="181">
        <f t="shared" si="8"/>
        <v>16115220.631187867</v>
      </c>
      <c r="J70" s="181">
        <f t="shared" si="8"/>
        <v>19784658.430256929</v>
      </c>
      <c r="K70" s="181">
        <f t="shared" si="8"/>
        <v>22998399.96388153</v>
      </c>
      <c r="L70" s="181">
        <f t="shared" si="8"/>
        <v>25997288.979214787</v>
      </c>
      <c r="M70" s="181">
        <f t="shared" si="8"/>
        <v>29904862.1550593</v>
      </c>
      <c r="N70" s="181">
        <f t="shared" si="8"/>
        <v>33006446.579325542</v>
      </c>
      <c r="O70" s="181">
        <f t="shared" si="8"/>
        <v>35737876.768250689</v>
      </c>
      <c r="P70" s="181">
        <f t="shared" si="8"/>
        <v>38061544.94905825</v>
      </c>
      <c r="Q70" s="181">
        <f t="shared" si="8"/>
        <v>40135585.571620733</v>
      </c>
      <c r="R70" s="181">
        <f t="shared" si="8"/>
        <v>42358181.140747555</v>
      </c>
      <c r="S70" s="181">
        <f t="shared" si="8"/>
        <v>44090216.562258109</v>
      </c>
      <c r="T70" s="181">
        <f t="shared" si="8"/>
        <v>45728058.663471222</v>
      </c>
      <c r="U70" s="181">
        <f t="shared" si="8"/>
        <v>47271082.258561291</v>
      </c>
      <c r="V70" s="181">
        <f t="shared" si="8"/>
        <v>48533698.789916828</v>
      </c>
      <c r="W70" s="181">
        <f t="shared" si="8"/>
        <v>49602394.503902331</v>
      </c>
      <c r="X70" s="181">
        <f t="shared" si="8"/>
        <v>-11396594.376808615</v>
      </c>
    </row>
    <row r="71" spans="1:24" x14ac:dyDescent="0.25">
      <c r="A71" s="14" t="s">
        <v>109</v>
      </c>
      <c r="C71" s="181">
        <f t="shared" ref="C71:X71" si="9">SUM(C68:C70)</f>
        <v>0</v>
      </c>
      <c r="D71" s="181">
        <f t="shared" si="9"/>
        <v>0</v>
      </c>
      <c r="E71" s="181">
        <f t="shared" si="9"/>
        <v>0</v>
      </c>
      <c r="F71" s="181">
        <f t="shared" si="9"/>
        <v>47115880.515000001</v>
      </c>
      <c r="G71" s="181">
        <f t="shared" si="9"/>
        <v>118702193.16802499</v>
      </c>
      <c r="H71" s="181">
        <f t="shared" si="9"/>
        <v>164391931.95850185</v>
      </c>
      <c r="I71" s="181">
        <f t="shared" si="9"/>
        <v>204460008.30777112</v>
      </c>
      <c r="J71" s="181">
        <f t="shared" si="9"/>
        <v>242383184.54262891</v>
      </c>
      <c r="K71" s="181">
        <f t="shared" si="9"/>
        <v>261782277.02737984</v>
      </c>
      <c r="L71" s="181">
        <f t="shared" si="9"/>
        <v>263715060.70346478</v>
      </c>
      <c r="M71" s="181">
        <f t="shared" si="9"/>
        <v>301163972.85822576</v>
      </c>
      <c r="N71" s="181">
        <f t="shared" si="9"/>
        <v>297737493.16163754</v>
      </c>
      <c r="O71" s="181">
        <f t="shared" si="9"/>
        <v>283498685.78349686</v>
      </c>
      <c r="P71" s="181">
        <f t="shared" si="9"/>
        <v>257953339.41493535</v>
      </c>
      <c r="Q71" s="181">
        <f t="shared" si="9"/>
        <v>227036560.74609455</v>
      </c>
      <c r="R71" s="181">
        <f t="shared" si="9"/>
        <v>203749988.9451153</v>
      </c>
      <c r="S71" s="181">
        <f t="shared" si="9"/>
        <v>166832533.3968302</v>
      </c>
      <c r="T71" s="181">
        <f t="shared" si="9"/>
        <v>129248616.04612929</v>
      </c>
      <c r="U71" s="181">
        <f t="shared" si="9"/>
        <v>90743092.513565034</v>
      </c>
      <c r="V71" s="181">
        <f t="shared" si="9"/>
        <v>45529837.508147284</v>
      </c>
      <c r="W71" s="181">
        <f t="shared" si="9"/>
        <v>-3720864.754134208</v>
      </c>
      <c r="X71" s="181">
        <f t="shared" si="9"/>
        <v>-335069000.25470287</v>
      </c>
    </row>
    <row r="73" spans="1:24" ht="15.75" x14ac:dyDescent="0.25">
      <c r="A73" s="177" t="s">
        <v>94</v>
      </c>
      <c r="C73" s="218">
        <v>2022</v>
      </c>
      <c r="D73" s="218">
        <f>C73+1</f>
        <v>2023</v>
      </c>
      <c r="E73" s="218">
        <f t="shared" ref="E73:W73" si="10">D73+1</f>
        <v>2024</v>
      </c>
      <c r="F73" s="218">
        <f t="shared" si="10"/>
        <v>2025</v>
      </c>
      <c r="G73" s="218">
        <f t="shared" si="10"/>
        <v>2026</v>
      </c>
      <c r="H73" s="218">
        <f t="shared" si="10"/>
        <v>2027</v>
      </c>
      <c r="I73" s="218">
        <f t="shared" si="10"/>
        <v>2028</v>
      </c>
      <c r="J73" s="218">
        <f t="shared" si="10"/>
        <v>2029</v>
      </c>
      <c r="K73" s="218">
        <f t="shared" si="10"/>
        <v>2030</v>
      </c>
      <c r="L73" s="218">
        <f t="shared" si="10"/>
        <v>2031</v>
      </c>
      <c r="M73" s="218">
        <f t="shared" si="10"/>
        <v>2032</v>
      </c>
      <c r="N73" s="218">
        <f t="shared" si="10"/>
        <v>2033</v>
      </c>
      <c r="O73" s="218">
        <f t="shared" si="10"/>
        <v>2034</v>
      </c>
      <c r="P73" s="218">
        <f t="shared" si="10"/>
        <v>2035</v>
      </c>
      <c r="Q73" s="218">
        <f t="shared" si="10"/>
        <v>2036</v>
      </c>
      <c r="R73" s="218">
        <f t="shared" si="10"/>
        <v>2037</v>
      </c>
      <c r="S73" s="218">
        <f t="shared" si="10"/>
        <v>2038</v>
      </c>
      <c r="T73" s="218">
        <f t="shared" si="10"/>
        <v>2039</v>
      </c>
      <c r="U73" s="218">
        <f t="shared" si="10"/>
        <v>2040</v>
      </c>
      <c r="V73" s="218">
        <f t="shared" si="10"/>
        <v>2041</v>
      </c>
      <c r="W73" s="218">
        <f t="shared" si="10"/>
        <v>2042</v>
      </c>
      <c r="X73" s="218">
        <f t="shared" ref="X73" si="11">W73+1</f>
        <v>2043</v>
      </c>
    </row>
    <row r="74" spans="1:24" x14ac:dyDescent="0.25">
      <c r="A74" s="12" t="s">
        <v>90</v>
      </c>
      <c r="C74" s="181">
        <f>SUMIFS(C$2:C$64,$A$2:$A$64,$A74,$B$2:$B$64,"&lt;=2024")</f>
        <v>0</v>
      </c>
      <c r="D74" s="181">
        <f t="shared" ref="D74:X76" si="12">SUMIFS(D$2:D$64,$A$2:$A$64,$A74,$B$2:$B$64,"&lt;=2024")</f>
        <v>0</v>
      </c>
      <c r="E74" s="181">
        <f t="shared" si="12"/>
        <v>0</v>
      </c>
      <c r="F74" s="181">
        <f t="shared" si="12"/>
        <v>0</v>
      </c>
      <c r="G74" s="181">
        <f t="shared" si="12"/>
        <v>0</v>
      </c>
      <c r="H74" s="181">
        <f t="shared" si="12"/>
        <v>27210851.99499999</v>
      </c>
      <c r="I74" s="181">
        <f t="shared" si="12"/>
        <v>24860631.594999999</v>
      </c>
      <c r="J74" s="181">
        <f t="shared" si="12"/>
        <v>23661781.794999998</v>
      </c>
      <c r="K74" s="181">
        <f t="shared" si="12"/>
        <v>21810092.994999994</v>
      </c>
      <c r="L74" s="181">
        <f t="shared" si="12"/>
        <v>20088971.99499999</v>
      </c>
      <c r="M74" s="181">
        <f t="shared" si="12"/>
        <v>20492545.194999997</v>
      </c>
      <c r="N74" s="181">
        <f t="shared" si="12"/>
        <v>19531091.394999992</v>
      </c>
      <c r="O74" s="181">
        <f t="shared" si="12"/>
        <v>18249152.994999994</v>
      </c>
      <c r="P74" s="181">
        <f t="shared" si="12"/>
        <v>16682339.394999996</v>
      </c>
      <c r="Q74" s="181">
        <f t="shared" si="12"/>
        <v>15091786.195</v>
      </c>
      <c r="R74" s="181">
        <f t="shared" si="12"/>
        <v>13928545.794999994</v>
      </c>
      <c r="S74" s="181">
        <f t="shared" si="12"/>
        <v>12432950.994999997</v>
      </c>
      <c r="T74" s="181">
        <f t="shared" si="12"/>
        <v>11056054.194999993</v>
      </c>
      <c r="U74" s="181">
        <f t="shared" si="12"/>
        <v>9774115.7949999943</v>
      </c>
      <c r="V74" s="181">
        <f t="shared" si="12"/>
        <v>8409088.7949999962</v>
      </c>
      <c r="W74" s="181">
        <f t="shared" si="12"/>
        <v>7044061.7949999981</v>
      </c>
      <c r="X74" s="181">
        <f t="shared" si="12"/>
        <v>-8848935.8999999985</v>
      </c>
    </row>
    <row r="75" spans="1:24" x14ac:dyDescent="0.25">
      <c r="A75" s="12" t="s">
        <v>91</v>
      </c>
      <c r="C75" s="181">
        <f>SUMIFS(C$2:C$64,$A$2:$A$64,$A75,$B$2:$B$64,"&lt;=2024")</f>
        <v>0</v>
      </c>
      <c r="D75" s="181">
        <f t="shared" si="12"/>
        <v>0</v>
      </c>
      <c r="E75" s="181">
        <f t="shared" si="12"/>
        <v>0</v>
      </c>
      <c r="F75" s="181">
        <f t="shared" si="12"/>
        <v>44006236.064999998</v>
      </c>
      <c r="G75" s="181">
        <f t="shared" si="12"/>
        <v>109853858.12827499</v>
      </c>
      <c r="H75" s="181">
        <f t="shared" si="12"/>
        <v>124695260.7728606</v>
      </c>
      <c r="I75" s="181">
        <f t="shared" si="12"/>
        <v>114279156.08158328</v>
      </c>
      <c r="J75" s="181">
        <f t="shared" si="12"/>
        <v>108737506.81737195</v>
      </c>
      <c r="K75" s="181">
        <f t="shared" si="12"/>
        <v>100555376.2559983</v>
      </c>
      <c r="L75" s="181">
        <f t="shared" si="12"/>
        <v>92988263.68393752</v>
      </c>
      <c r="M75" s="181">
        <f t="shared" si="12"/>
        <v>94171504.961511731</v>
      </c>
      <c r="N75" s="181">
        <f t="shared" si="12"/>
        <v>89793727.544818059</v>
      </c>
      <c r="O75" s="181">
        <f t="shared" si="12"/>
        <v>84161578.517191753</v>
      </c>
      <c r="P75" s="181">
        <f t="shared" si="12"/>
        <v>77437447.361552492</v>
      </c>
      <c r="Q75" s="181">
        <f t="shared" si="12"/>
        <v>70683426.104571268</v>
      </c>
      <c r="R75" s="181">
        <f t="shared" si="12"/>
        <v>65696949.382204264</v>
      </c>
      <c r="S75" s="181">
        <f t="shared" si="12"/>
        <v>59441457.686012633</v>
      </c>
      <c r="T75" s="181">
        <f t="shared" si="12"/>
        <v>53714923.873090737</v>
      </c>
      <c r="U75" s="181">
        <f t="shared" si="12"/>
        <v>48416733.492329687</v>
      </c>
      <c r="V75" s="181">
        <f t="shared" si="12"/>
        <v>42845818.496185713</v>
      </c>
      <c r="W75" s="181">
        <f t="shared" si="12"/>
        <v>37329402.231665865</v>
      </c>
      <c r="X75" s="181">
        <f t="shared" si="12"/>
        <v>-34264899.328918926</v>
      </c>
    </row>
    <row r="76" spans="1:24" x14ac:dyDescent="0.25">
      <c r="A76" s="12" t="s">
        <v>86</v>
      </c>
      <c r="C76" s="181">
        <f>SUMIFS(C$2:C$64,$A$2:$A$64,$A76,$B$2:$B$64,"&lt;=2024")</f>
        <v>0</v>
      </c>
      <c r="D76" s="181">
        <f t="shared" si="12"/>
        <v>0</v>
      </c>
      <c r="E76" s="181">
        <f t="shared" si="12"/>
        <v>0</v>
      </c>
      <c r="F76" s="181">
        <f t="shared" si="12"/>
        <v>3109644.45</v>
      </c>
      <c r="G76" s="181">
        <f t="shared" si="12"/>
        <v>8848335.0397499986</v>
      </c>
      <c r="H76" s="181">
        <f t="shared" si="12"/>
        <v>12485819.190641249</v>
      </c>
      <c r="I76" s="181">
        <f t="shared" si="12"/>
        <v>11957445.631187867</v>
      </c>
      <c r="J76" s="181">
        <f t="shared" si="12"/>
        <v>11661168.055256929</v>
      </c>
      <c r="K76" s="181">
        <f t="shared" si="12"/>
        <v>11239416.355756529</v>
      </c>
      <c r="L76" s="181">
        <f t="shared" si="12"/>
        <v>10847090.098724162</v>
      </c>
      <c r="M76" s="181">
        <f t="shared" si="12"/>
        <v>10871277.062015567</v>
      </c>
      <c r="N76" s="181">
        <f t="shared" si="12"/>
        <v>10631024.957911249</v>
      </c>
      <c r="O76" s="181">
        <f t="shared" si="12"/>
        <v>10331248.179521333</v>
      </c>
      <c r="P76" s="181">
        <f t="shared" si="12"/>
        <v>9979672.6054397356</v>
      </c>
      <c r="Q76" s="181">
        <f t="shared" si="12"/>
        <v>9626832.9947351031</v>
      </c>
      <c r="R76" s="181">
        <f t="shared" si="12"/>
        <v>9358252.5531865992</v>
      </c>
      <c r="S76" s="181">
        <f t="shared" si="12"/>
        <v>9029447.5180310123</v>
      </c>
      <c r="T76" s="181">
        <f t="shared" si="12"/>
        <v>8725966.7121137641</v>
      </c>
      <c r="U76" s="181">
        <f t="shared" si="12"/>
        <v>8443022.0056874231</v>
      </c>
      <c r="V76" s="181">
        <f t="shared" si="12"/>
        <v>8147255.0037361542</v>
      </c>
      <c r="W76" s="181">
        <f t="shared" si="12"/>
        <v>7854234.5962542556</v>
      </c>
      <c r="X76" s="181">
        <f t="shared" si="12"/>
        <v>-1629270.3736834493</v>
      </c>
    </row>
    <row r="77" spans="1:24" x14ac:dyDescent="0.25">
      <c r="A77" s="14" t="s">
        <v>93</v>
      </c>
      <c r="C77" s="181">
        <f t="shared" ref="C77:W77" si="13">SUM(C74:C76)</f>
        <v>0</v>
      </c>
      <c r="D77" s="181">
        <f t="shared" si="13"/>
        <v>0</v>
      </c>
      <c r="E77" s="181">
        <f t="shared" si="13"/>
        <v>0</v>
      </c>
      <c r="F77" s="181">
        <f t="shared" si="13"/>
        <v>47115880.515000001</v>
      </c>
      <c r="G77" s="181">
        <f t="shared" si="13"/>
        <v>118702193.16802499</v>
      </c>
      <c r="H77" s="181">
        <f t="shared" si="13"/>
        <v>164391931.95850185</v>
      </c>
      <c r="I77" s="181">
        <f t="shared" si="13"/>
        <v>151097233.30777115</v>
      </c>
      <c r="J77" s="181">
        <f t="shared" si="13"/>
        <v>144060456.66762888</v>
      </c>
      <c r="K77" s="181">
        <f t="shared" si="13"/>
        <v>133604885.60675481</v>
      </c>
      <c r="L77" s="181">
        <f t="shared" si="13"/>
        <v>123924325.77766167</v>
      </c>
      <c r="M77" s="181">
        <f t="shared" si="13"/>
        <v>125535327.21852729</v>
      </c>
      <c r="N77" s="181">
        <f t="shared" si="13"/>
        <v>119955843.89772931</v>
      </c>
      <c r="O77" s="181">
        <f t="shared" si="13"/>
        <v>112741979.69171308</v>
      </c>
      <c r="P77" s="181">
        <f t="shared" si="13"/>
        <v>104099459.36199223</v>
      </c>
      <c r="Q77" s="181">
        <f t="shared" si="13"/>
        <v>95402045.294306383</v>
      </c>
      <c r="R77" s="181">
        <f t="shared" si="13"/>
        <v>88983747.730390847</v>
      </c>
      <c r="S77" s="181">
        <f t="shared" si="13"/>
        <v>80903856.199043646</v>
      </c>
      <c r="T77" s="181">
        <f t="shared" si="13"/>
        <v>73496944.78020449</v>
      </c>
      <c r="U77" s="181">
        <f t="shared" si="13"/>
        <v>66633871.293017104</v>
      </c>
      <c r="V77" s="181">
        <f t="shared" si="13"/>
        <v>59402162.29492186</v>
      </c>
      <c r="W77" s="181">
        <f t="shared" si="13"/>
        <v>52227698.622920126</v>
      </c>
      <c r="X77" s="181">
        <f t="shared" ref="X77" si="14">SUM(X74:X76)</f>
        <v>-44743105.602602378</v>
      </c>
    </row>
    <row r="79" spans="1:24" ht="15.75" x14ac:dyDescent="0.25">
      <c r="A79" s="177" t="s">
        <v>95</v>
      </c>
      <c r="C79" s="218">
        <v>2022</v>
      </c>
      <c r="D79" s="218">
        <f t="shared" ref="D79:W79" si="15">C67+1</f>
        <v>2023</v>
      </c>
      <c r="E79" s="218">
        <f>D67+1</f>
        <v>2024</v>
      </c>
      <c r="F79" s="218">
        <f t="shared" si="15"/>
        <v>2025</v>
      </c>
      <c r="G79" s="218">
        <f t="shared" si="15"/>
        <v>2026</v>
      </c>
      <c r="H79" s="218">
        <f t="shared" si="15"/>
        <v>2027</v>
      </c>
      <c r="I79" s="218">
        <f t="shared" si="15"/>
        <v>2028</v>
      </c>
      <c r="J79" s="218">
        <f t="shared" si="15"/>
        <v>2029</v>
      </c>
      <c r="K79" s="218">
        <f t="shared" si="15"/>
        <v>2030</v>
      </c>
      <c r="L79" s="218">
        <f t="shared" si="15"/>
        <v>2031</v>
      </c>
      <c r="M79" s="218">
        <f t="shared" si="15"/>
        <v>2032</v>
      </c>
      <c r="N79" s="218">
        <f t="shared" si="15"/>
        <v>2033</v>
      </c>
      <c r="O79" s="218">
        <f t="shared" si="15"/>
        <v>2034</v>
      </c>
      <c r="P79" s="218">
        <f t="shared" si="15"/>
        <v>2035</v>
      </c>
      <c r="Q79" s="218">
        <f t="shared" si="15"/>
        <v>2036</v>
      </c>
      <c r="R79" s="218">
        <f t="shared" si="15"/>
        <v>2037</v>
      </c>
      <c r="S79" s="218">
        <f t="shared" si="15"/>
        <v>2038</v>
      </c>
      <c r="T79" s="218">
        <f t="shared" si="15"/>
        <v>2039</v>
      </c>
      <c r="U79" s="218">
        <f t="shared" si="15"/>
        <v>2040</v>
      </c>
      <c r="V79" s="218">
        <f t="shared" si="15"/>
        <v>2041</v>
      </c>
      <c r="W79" s="218">
        <f t="shared" si="15"/>
        <v>2042</v>
      </c>
      <c r="X79" s="218">
        <f t="shared" ref="X79" si="16">W67+1</f>
        <v>2043</v>
      </c>
    </row>
    <row r="80" spans="1:24" x14ac:dyDescent="0.25">
      <c r="A80" s="12" t="s">
        <v>90</v>
      </c>
      <c r="C80" s="181">
        <f>SUMIFS(C2:C64,$A$2:$A$64,$A$80,$B$2:$B$64,"=2024 or 2025")</f>
        <v>0</v>
      </c>
      <c r="D80" s="181">
        <f t="shared" ref="D80:X80" si="17">SUMIFS(D2:D64,$A$2:$A$64,$A$80,$B$2:$B$64,"&gt;2024")</f>
        <v>0</v>
      </c>
      <c r="E80" s="181">
        <f t="shared" si="17"/>
        <v>0</v>
      </c>
      <c r="F80" s="181">
        <f t="shared" si="17"/>
        <v>0</v>
      </c>
      <c r="G80" s="181">
        <f t="shared" si="17"/>
        <v>0</v>
      </c>
      <c r="H80" s="181">
        <f t="shared" si="17"/>
        <v>0</v>
      </c>
      <c r="I80" s="181">
        <f>SUMIFS(I2:I64,$A$2:$A$64,$A$80,$B$2:$B$64,"&gt;2024")</f>
        <v>21537500.000000004</v>
      </c>
      <c r="J80" s="181">
        <f t="shared" si="17"/>
        <v>38025000.000000022</v>
      </c>
      <c r="K80" s="181">
        <f t="shared" si="17"/>
        <v>45337500.000000015</v>
      </c>
      <c r="L80" s="181">
        <f t="shared" si="17"/>
        <v>45949999.999999985</v>
      </c>
      <c r="M80" s="181">
        <f t="shared" si="17"/>
        <v>61687500.00000003</v>
      </c>
      <c r="N80" s="181">
        <f t="shared" si="17"/>
        <v>55687500</v>
      </c>
      <c r="O80" s="181">
        <f t="shared" si="17"/>
        <v>44152500.000000022</v>
      </c>
      <c r="P80" s="181">
        <f t="shared" si="17"/>
        <v>26737500.000000019</v>
      </c>
      <c r="Q80" s="181">
        <f t="shared" si="17"/>
        <v>6352500.0000000857</v>
      </c>
      <c r="R80" s="181">
        <f t="shared" si="17"/>
        <v>-10412499.999999978</v>
      </c>
      <c r="S80" s="181">
        <f t="shared" si="17"/>
        <v>-34317499.99999994</v>
      </c>
      <c r="T80" s="181">
        <f t="shared" si="17"/>
        <v>-58792500.000000007</v>
      </c>
      <c r="U80" s="181">
        <f t="shared" si="17"/>
        <v>-83947499.999999985</v>
      </c>
      <c r="V80" s="181">
        <f t="shared" si="17"/>
        <v>-112767499.99999997</v>
      </c>
      <c r="W80" s="181">
        <f t="shared" si="17"/>
        <v>-143887499.99999994</v>
      </c>
      <c r="X80" s="181">
        <f t="shared" si="17"/>
        <v>-175192499.99999997</v>
      </c>
    </row>
    <row r="81" spans="1:34" x14ac:dyDescent="0.25">
      <c r="A81" s="12" t="s">
        <v>91</v>
      </c>
      <c r="C81" s="181">
        <f>SUMIFS(C2:C64,$A$2:$A$64,$A$81,$B$2:$B$64,"&gt;2024")</f>
        <v>0</v>
      </c>
      <c r="D81" s="181">
        <f t="shared" ref="D81:X81" si="18">SUMIFS(D2:D64,$A$2:$A$64,$A$81,$B$2:$B$64,"&gt;2024")</f>
        <v>0</v>
      </c>
      <c r="E81" s="181">
        <f t="shared" si="18"/>
        <v>0</v>
      </c>
      <c r="F81" s="181">
        <f t="shared" si="18"/>
        <v>0</v>
      </c>
      <c r="G81" s="181">
        <f t="shared" si="18"/>
        <v>0</v>
      </c>
      <c r="H81" s="181">
        <f t="shared" si="18"/>
        <v>0</v>
      </c>
      <c r="I81" s="181">
        <f t="shared" si="18"/>
        <v>27667500</v>
      </c>
      <c r="J81" s="181">
        <f t="shared" si="18"/>
        <v>52174237.500000007</v>
      </c>
      <c r="K81" s="181">
        <f t="shared" si="18"/>
        <v>71080907.8125</v>
      </c>
      <c r="L81" s="181">
        <f t="shared" si="18"/>
        <v>78690536.045312494</v>
      </c>
      <c r="M81" s="181">
        <f t="shared" si="18"/>
        <v>94907560.546654686</v>
      </c>
      <c r="N81" s="181">
        <f t="shared" si="18"/>
        <v>99718727.642493963</v>
      </c>
      <c r="O81" s="181">
        <f t="shared" si="18"/>
        <v>101197577.50305441</v>
      </c>
      <c r="P81" s="181">
        <f t="shared" si="18"/>
        <v>99034507.709324628</v>
      </c>
      <c r="Q81" s="181">
        <f t="shared" si="18"/>
        <v>94773262.874902442</v>
      </c>
      <c r="R81" s="181">
        <f t="shared" si="18"/>
        <v>92178812.6271635</v>
      </c>
      <c r="S81" s="181">
        <f t="shared" si="18"/>
        <v>85185408.153559387</v>
      </c>
      <c r="T81" s="181">
        <f t="shared" si="18"/>
        <v>77542079.314567327</v>
      </c>
      <c r="U81" s="181">
        <f t="shared" si="18"/>
        <v>69228660.967674032</v>
      </c>
      <c r="V81" s="181">
        <f t="shared" si="18"/>
        <v>58508731.427044742</v>
      </c>
      <c r="W81" s="181">
        <f t="shared" si="18"/>
        <v>46190776.715297535</v>
      </c>
      <c r="X81" s="181">
        <f t="shared" si="18"/>
        <v>-105366070.64897533</v>
      </c>
    </row>
    <row r="82" spans="1:34" x14ac:dyDescent="0.25">
      <c r="A82" s="12" t="s">
        <v>86</v>
      </c>
      <c r="C82" s="181">
        <f>SUMIFS(C2:C64,$A$2:$A$64,$A$82,$B$2:$B$64,"&gt;2024")</f>
        <v>0</v>
      </c>
      <c r="D82" s="181">
        <f t="shared" ref="D82:X82" si="19">SUMIFS(D2:D64,$A$2:$A$64,$A$82,$B$2:$B$64,"&gt;2024")</f>
        <v>0</v>
      </c>
      <c r="E82" s="181">
        <f t="shared" si="19"/>
        <v>0</v>
      </c>
      <c r="F82" s="181">
        <f t="shared" si="19"/>
        <v>0</v>
      </c>
      <c r="G82" s="181">
        <f t="shared" si="19"/>
        <v>0</v>
      </c>
      <c r="H82" s="181">
        <f t="shared" si="19"/>
        <v>0</v>
      </c>
      <c r="I82" s="181">
        <f t="shared" si="19"/>
        <v>4157775</v>
      </c>
      <c r="J82" s="181">
        <f t="shared" si="19"/>
        <v>8123490.375</v>
      </c>
      <c r="K82" s="181">
        <f t="shared" si="19"/>
        <v>11758983.608124999</v>
      </c>
      <c r="L82" s="181">
        <f t="shared" si="19"/>
        <v>15150198.880490623</v>
      </c>
      <c r="M82" s="181">
        <f t="shared" si="19"/>
        <v>19033585.093043737</v>
      </c>
      <c r="N82" s="181">
        <f t="shared" si="19"/>
        <v>22375421.621414293</v>
      </c>
      <c r="O82" s="181">
        <f t="shared" si="19"/>
        <v>25406628.588729352</v>
      </c>
      <c r="P82" s="181">
        <f t="shared" si="19"/>
        <v>28081872.343618508</v>
      </c>
      <c r="Q82" s="181">
        <f t="shared" si="19"/>
        <v>30508752.576885626</v>
      </c>
      <c r="R82" s="181">
        <f t="shared" si="19"/>
        <v>32999928.587560959</v>
      </c>
      <c r="S82" s="181">
        <f t="shared" si="19"/>
        <v>35060769.044227101</v>
      </c>
      <c r="T82" s="181">
        <f t="shared" si="19"/>
        <v>37002091.951357454</v>
      </c>
      <c r="U82" s="181">
        <f t="shared" si="19"/>
        <v>38828060.252873868</v>
      </c>
      <c r="V82" s="181">
        <f t="shared" si="19"/>
        <v>40386443.78618066</v>
      </c>
      <c r="W82" s="181">
        <f t="shared" si="19"/>
        <v>41748159.907648079</v>
      </c>
      <c r="X82" s="181">
        <f t="shared" si="19"/>
        <v>-9767324.0031251647</v>
      </c>
    </row>
    <row r="83" spans="1:34" x14ac:dyDescent="0.25">
      <c r="A83" s="14" t="s">
        <v>109</v>
      </c>
      <c r="C83" s="181">
        <f>SUM(C80:C82)</f>
        <v>0</v>
      </c>
      <c r="D83" s="181">
        <f t="shared" ref="D83:W83" si="20">SUM(D80:D82)</f>
        <v>0</v>
      </c>
      <c r="E83" s="181">
        <f t="shared" si="20"/>
        <v>0</v>
      </c>
      <c r="F83" s="181">
        <f t="shared" si="20"/>
        <v>0</v>
      </c>
      <c r="G83" s="181">
        <f t="shared" si="20"/>
        <v>0</v>
      </c>
      <c r="H83" s="181">
        <f t="shared" si="20"/>
        <v>0</v>
      </c>
      <c r="I83" s="181">
        <f t="shared" si="20"/>
        <v>53362775</v>
      </c>
      <c r="J83" s="181">
        <f t="shared" si="20"/>
        <v>98322727.87500003</v>
      </c>
      <c r="K83" s="181">
        <f t="shared" si="20"/>
        <v>128177391.42062502</v>
      </c>
      <c r="L83" s="181">
        <f t="shared" si="20"/>
        <v>139790734.9258031</v>
      </c>
      <c r="M83" s="181">
        <f t="shared" si="20"/>
        <v>175628645.63969845</v>
      </c>
      <c r="N83" s="181">
        <f t="shared" si="20"/>
        <v>177781649.26390827</v>
      </c>
      <c r="O83" s="181">
        <f t="shared" si="20"/>
        <v>170756706.09178379</v>
      </c>
      <c r="P83" s="181">
        <f t="shared" si="20"/>
        <v>153853880.05294314</v>
      </c>
      <c r="Q83" s="181">
        <f t="shared" si="20"/>
        <v>131634515.45178816</v>
      </c>
      <c r="R83" s="181">
        <f t="shared" si="20"/>
        <v>114766241.21472448</v>
      </c>
      <c r="S83" s="181">
        <f t="shared" si="20"/>
        <v>85928677.19778654</v>
      </c>
      <c r="T83" s="181">
        <f t="shared" si="20"/>
        <v>55751671.265924774</v>
      </c>
      <c r="U83" s="181">
        <f t="shared" si="20"/>
        <v>24109221.220547915</v>
      </c>
      <c r="V83" s="181">
        <f t="shared" si="20"/>
        <v>-13872324.786774568</v>
      </c>
      <c r="W83" s="181">
        <f t="shared" si="20"/>
        <v>-55948563.377054326</v>
      </c>
      <c r="X83" s="181">
        <f t="shared" ref="X83" si="21">SUM(X80:X82)</f>
        <v>-290325894.6521005</v>
      </c>
    </row>
    <row r="89" spans="1:34" x14ac:dyDescent="0.25">
      <c r="E89" s="177"/>
      <c r="F89" s="177"/>
      <c r="G89" s="177"/>
      <c r="H89" s="177">
        <f t="shared" ref="H89:V89" si="22">H79</f>
        <v>2027</v>
      </c>
      <c r="I89" s="177">
        <f t="shared" si="22"/>
        <v>2028</v>
      </c>
      <c r="J89" s="177">
        <f t="shared" si="22"/>
        <v>2029</v>
      </c>
      <c r="K89" s="177">
        <f t="shared" si="22"/>
        <v>2030</v>
      </c>
      <c r="L89" s="177">
        <f t="shared" si="22"/>
        <v>2031</v>
      </c>
      <c r="M89" s="177">
        <f t="shared" si="22"/>
        <v>2032</v>
      </c>
      <c r="N89" s="177">
        <f t="shared" si="22"/>
        <v>2033</v>
      </c>
      <c r="O89" s="177">
        <f t="shared" si="22"/>
        <v>2034</v>
      </c>
      <c r="P89" s="177">
        <f t="shared" si="22"/>
        <v>2035</v>
      </c>
      <c r="Q89" s="177">
        <f t="shared" si="22"/>
        <v>2036</v>
      </c>
      <c r="R89" s="177">
        <f t="shared" si="22"/>
        <v>2037</v>
      </c>
      <c r="S89" s="177">
        <f t="shared" si="22"/>
        <v>2038</v>
      </c>
      <c r="T89" s="177">
        <f t="shared" si="22"/>
        <v>2039</v>
      </c>
      <c r="U89" s="177">
        <f t="shared" si="22"/>
        <v>2040</v>
      </c>
      <c r="V89" s="177">
        <f t="shared" si="22"/>
        <v>2041</v>
      </c>
      <c r="W89" s="177">
        <f t="shared" ref="W89:X89" si="23">W79</f>
        <v>2042</v>
      </c>
      <c r="X89" s="177">
        <f t="shared" si="23"/>
        <v>2043</v>
      </c>
      <c r="AA89" s="1"/>
      <c r="AB89" s="1"/>
    </row>
    <row r="90" spans="1:34" x14ac:dyDescent="0.25">
      <c r="E90" s="177">
        <v>2023</v>
      </c>
      <c r="F90" s="177"/>
      <c r="G90" s="177" t="s">
        <v>110</v>
      </c>
      <c r="H90" s="182">
        <f>SUMIF($B$2:$B$64,$E90,H$2:H$64)+SUMIF($B$2:$B$64,$F90,H$2:H$64)</f>
        <v>98133237.803999975</v>
      </c>
      <c r="I90" s="182">
        <f t="shared" ref="H90:Q99" si="24">SUMIF($B$2:$B$64,$E90,I$2:I$64)+SUMIF($B$2:$B$64,$F90,I$2:I$64)</f>
        <v>91499454.767256007</v>
      </c>
      <c r="J90" s="182">
        <f t="shared" si="24"/>
        <v>87969276.947995663</v>
      </c>
      <c r="K90" s="182">
        <f t="shared" si="24"/>
        <v>82738152.481706396</v>
      </c>
      <c r="L90" s="182">
        <f t="shared" si="24"/>
        <v>77888696.456292495</v>
      </c>
      <c r="M90" s="182">
        <f t="shared" si="24"/>
        <v>78650693.625648975</v>
      </c>
      <c r="N90" s="182">
        <f t="shared" si="24"/>
        <v>75836852.347038999</v>
      </c>
      <c r="O90" s="182">
        <f t="shared" si="24"/>
        <v>72207944.6171747</v>
      </c>
      <c r="P90" s="182">
        <f t="shared" si="24"/>
        <v>67865432.105982035</v>
      </c>
      <c r="Q90" s="182">
        <f t="shared" si="24"/>
        <v>63492632.8723602</v>
      </c>
      <c r="R90" s="182">
        <f t="shared" ref="R90:X99" si="25">SUMIF($B$2:$B$64,$E90,R$2:R$64)+SUMIF($B$2:$B$64,$F90,R$2:R$64)</f>
        <v>60252328.166037597</v>
      </c>
      <c r="S90" s="182">
        <f t="shared" si="25"/>
        <v>56181756.456121661</v>
      </c>
      <c r="T90" s="182">
        <f t="shared" si="25"/>
        <v>52443952.925513364</v>
      </c>
      <c r="U90" s="182">
        <f t="shared" si="25"/>
        <v>48974880.021371908</v>
      </c>
      <c r="V90" s="182">
        <f t="shared" si="25"/>
        <v>45319526.860054433</v>
      </c>
      <c r="W90" s="182">
        <f t="shared" si="25"/>
        <v>41690256.589922361</v>
      </c>
      <c r="X90" s="182">
        <f t="shared" si="25"/>
        <v>-22310631.977898926</v>
      </c>
      <c r="AA90" s="1"/>
      <c r="AB90" s="1"/>
    </row>
    <row r="91" spans="1:34" x14ac:dyDescent="0.25">
      <c r="E91" s="177">
        <v>2024</v>
      </c>
      <c r="F91" s="177">
        <v>2025</v>
      </c>
      <c r="G91" s="177" t="s">
        <v>99</v>
      </c>
      <c r="H91" s="182">
        <f t="shared" si="24"/>
        <v>25093840.689999998</v>
      </c>
      <c r="I91" s="182">
        <f t="shared" si="24"/>
        <v>75803710.612725005</v>
      </c>
      <c r="J91" s="182">
        <f t="shared" si="24"/>
        <v>70135725.442806646</v>
      </c>
      <c r="K91" s="182">
        <f t="shared" si="24"/>
        <v>61553962.986277297</v>
      </c>
      <c r="L91" s="182">
        <f t="shared" si="24"/>
        <v>53598908.584583595</v>
      </c>
      <c r="M91" s="182">
        <f t="shared" si="24"/>
        <v>55205796.257533923</v>
      </c>
      <c r="N91" s="182">
        <f t="shared" si="24"/>
        <v>50700103.552383065</v>
      </c>
      <c r="O91" s="182">
        <f t="shared" si="24"/>
        <v>44785195.09903416</v>
      </c>
      <c r="P91" s="182">
        <f t="shared" si="24"/>
        <v>37629324.580535904</v>
      </c>
      <c r="Q91" s="182">
        <f t="shared" si="24"/>
        <v>30400932.039533526</v>
      </c>
      <c r="R91" s="182">
        <f t="shared" si="25"/>
        <v>25099390.006479621</v>
      </c>
      <c r="S91" s="182">
        <f t="shared" si="25"/>
        <v>18352611.25956976</v>
      </c>
      <c r="T91" s="182">
        <f t="shared" si="25"/>
        <v>12160241.748782758</v>
      </c>
      <c r="U91" s="182">
        <f t="shared" si="25"/>
        <v>6413997.6630595708</v>
      </c>
      <c r="V91" s="182">
        <f t="shared" si="25"/>
        <v>328944.70857760916</v>
      </c>
      <c r="W91" s="182">
        <f t="shared" si="25"/>
        <v>-5728583.6524789808</v>
      </c>
      <c r="X91" s="182">
        <f t="shared" si="25"/>
        <v>-38684649.139252231</v>
      </c>
      <c r="Y91" s="172"/>
      <c r="Z91" s="172"/>
      <c r="AA91" s="172"/>
      <c r="AB91" s="172"/>
      <c r="AC91" s="172"/>
      <c r="AD91" s="172"/>
      <c r="AE91" s="172"/>
      <c r="AF91" s="172"/>
      <c r="AG91" s="172"/>
      <c r="AH91" s="172"/>
    </row>
    <row r="92" spans="1:34" x14ac:dyDescent="0.25">
      <c r="E92" s="177">
        <v>2026</v>
      </c>
      <c r="F92" s="177">
        <v>2027</v>
      </c>
      <c r="G92" s="177" t="s">
        <v>100</v>
      </c>
      <c r="H92" s="182">
        <f t="shared" si="24"/>
        <v>0</v>
      </c>
      <c r="I92" s="182">
        <f t="shared" si="24"/>
        <v>0</v>
      </c>
      <c r="J92" s="182">
        <f t="shared" si="24"/>
        <v>49236925.000000015</v>
      </c>
      <c r="K92" s="182">
        <f t="shared" si="24"/>
        <v>85589890.875</v>
      </c>
      <c r="L92" s="182">
        <f t="shared" si="24"/>
        <v>73500982.714374989</v>
      </c>
      <c r="M92" s="182">
        <f t="shared" si="24"/>
        <v>76012734.123440653</v>
      </c>
      <c r="N92" s="182">
        <f t="shared" si="24"/>
        <v>69182992.138177261</v>
      </c>
      <c r="O92" s="182">
        <f t="shared" si="24"/>
        <v>60192951.446722493</v>
      </c>
      <c r="P92" s="182">
        <f t="shared" si="24"/>
        <v>49297482.88413211</v>
      </c>
      <c r="Q92" s="182">
        <f t="shared" si="24"/>
        <v>38282476.995331049</v>
      </c>
      <c r="R92" s="182">
        <f t="shared" si="25"/>
        <v>30208701.885079451</v>
      </c>
      <c r="S92" s="182">
        <f t="shared" si="25"/>
        <v>19915176.221391685</v>
      </c>
      <c r="T92" s="182">
        <f t="shared" si="25"/>
        <v>10463015.675642122</v>
      </c>
      <c r="U92" s="182">
        <f t="shared" si="25"/>
        <v>1687245.5062079658</v>
      </c>
      <c r="V92" s="182">
        <f t="shared" si="25"/>
        <v>-7614876.502981198</v>
      </c>
      <c r="W92" s="182">
        <f t="shared" si="25"/>
        <v>-16882031.348216124</v>
      </c>
      <c r="X92" s="182">
        <f t="shared" si="25"/>
        <v>-59361142.202422336</v>
      </c>
      <c r="Y92" s="172"/>
      <c r="Z92" s="172"/>
      <c r="AA92" s="172"/>
      <c r="AB92" s="172"/>
      <c r="AC92" s="172"/>
      <c r="AD92" s="172"/>
      <c r="AE92" s="172"/>
      <c r="AF92" s="172"/>
      <c r="AG92" s="172"/>
      <c r="AH92" s="172"/>
    </row>
    <row r="93" spans="1:34" x14ac:dyDescent="0.25">
      <c r="E93" s="177">
        <v>2028</v>
      </c>
      <c r="F93" s="177">
        <v>2029</v>
      </c>
      <c r="G93" s="177" t="s">
        <v>101</v>
      </c>
      <c r="H93" s="182">
        <f t="shared" si="24"/>
        <v>0</v>
      </c>
      <c r="I93" s="182">
        <f t="shared" si="24"/>
        <v>0</v>
      </c>
      <c r="J93" s="182">
        <f t="shared" si="24"/>
        <v>0</v>
      </c>
      <c r="K93" s="182">
        <f t="shared" si="24"/>
        <v>0</v>
      </c>
      <c r="L93" s="182">
        <f t="shared" si="24"/>
        <v>29728574.999999993</v>
      </c>
      <c r="M93" s="182">
        <f t="shared" si="24"/>
        <v>61801900.125000015</v>
      </c>
      <c r="N93" s="182">
        <f t="shared" si="24"/>
        <v>55821726.403125003</v>
      </c>
      <c r="O93" s="182">
        <f t="shared" si="24"/>
        <v>47931320.737584382</v>
      </c>
      <c r="P93" s="182">
        <f t="shared" si="24"/>
        <v>38353194.783126332</v>
      </c>
      <c r="Q93" s="182">
        <f t="shared" si="24"/>
        <v>28661600.288088147</v>
      </c>
      <c r="R93" s="182">
        <f t="shared" si="25"/>
        <v>21559138.198254671</v>
      </c>
      <c r="S93" s="182">
        <f t="shared" si="25"/>
        <v>12489907.973469216</v>
      </c>
      <c r="T93" s="182">
        <f t="shared" si="25"/>
        <v>4156750.8828833802</v>
      </c>
      <c r="U93" s="182">
        <f t="shared" si="25"/>
        <v>-3585259.3879121072</v>
      </c>
      <c r="V93" s="182">
        <f t="shared" si="25"/>
        <v>-11799166.977656852</v>
      </c>
      <c r="W93" s="182">
        <f t="shared" si="25"/>
        <v>-19988857.735019445</v>
      </c>
      <c r="X93" s="182">
        <f t="shared" si="25"/>
        <v>-52546235.488590628</v>
      </c>
      <c r="Y93" s="172"/>
      <c r="Z93" s="172"/>
      <c r="AA93" s="172"/>
      <c r="AB93" s="172"/>
      <c r="AC93" s="172"/>
      <c r="AD93" s="172"/>
      <c r="AE93" s="172"/>
      <c r="AF93" s="172"/>
      <c r="AG93" s="172"/>
      <c r="AH93" s="172"/>
    </row>
    <row r="94" spans="1:34" x14ac:dyDescent="0.25">
      <c r="E94" s="177">
        <v>2030</v>
      </c>
      <c r="F94" s="177">
        <v>2031</v>
      </c>
      <c r="G94" s="177" t="s">
        <v>102</v>
      </c>
      <c r="H94" s="182">
        <f t="shared" si="24"/>
        <v>0</v>
      </c>
      <c r="I94" s="182">
        <f t="shared" si="24"/>
        <v>0</v>
      </c>
      <c r="J94" s="182">
        <f t="shared" si="24"/>
        <v>0</v>
      </c>
      <c r="K94" s="182">
        <f t="shared" si="24"/>
        <v>0</v>
      </c>
      <c r="L94" s="182">
        <f t="shared" si="24"/>
        <v>0</v>
      </c>
      <c r="M94" s="182">
        <f t="shared" si="24"/>
        <v>0</v>
      </c>
      <c r="N94" s="182">
        <f t="shared" si="24"/>
        <v>18367374.999999996</v>
      </c>
      <c r="O94" s="182">
        <f t="shared" si="24"/>
        <v>32704447.125000004</v>
      </c>
      <c r="P94" s="182">
        <f t="shared" si="24"/>
        <v>27743480.334375001</v>
      </c>
      <c r="Q94" s="182">
        <f t="shared" si="24"/>
        <v>22732073.682565644</v>
      </c>
      <c r="R94" s="182">
        <f t="shared" si="25"/>
        <v>19054120.20757886</v>
      </c>
      <c r="S94" s="182">
        <f t="shared" si="25"/>
        <v>14375625.103773884</v>
      </c>
      <c r="T94" s="182">
        <f t="shared" si="25"/>
        <v>10080668.223418677</v>
      </c>
      <c r="U94" s="182">
        <f t="shared" si="25"/>
        <v>6094326.4340713155</v>
      </c>
      <c r="V94" s="182">
        <f t="shared" si="25"/>
        <v>1873258.105708844</v>
      </c>
      <c r="W94" s="182">
        <f t="shared" si="25"/>
        <v>-2328956.6475308551</v>
      </c>
      <c r="X94" s="182">
        <f t="shared" si="25"/>
        <v>-26780930.162447073</v>
      </c>
      <c r="Y94" s="172"/>
      <c r="Z94" s="172"/>
      <c r="AA94" s="172"/>
      <c r="AB94" s="172"/>
      <c r="AC94" s="172"/>
      <c r="AD94" s="172"/>
      <c r="AE94" s="172"/>
      <c r="AF94" s="172"/>
      <c r="AG94" s="172"/>
      <c r="AH94" s="172"/>
    </row>
    <row r="95" spans="1:34" x14ac:dyDescent="0.25">
      <c r="E95" s="177">
        <v>2032</v>
      </c>
      <c r="F95" s="177">
        <v>2033</v>
      </c>
      <c r="G95" s="177" t="s">
        <v>103</v>
      </c>
      <c r="H95" s="182">
        <f t="shared" si="24"/>
        <v>0</v>
      </c>
      <c r="I95" s="182">
        <f t="shared" si="24"/>
        <v>0</v>
      </c>
      <c r="J95" s="182">
        <f t="shared" si="24"/>
        <v>0</v>
      </c>
      <c r="K95" s="182">
        <f t="shared" si="24"/>
        <v>0</v>
      </c>
      <c r="L95" s="182">
        <f t="shared" si="24"/>
        <v>0</v>
      </c>
      <c r="M95" s="182">
        <f t="shared" si="24"/>
        <v>0</v>
      </c>
      <c r="N95" s="182">
        <f t="shared" si="24"/>
        <v>0</v>
      </c>
      <c r="O95" s="182">
        <f t="shared" si="24"/>
        <v>0</v>
      </c>
      <c r="P95" s="182">
        <f t="shared" si="24"/>
        <v>13963375.000000002</v>
      </c>
      <c r="Q95" s="182">
        <f t="shared" si="24"/>
        <v>22953352.625000015</v>
      </c>
      <c r="R95" s="182">
        <f t="shared" si="25"/>
        <v>19258089.904375002</v>
      </c>
      <c r="S95" s="182">
        <f t="shared" si="25"/>
        <v>14557846.876365632</v>
      </c>
      <c r="T95" s="182">
        <f t="shared" si="25"/>
        <v>10242991.311753418</v>
      </c>
      <c r="U95" s="182">
        <f t="shared" si="25"/>
        <v>6238248.2099657245</v>
      </c>
      <c r="V95" s="182">
        <f t="shared" si="25"/>
        <v>1997824.1516212672</v>
      </c>
      <c r="W95" s="182">
        <f t="shared" si="25"/>
        <v>-2223556.3723449963</v>
      </c>
      <c r="X95" s="182">
        <f t="shared" si="25"/>
        <v>-26900535.756619349</v>
      </c>
      <c r="Y95" s="172"/>
      <c r="Z95" s="172"/>
      <c r="AA95" s="172"/>
      <c r="AB95" s="172"/>
      <c r="AC95" s="172"/>
      <c r="AD95" s="172"/>
      <c r="AE95" s="172"/>
      <c r="AF95" s="172"/>
      <c r="AG95" s="172"/>
      <c r="AH95" s="172"/>
    </row>
    <row r="96" spans="1:34" x14ac:dyDescent="0.25">
      <c r="E96" s="177">
        <v>2034</v>
      </c>
      <c r="F96" s="177">
        <v>2035</v>
      </c>
      <c r="G96" s="177" t="s">
        <v>104</v>
      </c>
      <c r="H96" s="182">
        <f t="shared" si="24"/>
        <v>0</v>
      </c>
      <c r="I96" s="182">
        <f t="shared" si="24"/>
        <v>0</v>
      </c>
      <c r="J96" s="182">
        <f t="shared" si="24"/>
        <v>0</v>
      </c>
      <c r="K96" s="182">
        <f t="shared" si="24"/>
        <v>0</v>
      </c>
      <c r="L96" s="182">
        <f t="shared" si="24"/>
        <v>0</v>
      </c>
      <c r="M96" s="182">
        <f t="shared" si="24"/>
        <v>0</v>
      </c>
      <c r="N96" s="182">
        <f t="shared" si="24"/>
        <v>0</v>
      </c>
      <c r="O96" s="182">
        <f t="shared" si="24"/>
        <v>0</v>
      </c>
      <c r="P96" s="182">
        <f t="shared" si="24"/>
        <v>0</v>
      </c>
      <c r="Q96" s="182">
        <f t="shared" si="24"/>
        <v>0</v>
      </c>
      <c r="R96" s="182">
        <f t="shared" si="25"/>
        <v>9706175</v>
      </c>
      <c r="S96" s="182">
        <f t="shared" si="25"/>
        <v>14741904.625000007</v>
      </c>
      <c r="T96" s="182">
        <f t="shared" si="25"/>
        <v>10406949.886874996</v>
      </c>
      <c r="U96" s="182">
        <f t="shared" si="25"/>
        <v>6383620.0701656267</v>
      </c>
      <c r="V96" s="182">
        <f t="shared" si="25"/>
        <v>2123645.2631208976</v>
      </c>
      <c r="W96" s="182">
        <f t="shared" si="25"/>
        <v>-2117094.1363551393</v>
      </c>
      <c r="X96" s="182">
        <f t="shared" si="25"/>
        <v>-27021346.437331732</v>
      </c>
      <c r="Y96" s="172"/>
      <c r="Z96" s="172"/>
      <c r="AA96" s="172"/>
      <c r="AB96" s="172"/>
      <c r="AC96" s="172"/>
      <c r="AD96" s="172"/>
      <c r="AE96" s="172"/>
      <c r="AF96" s="172"/>
      <c r="AG96" s="172"/>
      <c r="AH96" s="172"/>
    </row>
    <row r="97" spans="5:34" x14ac:dyDescent="0.25">
      <c r="E97" s="177">
        <v>2036</v>
      </c>
      <c r="F97" s="177">
        <v>2037</v>
      </c>
      <c r="G97" s="177" t="s">
        <v>105</v>
      </c>
      <c r="H97" s="182">
        <f t="shared" si="24"/>
        <v>0</v>
      </c>
      <c r="I97" s="182">
        <f t="shared" si="24"/>
        <v>0</v>
      </c>
      <c r="J97" s="182">
        <f t="shared" si="24"/>
        <v>0</v>
      </c>
      <c r="K97" s="182">
        <f t="shared" si="24"/>
        <v>0</v>
      </c>
      <c r="L97" s="182">
        <f t="shared" si="24"/>
        <v>0</v>
      </c>
      <c r="M97" s="182">
        <f t="shared" si="24"/>
        <v>0</v>
      </c>
      <c r="N97" s="182">
        <f t="shared" si="24"/>
        <v>0</v>
      </c>
      <c r="O97" s="182">
        <f t="shared" si="24"/>
        <v>0</v>
      </c>
      <c r="P97" s="182">
        <f t="shared" si="24"/>
        <v>0</v>
      </c>
      <c r="Q97" s="182">
        <f t="shared" si="24"/>
        <v>0</v>
      </c>
      <c r="R97" s="182">
        <f t="shared" si="25"/>
        <v>0</v>
      </c>
      <c r="S97" s="182">
        <f t="shared" si="25"/>
        <v>0</v>
      </c>
      <c r="T97" s="182">
        <f t="shared" si="25"/>
        <v>5265474.9999999972</v>
      </c>
      <c r="U97" s="182">
        <f t="shared" si="25"/>
        <v>6530456.6250000019</v>
      </c>
      <c r="V97" s="182">
        <f t="shared" si="25"/>
        <v>2250734.0856250064</v>
      </c>
      <c r="W97" s="182">
        <f t="shared" si="25"/>
        <v>-2009559.2397718634</v>
      </c>
      <c r="X97" s="182">
        <f t="shared" si="25"/>
        <v>-27143374.346437447</v>
      </c>
      <c r="Y97" s="172"/>
      <c r="Z97" s="172"/>
      <c r="AA97" s="172"/>
      <c r="AB97" s="172"/>
      <c r="AC97" s="172"/>
      <c r="AD97" s="172"/>
      <c r="AE97" s="172"/>
      <c r="AF97" s="172"/>
      <c r="AG97" s="172"/>
      <c r="AH97" s="172"/>
    </row>
    <row r="98" spans="5:34" x14ac:dyDescent="0.25">
      <c r="E98" s="177">
        <v>2038</v>
      </c>
      <c r="F98" s="177">
        <v>2039</v>
      </c>
      <c r="G98" s="177" t="s">
        <v>106</v>
      </c>
      <c r="H98" s="182">
        <f t="shared" si="24"/>
        <v>0</v>
      </c>
      <c r="I98" s="182">
        <f t="shared" si="24"/>
        <v>0</v>
      </c>
      <c r="J98" s="182">
        <f t="shared" si="24"/>
        <v>0</v>
      </c>
      <c r="K98" s="182">
        <f t="shared" si="24"/>
        <v>0</v>
      </c>
      <c r="L98" s="182">
        <f t="shared" si="24"/>
        <v>0</v>
      </c>
      <c r="M98" s="182">
        <f t="shared" si="24"/>
        <v>0</v>
      </c>
      <c r="N98" s="182">
        <f t="shared" si="24"/>
        <v>0</v>
      </c>
      <c r="O98" s="182">
        <f t="shared" si="24"/>
        <v>0</v>
      </c>
      <c r="P98" s="182">
        <f t="shared" si="24"/>
        <v>0</v>
      </c>
      <c r="Q98" s="182">
        <f t="shared" si="24"/>
        <v>0</v>
      </c>
      <c r="R98" s="182">
        <f t="shared" si="25"/>
        <v>0</v>
      </c>
      <c r="S98" s="182">
        <f t="shared" si="25"/>
        <v>0</v>
      </c>
      <c r="T98" s="182">
        <f t="shared" si="25"/>
        <v>0</v>
      </c>
      <c r="U98" s="182">
        <f t="shared" si="25"/>
        <v>0</v>
      </c>
      <c r="V98" s="182">
        <f t="shared" si="25"/>
        <v>1173425.0000000033</v>
      </c>
      <c r="W98" s="182">
        <f t="shared" si="25"/>
        <v>-1900940.8749999888</v>
      </c>
      <c r="X98" s="182">
        <f t="shared" si="25"/>
        <v>-27294587.998124994</v>
      </c>
      <c r="Y98" s="172"/>
      <c r="Z98" s="172"/>
      <c r="AA98" s="172"/>
      <c r="AB98" s="172"/>
      <c r="AC98" s="172"/>
      <c r="AD98" s="172"/>
      <c r="AE98" s="172"/>
      <c r="AF98" s="172"/>
      <c r="AG98" s="172"/>
      <c r="AH98" s="172"/>
    </row>
    <row r="99" spans="5:34" x14ac:dyDescent="0.25">
      <c r="E99" s="177">
        <v>2040</v>
      </c>
      <c r="F99" s="177">
        <v>2041</v>
      </c>
      <c r="G99" s="177" t="s">
        <v>107</v>
      </c>
      <c r="H99" s="182">
        <f t="shared" si="24"/>
        <v>0</v>
      </c>
      <c r="I99" s="182">
        <f t="shared" si="24"/>
        <v>0</v>
      </c>
      <c r="J99" s="182">
        <f t="shared" si="24"/>
        <v>0</v>
      </c>
      <c r="K99" s="182">
        <f t="shared" si="24"/>
        <v>0</v>
      </c>
      <c r="L99" s="182">
        <f t="shared" si="24"/>
        <v>0</v>
      </c>
      <c r="M99" s="182">
        <f t="shared" si="24"/>
        <v>0</v>
      </c>
      <c r="N99" s="182">
        <f t="shared" si="24"/>
        <v>0</v>
      </c>
      <c r="O99" s="182">
        <f t="shared" si="24"/>
        <v>0</v>
      </c>
      <c r="P99" s="182">
        <f t="shared" si="24"/>
        <v>0</v>
      </c>
      <c r="Q99" s="182">
        <f t="shared" si="24"/>
        <v>0</v>
      </c>
      <c r="R99" s="182">
        <f t="shared" si="25"/>
        <v>0</v>
      </c>
      <c r="S99" s="182">
        <f t="shared" si="25"/>
        <v>0</v>
      </c>
      <c r="T99" s="182">
        <f t="shared" si="25"/>
        <v>0</v>
      </c>
      <c r="U99" s="182">
        <f t="shared" si="25"/>
        <v>0</v>
      </c>
      <c r="V99" s="182">
        <f t="shared" si="25"/>
        <v>0</v>
      </c>
      <c r="W99" s="182">
        <f t="shared" si="25"/>
        <v>0</v>
      </c>
      <c r="X99" s="182">
        <f t="shared" si="25"/>
        <v>-13679924.999999996</v>
      </c>
      <c r="Y99" s="172"/>
      <c r="Z99" s="172"/>
      <c r="AA99" s="172"/>
      <c r="AB99" s="172"/>
      <c r="AC99" s="172"/>
      <c r="AD99" s="172"/>
      <c r="AE99" s="172"/>
      <c r="AF99" s="172"/>
      <c r="AG99" s="172"/>
      <c r="AH99" s="172"/>
    </row>
    <row r="100" spans="5:34" x14ac:dyDescent="0.25">
      <c r="G100" s="1"/>
      <c r="H100" s="200"/>
      <c r="I100" s="200"/>
      <c r="J100" s="200"/>
      <c r="K100" s="200"/>
      <c r="L100" s="200"/>
      <c r="M100" s="200"/>
      <c r="N100" s="200"/>
      <c r="O100" s="200"/>
      <c r="P100" s="200"/>
      <c r="Q100" s="200"/>
      <c r="R100" s="188"/>
      <c r="S100" s="188"/>
      <c r="T100" s="188"/>
      <c r="U100" s="188"/>
      <c r="V100" s="188"/>
    </row>
    <row r="101" spans="5:34" x14ac:dyDescent="0.25">
      <c r="G101" s="249" cm="1">
        <f t="array" ref="G101:Q118">TRANSPOSE(G89:X99)</f>
        <v>0</v>
      </c>
      <c r="H101" s="250" t="str">
        <v>22 Plan</v>
      </c>
      <c r="I101" s="250" t="str">
        <v>24-25 Plan</v>
      </c>
      <c r="J101" s="250" t="str">
        <v>26-27 Plan</v>
      </c>
      <c r="K101" s="250" t="str">
        <v>28-29 Plan</v>
      </c>
      <c r="L101" s="250" t="str">
        <v>30-31 Plan</v>
      </c>
      <c r="M101" s="250" t="str">
        <v>32-33 Plan</v>
      </c>
      <c r="N101" s="250" t="str">
        <v>34-35 Plan</v>
      </c>
      <c r="O101" s="250" t="str">
        <v>36-37 Plan</v>
      </c>
      <c r="P101" s="250" t="str">
        <v>38-39 Plan</v>
      </c>
      <c r="Q101" s="177" t="str">
        <v>40-41 Plan</v>
      </c>
    </row>
    <row r="102" spans="5:34" x14ac:dyDescent="0.25">
      <c r="G102" s="219">
        <v>2027</v>
      </c>
      <c r="H102" s="182">
        <v>98133237.803999975</v>
      </c>
      <c r="I102" s="182">
        <v>25093840.689999998</v>
      </c>
      <c r="J102" s="182">
        <v>0</v>
      </c>
      <c r="K102" s="182">
        <v>0</v>
      </c>
      <c r="L102" s="182">
        <v>0</v>
      </c>
      <c r="M102" s="182">
        <v>0</v>
      </c>
      <c r="N102" s="182">
        <v>0</v>
      </c>
      <c r="O102" s="182">
        <v>0</v>
      </c>
      <c r="P102" s="182">
        <v>0</v>
      </c>
      <c r="Q102" s="219">
        <v>0</v>
      </c>
    </row>
    <row r="103" spans="5:34" x14ac:dyDescent="0.25">
      <c r="G103" s="219">
        <v>2028</v>
      </c>
      <c r="H103" s="182">
        <v>91499454.767256007</v>
      </c>
      <c r="I103" s="182">
        <v>75803710.612725005</v>
      </c>
      <c r="J103" s="182">
        <v>0</v>
      </c>
      <c r="K103" s="182">
        <v>0</v>
      </c>
      <c r="L103" s="182">
        <v>0</v>
      </c>
      <c r="M103" s="182">
        <v>0</v>
      </c>
      <c r="N103" s="182">
        <v>0</v>
      </c>
      <c r="O103" s="182">
        <v>0</v>
      </c>
      <c r="P103" s="182">
        <v>0</v>
      </c>
      <c r="Q103" s="219">
        <v>0</v>
      </c>
    </row>
    <row r="104" spans="5:34" x14ac:dyDescent="0.25">
      <c r="G104" s="219">
        <v>2029</v>
      </c>
      <c r="H104" s="182">
        <v>87969276.947995663</v>
      </c>
      <c r="I104" s="182">
        <v>70135725.442806646</v>
      </c>
      <c r="J104" s="182">
        <v>49236925.000000015</v>
      </c>
      <c r="K104" s="182">
        <v>0</v>
      </c>
      <c r="L104" s="182">
        <v>0</v>
      </c>
      <c r="M104" s="182">
        <v>0</v>
      </c>
      <c r="N104" s="182">
        <v>0</v>
      </c>
      <c r="O104" s="182">
        <v>0</v>
      </c>
      <c r="P104" s="182">
        <v>0</v>
      </c>
      <c r="Q104" s="219">
        <v>0</v>
      </c>
    </row>
    <row r="105" spans="5:34" x14ac:dyDescent="0.25">
      <c r="G105" s="219">
        <v>2030</v>
      </c>
      <c r="H105" s="182">
        <v>82738152.481706396</v>
      </c>
      <c r="I105" s="182">
        <v>61553962.986277297</v>
      </c>
      <c r="J105" s="182">
        <v>85589890.875</v>
      </c>
      <c r="K105" s="182">
        <v>0</v>
      </c>
      <c r="L105" s="182">
        <v>0</v>
      </c>
      <c r="M105" s="182">
        <v>0</v>
      </c>
      <c r="N105" s="182">
        <v>0</v>
      </c>
      <c r="O105" s="182">
        <v>0</v>
      </c>
      <c r="P105" s="182">
        <v>0</v>
      </c>
      <c r="Q105" s="219">
        <v>0</v>
      </c>
    </row>
    <row r="106" spans="5:34" x14ac:dyDescent="0.25">
      <c r="G106" s="219">
        <v>2031</v>
      </c>
      <c r="H106" s="182">
        <v>77888696.456292495</v>
      </c>
      <c r="I106" s="182">
        <v>53598908.584583595</v>
      </c>
      <c r="J106" s="182">
        <v>73500982.714374989</v>
      </c>
      <c r="K106" s="182">
        <v>29728574.999999993</v>
      </c>
      <c r="L106" s="182">
        <v>0</v>
      </c>
      <c r="M106" s="182">
        <v>0</v>
      </c>
      <c r="N106" s="182">
        <v>0</v>
      </c>
      <c r="O106" s="182">
        <v>0</v>
      </c>
      <c r="P106" s="182">
        <v>0</v>
      </c>
      <c r="Q106" s="219">
        <v>0</v>
      </c>
    </row>
    <row r="107" spans="5:34" x14ac:dyDescent="0.25">
      <c r="G107" s="219">
        <v>2032</v>
      </c>
      <c r="H107" s="182">
        <v>78650693.625648975</v>
      </c>
      <c r="I107" s="182">
        <v>55205796.257533923</v>
      </c>
      <c r="J107" s="182">
        <v>76012734.123440653</v>
      </c>
      <c r="K107" s="182">
        <v>61801900.125000015</v>
      </c>
      <c r="L107" s="182">
        <v>0</v>
      </c>
      <c r="M107" s="182">
        <v>0</v>
      </c>
      <c r="N107" s="182">
        <v>0</v>
      </c>
      <c r="O107" s="182">
        <v>0</v>
      </c>
      <c r="P107" s="182">
        <v>0</v>
      </c>
      <c r="Q107" s="219">
        <v>0</v>
      </c>
    </row>
    <row r="108" spans="5:34" x14ac:dyDescent="0.25">
      <c r="G108" s="219">
        <v>2033</v>
      </c>
      <c r="H108" s="182">
        <v>75836852.347038999</v>
      </c>
      <c r="I108" s="182">
        <v>50700103.552383065</v>
      </c>
      <c r="J108" s="182">
        <v>69182992.138177261</v>
      </c>
      <c r="K108" s="182">
        <v>55821726.403125003</v>
      </c>
      <c r="L108" s="182">
        <v>18367374.999999996</v>
      </c>
      <c r="M108" s="182">
        <v>0</v>
      </c>
      <c r="N108" s="182">
        <v>0</v>
      </c>
      <c r="O108" s="182">
        <v>0</v>
      </c>
      <c r="P108" s="182">
        <v>0</v>
      </c>
      <c r="Q108" s="219">
        <v>0</v>
      </c>
    </row>
    <row r="109" spans="5:34" x14ac:dyDescent="0.25">
      <c r="G109" s="219">
        <v>2034</v>
      </c>
      <c r="H109" s="182">
        <v>72207944.6171747</v>
      </c>
      <c r="I109" s="182">
        <v>44785195.09903416</v>
      </c>
      <c r="J109" s="182">
        <v>60192951.446722493</v>
      </c>
      <c r="K109" s="182">
        <v>47931320.737584382</v>
      </c>
      <c r="L109" s="182">
        <v>32704447.125000004</v>
      </c>
      <c r="M109" s="182">
        <v>0</v>
      </c>
      <c r="N109" s="182">
        <v>0</v>
      </c>
      <c r="O109" s="182">
        <v>0</v>
      </c>
      <c r="P109" s="182">
        <v>0</v>
      </c>
      <c r="Q109" s="219">
        <v>0</v>
      </c>
    </row>
    <row r="110" spans="5:34" x14ac:dyDescent="0.25">
      <c r="G110" s="219">
        <v>2035</v>
      </c>
      <c r="H110" s="182">
        <v>67865432.105982035</v>
      </c>
      <c r="I110" s="182">
        <v>37629324.580535904</v>
      </c>
      <c r="J110" s="182">
        <v>49297482.88413211</v>
      </c>
      <c r="K110" s="182">
        <v>38353194.783126332</v>
      </c>
      <c r="L110" s="182">
        <v>27743480.334375001</v>
      </c>
      <c r="M110" s="182">
        <v>13963375.000000002</v>
      </c>
      <c r="N110" s="182">
        <v>0</v>
      </c>
      <c r="O110" s="182">
        <v>0</v>
      </c>
      <c r="P110" s="182">
        <v>0</v>
      </c>
      <c r="Q110" s="219">
        <v>0</v>
      </c>
    </row>
    <row r="111" spans="5:34" x14ac:dyDescent="0.25">
      <c r="G111" s="219">
        <v>2036</v>
      </c>
      <c r="H111" s="182">
        <v>63492632.8723602</v>
      </c>
      <c r="I111" s="182">
        <v>30400932.039533526</v>
      </c>
      <c r="J111" s="182">
        <v>38282476.995331049</v>
      </c>
      <c r="K111" s="182">
        <v>28661600.288088147</v>
      </c>
      <c r="L111" s="182">
        <v>22732073.682565644</v>
      </c>
      <c r="M111" s="182">
        <v>22953352.625000015</v>
      </c>
      <c r="N111" s="182">
        <v>0</v>
      </c>
      <c r="O111" s="182">
        <v>0</v>
      </c>
      <c r="P111" s="182">
        <v>0</v>
      </c>
      <c r="Q111" s="219">
        <v>0</v>
      </c>
    </row>
    <row r="112" spans="5:34" x14ac:dyDescent="0.25">
      <c r="G112" s="219">
        <v>2037</v>
      </c>
      <c r="H112" s="182">
        <v>60252328.166037597</v>
      </c>
      <c r="I112" s="182">
        <v>25099390.006479621</v>
      </c>
      <c r="J112" s="182">
        <v>30208701.885079451</v>
      </c>
      <c r="K112" s="182">
        <v>21559138.198254671</v>
      </c>
      <c r="L112" s="182">
        <v>19054120.20757886</v>
      </c>
      <c r="M112" s="182">
        <v>19258089.904375002</v>
      </c>
      <c r="N112" s="182">
        <v>9706175</v>
      </c>
      <c r="O112" s="182">
        <v>0</v>
      </c>
      <c r="P112" s="182">
        <v>0</v>
      </c>
      <c r="Q112" s="219">
        <v>0</v>
      </c>
    </row>
    <row r="113" spans="1:17" x14ac:dyDescent="0.25">
      <c r="G113" s="219">
        <v>2038</v>
      </c>
      <c r="H113" s="182">
        <v>56181756.456121661</v>
      </c>
      <c r="I113" s="182">
        <v>18352611.25956976</v>
      </c>
      <c r="J113" s="182">
        <v>19915176.221391685</v>
      </c>
      <c r="K113" s="182">
        <v>12489907.973469216</v>
      </c>
      <c r="L113" s="182">
        <v>14375625.103773884</v>
      </c>
      <c r="M113" s="182">
        <v>14557846.876365632</v>
      </c>
      <c r="N113" s="182">
        <v>14741904.625000007</v>
      </c>
      <c r="O113" s="182">
        <v>0</v>
      </c>
      <c r="P113" s="182">
        <v>0</v>
      </c>
      <c r="Q113" s="219">
        <v>0</v>
      </c>
    </row>
    <row r="114" spans="1:17" x14ac:dyDescent="0.25">
      <c r="G114" s="219">
        <v>2039</v>
      </c>
      <c r="H114" s="182">
        <v>52443952.925513364</v>
      </c>
      <c r="I114" s="182">
        <v>12160241.748782758</v>
      </c>
      <c r="J114" s="182">
        <v>10463015.675642122</v>
      </c>
      <c r="K114" s="182">
        <v>4156750.8828833802</v>
      </c>
      <c r="L114" s="182">
        <v>10080668.223418677</v>
      </c>
      <c r="M114" s="182">
        <v>10242991.311753418</v>
      </c>
      <c r="N114" s="182">
        <v>10406949.886874996</v>
      </c>
      <c r="O114" s="182">
        <v>5265474.9999999972</v>
      </c>
      <c r="P114" s="182">
        <v>0</v>
      </c>
      <c r="Q114" s="219">
        <v>0</v>
      </c>
    </row>
    <row r="115" spans="1:17" x14ac:dyDescent="0.25">
      <c r="G115" s="219">
        <v>2040</v>
      </c>
      <c r="H115" s="182">
        <v>48974880.021371908</v>
      </c>
      <c r="I115" s="182">
        <v>6413997.6630595708</v>
      </c>
      <c r="J115" s="182">
        <v>1687245.5062079658</v>
      </c>
      <c r="K115" s="182">
        <v>-3585259.3879121072</v>
      </c>
      <c r="L115" s="182">
        <v>6094326.4340713155</v>
      </c>
      <c r="M115" s="182">
        <v>6238248.2099657245</v>
      </c>
      <c r="N115" s="182">
        <v>6383620.0701656267</v>
      </c>
      <c r="O115" s="182">
        <v>6530456.6250000019</v>
      </c>
      <c r="P115" s="182">
        <v>0</v>
      </c>
      <c r="Q115" s="219">
        <v>0</v>
      </c>
    </row>
    <row r="116" spans="1:17" x14ac:dyDescent="0.25">
      <c r="G116" s="219">
        <v>2041</v>
      </c>
      <c r="H116" s="182">
        <v>45319526.860054433</v>
      </c>
      <c r="I116" s="182">
        <v>328944.70857760916</v>
      </c>
      <c r="J116" s="182">
        <v>-7614876.502981198</v>
      </c>
      <c r="K116" s="182">
        <v>-11799166.977656852</v>
      </c>
      <c r="L116" s="182">
        <v>1873258.105708844</v>
      </c>
      <c r="M116" s="182">
        <v>1997824.1516212672</v>
      </c>
      <c r="N116" s="182">
        <v>2123645.2631208976</v>
      </c>
      <c r="O116" s="182">
        <v>2250734.0856250064</v>
      </c>
      <c r="P116" s="182">
        <v>1173425.0000000033</v>
      </c>
      <c r="Q116" s="219">
        <v>0</v>
      </c>
    </row>
    <row r="117" spans="1:17" x14ac:dyDescent="0.25">
      <c r="G117" s="219">
        <v>2042</v>
      </c>
      <c r="H117" s="182">
        <v>41690256.589922361</v>
      </c>
      <c r="I117" s="182">
        <v>-5728583.6524789808</v>
      </c>
      <c r="J117" s="182">
        <v>-16882031.348216124</v>
      </c>
      <c r="K117" s="182">
        <v>-19988857.735019445</v>
      </c>
      <c r="L117" s="182">
        <v>-2328956.6475308551</v>
      </c>
      <c r="M117" s="182">
        <v>-2223556.3723449963</v>
      </c>
      <c r="N117" s="182">
        <v>-2117094.1363551393</v>
      </c>
      <c r="O117" s="182">
        <v>-2009559.2397718634</v>
      </c>
      <c r="P117" s="182">
        <v>-1900940.8749999888</v>
      </c>
      <c r="Q117" s="219">
        <v>0</v>
      </c>
    </row>
    <row r="118" spans="1:17" x14ac:dyDescent="0.25">
      <c r="G118" s="219">
        <v>2043</v>
      </c>
      <c r="H118" s="292">
        <v>-22310631.977898926</v>
      </c>
      <c r="I118" s="292">
        <v>-38684649.139252231</v>
      </c>
      <c r="J118" s="219">
        <v>-59361142.202422336</v>
      </c>
      <c r="K118" s="219">
        <v>-52546235.488590628</v>
      </c>
      <c r="L118" s="219">
        <v>-26780930.162447073</v>
      </c>
      <c r="M118" s="219">
        <v>-26900535.756619349</v>
      </c>
      <c r="N118" s="219">
        <v>-27021346.437331732</v>
      </c>
      <c r="O118" s="219">
        <v>-27143374.346437447</v>
      </c>
      <c r="P118" s="219">
        <v>-27294587.998124994</v>
      </c>
      <c r="Q118" s="219">
        <v>-13679924.999999996</v>
      </c>
    </row>
    <row r="119" spans="1:17" x14ac:dyDescent="0.25">
      <c r="A119"/>
    </row>
    <row r="120" spans="1:17" x14ac:dyDescent="0.25">
      <c r="A120"/>
    </row>
    <row r="121" spans="1:17" x14ac:dyDescent="0.25">
      <c r="A121"/>
    </row>
    <row r="122" spans="1:17" x14ac:dyDescent="0.25">
      <c r="A122"/>
    </row>
    <row r="123" spans="1:17" x14ac:dyDescent="0.25">
      <c r="A123"/>
    </row>
    <row r="124" spans="1:17" x14ac:dyDescent="0.25">
      <c r="A124"/>
    </row>
    <row r="125" spans="1:17" x14ac:dyDescent="0.25">
      <c r="A125"/>
    </row>
    <row r="126" spans="1:17" x14ac:dyDescent="0.25">
      <c r="A126"/>
    </row>
    <row r="127" spans="1:17" x14ac:dyDescent="0.25">
      <c r="A127"/>
    </row>
    <row r="128" spans="1:17"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sheetData>
  <pageMargins left="0.7" right="0.7" top="0.75" bottom="0.75" header="0.3" footer="0.3"/>
  <pageSetup scale="25" fitToHeight="3" orientation="portrait" r:id="rId1"/>
  <customProperties>
    <customPr name="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FE936-7A56-4E58-A039-E9D231AC805D}">
  <sheetPr>
    <tabColor theme="7" tint="0.59999389629810485"/>
    <pageSetUpPr fitToPage="1"/>
  </sheetPr>
  <dimension ref="A1:Z103"/>
  <sheetViews>
    <sheetView zoomScale="80" zoomScaleNormal="80" workbookViewId="0">
      <selection activeCell="B94" sqref="B94"/>
    </sheetView>
  </sheetViews>
  <sheetFormatPr defaultRowHeight="15" x14ac:dyDescent="0.25"/>
  <cols>
    <col min="1" max="1" width="32.5703125" bestFit="1" customWidth="1"/>
    <col min="2" max="2" width="26.42578125" bestFit="1" customWidth="1"/>
    <col min="3" max="3" width="16.42578125" bestFit="1" customWidth="1"/>
    <col min="4" max="4" width="25.42578125" bestFit="1" customWidth="1"/>
    <col min="5" max="5" width="15.42578125" customWidth="1"/>
    <col min="6" max="6" width="15.5703125" bestFit="1" customWidth="1"/>
    <col min="7" max="7" width="23.5703125" style="276" customWidth="1"/>
    <col min="8" max="8" width="13.42578125" customWidth="1"/>
    <col min="9" max="9" width="21.140625" style="188" bestFit="1" customWidth="1"/>
    <col min="10" max="10" width="14.140625" style="134" customWidth="1"/>
    <col min="11" max="26" width="11.42578125" bestFit="1" customWidth="1"/>
  </cols>
  <sheetData>
    <row r="1" spans="1:26" ht="18.75" x14ac:dyDescent="0.3">
      <c r="A1" s="106"/>
      <c r="B1" s="106"/>
      <c r="C1" s="106"/>
      <c r="D1" s="106"/>
      <c r="E1" s="106"/>
      <c r="F1" s="106"/>
      <c r="G1" s="268"/>
      <c r="H1" s="106"/>
      <c r="I1" s="209"/>
      <c r="J1" s="129"/>
      <c r="K1" s="106"/>
      <c r="L1" s="106"/>
      <c r="M1" s="106"/>
      <c r="N1" s="106"/>
      <c r="O1" s="106"/>
      <c r="P1" s="106"/>
    </row>
    <row r="2" spans="1:26" ht="18.75" x14ac:dyDescent="0.3">
      <c r="A2" s="106"/>
      <c r="B2" s="106"/>
      <c r="C2" s="106"/>
      <c r="D2" s="106"/>
      <c r="E2" s="106"/>
      <c r="F2" s="106"/>
      <c r="G2" s="268"/>
      <c r="H2" s="106"/>
      <c r="I2" s="209"/>
      <c r="J2" s="129"/>
      <c r="K2" s="106"/>
      <c r="L2" s="106"/>
      <c r="M2" s="106"/>
      <c r="N2" s="106"/>
      <c r="O2" s="106"/>
      <c r="P2" s="106"/>
    </row>
    <row r="3" spans="1:26" ht="75" x14ac:dyDescent="0.3">
      <c r="A3" s="107"/>
      <c r="B3" s="2" t="s">
        <v>111</v>
      </c>
      <c r="C3" s="2" t="s">
        <v>112</v>
      </c>
      <c r="D3" s="2" t="s">
        <v>113</v>
      </c>
      <c r="E3" s="2" t="s">
        <v>114</v>
      </c>
      <c r="F3" s="2" t="s">
        <v>115</v>
      </c>
      <c r="G3" s="269" t="s">
        <v>116</v>
      </c>
      <c r="H3" s="2" t="s">
        <v>117</v>
      </c>
      <c r="I3" s="210" t="s">
        <v>118</v>
      </c>
      <c r="J3" s="282" t="s">
        <v>119</v>
      </c>
      <c r="K3" s="2" t="s">
        <v>120</v>
      </c>
      <c r="L3" s="2" t="s">
        <v>121</v>
      </c>
      <c r="M3" s="2" t="s">
        <v>122</v>
      </c>
      <c r="N3" s="2" t="s">
        <v>123</v>
      </c>
      <c r="O3" s="2" t="s">
        <v>124</v>
      </c>
      <c r="P3" s="2" t="s">
        <v>125</v>
      </c>
      <c r="Q3" s="2" t="s">
        <v>126</v>
      </c>
      <c r="R3" s="2" t="s">
        <v>127</v>
      </c>
      <c r="S3" s="2" t="s">
        <v>128</v>
      </c>
      <c r="T3" s="2" t="s">
        <v>129</v>
      </c>
      <c r="U3" s="2" t="s">
        <v>130</v>
      </c>
      <c r="V3" s="2" t="s">
        <v>131</v>
      </c>
      <c r="W3" s="2" t="s">
        <v>132</v>
      </c>
      <c r="X3" s="2" t="s">
        <v>133</v>
      </c>
      <c r="Y3" s="2" t="s">
        <v>134</v>
      </c>
      <c r="Z3" s="2" t="s">
        <v>135</v>
      </c>
    </row>
    <row r="4" spans="1:26" ht="18.75" x14ac:dyDescent="0.3">
      <c r="A4" s="108" t="s">
        <v>136</v>
      </c>
      <c r="B4" s="109">
        <v>667000</v>
      </c>
      <c r="C4" s="110">
        <f>C6+C13+C26+C43+C58+C75</f>
        <v>667000</v>
      </c>
      <c r="D4" s="109">
        <v>800000</v>
      </c>
      <c r="E4" s="110">
        <f>E6+E13+E26+E43+E58+E75</f>
        <v>800000</v>
      </c>
      <c r="F4" s="110"/>
      <c r="G4" s="270"/>
      <c r="H4" s="110"/>
      <c r="I4" s="211"/>
      <c r="J4" s="130"/>
      <c r="K4" s="110"/>
      <c r="L4" s="110"/>
      <c r="M4" s="110"/>
      <c r="N4" s="110"/>
      <c r="O4" s="110"/>
      <c r="P4" s="110"/>
      <c r="Q4" s="110"/>
      <c r="R4" s="110"/>
      <c r="S4" s="110"/>
      <c r="T4" s="110"/>
      <c r="U4" s="110"/>
      <c r="V4" s="110"/>
      <c r="W4" s="110"/>
      <c r="X4" s="110"/>
      <c r="Y4" s="110"/>
      <c r="Z4" s="110"/>
    </row>
    <row r="5" spans="1:26" ht="18.75" x14ac:dyDescent="0.3">
      <c r="A5" s="111" t="s">
        <v>137</v>
      </c>
      <c r="B5" s="111"/>
      <c r="C5" s="112">
        <f>C6+C13+C26+C43+C58+C75</f>
        <v>667000</v>
      </c>
      <c r="D5" s="111"/>
      <c r="E5" s="112">
        <f>E6+E13+E26+E43+E58+E75</f>
        <v>800000</v>
      </c>
      <c r="F5" s="110"/>
      <c r="G5" s="270"/>
      <c r="H5" s="110"/>
      <c r="I5" s="211"/>
      <c r="J5" s="130"/>
      <c r="K5" s="110"/>
      <c r="L5" s="110"/>
      <c r="M5" s="110"/>
      <c r="N5" s="110"/>
      <c r="O5" s="110"/>
      <c r="P5" s="110"/>
      <c r="Q5" s="110"/>
      <c r="R5" s="110"/>
      <c r="S5" s="110"/>
      <c r="T5" s="110"/>
      <c r="U5" s="110"/>
      <c r="V5" s="110"/>
      <c r="W5" s="110"/>
      <c r="X5" s="110"/>
      <c r="Y5" s="110"/>
      <c r="Z5" s="110"/>
    </row>
    <row r="6" spans="1:26" ht="18.75" x14ac:dyDescent="0.3">
      <c r="A6" s="111" t="s">
        <v>138</v>
      </c>
      <c r="B6" s="113">
        <v>0.18</v>
      </c>
      <c r="C6" s="114">
        <f>B4*B6</f>
        <v>120060</v>
      </c>
      <c r="D6" s="113">
        <v>0.18</v>
      </c>
      <c r="E6" s="114">
        <f>D4*D6</f>
        <v>144000</v>
      </c>
      <c r="F6" s="114"/>
      <c r="G6" s="271"/>
      <c r="H6" s="115"/>
      <c r="I6" s="212">
        <f>SUM(I8:I12)</f>
        <v>0</v>
      </c>
      <c r="J6" s="277"/>
      <c r="K6" s="115"/>
      <c r="L6" s="115"/>
      <c r="M6" s="115"/>
      <c r="N6" s="115"/>
      <c r="O6" s="115"/>
      <c r="P6" s="115"/>
      <c r="Q6" s="115"/>
      <c r="R6" s="115"/>
      <c r="S6" s="115"/>
      <c r="T6" s="115"/>
      <c r="U6" s="115"/>
      <c r="V6" s="115"/>
      <c r="W6" s="115"/>
      <c r="X6" s="115"/>
      <c r="Y6" s="115"/>
      <c r="Z6" s="115"/>
    </row>
    <row r="7" spans="1:26" ht="18.75" x14ac:dyDescent="0.3">
      <c r="A7" s="116" t="s">
        <v>139</v>
      </c>
      <c r="B7" s="117"/>
      <c r="C7" s="118">
        <f>C6*0.3</f>
        <v>36018</v>
      </c>
      <c r="D7" s="117"/>
      <c r="E7" s="118">
        <f>E6*0.3</f>
        <v>43200</v>
      </c>
      <c r="F7" s="118"/>
      <c r="G7" s="272">
        <v>0</v>
      </c>
      <c r="H7" s="119"/>
      <c r="I7" s="211"/>
      <c r="J7" s="278"/>
      <c r="K7" s="119"/>
      <c r="L7" s="119"/>
      <c r="M7" s="119"/>
      <c r="N7" s="119"/>
      <c r="O7" s="119"/>
      <c r="P7" s="119"/>
      <c r="Q7" s="119"/>
      <c r="R7" s="119"/>
      <c r="S7" s="119"/>
      <c r="T7" s="119"/>
      <c r="U7" s="119"/>
      <c r="V7" s="119"/>
      <c r="W7" s="119"/>
      <c r="X7" s="119"/>
      <c r="Y7" s="119"/>
      <c r="Z7" s="119"/>
    </row>
    <row r="8" spans="1:26" ht="18.75" x14ac:dyDescent="0.3">
      <c r="A8" s="107" t="s">
        <v>140</v>
      </c>
      <c r="B8" s="120">
        <v>0.38</v>
      </c>
      <c r="C8" s="118">
        <f>$C$7*$B$8</f>
        <v>13686.84</v>
      </c>
      <c r="D8" s="120">
        <v>0.38</v>
      </c>
      <c r="E8" s="118">
        <f>$E$7*$D$8</f>
        <v>16416</v>
      </c>
      <c r="F8" s="121">
        <v>0.14884</v>
      </c>
      <c r="G8" s="273">
        <f>F8*D8*$G$7*8760/1000</f>
        <v>0</v>
      </c>
      <c r="H8" s="122">
        <v>75.209246731677993</v>
      </c>
      <c r="I8" s="213">
        <f>H8*G8*15*0.96</f>
        <v>0</v>
      </c>
      <c r="J8" s="279">
        <v>73.709999999999994</v>
      </c>
      <c r="K8" s="122">
        <f>J8*$B$93</f>
        <v>70.761599999999987</v>
      </c>
      <c r="L8" s="122">
        <f>K8*$B$93*(IF('Indexed REC Activities'!$A$86="Yes",0,1))</f>
        <v>67.931135999999981</v>
      </c>
      <c r="M8" s="122">
        <f t="shared" ref="M8:Z8" si="0">L8*$B$93</f>
        <v>65.213890559999982</v>
      </c>
      <c r="N8" s="122">
        <f t="shared" si="0"/>
        <v>62.605334937599977</v>
      </c>
      <c r="O8" s="122">
        <f t="shared" si="0"/>
        <v>60.101121540095974</v>
      </c>
      <c r="P8" s="122">
        <f t="shared" si="0"/>
        <v>57.697076678492131</v>
      </c>
      <c r="Q8" s="122">
        <f t="shared" si="0"/>
        <v>55.389193611352447</v>
      </c>
      <c r="R8" s="122">
        <f t="shared" si="0"/>
        <v>53.173625866898348</v>
      </c>
      <c r="S8" s="122">
        <f t="shared" si="0"/>
        <v>51.046680832222414</v>
      </c>
      <c r="T8" s="122">
        <f t="shared" si="0"/>
        <v>49.004813598933517</v>
      </c>
      <c r="U8" s="122">
        <f t="shared" si="0"/>
        <v>47.044621054976176</v>
      </c>
      <c r="V8" s="122">
        <f t="shared" si="0"/>
        <v>45.16283621277713</v>
      </c>
      <c r="W8" s="122">
        <f t="shared" si="0"/>
        <v>43.356322764266039</v>
      </c>
      <c r="X8" s="122">
        <f t="shared" si="0"/>
        <v>41.622069853695393</v>
      </c>
      <c r="Y8" s="122">
        <f t="shared" si="0"/>
        <v>39.957187059547579</v>
      </c>
      <c r="Z8" s="122">
        <f t="shared" si="0"/>
        <v>38.358899577165673</v>
      </c>
    </row>
    <row r="9" spans="1:26" ht="18.75" x14ac:dyDescent="0.3">
      <c r="A9" s="107" t="s">
        <v>141</v>
      </c>
      <c r="B9" s="120">
        <v>0.62</v>
      </c>
      <c r="C9" s="118">
        <f>$C$7*$B$9</f>
        <v>22331.16</v>
      </c>
      <c r="D9" s="120">
        <v>0.62</v>
      </c>
      <c r="E9" s="118">
        <f>$E$7*$D$9</f>
        <v>26784</v>
      </c>
      <c r="F9" s="121">
        <v>0.15130000000000002</v>
      </c>
      <c r="G9" s="273">
        <f>F9*D9*$G$7*8760/1000</f>
        <v>0</v>
      </c>
      <c r="H9" s="122">
        <v>64.706670100989783</v>
      </c>
      <c r="I9" s="213">
        <f>H9*G9*15*0.96</f>
        <v>0</v>
      </c>
      <c r="J9" s="279">
        <v>63.53</v>
      </c>
      <c r="K9" s="122">
        <f t="shared" ref="K9:Z9" si="1">J9*$B$93</f>
        <v>60.988799999999998</v>
      </c>
      <c r="L9" s="122">
        <f t="shared" si="1"/>
        <v>58.549247999999999</v>
      </c>
      <c r="M9" s="122">
        <f t="shared" si="1"/>
        <v>56.207278079999995</v>
      </c>
      <c r="N9" s="122">
        <f t="shared" si="1"/>
        <v>53.95898695679999</v>
      </c>
      <c r="O9" s="122">
        <f t="shared" si="1"/>
        <v>51.800627478527986</v>
      </c>
      <c r="P9" s="122">
        <f t="shared" si="1"/>
        <v>49.728602379386864</v>
      </c>
      <c r="Q9" s="122">
        <f t="shared" si="1"/>
        <v>47.739458284211388</v>
      </c>
      <c r="R9" s="122">
        <f t="shared" si="1"/>
        <v>45.82987995284293</v>
      </c>
      <c r="S9" s="122">
        <f t="shared" si="1"/>
        <v>43.996684754729209</v>
      </c>
      <c r="T9" s="122">
        <f t="shared" si="1"/>
        <v>42.236817364540038</v>
      </c>
      <c r="U9" s="122">
        <f t="shared" si="1"/>
        <v>40.547344669958434</v>
      </c>
      <c r="V9" s="122">
        <f t="shared" si="1"/>
        <v>38.925450883160096</v>
      </c>
      <c r="W9" s="122">
        <f t="shared" si="1"/>
        <v>37.368432847833688</v>
      </c>
      <c r="X9" s="122">
        <f t="shared" si="1"/>
        <v>35.87369553392034</v>
      </c>
      <c r="Y9" s="122">
        <f t="shared" si="1"/>
        <v>34.438747712563526</v>
      </c>
      <c r="Z9" s="122">
        <f t="shared" si="1"/>
        <v>33.061197804060981</v>
      </c>
    </row>
    <row r="10" spans="1:26" ht="18.75" x14ac:dyDescent="0.3">
      <c r="A10" s="116" t="s">
        <v>142</v>
      </c>
      <c r="B10" s="117"/>
      <c r="C10" s="118">
        <f>C6*0.7</f>
        <v>84042</v>
      </c>
      <c r="D10" s="117"/>
      <c r="E10" s="118">
        <f>E6*0.7</f>
        <v>100800</v>
      </c>
      <c r="F10" s="118"/>
      <c r="G10" s="274">
        <v>0</v>
      </c>
      <c r="H10" s="123"/>
      <c r="I10" s="211"/>
      <c r="J10" s="280"/>
      <c r="K10" s="123"/>
      <c r="L10" s="123"/>
      <c r="M10" s="123"/>
      <c r="N10" s="123"/>
      <c r="O10" s="123"/>
      <c r="P10" s="123"/>
      <c r="Q10" s="123"/>
      <c r="R10" s="123"/>
      <c r="S10" s="123"/>
      <c r="T10" s="123"/>
      <c r="U10" s="123"/>
      <c r="V10" s="123"/>
      <c r="W10" s="123"/>
      <c r="X10" s="123"/>
      <c r="Y10" s="123"/>
      <c r="Z10" s="123"/>
    </row>
    <row r="11" spans="1:26" ht="18.75" x14ac:dyDescent="0.3">
      <c r="A11" s="107" t="s">
        <v>143</v>
      </c>
      <c r="B11" s="120">
        <v>0.38</v>
      </c>
      <c r="C11" s="118">
        <f>$C$10*B11</f>
        <v>31935.96</v>
      </c>
      <c r="D11" s="120">
        <v>0.38</v>
      </c>
      <c r="E11" s="118">
        <f>$E$10*D11</f>
        <v>38304</v>
      </c>
      <c r="F11" s="121">
        <v>0.13464999999999999</v>
      </c>
      <c r="G11" s="273">
        <f>F11*D11*$G$10*8760/1000</f>
        <v>0</v>
      </c>
      <c r="H11" s="122">
        <v>83.751234124420606</v>
      </c>
      <c r="I11" s="213">
        <f>H11*G11*15*0.96</f>
        <v>0</v>
      </c>
      <c r="J11" s="279">
        <v>83.87</v>
      </c>
      <c r="K11" s="122">
        <f t="shared" ref="K11:Z12" si="2">J11*$B$93</f>
        <v>80.515200000000007</v>
      </c>
      <c r="L11" s="122">
        <f t="shared" si="2"/>
        <v>77.294592000000009</v>
      </c>
      <c r="M11" s="122">
        <f t="shared" si="2"/>
        <v>74.202808320000003</v>
      </c>
      <c r="N11" s="122">
        <f t="shared" si="2"/>
        <v>71.234695987199999</v>
      </c>
      <c r="O11" s="122">
        <f t="shared" si="2"/>
        <v>68.385308147711996</v>
      </c>
      <c r="P11" s="122">
        <f t="shared" si="2"/>
        <v>65.649895821803511</v>
      </c>
      <c r="Q11" s="122">
        <f t="shared" si="2"/>
        <v>63.023899988931369</v>
      </c>
      <c r="R11" s="122">
        <f t="shared" si="2"/>
        <v>60.50294398937411</v>
      </c>
      <c r="S11" s="122">
        <f t="shared" si="2"/>
        <v>58.082826229799146</v>
      </c>
      <c r="T11" s="122">
        <f t="shared" si="2"/>
        <v>55.759513180607179</v>
      </c>
      <c r="U11" s="122">
        <f t="shared" si="2"/>
        <v>53.529132653382888</v>
      </c>
      <c r="V11" s="122">
        <f t="shared" si="2"/>
        <v>51.387967347247567</v>
      </c>
      <c r="W11" s="122">
        <f t="shared" si="2"/>
        <v>49.332448653357666</v>
      </c>
      <c r="X11" s="122">
        <f t="shared" si="2"/>
        <v>47.359150707223357</v>
      </c>
      <c r="Y11" s="122">
        <f t="shared" si="2"/>
        <v>45.464784678934421</v>
      </c>
      <c r="Z11" s="122">
        <f t="shared" si="2"/>
        <v>43.646193291777045</v>
      </c>
    </row>
    <row r="12" spans="1:26" ht="18.75" x14ac:dyDescent="0.3">
      <c r="A12" s="107" t="s">
        <v>141</v>
      </c>
      <c r="B12" s="120">
        <v>0.62</v>
      </c>
      <c r="C12" s="118">
        <f>$C$10*B12</f>
        <v>52106.04</v>
      </c>
      <c r="D12" s="120">
        <v>0.62</v>
      </c>
      <c r="E12" s="118">
        <f>$E$10*D12</f>
        <v>62496</v>
      </c>
      <c r="F12" s="121">
        <v>0.13319</v>
      </c>
      <c r="G12" s="273">
        <f>F12*D12*$G$10*8760/1000</f>
        <v>0</v>
      </c>
      <c r="H12" s="122">
        <v>76.270491331333176</v>
      </c>
      <c r="I12" s="213">
        <f>H12*G12*15*0.96</f>
        <v>0</v>
      </c>
      <c r="J12" s="279">
        <v>77.53</v>
      </c>
      <c r="K12" s="122">
        <f t="shared" si="2"/>
        <v>74.428799999999995</v>
      </c>
      <c r="L12" s="122">
        <f t="shared" si="2"/>
        <v>71.451647999999992</v>
      </c>
      <c r="M12" s="122">
        <f t="shared" si="2"/>
        <v>68.59358207999999</v>
      </c>
      <c r="N12" s="122">
        <f t="shared" si="2"/>
        <v>65.849838796799986</v>
      </c>
      <c r="O12" s="122">
        <f t="shared" si="2"/>
        <v>63.215845244927984</v>
      </c>
      <c r="P12" s="122">
        <f t="shared" si="2"/>
        <v>60.687211435130862</v>
      </c>
      <c r="Q12" s="122">
        <f t="shared" si="2"/>
        <v>58.259722977725623</v>
      </c>
      <c r="R12" s="122">
        <f t="shared" si="2"/>
        <v>55.929334058616597</v>
      </c>
      <c r="S12" s="122">
        <f t="shared" si="2"/>
        <v>53.692160696271934</v>
      </c>
      <c r="T12" s="122">
        <f t="shared" si="2"/>
        <v>51.544474268421055</v>
      </c>
      <c r="U12" s="122">
        <f t="shared" si="2"/>
        <v>49.482695297684209</v>
      </c>
      <c r="V12" s="122">
        <f t="shared" si="2"/>
        <v>47.503387485776841</v>
      </c>
      <c r="W12" s="122">
        <f t="shared" si="2"/>
        <v>45.603251986345768</v>
      </c>
      <c r="X12" s="122">
        <f t="shared" si="2"/>
        <v>43.779121906891937</v>
      </c>
      <c r="Y12" s="122">
        <f t="shared" si="2"/>
        <v>42.027957030616257</v>
      </c>
      <c r="Z12" s="122">
        <f t="shared" si="2"/>
        <v>40.346838749391608</v>
      </c>
    </row>
    <row r="13" spans="1:26" ht="18.75" x14ac:dyDescent="0.3">
      <c r="A13" s="111" t="s">
        <v>144</v>
      </c>
      <c r="B13" s="113">
        <v>0.18</v>
      </c>
      <c r="C13" s="114">
        <f>B4*B13</f>
        <v>120060</v>
      </c>
      <c r="D13" s="113">
        <v>0.18</v>
      </c>
      <c r="E13" s="114">
        <f>D4*D13</f>
        <v>144000</v>
      </c>
      <c r="F13" s="114"/>
      <c r="G13" s="271"/>
      <c r="H13" s="115"/>
      <c r="I13" s="212">
        <f>SUM(I15:I25)</f>
        <v>0</v>
      </c>
      <c r="J13" s="277"/>
      <c r="K13" s="115"/>
      <c r="L13" s="115"/>
      <c r="M13" s="115"/>
      <c r="N13" s="115"/>
      <c r="O13" s="115"/>
      <c r="P13" s="115"/>
      <c r="Q13" s="115"/>
      <c r="R13" s="115"/>
      <c r="S13" s="115"/>
      <c r="T13" s="115"/>
      <c r="U13" s="115"/>
      <c r="V13" s="115"/>
      <c r="W13" s="115"/>
      <c r="X13" s="115"/>
      <c r="Y13" s="115"/>
      <c r="Z13" s="115"/>
    </row>
    <row r="14" spans="1:26" ht="18.75" x14ac:dyDescent="0.3">
      <c r="A14" s="116" t="s">
        <v>145</v>
      </c>
      <c r="B14" s="117"/>
      <c r="C14" s="118">
        <f>C13*0.3</f>
        <v>36018</v>
      </c>
      <c r="D14" s="117"/>
      <c r="E14" s="118">
        <f>E13*0.3</f>
        <v>43200</v>
      </c>
      <c r="F14" s="118"/>
      <c r="G14" s="272">
        <v>0</v>
      </c>
      <c r="H14" s="123"/>
      <c r="I14" s="211"/>
      <c r="J14" s="280"/>
      <c r="K14" s="123"/>
      <c r="L14" s="123"/>
      <c r="M14" s="123"/>
      <c r="N14" s="123"/>
      <c r="O14" s="123"/>
      <c r="P14" s="123"/>
      <c r="Q14" s="123"/>
      <c r="R14" s="123"/>
      <c r="S14" s="123"/>
      <c r="T14" s="123"/>
      <c r="U14" s="123"/>
      <c r="V14" s="123"/>
      <c r="W14" s="123"/>
      <c r="X14" s="123"/>
      <c r="Y14" s="123"/>
      <c r="Z14" s="123"/>
    </row>
    <row r="15" spans="1:26" ht="18.75" x14ac:dyDescent="0.3">
      <c r="A15" s="107" t="s">
        <v>146</v>
      </c>
      <c r="B15" s="120">
        <v>8.2589858081657974E-2</v>
      </c>
      <c r="C15" s="118">
        <f>$C$14*B15</f>
        <v>2974.721508385157</v>
      </c>
      <c r="D15" s="120">
        <v>8.2589858081657974E-2</v>
      </c>
      <c r="E15" s="118">
        <f>$E$14*D15</f>
        <v>3567.8818691276247</v>
      </c>
      <c r="F15" s="121">
        <v>0.15196999999999999</v>
      </c>
      <c r="G15" s="273">
        <f>F15*D15*$G$14*8760/1000</f>
        <v>0</v>
      </c>
      <c r="H15" s="122">
        <v>59.27799510161713</v>
      </c>
      <c r="I15" s="213">
        <f>H15*G15*15*0.96</f>
        <v>0</v>
      </c>
      <c r="J15" s="279">
        <v>55.89</v>
      </c>
      <c r="K15" s="122">
        <f t="shared" ref="K15:Z19" si="3">J15*$B$93</f>
        <v>53.654399999999995</v>
      </c>
      <c r="L15" s="122">
        <f t="shared" si="3"/>
        <v>51.508223999999991</v>
      </c>
      <c r="M15" s="122">
        <f t="shared" si="3"/>
        <v>49.447895039999992</v>
      </c>
      <c r="N15" s="122">
        <f t="shared" si="3"/>
        <v>47.469979238399993</v>
      </c>
      <c r="O15" s="122">
        <f t="shared" si="3"/>
        <v>45.571180068863995</v>
      </c>
      <c r="P15" s="122">
        <f t="shared" si="3"/>
        <v>43.748332866109436</v>
      </c>
      <c r="Q15" s="122">
        <f t="shared" si="3"/>
        <v>41.998399551465056</v>
      </c>
      <c r="R15" s="122">
        <f t="shared" si="3"/>
        <v>40.318463569406454</v>
      </c>
      <c r="S15" s="122">
        <f t="shared" si="3"/>
        <v>38.705725026630198</v>
      </c>
      <c r="T15" s="122">
        <f t="shared" si="3"/>
        <v>37.157496025564988</v>
      </c>
      <c r="U15" s="122">
        <f t="shared" si="3"/>
        <v>35.671196184542389</v>
      </c>
      <c r="V15" s="122">
        <f t="shared" si="3"/>
        <v>34.244348337160694</v>
      </c>
      <c r="W15" s="122">
        <f t="shared" si="3"/>
        <v>32.874574403674266</v>
      </c>
      <c r="X15" s="122">
        <f t="shared" si="3"/>
        <v>31.559591427527295</v>
      </c>
      <c r="Y15" s="122">
        <f t="shared" si="3"/>
        <v>30.297207770426201</v>
      </c>
      <c r="Z15" s="122">
        <f t="shared" si="3"/>
        <v>29.085319459609153</v>
      </c>
    </row>
    <row r="16" spans="1:26" ht="18.75" x14ac:dyDescent="0.3">
      <c r="A16" s="107" t="s">
        <v>147</v>
      </c>
      <c r="B16" s="120">
        <v>6.3796727298494463E-2</v>
      </c>
      <c r="C16" s="118">
        <f>$C$14*B16</f>
        <v>2297.8305238371736</v>
      </c>
      <c r="D16" s="120">
        <v>6.3796727298494463E-2</v>
      </c>
      <c r="E16" s="118">
        <f>$E$14*D16</f>
        <v>2756.0186192949609</v>
      </c>
      <c r="F16" s="121">
        <v>0.14819000000000002</v>
      </c>
      <c r="G16" s="273">
        <f t="shared" ref="G16:G18" si="4">F16*D16*$G$14*8760/1000</f>
        <v>0</v>
      </c>
      <c r="H16" s="122">
        <v>60.436049575549703</v>
      </c>
      <c r="I16" s="213">
        <f>H16*G16*15*0.96</f>
        <v>0</v>
      </c>
      <c r="J16" s="279">
        <v>53.63</v>
      </c>
      <c r="K16" s="122">
        <f t="shared" si="3"/>
        <v>51.4848</v>
      </c>
      <c r="L16" s="122">
        <f t="shared" si="3"/>
        <v>49.425407999999997</v>
      </c>
      <c r="M16" s="122">
        <f t="shared" si="3"/>
        <v>47.448391679999993</v>
      </c>
      <c r="N16" s="122">
        <f t="shared" si="3"/>
        <v>45.550456012799991</v>
      </c>
      <c r="O16" s="122">
        <f t="shared" si="3"/>
        <v>43.72843777228799</v>
      </c>
      <c r="P16" s="122">
        <f t="shared" si="3"/>
        <v>41.979300261396467</v>
      </c>
      <c r="Q16" s="122">
        <f t="shared" si="3"/>
        <v>40.30012825094061</v>
      </c>
      <c r="R16" s="122">
        <f t="shared" si="3"/>
        <v>38.688123120902986</v>
      </c>
      <c r="S16" s="122">
        <f t="shared" si="3"/>
        <v>37.140598196066868</v>
      </c>
      <c r="T16" s="122">
        <f t="shared" si="3"/>
        <v>35.654974268224194</v>
      </c>
      <c r="U16" s="122">
        <f t="shared" si="3"/>
        <v>34.228775297495226</v>
      </c>
      <c r="V16" s="122">
        <f t="shared" si="3"/>
        <v>32.859624285595416</v>
      </c>
      <c r="W16" s="122">
        <f t="shared" si="3"/>
        <v>31.545239314171599</v>
      </c>
      <c r="X16" s="122">
        <f t="shared" si="3"/>
        <v>30.283429741604735</v>
      </c>
      <c r="Y16" s="122">
        <f t="shared" si="3"/>
        <v>29.072092551940543</v>
      </c>
      <c r="Z16" s="122">
        <f t="shared" si="3"/>
        <v>27.909208849862921</v>
      </c>
    </row>
    <row r="17" spans="1:26" ht="18.75" x14ac:dyDescent="0.3">
      <c r="A17" s="107" t="s">
        <v>148</v>
      </c>
      <c r="B17" s="120">
        <v>0.14809231752718796</v>
      </c>
      <c r="C17" s="118">
        <f>$C$14*B17</f>
        <v>5333.9890926942562</v>
      </c>
      <c r="D17" s="120">
        <v>0.14809231752718796</v>
      </c>
      <c r="E17" s="118">
        <f>$E$14*D17</f>
        <v>6397.5881171745195</v>
      </c>
      <c r="F17" s="121">
        <v>0.15303</v>
      </c>
      <c r="G17" s="273">
        <f t="shared" si="4"/>
        <v>0</v>
      </c>
      <c r="H17" s="122">
        <v>53.394693513735859</v>
      </c>
      <c r="I17" s="213">
        <f>H17*G17*15*0.96</f>
        <v>0</v>
      </c>
      <c r="J17" s="279">
        <v>46.58</v>
      </c>
      <c r="K17" s="122">
        <f t="shared" si="3"/>
        <v>44.716799999999999</v>
      </c>
      <c r="L17" s="122">
        <f>K17*$B$93</f>
        <v>42.928128000000001</v>
      </c>
      <c r="M17" s="122">
        <f t="shared" si="3"/>
        <v>41.211002880000002</v>
      </c>
      <c r="N17" s="122">
        <f t="shared" si="3"/>
        <v>39.562562764799999</v>
      </c>
      <c r="O17" s="122">
        <f t="shared" si="3"/>
        <v>37.980060254207999</v>
      </c>
      <c r="P17" s="122">
        <f t="shared" si="3"/>
        <v>36.46085784403968</v>
      </c>
      <c r="Q17" s="122">
        <f t="shared" si="3"/>
        <v>35.002423530278094</v>
      </c>
      <c r="R17" s="122">
        <f t="shared" si="3"/>
        <v>33.602326589066969</v>
      </c>
      <c r="S17" s="122">
        <f t="shared" si="3"/>
        <v>32.258233525504288</v>
      </c>
      <c r="T17" s="122">
        <f t="shared" si="3"/>
        <v>30.967904184484116</v>
      </c>
      <c r="U17" s="122">
        <f t="shared" si="3"/>
        <v>29.72918801710475</v>
      </c>
      <c r="V17" s="122">
        <f t="shared" si="3"/>
        <v>28.54002049642056</v>
      </c>
      <c r="W17" s="122">
        <f t="shared" si="3"/>
        <v>27.398419676563737</v>
      </c>
      <c r="X17" s="122">
        <f t="shared" si="3"/>
        <v>26.302482889501185</v>
      </c>
      <c r="Y17" s="122">
        <f t="shared" si="3"/>
        <v>25.250383573921138</v>
      </c>
      <c r="Z17" s="122">
        <f t="shared" si="3"/>
        <v>24.24036823096429</v>
      </c>
    </row>
    <row r="18" spans="1:26" ht="18.75" x14ac:dyDescent="0.3">
      <c r="A18" s="107" t="s">
        <v>149</v>
      </c>
      <c r="B18" s="120">
        <v>0.7055190579627767</v>
      </c>
      <c r="C18" s="118">
        <f>$C$14*B18</f>
        <v>25411.385429703292</v>
      </c>
      <c r="D18" s="120">
        <v>0.7055190579627767</v>
      </c>
      <c r="E18" s="118">
        <f>$E$14*D18</f>
        <v>30478.423303991953</v>
      </c>
      <c r="F18" s="121">
        <v>0.14410999999999999</v>
      </c>
      <c r="G18" s="273">
        <f t="shared" si="4"/>
        <v>0</v>
      </c>
      <c r="H18" s="122">
        <v>50.013495974809175</v>
      </c>
      <c r="I18" s="213">
        <f>H18*G18*15*0.96</f>
        <v>0</v>
      </c>
      <c r="J18" s="279">
        <v>43.77</v>
      </c>
      <c r="K18" s="122">
        <f t="shared" si="3"/>
        <v>42.019200000000005</v>
      </c>
      <c r="L18" s="122">
        <f t="shared" si="3"/>
        <v>40.338432000000005</v>
      </c>
      <c r="M18" s="122">
        <f t="shared" si="3"/>
        <v>38.724894720000002</v>
      </c>
      <c r="N18" s="122">
        <f t="shared" si="3"/>
        <v>37.175898931200003</v>
      </c>
      <c r="O18" s="122">
        <f t="shared" si="3"/>
        <v>35.688862973951998</v>
      </c>
      <c r="P18" s="122">
        <f t="shared" si="3"/>
        <v>34.261308454993916</v>
      </c>
      <c r="Q18" s="122">
        <f t="shared" si="3"/>
        <v>32.890856116794161</v>
      </c>
      <c r="R18" s="122">
        <f t="shared" si="3"/>
        <v>31.575221872122395</v>
      </c>
      <c r="S18" s="122">
        <f t="shared" si="3"/>
        <v>30.312212997237499</v>
      </c>
      <c r="T18" s="122">
        <f t="shared" si="3"/>
        <v>29.099724477347998</v>
      </c>
      <c r="U18" s="122">
        <f t="shared" si="3"/>
        <v>27.935735498254076</v>
      </c>
      <c r="V18" s="122">
        <f t="shared" si="3"/>
        <v>26.818306078323911</v>
      </c>
      <c r="W18" s="122">
        <f t="shared" si="3"/>
        <v>25.745573835190953</v>
      </c>
      <c r="X18" s="122">
        <f t="shared" si="3"/>
        <v>24.715750881783315</v>
      </c>
      <c r="Y18" s="122">
        <f t="shared" si="3"/>
        <v>23.72712084651198</v>
      </c>
      <c r="Z18" s="122">
        <f t="shared" si="3"/>
        <v>22.778036012651501</v>
      </c>
    </row>
    <row r="19" spans="1:26" ht="18.75" x14ac:dyDescent="0.3">
      <c r="A19" s="107" t="s">
        <v>150</v>
      </c>
      <c r="B19" s="120">
        <v>0</v>
      </c>
      <c r="C19" s="118">
        <f>$C$14*B19</f>
        <v>0</v>
      </c>
      <c r="D19" s="120">
        <v>0</v>
      </c>
      <c r="E19" s="118">
        <f>$E$14*D19</f>
        <v>0</v>
      </c>
      <c r="F19" s="121"/>
      <c r="G19" s="273"/>
      <c r="H19" s="122">
        <v>40.157397457835735</v>
      </c>
      <c r="I19" s="213">
        <f>H19*G19*15.96</f>
        <v>0</v>
      </c>
      <c r="J19" s="279">
        <v>33.03</v>
      </c>
      <c r="K19" s="122">
        <f t="shared" si="3"/>
        <v>31.7088</v>
      </c>
      <c r="L19" s="122">
        <f t="shared" ref="L19" si="5">K19*$B$93</f>
        <v>30.440448</v>
      </c>
      <c r="M19" s="122">
        <f t="shared" ref="M19" si="6">L19*$B$93</f>
        <v>29.222830079999998</v>
      </c>
      <c r="N19" s="122">
        <f t="shared" ref="N19" si="7">M19*$B$93</f>
        <v>28.053916876799995</v>
      </c>
      <c r="O19" s="122">
        <f t="shared" ref="O19" si="8">N19*$B$93</f>
        <v>26.931760201727993</v>
      </c>
      <c r="P19" s="122">
        <f t="shared" ref="P19" si="9">O19*$B$93</f>
        <v>25.854489793658871</v>
      </c>
      <c r="Q19" s="122">
        <f t="shared" ref="Q19" si="10">P19*$B$93</f>
        <v>24.820310201912516</v>
      </c>
      <c r="R19" s="122">
        <f t="shared" ref="R19" si="11">Q19*$B$93</f>
        <v>23.827497793836013</v>
      </c>
      <c r="S19" s="122">
        <f t="shared" ref="S19" si="12">R19*$B$93</f>
        <v>22.874397882082572</v>
      </c>
      <c r="T19" s="122">
        <f t="shared" ref="T19" si="13">S19*$B$93</f>
        <v>21.959421966799269</v>
      </c>
      <c r="U19" s="122">
        <f t="shared" ref="U19" si="14">T19*$B$93</f>
        <v>21.081045088127297</v>
      </c>
      <c r="V19" s="122">
        <f t="shared" ref="V19" si="15">U19*$B$93</f>
        <v>20.237803284602204</v>
      </c>
      <c r="W19" s="122">
        <f t="shared" ref="W19" si="16">V19*$B$93</f>
        <v>19.428291153218115</v>
      </c>
      <c r="X19" s="122">
        <f t="shared" ref="X19" si="17">W19*$B$93</f>
        <v>18.651159507089389</v>
      </c>
      <c r="Y19" s="122">
        <f t="shared" ref="Y19" si="18">X19*$B$93</f>
        <v>17.905113126805812</v>
      </c>
      <c r="Z19" s="122">
        <f t="shared" ref="Z19" si="19">Y19*$B$93</f>
        <v>17.18890860173358</v>
      </c>
    </row>
    <row r="20" spans="1:26" ht="18.75" x14ac:dyDescent="0.3">
      <c r="A20" s="116" t="s">
        <v>151</v>
      </c>
      <c r="B20" s="117"/>
      <c r="C20" s="118">
        <f>C13*0.7</f>
        <v>84042</v>
      </c>
      <c r="D20" s="117"/>
      <c r="E20" s="118">
        <f>E13*0.7</f>
        <v>100800</v>
      </c>
      <c r="F20" s="118"/>
      <c r="G20" s="270">
        <v>0</v>
      </c>
      <c r="H20" s="123"/>
      <c r="I20" s="211"/>
      <c r="J20" s="280"/>
      <c r="K20" s="123"/>
      <c r="L20" s="123"/>
      <c r="M20" s="123"/>
      <c r="N20" s="123"/>
      <c r="O20" s="123"/>
      <c r="P20" s="123"/>
      <c r="Q20" s="123"/>
      <c r="R20" s="123"/>
      <c r="S20" s="123"/>
      <c r="T20" s="123"/>
      <c r="U20" s="123"/>
      <c r="V20" s="123"/>
      <c r="W20" s="123"/>
      <c r="X20" s="123"/>
      <c r="Y20" s="123"/>
      <c r="Z20" s="123"/>
    </row>
    <row r="21" spans="1:26" ht="18.75" x14ac:dyDescent="0.3">
      <c r="A21" s="107" t="s">
        <v>152</v>
      </c>
      <c r="B21" s="120">
        <v>3.7818107834294019E-2</v>
      </c>
      <c r="C21" s="118">
        <f>$C$20*B21</f>
        <v>3178.3094186097378</v>
      </c>
      <c r="D21" s="120">
        <v>3.7818107834294019E-2</v>
      </c>
      <c r="E21" s="118">
        <f>$E$20*D21</f>
        <v>3812.0652696968373</v>
      </c>
      <c r="F21" s="121">
        <v>0.14305999999999999</v>
      </c>
      <c r="G21" s="273">
        <f>F21*D21*$G$20*8760/1000</f>
        <v>0</v>
      </c>
      <c r="H21" s="122">
        <v>69.473498635179098</v>
      </c>
      <c r="I21" s="213">
        <f>H21*G21*15*0.96</f>
        <v>0</v>
      </c>
      <c r="J21" s="279">
        <v>70.23</v>
      </c>
      <c r="K21" s="122">
        <f t="shared" ref="K21:Z25" si="20">J21*$B$93</f>
        <v>67.4208</v>
      </c>
      <c r="L21" s="122">
        <f t="shared" si="20"/>
        <v>64.723967999999999</v>
      </c>
      <c r="M21" s="122">
        <f t="shared" si="20"/>
        <v>62.135009279999998</v>
      </c>
      <c r="N21" s="122">
        <f t="shared" si="20"/>
        <v>59.649608908799998</v>
      </c>
      <c r="O21" s="122">
        <f t="shared" si="20"/>
        <v>57.263624552447993</v>
      </c>
      <c r="P21" s="122">
        <f t="shared" si="20"/>
        <v>54.973079570350073</v>
      </c>
      <c r="Q21" s="122">
        <f t="shared" si="20"/>
        <v>52.774156387536067</v>
      </c>
      <c r="R21" s="122">
        <f t="shared" si="20"/>
        <v>50.663190132034622</v>
      </c>
      <c r="S21" s="122">
        <f t="shared" si="20"/>
        <v>48.636662526753234</v>
      </c>
      <c r="T21" s="122">
        <f t="shared" si="20"/>
        <v>46.691196025683105</v>
      </c>
      <c r="U21" s="122">
        <f t="shared" si="20"/>
        <v>44.823548184655778</v>
      </c>
      <c r="V21" s="122">
        <f t="shared" si="20"/>
        <v>43.030606257269547</v>
      </c>
      <c r="W21" s="122">
        <f t="shared" si="20"/>
        <v>41.309382006978765</v>
      </c>
      <c r="X21" s="122">
        <f t="shared" si="20"/>
        <v>39.657006726699613</v>
      </c>
      <c r="Y21" s="122">
        <f t="shared" si="20"/>
        <v>38.070726457631629</v>
      </c>
      <c r="Z21" s="122">
        <f t="shared" si="20"/>
        <v>36.547897399326359</v>
      </c>
    </row>
    <row r="22" spans="1:26" ht="18.75" x14ac:dyDescent="0.3">
      <c r="A22" s="107" t="s">
        <v>147</v>
      </c>
      <c r="B22" s="120">
        <v>2.9448996157951057E-2</v>
      </c>
      <c r="C22" s="118">
        <f>$C$20*B22</f>
        <v>2474.9525351065226</v>
      </c>
      <c r="D22" s="120">
        <v>2.9448996157951057E-2</v>
      </c>
      <c r="E22" s="118">
        <f>$E$20*D22</f>
        <v>2968.4588127214665</v>
      </c>
      <c r="F22" s="121">
        <v>0.14176</v>
      </c>
      <c r="G22" s="273">
        <f t="shared" ref="G22:G24" si="21">F22*D22*$G$20*8760/1000</f>
        <v>0</v>
      </c>
      <c r="H22" s="122">
        <v>65.962856644973385</v>
      </c>
      <c r="I22" s="213">
        <f>H22*G22*15*0.96</f>
        <v>0</v>
      </c>
      <c r="J22" s="279">
        <v>63.34</v>
      </c>
      <c r="K22" s="122">
        <f t="shared" si="20"/>
        <v>60.806400000000004</v>
      </c>
      <c r="L22" s="122">
        <f t="shared" si="20"/>
        <v>58.374144000000001</v>
      </c>
      <c r="M22" s="122">
        <f t="shared" si="20"/>
        <v>56.039178239999998</v>
      </c>
      <c r="N22" s="122">
        <f t="shared" si="20"/>
        <v>53.797611110399998</v>
      </c>
      <c r="O22" s="122">
        <f t="shared" si="20"/>
        <v>51.645706665983994</v>
      </c>
      <c r="P22" s="122">
        <f t="shared" si="20"/>
        <v>49.579878399344629</v>
      </c>
      <c r="Q22" s="122">
        <f t="shared" si="20"/>
        <v>47.596683263370842</v>
      </c>
      <c r="R22" s="122">
        <f t="shared" si="20"/>
        <v>45.692815932836005</v>
      </c>
      <c r="S22" s="122">
        <f t="shared" si="20"/>
        <v>43.865103295522566</v>
      </c>
      <c r="T22" s="122">
        <f t="shared" si="20"/>
        <v>42.110499163701661</v>
      </c>
      <c r="U22" s="122">
        <f t="shared" si="20"/>
        <v>40.426079197153591</v>
      </c>
      <c r="V22" s="122">
        <f t="shared" si="20"/>
        <v>38.809036029267446</v>
      </c>
      <c r="W22" s="122">
        <f t="shared" si="20"/>
        <v>37.25667458809675</v>
      </c>
      <c r="X22" s="122">
        <f t="shared" si="20"/>
        <v>35.766407604572876</v>
      </c>
      <c r="Y22" s="122">
        <f t="shared" si="20"/>
        <v>34.335751300389958</v>
      </c>
      <c r="Z22" s="122">
        <f t="shared" si="20"/>
        <v>32.962321248374359</v>
      </c>
    </row>
    <row r="23" spans="1:26" ht="18.75" x14ac:dyDescent="0.3">
      <c r="A23" s="107" t="s">
        <v>148</v>
      </c>
      <c r="B23" s="120">
        <v>0.1091491177452943</v>
      </c>
      <c r="C23" s="118">
        <f>$C$20*B23</f>
        <v>9173.1101535500238</v>
      </c>
      <c r="D23" s="120">
        <v>0.1091491177452943</v>
      </c>
      <c r="E23" s="118">
        <f>$E$20*D23</f>
        <v>11002.231068725665</v>
      </c>
      <c r="F23" s="121">
        <v>0.14119000000000001</v>
      </c>
      <c r="G23" s="273">
        <f t="shared" si="21"/>
        <v>0</v>
      </c>
      <c r="H23" s="122">
        <v>58.357776139219837</v>
      </c>
      <c r="I23" s="213">
        <f>H23*G23*15*0.96</f>
        <v>0</v>
      </c>
      <c r="J23" s="279">
        <v>54.6</v>
      </c>
      <c r="K23" s="122">
        <f t="shared" si="20"/>
        <v>52.415999999999997</v>
      </c>
      <c r="L23" s="122">
        <f t="shared" si="20"/>
        <v>50.319359999999996</v>
      </c>
      <c r="M23" s="122">
        <f t="shared" si="20"/>
        <v>48.306585599999991</v>
      </c>
      <c r="N23" s="122">
        <f t="shared" si="20"/>
        <v>46.374322175999993</v>
      </c>
      <c r="O23" s="122">
        <f t="shared" si="20"/>
        <v>44.519349288959994</v>
      </c>
      <c r="P23" s="122">
        <f t="shared" si="20"/>
        <v>42.73857531740159</v>
      </c>
      <c r="Q23" s="122">
        <f t="shared" si="20"/>
        <v>41.029032304705524</v>
      </c>
      <c r="R23" s="122">
        <f t="shared" si="20"/>
        <v>39.387871012517301</v>
      </c>
      <c r="S23" s="122">
        <f t="shared" si="20"/>
        <v>37.812356172016607</v>
      </c>
      <c r="T23" s="122">
        <f t="shared" si="20"/>
        <v>36.299861925135943</v>
      </c>
      <c r="U23" s="122">
        <f t="shared" si="20"/>
        <v>34.847867448130501</v>
      </c>
      <c r="V23" s="122">
        <f t="shared" si="20"/>
        <v>33.453952750205282</v>
      </c>
      <c r="W23" s="122">
        <f t="shared" si="20"/>
        <v>32.115794640197066</v>
      </c>
      <c r="X23" s="122">
        <f t="shared" si="20"/>
        <v>30.831162854589181</v>
      </c>
      <c r="Y23" s="122">
        <f t="shared" si="20"/>
        <v>29.597916340405611</v>
      </c>
      <c r="Z23" s="122">
        <f t="shared" si="20"/>
        <v>28.413999686789385</v>
      </c>
    </row>
    <row r="24" spans="1:26" ht="18.75" x14ac:dyDescent="0.3">
      <c r="A24" s="107" t="s">
        <v>149</v>
      </c>
      <c r="B24" s="120">
        <v>0.82358343106844789</v>
      </c>
      <c r="C24" s="118">
        <f>$C$20*B24</f>
        <v>69215.598713854502</v>
      </c>
      <c r="D24" s="120">
        <v>0.82358343106844789</v>
      </c>
      <c r="E24" s="118">
        <f>$E$20*D24</f>
        <v>83017.209851699547</v>
      </c>
      <c r="F24" s="121">
        <v>0.1497</v>
      </c>
      <c r="G24" s="273">
        <f t="shared" si="21"/>
        <v>0</v>
      </c>
      <c r="H24" s="122">
        <v>52.055130885781359</v>
      </c>
      <c r="I24" s="213">
        <f>H24*G24*15*0.96</f>
        <v>0</v>
      </c>
      <c r="J24" s="279">
        <v>49.49</v>
      </c>
      <c r="K24" s="122">
        <f t="shared" si="20"/>
        <v>47.510399999999997</v>
      </c>
      <c r="L24" s="122">
        <f t="shared" si="20"/>
        <v>45.609983999999997</v>
      </c>
      <c r="M24" s="122">
        <f t="shared" si="20"/>
        <v>43.785584639999996</v>
      </c>
      <c r="N24" s="122">
        <f t="shared" si="20"/>
        <v>42.034161254399997</v>
      </c>
      <c r="O24" s="122">
        <f t="shared" si="20"/>
        <v>40.352794804223997</v>
      </c>
      <c r="P24" s="122">
        <f t="shared" si="20"/>
        <v>38.738683012055034</v>
      </c>
      <c r="Q24" s="122">
        <f t="shared" si="20"/>
        <v>37.18913569157283</v>
      </c>
      <c r="R24" s="122">
        <f t="shared" si="20"/>
        <v>35.701570263909915</v>
      </c>
      <c r="S24" s="122">
        <f t="shared" si="20"/>
        <v>34.273507453353517</v>
      </c>
      <c r="T24" s="122">
        <f t="shared" si="20"/>
        <v>32.902567155219373</v>
      </c>
      <c r="U24" s="122">
        <f t="shared" si="20"/>
        <v>31.586464469010597</v>
      </c>
      <c r="V24" s="122">
        <f t="shared" si="20"/>
        <v>30.323005890250172</v>
      </c>
      <c r="W24" s="122">
        <f t="shared" si="20"/>
        <v>29.110085654640166</v>
      </c>
      <c r="X24" s="122">
        <f t="shared" si="20"/>
        <v>27.945682228454558</v>
      </c>
      <c r="Y24" s="122">
        <f t="shared" si="20"/>
        <v>26.827854939316374</v>
      </c>
      <c r="Z24" s="122">
        <f t="shared" si="20"/>
        <v>25.754740741743717</v>
      </c>
    </row>
    <row r="25" spans="1:26" ht="18.75" x14ac:dyDescent="0.3">
      <c r="A25" s="107" t="s">
        <v>150</v>
      </c>
      <c r="B25" s="120">
        <v>0</v>
      </c>
      <c r="C25" s="118">
        <f>$C$20*B25</f>
        <v>0</v>
      </c>
      <c r="D25" s="120">
        <v>0</v>
      </c>
      <c r="E25" s="118">
        <f>$E$20*D25</f>
        <v>0</v>
      </c>
      <c r="F25" s="121"/>
      <c r="G25" s="273"/>
      <c r="H25" s="122">
        <v>39.558961261811675</v>
      </c>
      <c r="I25" s="213"/>
      <c r="J25" s="279">
        <v>37.049999999999997</v>
      </c>
      <c r="K25" s="122">
        <f t="shared" si="20"/>
        <v>35.567999999999998</v>
      </c>
      <c r="L25" s="122">
        <f t="shared" si="20"/>
        <v>34.14528</v>
      </c>
      <c r="M25" s="122">
        <f t="shared" si="20"/>
        <v>32.779468799999997</v>
      </c>
      <c r="N25" s="122">
        <f t="shared" si="20"/>
        <v>31.468290047999997</v>
      </c>
      <c r="O25" s="122">
        <f t="shared" si="20"/>
        <v>30.209558446079996</v>
      </c>
      <c r="P25" s="122">
        <f t="shared" si="20"/>
        <v>29.001176108236795</v>
      </c>
      <c r="Q25" s="122">
        <f t="shared" si="20"/>
        <v>27.841129063907321</v>
      </c>
      <c r="R25" s="122">
        <f t="shared" si="20"/>
        <v>26.727483901351025</v>
      </c>
      <c r="S25" s="122">
        <f t="shared" si="20"/>
        <v>25.658384545296983</v>
      </c>
      <c r="T25" s="122">
        <f t="shared" si="20"/>
        <v>24.632049163485103</v>
      </c>
      <c r="U25" s="122">
        <f t="shared" si="20"/>
        <v>23.646767196945699</v>
      </c>
      <c r="V25" s="122">
        <f t="shared" si="20"/>
        <v>22.700896509067871</v>
      </c>
      <c r="W25" s="122">
        <f t="shared" si="20"/>
        <v>21.792860648705155</v>
      </c>
      <c r="X25" s="122">
        <f t="shared" si="20"/>
        <v>20.921146222756949</v>
      </c>
      <c r="Y25" s="122">
        <f t="shared" si="20"/>
        <v>20.08430037384667</v>
      </c>
      <c r="Z25" s="122">
        <f t="shared" si="20"/>
        <v>19.280928358892801</v>
      </c>
    </row>
    <row r="26" spans="1:26" ht="18.75" x14ac:dyDescent="0.3">
      <c r="A26" s="111" t="s">
        <v>153</v>
      </c>
      <c r="B26" s="113">
        <v>0.27</v>
      </c>
      <c r="C26" s="114">
        <f>B4*B26</f>
        <v>180090</v>
      </c>
      <c r="D26" s="113">
        <v>0.27</v>
      </c>
      <c r="E26" s="114">
        <f>D4*D26</f>
        <v>216000</v>
      </c>
      <c r="F26" s="114"/>
      <c r="G26" s="271"/>
      <c r="H26" s="115"/>
      <c r="I26" s="212">
        <f>SUM(I27:I42)</f>
        <v>0</v>
      </c>
      <c r="J26" s="277"/>
      <c r="K26" s="115"/>
      <c r="L26" s="115"/>
      <c r="M26" s="115"/>
      <c r="N26" s="115"/>
      <c r="O26" s="115"/>
      <c r="P26" s="115"/>
      <c r="Q26" s="123"/>
      <c r="R26" s="123"/>
      <c r="S26" s="123"/>
      <c r="T26" s="123"/>
      <c r="U26" s="123"/>
      <c r="V26" s="123"/>
      <c r="W26" s="123"/>
      <c r="X26" s="123"/>
      <c r="Y26" s="123"/>
      <c r="Z26" s="123"/>
    </row>
    <row r="27" spans="1:26" ht="18.75" x14ac:dyDescent="0.3">
      <c r="A27" s="116" t="s">
        <v>154</v>
      </c>
      <c r="B27" s="120">
        <v>0.3</v>
      </c>
      <c r="C27" s="118">
        <f>C26*0.3</f>
        <v>54027</v>
      </c>
      <c r="D27" s="120">
        <v>0.3</v>
      </c>
      <c r="E27" s="118">
        <f>E26*0.3</f>
        <v>64800</v>
      </c>
      <c r="F27" s="121">
        <v>0.16907</v>
      </c>
      <c r="G27" s="273"/>
      <c r="H27" s="123"/>
      <c r="I27" s="213"/>
      <c r="J27" s="280"/>
      <c r="K27" s="123"/>
      <c r="L27" s="123"/>
      <c r="M27" s="123"/>
      <c r="N27" s="123"/>
      <c r="O27" s="123"/>
      <c r="P27" s="123"/>
      <c r="Q27" s="123"/>
      <c r="R27" s="123"/>
      <c r="S27" s="123"/>
      <c r="T27" s="123"/>
      <c r="U27" s="123"/>
      <c r="V27" s="123"/>
      <c r="W27" s="123"/>
      <c r="X27" s="123"/>
      <c r="Y27" s="123"/>
      <c r="Z27" s="123"/>
    </row>
    <row r="28" spans="1:26" ht="18.75" x14ac:dyDescent="0.3">
      <c r="A28" s="107" t="s">
        <v>140</v>
      </c>
      <c r="B28" s="120">
        <v>0</v>
      </c>
      <c r="C28" s="118">
        <v>0</v>
      </c>
      <c r="D28" s="120"/>
      <c r="E28" s="118">
        <v>0</v>
      </c>
      <c r="F28" s="121">
        <v>0.16907</v>
      </c>
      <c r="G28" s="273">
        <f t="shared" ref="G28:G34" si="22">F28*E28*8760/1000</f>
        <v>0</v>
      </c>
      <c r="H28" s="122">
        <v>0</v>
      </c>
      <c r="I28" s="213">
        <f t="shared" ref="I28:I34" si="23">H28*G28*20*0.95</f>
        <v>0</v>
      </c>
      <c r="J28" s="279">
        <v>0</v>
      </c>
      <c r="K28" s="122">
        <f t="shared" ref="K28:L34" si="24">J28*$B$93</f>
        <v>0</v>
      </c>
      <c r="L28" s="122">
        <f>K28*$B$93</f>
        <v>0</v>
      </c>
      <c r="M28" s="122">
        <f t="shared" ref="M28:N34" si="25">L28*$B$93</f>
        <v>0</v>
      </c>
      <c r="N28" s="122">
        <f t="shared" ref="N28:Z28" si="26">M28*$B$93</f>
        <v>0</v>
      </c>
      <c r="O28" s="122">
        <f t="shared" si="26"/>
        <v>0</v>
      </c>
      <c r="P28" s="122">
        <f t="shared" si="26"/>
        <v>0</v>
      </c>
      <c r="Q28" s="122">
        <f t="shared" si="26"/>
        <v>0</v>
      </c>
      <c r="R28" s="122">
        <f t="shared" si="26"/>
        <v>0</v>
      </c>
      <c r="S28" s="122">
        <f t="shared" si="26"/>
        <v>0</v>
      </c>
      <c r="T28" s="122">
        <f t="shared" si="26"/>
        <v>0</v>
      </c>
      <c r="U28" s="122">
        <f t="shared" si="26"/>
        <v>0</v>
      </c>
      <c r="V28" s="122">
        <f t="shared" si="26"/>
        <v>0</v>
      </c>
      <c r="W28" s="122">
        <f t="shared" si="26"/>
        <v>0</v>
      </c>
      <c r="X28" s="122">
        <f t="shared" si="26"/>
        <v>0</v>
      </c>
      <c r="Y28" s="122">
        <f t="shared" si="26"/>
        <v>0</v>
      </c>
      <c r="Z28" s="122">
        <f t="shared" si="26"/>
        <v>0</v>
      </c>
    </row>
    <row r="29" spans="1:26" ht="18.75" x14ac:dyDescent="0.3">
      <c r="A29" s="107" t="s">
        <v>141</v>
      </c>
      <c r="B29" s="120">
        <v>0</v>
      </c>
      <c r="C29" s="118">
        <v>0</v>
      </c>
      <c r="D29" s="120"/>
      <c r="E29" s="118">
        <v>0</v>
      </c>
      <c r="F29" s="121">
        <v>0.16907</v>
      </c>
      <c r="G29" s="273">
        <f t="shared" si="22"/>
        <v>0</v>
      </c>
      <c r="H29" s="122">
        <v>55.077673821860515</v>
      </c>
      <c r="I29" s="213">
        <f t="shared" si="23"/>
        <v>0</v>
      </c>
      <c r="J29" s="279">
        <v>57.49</v>
      </c>
      <c r="K29" s="122">
        <f t="shared" si="24"/>
        <v>55.190399999999997</v>
      </c>
      <c r="L29" s="122">
        <f t="shared" si="24"/>
        <v>52.982783999999995</v>
      </c>
      <c r="M29" s="122">
        <f t="shared" si="25"/>
        <v>50.863472639999991</v>
      </c>
      <c r="N29" s="122">
        <f t="shared" si="25"/>
        <v>48.828933734399989</v>
      </c>
      <c r="O29" s="122">
        <f t="shared" ref="O29:P34" si="27">N29*$B$93</f>
        <v>46.87577638502399</v>
      </c>
      <c r="P29" s="122">
        <f t="shared" si="27"/>
        <v>45.00074532962303</v>
      </c>
      <c r="Q29" s="122">
        <f t="shared" ref="Q29:Z34" si="28">P29*$B$93</f>
        <v>43.200715516438109</v>
      </c>
      <c r="R29" s="122">
        <f t="shared" si="28"/>
        <v>41.472686895780583</v>
      </c>
      <c r="S29" s="122">
        <f t="shared" si="28"/>
        <v>39.813779419949356</v>
      </c>
      <c r="T29" s="122">
        <f t="shared" si="28"/>
        <v>38.22122824315138</v>
      </c>
      <c r="U29" s="122">
        <f t="shared" si="28"/>
        <v>36.692379113425325</v>
      </c>
      <c r="V29" s="122">
        <f t="shared" si="28"/>
        <v>35.224683948888313</v>
      </c>
      <c r="W29" s="122">
        <f t="shared" si="28"/>
        <v>33.815696590932781</v>
      </c>
      <c r="X29" s="122">
        <f t="shared" si="28"/>
        <v>32.463068727295472</v>
      </c>
      <c r="Y29" s="122">
        <f t="shared" si="28"/>
        <v>31.164545978203652</v>
      </c>
      <c r="Z29" s="122">
        <f t="shared" si="28"/>
        <v>29.917964139075504</v>
      </c>
    </row>
    <row r="30" spans="1:26" ht="18.75" x14ac:dyDescent="0.3">
      <c r="A30" s="107" t="s">
        <v>152</v>
      </c>
      <c r="B30" s="120">
        <v>0</v>
      </c>
      <c r="C30" s="118">
        <v>0</v>
      </c>
      <c r="D30" s="120"/>
      <c r="E30" s="118">
        <v>0</v>
      </c>
      <c r="F30" s="121">
        <v>0.16907</v>
      </c>
      <c r="G30" s="273">
        <f t="shared" si="22"/>
        <v>0</v>
      </c>
      <c r="H30" s="122">
        <v>58.937284527617258</v>
      </c>
      <c r="I30" s="213">
        <f t="shared" si="23"/>
        <v>0</v>
      </c>
      <c r="J30" s="279">
        <v>58.84</v>
      </c>
      <c r="K30" s="122">
        <f t="shared" si="24"/>
        <v>56.486400000000003</v>
      </c>
      <c r="L30" s="122">
        <f t="shared" si="24"/>
        <v>54.226944000000003</v>
      </c>
      <c r="M30" s="122">
        <f t="shared" si="25"/>
        <v>52.057866240000003</v>
      </c>
      <c r="N30" s="122">
        <f t="shared" si="25"/>
        <v>49.975551590400002</v>
      </c>
      <c r="O30" s="122">
        <f t="shared" si="27"/>
        <v>47.976529526783999</v>
      </c>
      <c r="P30" s="122">
        <f t="shared" si="27"/>
        <v>46.057468345712635</v>
      </c>
      <c r="Q30" s="122">
        <f t="shared" si="28"/>
        <v>44.215169611884129</v>
      </c>
      <c r="R30" s="122">
        <f t="shared" si="28"/>
        <v>42.446562827408762</v>
      </c>
      <c r="S30" s="122">
        <f t="shared" si="28"/>
        <v>40.748700314312408</v>
      </c>
      <c r="T30" s="122">
        <f t="shared" si="28"/>
        <v>39.11875230173991</v>
      </c>
      <c r="U30" s="122">
        <f t="shared" si="28"/>
        <v>37.554002209670315</v>
      </c>
      <c r="V30" s="122">
        <f t="shared" si="28"/>
        <v>36.051842121283499</v>
      </c>
      <c r="W30" s="122">
        <f t="shared" si="28"/>
        <v>34.609768436432155</v>
      </c>
      <c r="X30" s="122">
        <f t="shared" si="28"/>
        <v>33.225377698974867</v>
      </c>
      <c r="Y30" s="122">
        <f t="shared" si="28"/>
        <v>31.896362591015873</v>
      </c>
      <c r="Z30" s="122">
        <f t="shared" si="28"/>
        <v>30.620508087375235</v>
      </c>
    </row>
    <row r="31" spans="1:26" ht="18.75" x14ac:dyDescent="0.3">
      <c r="A31" s="107" t="s">
        <v>147</v>
      </c>
      <c r="B31" s="120">
        <v>0</v>
      </c>
      <c r="C31" s="118">
        <v>0</v>
      </c>
      <c r="D31" s="120"/>
      <c r="E31" s="118">
        <v>0</v>
      </c>
      <c r="F31" s="121">
        <v>0.16907</v>
      </c>
      <c r="G31" s="273">
        <f t="shared" si="22"/>
        <v>0</v>
      </c>
      <c r="H31" s="122">
        <v>60.791707026181044</v>
      </c>
      <c r="I31" s="213">
        <f t="shared" si="23"/>
        <v>0</v>
      </c>
      <c r="J31" s="279">
        <v>57.5</v>
      </c>
      <c r="K31" s="122">
        <f t="shared" si="24"/>
        <v>55.199999999999996</v>
      </c>
      <c r="L31" s="122">
        <f t="shared" si="24"/>
        <v>52.991999999999997</v>
      </c>
      <c r="M31" s="122">
        <f t="shared" si="25"/>
        <v>50.872319999999995</v>
      </c>
      <c r="N31" s="122">
        <f t="shared" si="25"/>
        <v>48.837427199999993</v>
      </c>
      <c r="O31" s="122">
        <f t="shared" si="27"/>
        <v>46.883930111999994</v>
      </c>
      <c r="P31" s="122">
        <f t="shared" si="27"/>
        <v>45.008572907519991</v>
      </c>
      <c r="Q31" s="122">
        <f t="shared" si="28"/>
        <v>43.208229991219191</v>
      </c>
      <c r="R31" s="122">
        <f t="shared" si="28"/>
        <v>41.479900791570422</v>
      </c>
      <c r="S31" s="122">
        <f t="shared" si="28"/>
        <v>39.820704759907606</v>
      </c>
      <c r="T31" s="122">
        <f t="shared" si="28"/>
        <v>38.227876569511302</v>
      </c>
      <c r="U31" s="122">
        <f t="shared" si="28"/>
        <v>36.698761506730847</v>
      </c>
      <c r="V31" s="122">
        <f t="shared" si="28"/>
        <v>35.230811046461611</v>
      </c>
      <c r="W31" s="122">
        <f t="shared" si="28"/>
        <v>33.821578604603147</v>
      </c>
      <c r="X31" s="122">
        <f t="shared" si="28"/>
        <v>32.46871546041902</v>
      </c>
      <c r="Y31" s="122">
        <f t="shared" si="28"/>
        <v>31.169966842002257</v>
      </c>
      <c r="Z31" s="122">
        <f t="shared" si="28"/>
        <v>29.923168168322164</v>
      </c>
    </row>
    <row r="32" spans="1:26" ht="18.75" x14ac:dyDescent="0.3">
      <c r="A32" s="107" t="s">
        <v>148</v>
      </c>
      <c r="B32" s="120">
        <v>0</v>
      </c>
      <c r="C32" s="118">
        <v>0</v>
      </c>
      <c r="D32" s="120"/>
      <c r="E32" s="118">
        <v>0</v>
      </c>
      <c r="F32" s="121">
        <v>0.16907</v>
      </c>
      <c r="G32" s="273">
        <f t="shared" si="22"/>
        <v>0</v>
      </c>
      <c r="H32" s="122">
        <v>56.957220995836941</v>
      </c>
      <c r="I32" s="213">
        <f t="shared" si="23"/>
        <v>0</v>
      </c>
      <c r="J32" s="279">
        <v>53.46</v>
      </c>
      <c r="K32" s="122">
        <f t="shared" si="24"/>
        <v>51.321599999999997</v>
      </c>
      <c r="L32" s="122">
        <f t="shared" si="24"/>
        <v>49.268735999999997</v>
      </c>
      <c r="M32" s="122">
        <f t="shared" si="25"/>
        <v>47.297986559999998</v>
      </c>
      <c r="N32" s="122">
        <f t="shared" si="25"/>
        <v>45.406067097599994</v>
      </c>
      <c r="O32" s="122">
        <f t="shared" si="27"/>
        <v>43.589824413695993</v>
      </c>
      <c r="P32" s="122">
        <f t="shared" si="27"/>
        <v>41.846231437148155</v>
      </c>
      <c r="Q32" s="122">
        <f t="shared" si="28"/>
        <v>40.172382179662229</v>
      </c>
      <c r="R32" s="122">
        <f t="shared" si="28"/>
        <v>38.565486892475739</v>
      </c>
      <c r="S32" s="122">
        <f t="shared" si="28"/>
        <v>37.022867416776705</v>
      </c>
      <c r="T32" s="122">
        <f t="shared" si="28"/>
        <v>35.541952720105634</v>
      </c>
      <c r="U32" s="122">
        <f t="shared" si="28"/>
        <v>34.120274611301404</v>
      </c>
      <c r="V32" s="122">
        <f t="shared" si="28"/>
        <v>32.755463626849348</v>
      </c>
      <c r="W32" s="122">
        <f t="shared" si="28"/>
        <v>31.445245081775372</v>
      </c>
      <c r="X32" s="122">
        <f t="shared" si="28"/>
        <v>30.187435278504356</v>
      </c>
      <c r="Y32" s="122">
        <f t="shared" si="28"/>
        <v>28.979937867364182</v>
      </c>
      <c r="Z32" s="122">
        <f t="shared" si="28"/>
        <v>27.820740352669613</v>
      </c>
    </row>
    <row r="33" spans="1:26" ht="18.75" x14ac:dyDescent="0.3">
      <c r="A33" s="107" t="s">
        <v>155</v>
      </c>
      <c r="B33" s="120">
        <v>1</v>
      </c>
      <c r="C33" s="118">
        <v>60030</v>
      </c>
      <c r="D33" s="120"/>
      <c r="E33" s="118">
        <v>60030</v>
      </c>
      <c r="F33" s="121">
        <v>0.16907</v>
      </c>
      <c r="G33" s="273">
        <v>0</v>
      </c>
      <c r="H33" s="122">
        <v>49.940173813436203</v>
      </c>
      <c r="I33" s="213">
        <f t="shared" si="23"/>
        <v>0</v>
      </c>
      <c r="J33" s="279">
        <v>46.02</v>
      </c>
      <c r="K33" s="122">
        <f t="shared" si="24"/>
        <v>44.179200000000002</v>
      </c>
      <c r="L33" s="122">
        <f t="shared" si="24"/>
        <v>42.412031999999996</v>
      </c>
      <c r="M33" s="122">
        <f t="shared" si="25"/>
        <v>40.715550719999996</v>
      </c>
      <c r="N33" s="122">
        <f t="shared" si="25"/>
        <v>39.086928691199994</v>
      </c>
      <c r="O33" s="122">
        <f t="shared" si="27"/>
        <v>37.523451543551992</v>
      </c>
      <c r="P33" s="122">
        <f t="shared" si="27"/>
        <v>36.022513481809909</v>
      </c>
      <c r="Q33" s="122">
        <f t="shared" si="28"/>
        <v>34.581612942537511</v>
      </c>
      <c r="R33" s="122">
        <f t="shared" si="28"/>
        <v>33.198348424836013</v>
      </c>
      <c r="S33" s="122">
        <f t="shared" si="28"/>
        <v>31.87041448784257</v>
      </c>
      <c r="T33" s="122">
        <f t="shared" si="28"/>
        <v>30.595597908328866</v>
      </c>
      <c r="U33" s="122">
        <f t="shared" si="28"/>
        <v>29.37177399199571</v>
      </c>
      <c r="V33" s="122">
        <f t="shared" si="28"/>
        <v>28.19690303231588</v>
      </c>
      <c r="W33" s="122">
        <f t="shared" si="28"/>
        <v>27.069026911023244</v>
      </c>
      <c r="X33" s="122">
        <f t="shared" si="28"/>
        <v>25.986265834582312</v>
      </c>
      <c r="Y33" s="122">
        <f t="shared" si="28"/>
        <v>24.946815201199019</v>
      </c>
      <c r="Z33" s="122">
        <f t="shared" si="28"/>
        <v>23.948942593151056</v>
      </c>
    </row>
    <row r="34" spans="1:26" ht="18.75" x14ac:dyDescent="0.3">
      <c r="A34" s="107" t="s">
        <v>156</v>
      </c>
      <c r="B34" s="120">
        <v>0</v>
      </c>
      <c r="C34" s="118">
        <v>0</v>
      </c>
      <c r="D34" s="120"/>
      <c r="E34" s="118">
        <v>0</v>
      </c>
      <c r="F34" s="121">
        <v>0.16907</v>
      </c>
      <c r="G34" s="273">
        <f t="shared" si="22"/>
        <v>0</v>
      </c>
      <c r="H34" s="122">
        <v>39.27374417956252</v>
      </c>
      <c r="I34" s="213">
        <f t="shared" si="23"/>
        <v>0</v>
      </c>
      <c r="J34" s="279">
        <v>33.99</v>
      </c>
      <c r="K34" s="122">
        <f t="shared" si="24"/>
        <v>32.630400000000002</v>
      </c>
      <c r="L34" s="122">
        <f t="shared" si="24"/>
        <v>31.325184</v>
      </c>
      <c r="M34" s="122">
        <f t="shared" si="25"/>
        <v>30.072176639999999</v>
      </c>
      <c r="N34" s="122">
        <f t="shared" si="25"/>
        <v>28.869289574399996</v>
      </c>
      <c r="O34" s="122">
        <f t="shared" si="27"/>
        <v>27.714517991423996</v>
      </c>
      <c r="P34" s="122">
        <f t="shared" si="27"/>
        <v>26.605937271767036</v>
      </c>
      <c r="Q34" s="122">
        <f t="shared" si="28"/>
        <v>25.541699780896355</v>
      </c>
      <c r="R34" s="122">
        <f t="shared" si="28"/>
        <v>24.5200317896605</v>
      </c>
      <c r="S34" s="122">
        <f t="shared" si="28"/>
        <v>23.539230518074078</v>
      </c>
      <c r="T34" s="122">
        <f t="shared" si="28"/>
        <v>22.597661297351113</v>
      </c>
      <c r="U34" s="122">
        <f t="shared" si="28"/>
        <v>21.693754845457068</v>
      </c>
      <c r="V34" s="122">
        <f t="shared" si="28"/>
        <v>20.826004651638783</v>
      </c>
      <c r="W34" s="122">
        <f t="shared" si="28"/>
        <v>19.99296446557323</v>
      </c>
      <c r="X34" s="122">
        <f t="shared" si="28"/>
        <v>19.193245886950301</v>
      </c>
      <c r="Y34" s="122">
        <f t="shared" si="28"/>
        <v>18.42551605147229</v>
      </c>
      <c r="Z34" s="122">
        <f t="shared" si="28"/>
        <v>17.688495409413399</v>
      </c>
    </row>
    <row r="35" spans="1:26" ht="18.75" x14ac:dyDescent="0.3">
      <c r="A35" s="116" t="s">
        <v>157</v>
      </c>
      <c r="B35" s="120">
        <v>0.7</v>
      </c>
      <c r="C35" s="118">
        <f>C26*0.7</f>
        <v>126062.99999999999</v>
      </c>
      <c r="D35" s="120">
        <v>0.7</v>
      </c>
      <c r="E35" s="118">
        <f>E26*0.7</f>
        <v>151200</v>
      </c>
      <c r="F35" s="121">
        <v>0.16907</v>
      </c>
      <c r="G35" s="273"/>
      <c r="H35" s="123"/>
      <c r="I35" s="213"/>
      <c r="J35" s="280"/>
      <c r="K35" s="123"/>
      <c r="L35" s="123"/>
      <c r="M35" s="123"/>
      <c r="N35" s="123"/>
      <c r="O35" s="123"/>
      <c r="P35" s="123"/>
      <c r="Q35" s="123"/>
      <c r="R35" s="123"/>
      <c r="S35" s="123"/>
      <c r="T35" s="123"/>
      <c r="U35" s="123"/>
      <c r="V35" s="123"/>
      <c r="W35" s="123"/>
      <c r="X35" s="123"/>
      <c r="Y35" s="123"/>
      <c r="Z35" s="123"/>
    </row>
    <row r="36" spans="1:26" ht="18.75" x14ac:dyDescent="0.3">
      <c r="A36" s="107" t="s">
        <v>140</v>
      </c>
      <c r="B36" s="120">
        <v>0</v>
      </c>
      <c r="C36" s="118">
        <v>0</v>
      </c>
      <c r="D36" s="120"/>
      <c r="E36" s="118">
        <v>0</v>
      </c>
      <c r="F36" s="121">
        <v>0.16907</v>
      </c>
      <c r="G36" s="273">
        <f t="shared" ref="G36:G42" si="29">F36*E36*8760/1000</f>
        <v>0</v>
      </c>
      <c r="H36" s="122"/>
      <c r="I36" s="213">
        <f t="shared" ref="I36:I42" si="30">H36*G36*20*0.95</f>
        <v>0</v>
      </c>
      <c r="J36" s="279">
        <v>0</v>
      </c>
      <c r="K36" s="122">
        <f t="shared" ref="K36:Z42" si="31">J36*$B$93</f>
        <v>0</v>
      </c>
      <c r="L36" s="122">
        <f t="shared" si="31"/>
        <v>0</v>
      </c>
      <c r="M36" s="122">
        <f t="shared" si="31"/>
        <v>0</v>
      </c>
      <c r="N36" s="122">
        <f t="shared" si="31"/>
        <v>0</v>
      </c>
      <c r="O36" s="122">
        <f t="shared" si="31"/>
        <v>0</v>
      </c>
      <c r="P36" s="122">
        <f t="shared" si="31"/>
        <v>0</v>
      </c>
      <c r="Q36" s="122">
        <f t="shared" si="31"/>
        <v>0</v>
      </c>
      <c r="R36" s="122">
        <f t="shared" si="31"/>
        <v>0</v>
      </c>
      <c r="S36" s="122">
        <f t="shared" si="31"/>
        <v>0</v>
      </c>
      <c r="T36" s="122">
        <f t="shared" si="31"/>
        <v>0</v>
      </c>
      <c r="U36" s="122">
        <f t="shared" si="31"/>
        <v>0</v>
      </c>
      <c r="V36" s="122">
        <f t="shared" si="31"/>
        <v>0</v>
      </c>
      <c r="W36" s="122">
        <f t="shared" si="31"/>
        <v>0</v>
      </c>
      <c r="X36" s="122">
        <f t="shared" si="31"/>
        <v>0</v>
      </c>
      <c r="Y36" s="122">
        <f t="shared" si="31"/>
        <v>0</v>
      </c>
      <c r="Z36" s="122">
        <f t="shared" si="31"/>
        <v>0</v>
      </c>
    </row>
    <row r="37" spans="1:26" ht="18.75" x14ac:dyDescent="0.3">
      <c r="A37" s="107" t="s">
        <v>141</v>
      </c>
      <c r="B37" s="120">
        <v>0</v>
      </c>
      <c r="C37" s="118">
        <v>0</v>
      </c>
      <c r="D37" s="120"/>
      <c r="E37" s="118">
        <v>0</v>
      </c>
      <c r="F37" s="121">
        <v>0.16907</v>
      </c>
      <c r="G37" s="273">
        <f t="shared" si="29"/>
        <v>0</v>
      </c>
      <c r="H37" s="122">
        <v>63.483238917691097</v>
      </c>
      <c r="I37" s="213">
        <f t="shared" si="30"/>
        <v>0</v>
      </c>
      <c r="J37" s="279">
        <v>70.91</v>
      </c>
      <c r="K37" s="122">
        <f t="shared" si="31"/>
        <v>68.073599999999999</v>
      </c>
      <c r="L37" s="122">
        <f t="shared" si="31"/>
        <v>65.350656000000001</v>
      </c>
      <c r="M37" s="122">
        <f t="shared" si="31"/>
        <v>62.73662976</v>
      </c>
      <c r="N37" s="122">
        <f t="shared" si="31"/>
        <v>60.227164569599999</v>
      </c>
      <c r="O37" s="122">
        <f t="shared" si="31"/>
        <v>57.818077986816</v>
      </c>
      <c r="P37" s="122">
        <f t="shared" si="31"/>
        <v>55.505354867343357</v>
      </c>
      <c r="Q37" s="122">
        <f t="shared" si="31"/>
        <v>53.285140672649618</v>
      </c>
      <c r="R37" s="122">
        <f t="shared" si="31"/>
        <v>51.15373504574363</v>
      </c>
      <c r="S37" s="122">
        <f t="shared" si="31"/>
        <v>49.107585643913886</v>
      </c>
      <c r="T37" s="122">
        <f t="shared" si="31"/>
        <v>47.143282218157331</v>
      </c>
      <c r="U37" s="122">
        <f t="shared" si="31"/>
        <v>45.257550929431034</v>
      </c>
      <c r="V37" s="122">
        <f t="shared" si="31"/>
        <v>43.447248892253789</v>
      </c>
      <c r="W37" s="122">
        <f t="shared" si="31"/>
        <v>41.709358936563639</v>
      </c>
      <c r="X37" s="122">
        <f t="shared" si="31"/>
        <v>40.040984579101092</v>
      </c>
      <c r="Y37" s="122">
        <f t="shared" si="31"/>
        <v>38.439345195937044</v>
      </c>
      <c r="Z37" s="122">
        <f t="shared" si="31"/>
        <v>36.901771388099561</v>
      </c>
    </row>
    <row r="38" spans="1:26" ht="18.75" x14ac:dyDescent="0.3">
      <c r="A38" s="107" t="s">
        <v>152</v>
      </c>
      <c r="B38" s="120">
        <v>0</v>
      </c>
      <c r="C38" s="118">
        <v>0</v>
      </c>
      <c r="D38" s="120"/>
      <c r="E38" s="118">
        <v>0</v>
      </c>
      <c r="F38" s="121">
        <v>0.16907</v>
      </c>
      <c r="G38" s="273">
        <f t="shared" si="29"/>
        <v>0</v>
      </c>
      <c r="H38" s="122">
        <v>71.924928931643677</v>
      </c>
      <c r="I38" s="213">
        <f t="shared" si="30"/>
        <v>0</v>
      </c>
      <c r="J38" s="279">
        <v>72.150000000000006</v>
      </c>
      <c r="K38" s="122">
        <f t="shared" si="31"/>
        <v>69.263999999999996</v>
      </c>
      <c r="L38" s="122">
        <f t="shared" si="31"/>
        <v>66.493439999999993</v>
      </c>
      <c r="M38" s="122">
        <f t="shared" si="31"/>
        <v>63.833702399999993</v>
      </c>
      <c r="N38" s="122">
        <f t="shared" si="31"/>
        <v>61.280354303999992</v>
      </c>
      <c r="O38" s="122">
        <f t="shared" si="31"/>
        <v>58.829140131839992</v>
      </c>
      <c r="P38" s="122">
        <f t="shared" si="31"/>
        <v>56.475974526566389</v>
      </c>
      <c r="Q38" s="122">
        <f t="shared" si="31"/>
        <v>54.216935545503731</v>
      </c>
      <c r="R38" s="122">
        <f t="shared" si="31"/>
        <v>52.048258123683581</v>
      </c>
      <c r="S38" s="122">
        <f t="shared" si="31"/>
        <v>49.966327798736238</v>
      </c>
      <c r="T38" s="122">
        <f t="shared" si="31"/>
        <v>47.967674686786786</v>
      </c>
      <c r="U38" s="122">
        <f t="shared" si="31"/>
        <v>46.048967699315313</v>
      </c>
      <c r="V38" s="122">
        <f t="shared" si="31"/>
        <v>44.207008991342697</v>
      </c>
      <c r="W38" s="122">
        <f t="shared" si="31"/>
        <v>42.438728631688988</v>
      </c>
      <c r="X38" s="122">
        <f t="shared" si="31"/>
        <v>40.74117948642143</v>
      </c>
      <c r="Y38" s="122">
        <f t="shared" si="31"/>
        <v>39.11153230696457</v>
      </c>
      <c r="Z38" s="122">
        <f t="shared" si="31"/>
        <v>37.547071014685983</v>
      </c>
    </row>
    <row r="39" spans="1:26" ht="18.75" x14ac:dyDescent="0.3">
      <c r="A39" s="107" t="s">
        <v>147</v>
      </c>
      <c r="B39" s="120">
        <v>0</v>
      </c>
      <c r="C39" s="118">
        <v>0</v>
      </c>
      <c r="D39" s="120"/>
      <c r="E39" s="118">
        <v>0</v>
      </c>
      <c r="F39" s="121">
        <v>0.16907</v>
      </c>
      <c r="G39" s="273">
        <f t="shared" si="29"/>
        <v>0</v>
      </c>
      <c r="H39" s="122">
        <v>73.219775072570968</v>
      </c>
      <c r="I39" s="213">
        <f t="shared" si="30"/>
        <v>0</v>
      </c>
      <c r="J39" s="279">
        <v>69.58</v>
      </c>
      <c r="K39" s="122">
        <f t="shared" si="31"/>
        <v>66.79679999999999</v>
      </c>
      <c r="L39" s="122">
        <f t="shared" si="31"/>
        <v>64.124927999999983</v>
      </c>
      <c r="M39" s="122">
        <f t="shared" si="31"/>
        <v>61.559930879999982</v>
      </c>
      <c r="N39" s="122">
        <f t="shared" si="31"/>
        <v>59.097533644799981</v>
      </c>
      <c r="O39" s="122">
        <f t="shared" si="31"/>
        <v>56.733632299007979</v>
      </c>
      <c r="P39" s="122">
        <f t="shared" si="31"/>
        <v>54.464287007047659</v>
      </c>
      <c r="Q39" s="122">
        <f t="shared" si="31"/>
        <v>52.285715526765749</v>
      </c>
      <c r="R39" s="122">
        <f t="shared" si="31"/>
        <v>50.194286905695115</v>
      </c>
      <c r="S39" s="122">
        <f t="shared" si="31"/>
        <v>48.186515429467306</v>
      </c>
      <c r="T39" s="122">
        <f t="shared" si="31"/>
        <v>46.25905481228861</v>
      </c>
      <c r="U39" s="122">
        <f t="shared" si="31"/>
        <v>44.408692619797066</v>
      </c>
      <c r="V39" s="122">
        <f t="shared" si="31"/>
        <v>42.632344915005184</v>
      </c>
      <c r="W39" s="122">
        <f t="shared" si="31"/>
        <v>40.927051118404975</v>
      </c>
      <c r="X39" s="122">
        <f t="shared" si="31"/>
        <v>39.289969073668772</v>
      </c>
      <c r="Y39" s="122">
        <f t="shared" si="31"/>
        <v>37.718370310722023</v>
      </c>
      <c r="Z39" s="122">
        <f t="shared" si="31"/>
        <v>36.209635498293139</v>
      </c>
    </row>
    <row r="40" spans="1:26" ht="18.75" x14ac:dyDescent="0.3">
      <c r="A40" s="107" t="s">
        <v>148</v>
      </c>
      <c r="B40" s="120">
        <v>0</v>
      </c>
      <c r="C40" s="118">
        <v>0</v>
      </c>
      <c r="D40" s="120"/>
      <c r="E40" s="118">
        <v>0</v>
      </c>
      <c r="F40" s="121">
        <v>0.16907</v>
      </c>
      <c r="G40" s="273">
        <f t="shared" si="29"/>
        <v>0</v>
      </c>
      <c r="H40" s="122">
        <v>65.197995661828443</v>
      </c>
      <c r="I40" s="213">
        <f t="shared" si="30"/>
        <v>0</v>
      </c>
      <c r="J40" s="279">
        <v>64.2</v>
      </c>
      <c r="K40" s="122">
        <f t="shared" si="31"/>
        <v>61.631999999999998</v>
      </c>
      <c r="L40" s="122">
        <f t="shared" si="31"/>
        <v>59.166719999999998</v>
      </c>
      <c r="M40" s="122">
        <f t="shared" si="31"/>
        <v>56.800051199999999</v>
      </c>
      <c r="N40" s="122">
        <f t="shared" si="31"/>
        <v>54.528049151999994</v>
      </c>
      <c r="O40" s="122">
        <f t="shared" si="31"/>
        <v>52.346927185919995</v>
      </c>
      <c r="P40" s="122">
        <f t="shared" si="31"/>
        <v>50.253050098483193</v>
      </c>
      <c r="Q40" s="122">
        <f t="shared" si="31"/>
        <v>48.242928094543863</v>
      </c>
      <c r="R40" s="122">
        <f t="shared" si="31"/>
        <v>46.313210970762107</v>
      </c>
      <c r="S40" s="122">
        <f t="shared" si="31"/>
        <v>44.460682531931624</v>
      </c>
      <c r="T40" s="122">
        <f t="shared" si="31"/>
        <v>42.682255230654356</v>
      </c>
      <c r="U40" s="122">
        <f t="shared" si="31"/>
        <v>40.974965021428183</v>
      </c>
      <c r="V40" s="122">
        <f t="shared" si="31"/>
        <v>39.335966420571054</v>
      </c>
      <c r="W40" s="122">
        <f t="shared" si="31"/>
        <v>37.76252776374821</v>
      </c>
      <c r="X40" s="122">
        <f t="shared" si="31"/>
        <v>36.252026653198278</v>
      </c>
      <c r="Y40" s="122">
        <f t="shared" si="31"/>
        <v>34.801945587070342</v>
      </c>
      <c r="Z40" s="122">
        <f t="shared" si="31"/>
        <v>33.409867763587528</v>
      </c>
    </row>
    <row r="41" spans="1:26" ht="18.75" x14ac:dyDescent="0.3">
      <c r="A41" s="107" t="s">
        <v>155</v>
      </c>
      <c r="B41" s="120">
        <v>1</v>
      </c>
      <c r="C41" s="118">
        <v>140070</v>
      </c>
      <c r="D41" s="120"/>
      <c r="E41" s="118">
        <v>140070</v>
      </c>
      <c r="F41" s="121">
        <v>0.16907</v>
      </c>
      <c r="G41" s="273">
        <v>0</v>
      </c>
      <c r="H41" s="122">
        <v>56.08315719566987</v>
      </c>
      <c r="I41" s="213">
        <f t="shared" si="30"/>
        <v>0</v>
      </c>
      <c r="J41" s="279">
        <v>54.24</v>
      </c>
      <c r="K41" s="122">
        <f t="shared" si="31"/>
        <v>52.070399999999999</v>
      </c>
      <c r="L41" s="122">
        <f t="shared" si="31"/>
        <v>49.987583999999998</v>
      </c>
      <c r="M41" s="122">
        <f t="shared" si="31"/>
        <v>47.98808064</v>
      </c>
      <c r="N41" s="122">
        <f t="shared" si="31"/>
        <v>46.068557414399997</v>
      </c>
      <c r="O41" s="122">
        <f t="shared" si="31"/>
        <v>44.225815117823998</v>
      </c>
      <c r="P41" s="122">
        <f t="shared" si="31"/>
        <v>42.456782513111037</v>
      </c>
      <c r="Q41" s="122">
        <f t="shared" si="31"/>
        <v>40.75851121258659</v>
      </c>
      <c r="R41" s="122">
        <f t="shared" si="31"/>
        <v>39.128170764083123</v>
      </c>
      <c r="S41" s="122">
        <f t="shared" si="31"/>
        <v>37.563043933519793</v>
      </c>
      <c r="T41" s="122">
        <f t="shared" si="31"/>
        <v>36.060522176178999</v>
      </c>
      <c r="U41" s="122">
        <f t="shared" si="31"/>
        <v>34.618101289131836</v>
      </c>
      <c r="V41" s="122">
        <f t="shared" si="31"/>
        <v>33.233377237566565</v>
      </c>
      <c r="W41" s="122">
        <f t="shared" si="31"/>
        <v>31.904042148063901</v>
      </c>
      <c r="X41" s="122">
        <f t="shared" si="31"/>
        <v>30.627880462141345</v>
      </c>
      <c r="Y41" s="122">
        <f t="shared" si="31"/>
        <v>29.40276524365569</v>
      </c>
      <c r="Z41" s="122">
        <f t="shared" si="31"/>
        <v>28.226654633909462</v>
      </c>
    </row>
    <row r="42" spans="1:26" ht="18.75" x14ac:dyDescent="0.3">
      <c r="A42" s="107" t="s">
        <v>156</v>
      </c>
      <c r="B42" s="117">
        <v>0</v>
      </c>
      <c r="C42" s="118">
        <v>0</v>
      </c>
      <c r="D42" s="120"/>
      <c r="E42" s="118">
        <v>0</v>
      </c>
      <c r="F42" s="121">
        <v>0.16907</v>
      </c>
      <c r="G42" s="273">
        <f t="shared" si="29"/>
        <v>0</v>
      </c>
      <c r="H42" s="122">
        <v>42.387634377523071</v>
      </c>
      <c r="I42" s="213">
        <f t="shared" si="30"/>
        <v>0</v>
      </c>
      <c r="J42" s="279">
        <v>39.979999999999997</v>
      </c>
      <c r="K42" s="122">
        <f t="shared" si="31"/>
        <v>38.380799999999994</v>
      </c>
      <c r="L42" s="122">
        <f t="shared" si="31"/>
        <v>36.845567999999993</v>
      </c>
      <c r="M42" s="122">
        <f t="shared" si="31"/>
        <v>35.371745279999992</v>
      </c>
      <c r="N42" s="122">
        <f t="shared" si="31"/>
        <v>33.956875468799993</v>
      </c>
      <c r="O42" s="122">
        <f t="shared" si="31"/>
        <v>32.598600450047989</v>
      </c>
      <c r="P42" s="122">
        <f t="shared" si="31"/>
        <v>31.294656432046068</v>
      </c>
      <c r="Q42" s="122">
        <f t="shared" si="31"/>
        <v>30.042870174764225</v>
      </c>
      <c r="R42" s="122">
        <f t="shared" si="31"/>
        <v>28.841155367773656</v>
      </c>
      <c r="S42" s="122">
        <f t="shared" si="31"/>
        <v>27.68750915306271</v>
      </c>
      <c r="T42" s="122">
        <f t="shared" si="31"/>
        <v>26.580008786940201</v>
      </c>
      <c r="U42" s="122">
        <f t="shared" si="31"/>
        <v>25.516808435462593</v>
      </c>
      <c r="V42" s="122">
        <f t="shared" si="31"/>
        <v>24.49613609804409</v>
      </c>
      <c r="W42" s="122">
        <f t="shared" si="31"/>
        <v>23.516290654122326</v>
      </c>
      <c r="X42" s="122">
        <f t="shared" si="31"/>
        <v>22.575639027957433</v>
      </c>
      <c r="Y42" s="122">
        <f t="shared" si="31"/>
        <v>21.672613466839135</v>
      </c>
      <c r="Z42" s="122">
        <f t="shared" si="31"/>
        <v>20.805708928165568</v>
      </c>
    </row>
    <row r="43" spans="1:26" ht="18.75" x14ac:dyDescent="0.3">
      <c r="A43" s="111" t="s">
        <v>158</v>
      </c>
      <c r="B43" s="113">
        <v>0.13</v>
      </c>
      <c r="C43" s="114">
        <f>B4*B43</f>
        <v>86710</v>
      </c>
      <c r="D43" s="113">
        <v>0.13</v>
      </c>
      <c r="E43" s="114">
        <f>D4*D43</f>
        <v>104000</v>
      </c>
      <c r="F43" s="114"/>
      <c r="G43" s="271"/>
      <c r="H43" s="115"/>
      <c r="I43" s="212">
        <f>SUM(I45:I74)</f>
        <v>0</v>
      </c>
      <c r="J43" s="131"/>
      <c r="K43" s="115"/>
      <c r="L43" s="115"/>
      <c r="M43" s="115"/>
      <c r="N43" s="115"/>
      <c r="O43" s="115"/>
      <c r="P43" s="115"/>
      <c r="Q43" s="123"/>
      <c r="R43" s="123"/>
      <c r="S43" s="123"/>
      <c r="T43" s="123"/>
      <c r="U43" s="123"/>
      <c r="V43" s="123"/>
      <c r="W43" s="123"/>
      <c r="X43" s="123"/>
      <c r="Y43" s="123"/>
      <c r="Z43" s="123"/>
    </row>
    <row r="44" spans="1:26" ht="18.75" x14ac:dyDescent="0.3">
      <c r="A44" s="116" t="s">
        <v>159</v>
      </c>
      <c r="B44" s="117"/>
      <c r="C44" s="118">
        <f>C43*0.3</f>
        <v>26013</v>
      </c>
      <c r="D44" s="117"/>
      <c r="E44" s="118">
        <f>E43*0.3</f>
        <v>31200</v>
      </c>
      <c r="F44" s="124"/>
      <c r="G44" s="274">
        <v>0</v>
      </c>
      <c r="H44" s="123"/>
      <c r="I44" s="211"/>
      <c r="J44" s="132"/>
      <c r="K44" s="123"/>
      <c r="L44" s="123"/>
      <c r="M44" s="123"/>
      <c r="N44" s="123"/>
      <c r="O44" s="123"/>
      <c r="P44" s="123"/>
      <c r="Q44" s="122">
        <f t="shared" ref="Q44:Z50" si="32">P44*$B$93</f>
        <v>0</v>
      </c>
      <c r="R44" s="122">
        <f t="shared" si="32"/>
        <v>0</v>
      </c>
      <c r="S44" s="122">
        <f t="shared" si="32"/>
        <v>0</v>
      </c>
      <c r="T44" s="122">
        <f t="shared" si="32"/>
        <v>0</v>
      </c>
      <c r="U44" s="122">
        <f t="shared" si="32"/>
        <v>0</v>
      </c>
      <c r="V44" s="122">
        <f t="shared" si="32"/>
        <v>0</v>
      </c>
      <c r="W44" s="122">
        <f t="shared" si="32"/>
        <v>0</v>
      </c>
      <c r="X44" s="122">
        <f t="shared" si="32"/>
        <v>0</v>
      </c>
      <c r="Y44" s="122">
        <f t="shared" si="32"/>
        <v>0</v>
      </c>
      <c r="Z44" s="122">
        <f t="shared" si="32"/>
        <v>0</v>
      </c>
    </row>
    <row r="45" spans="1:26" ht="18.75" x14ac:dyDescent="0.3">
      <c r="A45" s="107" t="s">
        <v>160</v>
      </c>
      <c r="B45" s="120">
        <v>4.6296296296296294E-2</v>
      </c>
      <c r="C45" s="118">
        <f t="shared" ref="C45:C50" si="33">$C$44*B45</f>
        <v>1204.3055555555554</v>
      </c>
      <c r="D45" s="120">
        <v>4.6296296296296294E-2</v>
      </c>
      <c r="E45" s="118">
        <f t="shared" ref="E45:E50" si="34">$E$44*D45</f>
        <v>1444.4444444444443</v>
      </c>
      <c r="F45" s="121">
        <v>0.16907</v>
      </c>
      <c r="G45" s="273">
        <f>F45*D45*$G$44*8760/1000</f>
        <v>0</v>
      </c>
      <c r="H45" s="122">
        <v>74.95</v>
      </c>
      <c r="I45" s="213">
        <f t="shared" ref="I45:I50" si="35">H45*G45*20*0.95</f>
        <v>0</v>
      </c>
      <c r="J45" s="279">
        <v>77.17</v>
      </c>
      <c r="K45" s="122">
        <f t="shared" ref="K45:P50" si="36">J45*$B$93</f>
        <v>74.083200000000005</v>
      </c>
      <c r="L45" s="122">
        <f t="shared" si="36"/>
        <v>71.119872000000001</v>
      </c>
      <c r="M45" s="122">
        <f t="shared" si="36"/>
        <v>68.275077119999992</v>
      </c>
      <c r="N45" s="122">
        <f t="shared" si="36"/>
        <v>65.544074035199984</v>
      </c>
      <c r="O45" s="122">
        <f t="shared" si="36"/>
        <v>62.922311073791981</v>
      </c>
      <c r="P45" s="122">
        <f t="shared" si="36"/>
        <v>60.405418630840302</v>
      </c>
      <c r="Q45" s="122">
        <f t="shared" si="32"/>
        <v>57.98920188560669</v>
      </c>
      <c r="R45" s="122">
        <f t="shared" si="32"/>
        <v>55.669633810182418</v>
      </c>
      <c r="S45" s="122">
        <f t="shared" si="32"/>
        <v>53.442848457775121</v>
      </c>
      <c r="T45" s="122">
        <f t="shared" si="32"/>
        <v>51.305134519464112</v>
      </c>
      <c r="U45" s="122">
        <f t="shared" si="32"/>
        <v>49.252929138685545</v>
      </c>
      <c r="V45" s="122">
        <f t="shared" si="32"/>
        <v>47.282811973138124</v>
      </c>
      <c r="W45" s="122">
        <f t="shared" si="32"/>
        <v>45.391499494212596</v>
      </c>
      <c r="X45" s="122">
        <f t="shared" si="32"/>
        <v>43.575839514444091</v>
      </c>
      <c r="Y45" s="122">
        <f t="shared" si="32"/>
        <v>41.832805933866325</v>
      </c>
      <c r="Z45" s="122">
        <f t="shared" si="32"/>
        <v>40.159493696511667</v>
      </c>
    </row>
    <row r="46" spans="1:26" ht="18.75" x14ac:dyDescent="0.3">
      <c r="A46" s="107" t="s">
        <v>152</v>
      </c>
      <c r="B46" s="120">
        <v>5.5555555555555552E-2</v>
      </c>
      <c r="C46" s="118">
        <f t="shared" si="33"/>
        <v>1445.1666666666665</v>
      </c>
      <c r="D46" s="120">
        <v>5.5555555555555552E-2</v>
      </c>
      <c r="E46" s="118">
        <f t="shared" si="34"/>
        <v>1733.3333333333333</v>
      </c>
      <c r="F46" s="121">
        <v>0.16907</v>
      </c>
      <c r="G46" s="273">
        <f t="shared" ref="G46:G49" si="37">F46*D46*$G$44*8760/1000</f>
        <v>0</v>
      </c>
      <c r="H46" s="122">
        <v>65.569999999999993</v>
      </c>
      <c r="I46" s="213">
        <f t="shared" si="35"/>
        <v>0</v>
      </c>
      <c r="J46" s="279">
        <v>68.569999999999993</v>
      </c>
      <c r="K46" s="122">
        <f t="shared" si="36"/>
        <v>65.827199999999991</v>
      </c>
      <c r="L46" s="122">
        <f t="shared" si="36"/>
        <v>63.19411199999999</v>
      </c>
      <c r="M46" s="122">
        <f t="shared" si="36"/>
        <v>60.666347519999988</v>
      </c>
      <c r="N46" s="122">
        <f t="shared" si="36"/>
        <v>58.239693619199983</v>
      </c>
      <c r="O46" s="122">
        <f t="shared" si="36"/>
        <v>55.910105874431984</v>
      </c>
      <c r="P46" s="122">
        <f t="shared" si="36"/>
        <v>53.673701639454706</v>
      </c>
      <c r="Q46" s="122">
        <f t="shared" si="32"/>
        <v>51.526753573876512</v>
      </c>
      <c r="R46" s="122">
        <f t="shared" si="32"/>
        <v>49.465683430921452</v>
      </c>
      <c r="S46" s="122">
        <f t="shared" si="32"/>
        <v>47.487056093684593</v>
      </c>
      <c r="T46" s="122">
        <f t="shared" si="32"/>
        <v>45.587573849937208</v>
      </c>
      <c r="U46" s="122">
        <f t="shared" si="32"/>
        <v>43.764070895939717</v>
      </c>
      <c r="V46" s="122">
        <f t="shared" si="32"/>
        <v>42.013508060102126</v>
      </c>
      <c r="W46" s="122">
        <f t="shared" si="32"/>
        <v>40.332967737698041</v>
      </c>
      <c r="X46" s="122">
        <f t="shared" si="32"/>
        <v>38.719649028190119</v>
      </c>
      <c r="Y46" s="122">
        <f t="shared" si="32"/>
        <v>37.170863067062513</v>
      </c>
      <c r="Z46" s="122">
        <f t="shared" si="32"/>
        <v>35.684028544380013</v>
      </c>
    </row>
    <row r="47" spans="1:26" ht="18.75" x14ac:dyDescent="0.3">
      <c r="A47" s="107" t="s">
        <v>147</v>
      </c>
      <c r="B47" s="120">
        <v>0.21296296296296297</v>
      </c>
      <c r="C47" s="118">
        <f t="shared" si="33"/>
        <v>5539.8055555555557</v>
      </c>
      <c r="D47" s="120">
        <v>0.21296296296296297</v>
      </c>
      <c r="E47" s="118">
        <f t="shared" si="34"/>
        <v>6644.4444444444443</v>
      </c>
      <c r="F47" s="121">
        <v>0.16907</v>
      </c>
      <c r="G47" s="273">
        <f t="shared" si="37"/>
        <v>0</v>
      </c>
      <c r="H47" s="122">
        <v>66.400000000000006</v>
      </c>
      <c r="I47" s="213">
        <f t="shared" si="35"/>
        <v>0</v>
      </c>
      <c r="J47" s="279">
        <v>65.81</v>
      </c>
      <c r="K47" s="122">
        <f t="shared" si="36"/>
        <v>63.177599999999998</v>
      </c>
      <c r="L47" s="122">
        <f t="shared" si="36"/>
        <v>60.650495999999997</v>
      </c>
      <c r="M47" s="122">
        <f t="shared" si="36"/>
        <v>58.224476159999995</v>
      </c>
      <c r="N47" s="122">
        <f t="shared" si="36"/>
        <v>55.895497113599994</v>
      </c>
      <c r="O47" s="122">
        <f t="shared" si="36"/>
        <v>53.659677229055994</v>
      </c>
      <c r="P47" s="122">
        <f t="shared" si="36"/>
        <v>51.513290139893755</v>
      </c>
      <c r="Q47" s="122">
        <f t="shared" si="32"/>
        <v>49.452758534298006</v>
      </c>
      <c r="R47" s="122">
        <f t="shared" si="32"/>
        <v>47.474648192926082</v>
      </c>
      <c r="S47" s="122">
        <f t="shared" si="32"/>
        <v>45.57566226520904</v>
      </c>
      <c r="T47" s="122">
        <f t="shared" si="32"/>
        <v>43.752635774600677</v>
      </c>
      <c r="U47" s="122">
        <f t="shared" si="32"/>
        <v>42.002530343616648</v>
      </c>
      <c r="V47" s="122">
        <f t="shared" si="32"/>
        <v>40.322429129871978</v>
      </c>
      <c r="W47" s="122">
        <f t="shared" si="32"/>
        <v>38.709531964677097</v>
      </c>
      <c r="X47" s="122">
        <f t="shared" si="32"/>
        <v>37.161150686090011</v>
      </c>
      <c r="Y47" s="122">
        <f t="shared" si="32"/>
        <v>35.674704658646412</v>
      </c>
      <c r="Z47" s="122">
        <f t="shared" si="32"/>
        <v>34.247716472300553</v>
      </c>
    </row>
    <row r="48" spans="1:26" ht="18.75" x14ac:dyDescent="0.3">
      <c r="A48" s="107" t="s">
        <v>148</v>
      </c>
      <c r="B48" s="120">
        <v>0.45370370370370372</v>
      </c>
      <c r="C48" s="118">
        <f t="shared" si="33"/>
        <v>11802.194444444445</v>
      </c>
      <c r="D48" s="120">
        <v>0.45370370370370372</v>
      </c>
      <c r="E48" s="118">
        <f t="shared" si="34"/>
        <v>14155.555555555557</v>
      </c>
      <c r="F48" s="121">
        <v>0.16907</v>
      </c>
      <c r="G48" s="273">
        <f t="shared" si="37"/>
        <v>0</v>
      </c>
      <c r="H48" s="122">
        <v>58.94</v>
      </c>
      <c r="I48" s="213">
        <f t="shared" si="35"/>
        <v>0</v>
      </c>
      <c r="J48" s="279">
        <v>57.72</v>
      </c>
      <c r="K48" s="122">
        <f t="shared" si="36"/>
        <v>55.411199999999994</v>
      </c>
      <c r="L48" s="122">
        <f t="shared" si="36"/>
        <v>53.194751999999994</v>
      </c>
      <c r="M48" s="122">
        <f t="shared" si="36"/>
        <v>51.06696191999999</v>
      </c>
      <c r="N48" s="122">
        <f t="shared" si="36"/>
        <v>49.024283443199991</v>
      </c>
      <c r="O48" s="122">
        <f t="shared" si="36"/>
        <v>47.063312105471987</v>
      </c>
      <c r="P48" s="122">
        <f t="shared" si="36"/>
        <v>45.180779621253109</v>
      </c>
      <c r="Q48" s="122">
        <f t="shared" si="32"/>
        <v>43.373548436402984</v>
      </c>
      <c r="R48" s="122">
        <f t="shared" si="32"/>
        <v>41.638606498946864</v>
      </c>
      <c r="S48" s="122">
        <f t="shared" si="32"/>
        <v>39.973062238988987</v>
      </c>
      <c r="T48" s="122">
        <f t="shared" si="32"/>
        <v>38.374139749429425</v>
      </c>
      <c r="U48" s="122">
        <f t="shared" si="32"/>
        <v>36.839174159452249</v>
      </c>
      <c r="V48" s="122">
        <f t="shared" si="32"/>
        <v>35.365607193074155</v>
      </c>
      <c r="W48" s="122">
        <f t="shared" si="32"/>
        <v>33.950982905351189</v>
      </c>
      <c r="X48" s="122">
        <f t="shared" si="32"/>
        <v>32.592943589137143</v>
      </c>
      <c r="Y48" s="122">
        <f t="shared" si="32"/>
        <v>31.289225845571657</v>
      </c>
      <c r="Z48" s="122">
        <f t="shared" si="32"/>
        <v>30.037656811748789</v>
      </c>
    </row>
    <row r="49" spans="1:26" ht="18.75" x14ac:dyDescent="0.3">
      <c r="A49" s="107" t="s">
        <v>149</v>
      </c>
      <c r="B49" s="120">
        <v>0.23148148148148148</v>
      </c>
      <c r="C49" s="118">
        <f t="shared" si="33"/>
        <v>6021.5277777777774</v>
      </c>
      <c r="D49" s="120">
        <v>0.23148148148148148</v>
      </c>
      <c r="E49" s="118">
        <f t="shared" si="34"/>
        <v>7222.2222222222226</v>
      </c>
      <c r="F49" s="121">
        <v>0.16907</v>
      </c>
      <c r="G49" s="273">
        <f t="shared" si="37"/>
        <v>0</v>
      </c>
      <c r="H49" s="122">
        <v>56.73</v>
      </c>
      <c r="I49" s="213">
        <f t="shared" si="35"/>
        <v>0</v>
      </c>
      <c r="J49" s="279">
        <v>54.51</v>
      </c>
      <c r="K49" s="122">
        <f t="shared" si="36"/>
        <v>52.329599999999999</v>
      </c>
      <c r="L49" s="122">
        <f t="shared" si="36"/>
        <v>50.236415999999998</v>
      </c>
      <c r="M49" s="122">
        <f t="shared" si="36"/>
        <v>48.226959359999995</v>
      </c>
      <c r="N49" s="122">
        <f t="shared" si="36"/>
        <v>46.297880985599996</v>
      </c>
      <c r="O49" s="122">
        <f t="shared" si="36"/>
        <v>44.445965746175993</v>
      </c>
      <c r="P49" s="122">
        <f t="shared" si="36"/>
        <v>42.668127116328954</v>
      </c>
      <c r="Q49" s="122">
        <f t="shared" si="32"/>
        <v>40.961402031675796</v>
      </c>
      <c r="R49" s="122">
        <f t="shared" si="32"/>
        <v>39.322945950408766</v>
      </c>
      <c r="S49" s="122">
        <f t="shared" si="32"/>
        <v>37.750028112392414</v>
      </c>
      <c r="T49" s="122">
        <f t="shared" si="32"/>
        <v>36.240026987896719</v>
      </c>
      <c r="U49" s="122">
        <f t="shared" si="32"/>
        <v>34.790425908380847</v>
      </c>
      <c r="V49" s="122">
        <f t="shared" si="32"/>
        <v>33.398808872045613</v>
      </c>
      <c r="W49" s="122">
        <f t="shared" si="32"/>
        <v>32.062856517163787</v>
      </c>
      <c r="X49" s="122">
        <f t="shared" si="32"/>
        <v>30.780342256477233</v>
      </c>
      <c r="Y49" s="122">
        <f t="shared" si="32"/>
        <v>29.549128566218144</v>
      </c>
      <c r="Z49" s="122">
        <f t="shared" si="32"/>
        <v>28.367163423569416</v>
      </c>
    </row>
    <row r="50" spans="1:26" ht="18.75" x14ac:dyDescent="0.3">
      <c r="A50" s="107" t="s">
        <v>150</v>
      </c>
      <c r="B50" s="120">
        <v>0</v>
      </c>
      <c r="C50" s="118">
        <f t="shared" si="33"/>
        <v>0</v>
      </c>
      <c r="D50" s="120">
        <v>0</v>
      </c>
      <c r="E50" s="118">
        <f t="shared" si="34"/>
        <v>0</v>
      </c>
      <c r="F50" s="121">
        <v>0.16900000000000001</v>
      </c>
      <c r="G50" s="273">
        <f t="shared" ref="G50" si="38">F50*E50*8760/1000</f>
        <v>0</v>
      </c>
      <c r="H50" s="122">
        <v>45.72</v>
      </c>
      <c r="I50" s="213">
        <f t="shared" si="35"/>
        <v>0</v>
      </c>
      <c r="J50" s="279">
        <v>42.15</v>
      </c>
      <c r="K50" s="122">
        <f t="shared" si="36"/>
        <v>40.463999999999999</v>
      </c>
      <c r="L50" s="122">
        <f t="shared" si="36"/>
        <v>38.845439999999996</v>
      </c>
      <c r="M50" s="122">
        <f t="shared" si="36"/>
        <v>37.291622399999994</v>
      </c>
      <c r="N50" s="122">
        <f t="shared" si="36"/>
        <v>35.799957503999991</v>
      </c>
      <c r="O50" s="122">
        <f t="shared" si="36"/>
        <v>34.367959203839987</v>
      </c>
      <c r="P50" s="122">
        <f t="shared" si="36"/>
        <v>32.993240835686386</v>
      </c>
      <c r="Q50" s="122">
        <f t="shared" si="32"/>
        <v>31.673511202258929</v>
      </c>
      <c r="R50" s="122">
        <f t="shared" si="32"/>
        <v>30.40657075416857</v>
      </c>
      <c r="S50" s="122">
        <f t="shared" si="32"/>
        <v>29.190307924001825</v>
      </c>
      <c r="T50" s="122">
        <f t="shared" si="32"/>
        <v>28.022695607041751</v>
      </c>
      <c r="U50" s="122">
        <f t="shared" si="32"/>
        <v>26.901787782760081</v>
      </c>
      <c r="V50" s="122">
        <f t="shared" si="32"/>
        <v>25.825716271449679</v>
      </c>
      <c r="W50" s="122">
        <f t="shared" si="32"/>
        <v>24.792687620591689</v>
      </c>
      <c r="X50" s="122">
        <f t="shared" si="32"/>
        <v>23.80098011576802</v>
      </c>
      <c r="Y50" s="122">
        <f t="shared" si="32"/>
        <v>22.848940911137298</v>
      </c>
      <c r="Z50" s="122">
        <f t="shared" si="32"/>
        <v>21.934983274691806</v>
      </c>
    </row>
    <row r="51" spans="1:26" ht="18.75" x14ac:dyDescent="0.3">
      <c r="A51" s="116" t="s">
        <v>161</v>
      </c>
      <c r="B51" s="125"/>
      <c r="C51" s="118">
        <f>C43*0.7</f>
        <v>60696.999999999993</v>
      </c>
      <c r="D51" s="125"/>
      <c r="E51" s="118">
        <f>E43*0.7</f>
        <v>72800</v>
      </c>
      <c r="F51" s="126"/>
      <c r="G51" s="274">
        <v>0</v>
      </c>
      <c r="H51" s="123"/>
      <c r="I51" s="214"/>
      <c r="J51" s="280"/>
      <c r="K51" s="123"/>
      <c r="L51" s="123"/>
      <c r="M51" s="123"/>
      <c r="N51" s="123"/>
      <c r="O51" s="123"/>
      <c r="P51" s="123"/>
      <c r="Q51" s="123"/>
      <c r="R51" s="123"/>
      <c r="S51" s="123"/>
      <c r="T51" s="123"/>
      <c r="U51" s="123"/>
      <c r="V51" s="123"/>
      <c r="W51" s="123"/>
      <c r="X51" s="123"/>
      <c r="Y51" s="123"/>
      <c r="Z51" s="123"/>
    </row>
    <row r="52" spans="1:26" ht="18.75" x14ac:dyDescent="0.3">
      <c r="A52" s="107" t="s">
        <v>160</v>
      </c>
      <c r="B52" s="120">
        <v>4.6296296296296294E-2</v>
      </c>
      <c r="C52" s="118">
        <f t="shared" ref="C52:C57" si="39">$C$51*B52</f>
        <v>2810.0462962962956</v>
      </c>
      <c r="D52" s="120">
        <v>4.6296296296296294E-2</v>
      </c>
      <c r="E52" s="118">
        <f t="shared" ref="E52:E57" si="40">$E$51*D52</f>
        <v>3370.37037037037</v>
      </c>
      <c r="F52" s="121">
        <v>0.16907</v>
      </c>
      <c r="G52" s="273">
        <f>F52*D52*$G$51*8760/1000</f>
        <v>0</v>
      </c>
      <c r="H52" s="122">
        <v>81.16</v>
      </c>
      <c r="I52" s="213">
        <f t="shared" ref="I52:I57" si="41">H52*G52*20*0.95</f>
        <v>0</v>
      </c>
      <c r="J52" s="279">
        <v>93.17</v>
      </c>
      <c r="K52" s="122">
        <f t="shared" ref="K52:Z57" si="42">J52*$B$93</f>
        <v>89.443200000000004</v>
      </c>
      <c r="L52" s="122">
        <f t="shared" si="42"/>
        <v>85.865471999999997</v>
      </c>
      <c r="M52" s="122">
        <f t="shared" si="42"/>
        <v>82.430853119999995</v>
      </c>
      <c r="N52" s="122">
        <f t="shared" si="42"/>
        <v>79.133618995199996</v>
      </c>
      <c r="O52" s="122">
        <f t="shared" si="42"/>
        <v>75.968274235391988</v>
      </c>
      <c r="P52" s="122">
        <f t="shared" si="42"/>
        <v>72.929543265976307</v>
      </c>
      <c r="Q52" s="122">
        <f t="shared" si="42"/>
        <v>70.012361535337249</v>
      </c>
      <c r="R52" s="122">
        <f t="shared" si="42"/>
        <v>67.211867073923756</v>
      </c>
      <c r="S52" s="122">
        <f t="shared" si="42"/>
        <v>64.523392390966805</v>
      </c>
      <c r="T52" s="122">
        <f t="shared" si="42"/>
        <v>61.942456695328133</v>
      </c>
      <c r="U52" s="122">
        <f t="shared" si="42"/>
        <v>59.464758427515008</v>
      </c>
      <c r="V52" s="122">
        <f t="shared" si="42"/>
        <v>57.086168090414404</v>
      </c>
      <c r="W52" s="122">
        <f t="shared" si="42"/>
        <v>54.802721366797826</v>
      </c>
      <c r="X52" s="122">
        <f t="shared" si="42"/>
        <v>52.610612512125911</v>
      </c>
      <c r="Y52" s="122">
        <f t="shared" si="42"/>
        <v>50.506188011640873</v>
      </c>
      <c r="Z52" s="122">
        <f t="shared" si="42"/>
        <v>48.485940491175235</v>
      </c>
    </row>
    <row r="53" spans="1:26" ht="18.75" x14ac:dyDescent="0.3">
      <c r="A53" s="107" t="s">
        <v>152</v>
      </c>
      <c r="B53" s="120">
        <v>5.5555555555555552E-2</v>
      </c>
      <c r="C53" s="118">
        <f t="shared" si="39"/>
        <v>3372.0555555555547</v>
      </c>
      <c r="D53" s="120">
        <v>5.5555555555555552E-2</v>
      </c>
      <c r="E53" s="118">
        <f t="shared" si="40"/>
        <v>4044.4444444444443</v>
      </c>
      <c r="F53" s="121">
        <v>0.16907</v>
      </c>
      <c r="G53" s="273">
        <f t="shared" ref="G53:G56" si="43">F53*D53*$G$51*8760/1000</f>
        <v>0</v>
      </c>
      <c r="H53" s="122">
        <v>70.42</v>
      </c>
      <c r="I53" s="213">
        <f t="shared" si="41"/>
        <v>0</v>
      </c>
      <c r="J53" s="279">
        <v>84.96</v>
      </c>
      <c r="K53" s="122">
        <f t="shared" si="42"/>
        <v>81.561599999999984</v>
      </c>
      <c r="L53" s="122">
        <f t="shared" si="42"/>
        <v>78.299135999999976</v>
      </c>
      <c r="M53" s="122">
        <f t="shared" si="42"/>
        <v>75.167170559999974</v>
      </c>
      <c r="N53" s="122">
        <f t="shared" si="42"/>
        <v>72.160483737599975</v>
      </c>
      <c r="O53" s="122">
        <f t="shared" si="42"/>
        <v>69.274064388095979</v>
      </c>
      <c r="P53" s="122">
        <f t="shared" si="42"/>
        <v>66.50310181257214</v>
      </c>
      <c r="Q53" s="122">
        <f t="shared" si="42"/>
        <v>63.842977740069252</v>
      </c>
      <c r="R53" s="122">
        <f t="shared" si="42"/>
        <v>61.289258630466477</v>
      </c>
      <c r="S53" s="122">
        <f t="shared" si="42"/>
        <v>58.837688285247815</v>
      </c>
      <c r="T53" s="122">
        <f t="shared" si="42"/>
        <v>56.484180753837897</v>
      </c>
      <c r="U53" s="122">
        <f t="shared" si="42"/>
        <v>54.224813523684382</v>
      </c>
      <c r="V53" s="122">
        <f t="shared" si="42"/>
        <v>52.055820982737004</v>
      </c>
      <c r="W53" s="122">
        <f t="shared" si="42"/>
        <v>49.97358814342752</v>
      </c>
      <c r="X53" s="122">
        <f t="shared" si="42"/>
        <v>47.974644617690416</v>
      </c>
      <c r="Y53" s="122">
        <f t="shared" si="42"/>
        <v>46.0556588329828</v>
      </c>
      <c r="Z53" s="122">
        <f t="shared" si="42"/>
        <v>44.213432479663489</v>
      </c>
    </row>
    <row r="54" spans="1:26" ht="18.75" x14ac:dyDescent="0.3">
      <c r="A54" s="107" t="s">
        <v>147</v>
      </c>
      <c r="B54" s="120">
        <v>0.21296296296296297</v>
      </c>
      <c r="C54" s="118">
        <f t="shared" si="39"/>
        <v>12926.212962962962</v>
      </c>
      <c r="D54" s="120">
        <v>0.21296296296296297</v>
      </c>
      <c r="E54" s="118">
        <f t="shared" si="40"/>
        <v>15503.703703703704</v>
      </c>
      <c r="F54" s="121">
        <v>0.16907</v>
      </c>
      <c r="G54" s="273">
        <f t="shared" si="43"/>
        <v>0</v>
      </c>
      <c r="H54" s="122">
        <v>66.59</v>
      </c>
      <c r="I54" s="213">
        <f t="shared" si="41"/>
        <v>0</v>
      </c>
      <c r="J54" s="279">
        <v>76.91</v>
      </c>
      <c r="K54" s="122">
        <f t="shared" si="42"/>
        <v>73.83359999999999</v>
      </c>
      <c r="L54" s="122">
        <f t="shared" si="42"/>
        <v>70.880255999999989</v>
      </c>
      <c r="M54" s="122">
        <f t="shared" si="42"/>
        <v>68.045045759999994</v>
      </c>
      <c r="N54" s="122">
        <f t="shared" si="42"/>
        <v>65.323243929599997</v>
      </c>
      <c r="O54" s="122">
        <f t="shared" si="42"/>
        <v>62.710314172415991</v>
      </c>
      <c r="P54" s="122">
        <f t="shared" si="42"/>
        <v>60.201901605519346</v>
      </c>
      <c r="Q54" s="122">
        <f t="shared" si="42"/>
        <v>57.793825541298567</v>
      </c>
      <c r="R54" s="122">
        <f t="shared" si="42"/>
        <v>55.482072519646621</v>
      </c>
      <c r="S54" s="122">
        <f t="shared" si="42"/>
        <v>53.262789618860758</v>
      </c>
      <c r="T54" s="122">
        <f t="shared" si="42"/>
        <v>51.132278034106328</v>
      </c>
      <c r="U54" s="122">
        <f t="shared" si="42"/>
        <v>49.08698691274207</v>
      </c>
      <c r="V54" s="122">
        <f t="shared" si="42"/>
        <v>47.123507436232387</v>
      </c>
      <c r="W54" s="122">
        <f t="shared" si="42"/>
        <v>45.23856713878309</v>
      </c>
      <c r="X54" s="122">
        <f t="shared" si="42"/>
        <v>43.429024453231762</v>
      </c>
      <c r="Y54" s="122">
        <f t="shared" si="42"/>
        <v>41.691863475102487</v>
      </c>
      <c r="Z54" s="122">
        <f t="shared" si="42"/>
        <v>40.024188936098383</v>
      </c>
    </row>
    <row r="55" spans="1:26" ht="18.75" x14ac:dyDescent="0.3">
      <c r="A55" s="107" t="s">
        <v>148</v>
      </c>
      <c r="B55" s="120">
        <v>0.45370370370370372</v>
      </c>
      <c r="C55" s="118">
        <f t="shared" si="39"/>
        <v>27538.453703703701</v>
      </c>
      <c r="D55" s="120">
        <v>0.45370370370370372</v>
      </c>
      <c r="E55" s="118">
        <f t="shared" si="40"/>
        <v>33029.629629629628</v>
      </c>
      <c r="F55" s="121">
        <v>0.16907</v>
      </c>
      <c r="G55" s="273">
        <f t="shared" si="43"/>
        <v>0</v>
      </c>
      <c r="H55" s="122">
        <v>59.81</v>
      </c>
      <c r="I55" s="213">
        <f t="shared" si="41"/>
        <v>0</v>
      </c>
      <c r="J55" s="279">
        <v>66.88</v>
      </c>
      <c r="K55" s="122">
        <f t="shared" si="42"/>
        <v>64.204799999999992</v>
      </c>
      <c r="L55" s="122">
        <f t="shared" si="42"/>
        <v>61.636607999999988</v>
      </c>
      <c r="M55" s="122">
        <f t="shared" si="42"/>
        <v>59.171143679999986</v>
      </c>
      <c r="N55" s="122">
        <f t="shared" si="42"/>
        <v>56.804297932799983</v>
      </c>
      <c r="O55" s="122">
        <f t="shared" si="42"/>
        <v>54.532126015487982</v>
      </c>
      <c r="P55" s="122">
        <f t="shared" si="42"/>
        <v>52.350840974868461</v>
      </c>
      <c r="Q55" s="122">
        <f t="shared" si="42"/>
        <v>50.256807335873724</v>
      </c>
      <c r="R55" s="122">
        <f t="shared" si="42"/>
        <v>48.246535042438772</v>
      </c>
      <c r="S55" s="122">
        <f t="shared" si="42"/>
        <v>46.316673640741222</v>
      </c>
      <c r="T55" s="122">
        <f t="shared" si="42"/>
        <v>44.464006695111571</v>
      </c>
      <c r="U55" s="122">
        <f t="shared" si="42"/>
        <v>42.685446427307106</v>
      </c>
      <c r="V55" s="122">
        <f t="shared" si="42"/>
        <v>40.978028570214818</v>
      </c>
      <c r="W55" s="122">
        <f t="shared" si="42"/>
        <v>39.338907427406227</v>
      </c>
      <c r="X55" s="122">
        <f t="shared" si="42"/>
        <v>37.765351130309973</v>
      </c>
      <c r="Y55" s="122">
        <f t="shared" si="42"/>
        <v>36.254737085097574</v>
      </c>
      <c r="Z55" s="122">
        <f t="shared" si="42"/>
        <v>34.80454760169367</v>
      </c>
    </row>
    <row r="56" spans="1:26" ht="18.75" x14ac:dyDescent="0.3">
      <c r="A56" s="107" t="s">
        <v>149</v>
      </c>
      <c r="B56" s="120">
        <v>0.23148148148148148</v>
      </c>
      <c r="C56" s="118">
        <f t="shared" si="39"/>
        <v>14050.23148148148</v>
      </c>
      <c r="D56" s="120">
        <v>0.23148148148148148</v>
      </c>
      <c r="E56" s="118">
        <f t="shared" si="40"/>
        <v>16851.85185185185</v>
      </c>
      <c r="F56" s="121">
        <v>0.16907</v>
      </c>
      <c r="G56" s="273">
        <f t="shared" si="43"/>
        <v>0</v>
      </c>
      <c r="H56" s="122">
        <v>53.59</v>
      </c>
      <c r="I56" s="213">
        <f t="shared" si="41"/>
        <v>0</v>
      </c>
      <c r="J56" s="279">
        <v>61.04</v>
      </c>
      <c r="K56" s="122">
        <f t="shared" si="42"/>
        <v>58.598399999999998</v>
      </c>
      <c r="L56" s="122">
        <f t="shared" si="42"/>
        <v>56.254463999999999</v>
      </c>
      <c r="M56" s="122">
        <f t="shared" si="42"/>
        <v>54.004285439999997</v>
      </c>
      <c r="N56" s="122">
        <f t="shared" si="42"/>
        <v>51.844114022399992</v>
      </c>
      <c r="O56" s="122">
        <f t="shared" si="42"/>
        <v>49.77034946150399</v>
      </c>
      <c r="P56" s="122">
        <f t="shared" si="42"/>
        <v>47.77953548304383</v>
      </c>
      <c r="Q56" s="122">
        <f t="shared" si="42"/>
        <v>45.868354063722073</v>
      </c>
      <c r="R56" s="122">
        <f t="shared" si="42"/>
        <v>44.033619901173189</v>
      </c>
      <c r="S56" s="122">
        <f t="shared" si="42"/>
        <v>42.272275105126262</v>
      </c>
      <c r="T56" s="122">
        <f t="shared" si="42"/>
        <v>40.581384100921213</v>
      </c>
      <c r="U56" s="122">
        <f t="shared" si="42"/>
        <v>38.958128736884362</v>
      </c>
      <c r="V56" s="122">
        <f t="shared" si="42"/>
        <v>37.399803587408989</v>
      </c>
      <c r="W56" s="122">
        <f t="shared" si="42"/>
        <v>35.90381144391263</v>
      </c>
      <c r="X56" s="122">
        <f t="shared" si="42"/>
        <v>34.467658986156124</v>
      </c>
      <c r="Y56" s="122">
        <f t="shared" si="42"/>
        <v>33.088952626709876</v>
      </c>
      <c r="Z56" s="122">
        <f t="shared" si="42"/>
        <v>31.765394521641479</v>
      </c>
    </row>
    <row r="57" spans="1:26" ht="18.75" x14ac:dyDescent="0.3">
      <c r="A57" s="107" t="s">
        <v>150</v>
      </c>
      <c r="B57" s="120">
        <v>0</v>
      </c>
      <c r="C57" s="118">
        <f t="shared" si="39"/>
        <v>0</v>
      </c>
      <c r="D57" s="120">
        <v>0</v>
      </c>
      <c r="E57" s="118">
        <f t="shared" si="40"/>
        <v>0</v>
      </c>
      <c r="F57" s="121">
        <v>0.16900000000000001</v>
      </c>
      <c r="G57" s="273">
        <f t="shared" ref="G57" si="44">F57*E57*8760/1000</f>
        <v>0</v>
      </c>
      <c r="H57" s="122">
        <v>37.229999999999997</v>
      </c>
      <c r="I57" s="213">
        <f t="shared" si="41"/>
        <v>0</v>
      </c>
      <c r="J57" s="279">
        <v>46.74</v>
      </c>
      <c r="K57" s="122">
        <f t="shared" si="42"/>
        <v>44.870400000000004</v>
      </c>
      <c r="L57" s="122">
        <f t="shared" si="42"/>
        <v>43.075583999999999</v>
      </c>
      <c r="M57" s="122">
        <f t="shared" si="42"/>
        <v>41.35256064</v>
      </c>
      <c r="N57" s="122">
        <f t="shared" si="42"/>
        <v>39.698458214399999</v>
      </c>
      <c r="O57" s="122">
        <f t="shared" si="42"/>
        <v>38.110519885823997</v>
      </c>
      <c r="P57" s="122">
        <f t="shared" si="42"/>
        <v>36.586099090391038</v>
      </c>
      <c r="Q57" s="122">
        <f t="shared" si="42"/>
        <v>35.122655126775392</v>
      </c>
      <c r="R57" s="122">
        <f t="shared" si="42"/>
        <v>33.717748921704377</v>
      </c>
      <c r="S57" s="122">
        <f t="shared" si="42"/>
        <v>32.3690389648362</v>
      </c>
      <c r="T57" s="122">
        <f t="shared" si="42"/>
        <v>31.07427740624275</v>
      </c>
      <c r="U57" s="122">
        <f t="shared" si="42"/>
        <v>29.831306309993039</v>
      </c>
      <c r="V57" s="122">
        <f t="shared" si="42"/>
        <v>28.638054057593315</v>
      </c>
      <c r="W57" s="122">
        <f t="shared" si="42"/>
        <v>27.492531895289581</v>
      </c>
      <c r="X57" s="122">
        <f t="shared" si="42"/>
        <v>26.392830619477998</v>
      </c>
      <c r="Y57" s="122">
        <f t="shared" si="42"/>
        <v>25.337117394698875</v>
      </c>
      <c r="Z57" s="122">
        <f t="shared" si="42"/>
        <v>24.32363269891092</v>
      </c>
    </row>
    <row r="58" spans="1:26" ht="18.75" x14ac:dyDescent="0.3">
      <c r="A58" s="111" t="s">
        <v>162</v>
      </c>
      <c r="B58" s="113">
        <v>0.04</v>
      </c>
      <c r="C58" s="114">
        <f>B4*B58</f>
        <v>26680</v>
      </c>
      <c r="D58" s="113">
        <v>0.04</v>
      </c>
      <c r="E58" s="114">
        <f>D4*D58</f>
        <v>32000</v>
      </c>
      <c r="F58" s="111"/>
      <c r="G58" s="275"/>
      <c r="H58" s="115"/>
      <c r="I58" s="215"/>
      <c r="J58" s="131"/>
      <c r="K58" s="115"/>
      <c r="L58" s="115"/>
      <c r="M58" s="115"/>
      <c r="N58" s="115"/>
      <c r="O58" s="115"/>
      <c r="P58" s="115"/>
      <c r="Q58" s="123"/>
      <c r="R58" s="123"/>
      <c r="S58" s="123"/>
      <c r="T58" s="123"/>
      <c r="U58" s="123"/>
      <c r="V58" s="123"/>
      <c r="W58" s="123"/>
      <c r="X58" s="123"/>
      <c r="Y58" s="123"/>
      <c r="Z58" s="123"/>
    </row>
    <row r="59" spans="1:26" ht="18.75" x14ac:dyDescent="0.3">
      <c r="A59" s="116" t="s">
        <v>163</v>
      </c>
      <c r="B59" s="120">
        <v>0.3</v>
      </c>
      <c r="C59" s="118">
        <f>C58*0.3</f>
        <v>8004</v>
      </c>
      <c r="D59" s="120">
        <v>0.3</v>
      </c>
      <c r="E59" s="118">
        <f>E58*0.3</f>
        <v>9600</v>
      </c>
      <c r="F59" s="121">
        <v>0.16907</v>
      </c>
      <c r="G59" s="273"/>
      <c r="H59" s="123"/>
      <c r="I59" s="213">
        <f>SUM(I60:I74)</f>
        <v>0</v>
      </c>
      <c r="J59" s="132"/>
      <c r="K59" s="123"/>
      <c r="L59" s="123"/>
      <c r="M59" s="123"/>
      <c r="N59" s="123"/>
      <c r="O59" s="123"/>
      <c r="P59" s="123"/>
      <c r="Q59" s="123"/>
      <c r="R59" s="123"/>
      <c r="S59" s="123"/>
      <c r="T59" s="123"/>
      <c r="U59" s="123"/>
      <c r="V59" s="123"/>
      <c r="W59" s="123"/>
      <c r="X59" s="123"/>
      <c r="Y59" s="123"/>
      <c r="Z59" s="123"/>
    </row>
    <row r="60" spans="1:26" ht="18.75" x14ac:dyDescent="0.3">
      <c r="A60" s="107" t="s">
        <v>140</v>
      </c>
      <c r="B60" s="120">
        <v>0</v>
      </c>
      <c r="C60" s="118">
        <v>0</v>
      </c>
      <c r="D60" s="120"/>
      <c r="E60" s="118">
        <v>0</v>
      </c>
      <c r="F60" s="121">
        <v>0.16907</v>
      </c>
      <c r="G60" s="273">
        <f t="shared" ref="G60:G66" si="45">F60*E60*8760/1000</f>
        <v>0</v>
      </c>
      <c r="H60" s="122"/>
      <c r="I60" s="213">
        <f t="shared" ref="I60:I66" si="46">H60*G60*15*0.96</f>
        <v>0</v>
      </c>
      <c r="J60" s="279">
        <v>0</v>
      </c>
      <c r="K60" s="122">
        <f>J60*0.96</f>
        <v>0</v>
      </c>
      <c r="L60" s="122">
        <f t="shared" ref="K60:P66" si="47">K60*0.96</f>
        <v>0</v>
      </c>
      <c r="M60" s="122">
        <f t="shared" si="47"/>
        <v>0</v>
      </c>
      <c r="N60" s="122">
        <f t="shared" si="47"/>
        <v>0</v>
      </c>
      <c r="O60" s="122">
        <f t="shared" si="47"/>
        <v>0</v>
      </c>
      <c r="P60" s="122">
        <f t="shared" si="47"/>
        <v>0</v>
      </c>
      <c r="Q60" s="122">
        <f t="shared" ref="Q60:Z66" si="48">P60*$B$93</f>
        <v>0</v>
      </c>
      <c r="R60" s="122">
        <f t="shared" si="48"/>
        <v>0</v>
      </c>
      <c r="S60" s="122">
        <f t="shared" si="48"/>
        <v>0</v>
      </c>
      <c r="T60" s="122">
        <f t="shared" si="48"/>
        <v>0</v>
      </c>
      <c r="U60" s="122">
        <f t="shared" si="48"/>
        <v>0</v>
      </c>
      <c r="V60" s="122">
        <f t="shared" si="48"/>
        <v>0</v>
      </c>
      <c r="W60" s="122">
        <f t="shared" si="48"/>
        <v>0</v>
      </c>
      <c r="X60" s="122">
        <f t="shared" si="48"/>
        <v>0</v>
      </c>
      <c r="Y60" s="122">
        <f t="shared" si="48"/>
        <v>0</v>
      </c>
      <c r="Z60" s="122">
        <f t="shared" si="48"/>
        <v>0</v>
      </c>
    </row>
    <row r="61" spans="1:26" ht="18.75" x14ac:dyDescent="0.3">
      <c r="A61" s="107" t="s">
        <v>141</v>
      </c>
      <c r="B61" s="120">
        <v>0</v>
      </c>
      <c r="C61" s="118">
        <v>0</v>
      </c>
      <c r="D61" s="120"/>
      <c r="E61" s="118">
        <v>0</v>
      </c>
      <c r="F61" s="121">
        <v>0.16907</v>
      </c>
      <c r="G61" s="273">
        <f t="shared" si="45"/>
        <v>0</v>
      </c>
      <c r="H61" s="122">
        <v>71.101018017650617</v>
      </c>
      <c r="I61" s="213">
        <f t="shared" si="46"/>
        <v>0</v>
      </c>
      <c r="J61" s="279">
        <v>73.819999999999993</v>
      </c>
      <c r="K61" s="122">
        <f t="shared" si="47"/>
        <v>70.867199999999997</v>
      </c>
      <c r="L61" s="122">
        <f t="shared" si="47"/>
        <v>68.032511999999997</v>
      </c>
      <c r="M61" s="122">
        <f t="shared" si="47"/>
        <v>65.311211520000001</v>
      </c>
      <c r="N61" s="122">
        <f t="shared" si="47"/>
        <v>62.698763059199997</v>
      </c>
      <c r="O61" s="122">
        <f t="shared" si="47"/>
        <v>60.190812536831999</v>
      </c>
      <c r="P61" s="122">
        <f t="shared" si="47"/>
        <v>57.783180035358718</v>
      </c>
      <c r="Q61" s="122">
        <f t="shared" si="48"/>
        <v>55.471852833944368</v>
      </c>
      <c r="R61" s="122">
        <f t="shared" si="48"/>
        <v>53.25297872058659</v>
      </c>
      <c r="S61" s="122">
        <f t="shared" si="48"/>
        <v>51.122859571763122</v>
      </c>
      <c r="T61" s="122">
        <f t="shared" si="48"/>
        <v>49.077945188892599</v>
      </c>
      <c r="U61" s="122">
        <f t="shared" si="48"/>
        <v>47.114827381336895</v>
      </c>
      <c r="V61" s="122">
        <f t="shared" si="48"/>
        <v>45.230234286083416</v>
      </c>
      <c r="W61" s="122">
        <f t="shared" si="48"/>
        <v>43.421024914640078</v>
      </c>
      <c r="X61" s="122">
        <f t="shared" si="48"/>
        <v>41.684183918054472</v>
      </c>
      <c r="Y61" s="122">
        <f t="shared" si="48"/>
        <v>40.016816561332291</v>
      </c>
      <c r="Z61" s="122">
        <f t="shared" si="48"/>
        <v>38.416143898879</v>
      </c>
    </row>
    <row r="62" spans="1:26" ht="18.75" x14ac:dyDescent="0.3">
      <c r="A62" s="107" t="s">
        <v>152</v>
      </c>
      <c r="B62" s="120">
        <v>0</v>
      </c>
      <c r="C62" s="118">
        <v>0</v>
      </c>
      <c r="D62" s="120"/>
      <c r="E62" s="118">
        <v>0</v>
      </c>
      <c r="F62" s="121">
        <v>0.16907</v>
      </c>
      <c r="G62" s="273">
        <f t="shared" si="45"/>
        <v>0</v>
      </c>
      <c r="H62" s="122">
        <v>76.163110962617708</v>
      </c>
      <c r="I62" s="213">
        <f t="shared" si="46"/>
        <v>0</v>
      </c>
      <c r="J62" s="279">
        <v>75.400000000000006</v>
      </c>
      <c r="K62" s="122">
        <f t="shared" si="47"/>
        <v>72.384</v>
      </c>
      <c r="L62" s="122">
        <f t="shared" si="47"/>
        <v>69.488640000000004</v>
      </c>
      <c r="M62" s="122">
        <f t="shared" si="47"/>
        <v>66.709094399999998</v>
      </c>
      <c r="N62" s="122">
        <f t="shared" si="47"/>
        <v>64.040730623999991</v>
      </c>
      <c r="O62" s="122">
        <f t="shared" si="47"/>
        <v>61.47910139903999</v>
      </c>
      <c r="P62" s="122">
        <f t="shared" si="47"/>
        <v>59.019937343078389</v>
      </c>
      <c r="Q62" s="122">
        <f t="shared" si="48"/>
        <v>56.659139849355249</v>
      </c>
      <c r="R62" s="122">
        <f t="shared" si="48"/>
        <v>54.392774255381035</v>
      </c>
      <c r="S62" s="122">
        <f t="shared" si="48"/>
        <v>52.217063285165793</v>
      </c>
      <c r="T62" s="122">
        <f t="shared" si="48"/>
        <v>50.12838075375916</v>
      </c>
      <c r="U62" s="122">
        <f t="shared" si="48"/>
        <v>48.123245523608794</v>
      </c>
      <c r="V62" s="122">
        <f t="shared" si="48"/>
        <v>46.198315702664438</v>
      </c>
      <c r="W62" s="122">
        <f t="shared" si="48"/>
        <v>44.350383074557861</v>
      </c>
      <c r="X62" s="122">
        <f t="shared" si="48"/>
        <v>42.576367751575546</v>
      </c>
      <c r="Y62" s="122">
        <f t="shared" si="48"/>
        <v>40.873313041512525</v>
      </c>
      <c r="Z62" s="122">
        <f t="shared" si="48"/>
        <v>39.238380519852022</v>
      </c>
    </row>
    <row r="63" spans="1:26" ht="18.75" x14ac:dyDescent="0.3">
      <c r="A63" s="107" t="s">
        <v>147</v>
      </c>
      <c r="B63" s="120">
        <v>0</v>
      </c>
      <c r="C63" s="118">
        <v>0</v>
      </c>
      <c r="D63" s="120"/>
      <c r="E63" s="118">
        <v>0</v>
      </c>
      <c r="F63" s="121">
        <v>0.16907</v>
      </c>
      <c r="G63" s="273">
        <f t="shared" si="45"/>
        <v>0</v>
      </c>
      <c r="H63" s="122">
        <v>78.330099132419932</v>
      </c>
      <c r="I63" s="213">
        <f t="shared" si="46"/>
        <v>0</v>
      </c>
      <c r="J63" s="279">
        <v>73.28</v>
      </c>
      <c r="K63" s="122">
        <f t="shared" si="47"/>
        <v>70.348799999999997</v>
      </c>
      <c r="L63" s="122">
        <f t="shared" si="47"/>
        <v>67.534847999999997</v>
      </c>
      <c r="M63" s="122">
        <f t="shared" si="47"/>
        <v>64.833454079999996</v>
      </c>
      <c r="N63" s="122">
        <f t="shared" si="47"/>
        <v>62.240115916799994</v>
      </c>
      <c r="O63" s="122">
        <f t="shared" si="47"/>
        <v>59.750511280127995</v>
      </c>
      <c r="P63" s="122">
        <f t="shared" si="47"/>
        <v>57.36049082892287</v>
      </c>
      <c r="Q63" s="122">
        <f t="shared" si="48"/>
        <v>55.06607119576595</v>
      </c>
      <c r="R63" s="122">
        <f t="shared" si="48"/>
        <v>52.863428347935312</v>
      </c>
      <c r="S63" s="122">
        <f t="shared" si="48"/>
        <v>50.748891214017895</v>
      </c>
      <c r="T63" s="122">
        <f t="shared" si="48"/>
        <v>48.71893556545718</v>
      </c>
      <c r="U63" s="122">
        <f t="shared" si="48"/>
        <v>46.770178142838894</v>
      </c>
      <c r="V63" s="122">
        <f t="shared" si="48"/>
        <v>44.89937101712534</v>
      </c>
      <c r="W63" s="122">
        <f t="shared" si="48"/>
        <v>43.103396176440327</v>
      </c>
      <c r="X63" s="122">
        <f t="shared" si="48"/>
        <v>41.37926032938271</v>
      </c>
      <c r="Y63" s="122">
        <f t="shared" si="48"/>
        <v>39.724089916207397</v>
      </c>
      <c r="Z63" s="122">
        <f t="shared" si="48"/>
        <v>38.135126319559099</v>
      </c>
    </row>
    <row r="64" spans="1:26" ht="18.75" x14ac:dyDescent="0.3">
      <c r="A64" s="107" t="s">
        <v>148</v>
      </c>
      <c r="B64" s="120">
        <v>0</v>
      </c>
      <c r="C64" s="118">
        <v>0</v>
      </c>
      <c r="D64" s="120"/>
      <c r="E64" s="118">
        <v>0</v>
      </c>
      <c r="F64" s="121">
        <v>0.16907</v>
      </c>
      <c r="G64" s="273">
        <f t="shared" si="45"/>
        <v>0</v>
      </c>
      <c r="H64" s="122">
        <v>73.020557738315659</v>
      </c>
      <c r="I64" s="213">
        <f t="shared" si="46"/>
        <v>0</v>
      </c>
      <c r="J64" s="279">
        <v>67.73</v>
      </c>
      <c r="K64" s="122">
        <f t="shared" si="47"/>
        <v>65.020800000000008</v>
      </c>
      <c r="L64" s="122">
        <f t="shared" si="47"/>
        <v>62.419968000000004</v>
      </c>
      <c r="M64" s="122">
        <f t="shared" si="47"/>
        <v>59.923169280000003</v>
      </c>
      <c r="N64" s="122">
        <f t="shared" si="47"/>
        <v>57.526242508800003</v>
      </c>
      <c r="O64" s="122">
        <f t="shared" si="47"/>
        <v>55.225192808448</v>
      </c>
      <c r="P64" s="122">
        <f t="shared" si="47"/>
        <v>53.016185096110078</v>
      </c>
      <c r="Q64" s="122">
        <f t="shared" si="48"/>
        <v>50.89553769226567</v>
      </c>
      <c r="R64" s="122">
        <f t="shared" si="48"/>
        <v>48.859716184575042</v>
      </c>
      <c r="S64" s="122">
        <f t="shared" si="48"/>
        <v>46.905327537192036</v>
      </c>
      <c r="T64" s="122">
        <f t="shared" si="48"/>
        <v>45.029114435704351</v>
      </c>
      <c r="U64" s="122">
        <f t="shared" si="48"/>
        <v>43.227949858276176</v>
      </c>
      <c r="V64" s="122">
        <f t="shared" si="48"/>
        <v>41.498831863945128</v>
      </c>
      <c r="W64" s="122">
        <f t="shared" si="48"/>
        <v>39.838878589387321</v>
      </c>
      <c r="X64" s="122">
        <f t="shared" si="48"/>
        <v>38.245323445811827</v>
      </c>
      <c r="Y64" s="122">
        <f t="shared" si="48"/>
        <v>36.715510507979353</v>
      </c>
      <c r="Z64" s="122">
        <f t="shared" si="48"/>
        <v>35.246890087660177</v>
      </c>
    </row>
    <row r="65" spans="1:26" ht="18.75" x14ac:dyDescent="0.3">
      <c r="A65" s="107" t="s">
        <v>155</v>
      </c>
      <c r="B65" s="120">
        <v>1</v>
      </c>
      <c r="C65" s="118">
        <v>10005</v>
      </c>
      <c r="D65" s="120"/>
      <c r="E65" s="118">
        <v>10005</v>
      </c>
      <c r="F65" s="121">
        <v>0.16907</v>
      </c>
      <c r="G65" s="273">
        <v>0</v>
      </c>
      <c r="H65" s="122">
        <v>63.722290844711253</v>
      </c>
      <c r="I65" s="213">
        <f t="shared" si="46"/>
        <v>0</v>
      </c>
      <c r="J65" s="279">
        <v>57.93</v>
      </c>
      <c r="K65" s="122">
        <f t="shared" si="47"/>
        <v>55.6128</v>
      </c>
      <c r="L65" s="122">
        <f t="shared" si="47"/>
        <v>53.388287999999996</v>
      </c>
      <c r="M65" s="122">
        <f t="shared" si="47"/>
        <v>51.252756479999995</v>
      </c>
      <c r="N65" s="122">
        <f t="shared" si="47"/>
        <v>49.202646220799991</v>
      </c>
      <c r="O65" s="122">
        <f t="shared" si="47"/>
        <v>47.234540371967988</v>
      </c>
      <c r="P65" s="122">
        <f t="shared" si="47"/>
        <v>45.345158757089266</v>
      </c>
      <c r="Q65" s="122">
        <f t="shared" si="48"/>
        <v>43.531352406805695</v>
      </c>
      <c r="R65" s="122">
        <f t="shared" si="48"/>
        <v>41.790098310533466</v>
      </c>
      <c r="S65" s="122">
        <f t="shared" si="48"/>
        <v>40.118494378112125</v>
      </c>
      <c r="T65" s="122">
        <f t="shared" si="48"/>
        <v>38.513754602987639</v>
      </c>
      <c r="U65" s="122">
        <f t="shared" si="48"/>
        <v>36.973204418868129</v>
      </c>
      <c r="V65" s="122">
        <f t="shared" si="48"/>
        <v>35.494276242113401</v>
      </c>
      <c r="W65" s="122">
        <f t="shared" si="48"/>
        <v>34.074505192428866</v>
      </c>
      <c r="X65" s="122">
        <f t="shared" si="48"/>
        <v>32.71152498473171</v>
      </c>
      <c r="Y65" s="122">
        <f t="shared" si="48"/>
        <v>31.403063985342442</v>
      </c>
      <c r="Z65" s="122">
        <f t="shared" si="48"/>
        <v>30.146941425928745</v>
      </c>
    </row>
    <row r="66" spans="1:26" ht="18.75" x14ac:dyDescent="0.3">
      <c r="A66" s="107" t="s">
        <v>156</v>
      </c>
      <c r="B66" s="120">
        <v>0</v>
      </c>
      <c r="C66" s="118">
        <v>0</v>
      </c>
      <c r="D66" s="120"/>
      <c r="E66" s="118">
        <v>0</v>
      </c>
      <c r="F66" s="121">
        <v>0.16907</v>
      </c>
      <c r="G66" s="273">
        <f t="shared" si="45"/>
        <v>0</v>
      </c>
      <c r="H66" s="122">
        <v>49.328241998484785</v>
      </c>
      <c r="I66" s="213">
        <f t="shared" si="46"/>
        <v>0</v>
      </c>
      <c r="J66" s="279">
        <v>41.94</v>
      </c>
      <c r="K66" s="122">
        <f t="shared" si="47"/>
        <v>40.2624</v>
      </c>
      <c r="L66" s="122">
        <f t="shared" si="47"/>
        <v>38.651903999999995</v>
      </c>
      <c r="M66" s="122">
        <f t="shared" si="47"/>
        <v>37.105827839999996</v>
      </c>
      <c r="N66" s="122">
        <f t="shared" si="47"/>
        <v>35.621594726399998</v>
      </c>
      <c r="O66" s="122">
        <f t="shared" si="47"/>
        <v>34.196730937344</v>
      </c>
      <c r="P66" s="122">
        <f t="shared" si="47"/>
        <v>32.828861699850236</v>
      </c>
      <c r="Q66" s="122">
        <f t="shared" si="48"/>
        <v>31.515707231856226</v>
      </c>
      <c r="R66" s="122">
        <f t="shared" si="48"/>
        <v>30.255078942581974</v>
      </c>
      <c r="S66" s="122">
        <f t="shared" si="48"/>
        <v>29.044875784878695</v>
      </c>
      <c r="T66" s="122">
        <f t="shared" si="48"/>
        <v>27.883080753483547</v>
      </c>
      <c r="U66" s="122">
        <f t="shared" si="48"/>
        <v>26.767757523344205</v>
      </c>
      <c r="V66" s="122">
        <f t="shared" si="48"/>
        <v>25.697047222410436</v>
      </c>
      <c r="W66" s="122">
        <f t="shared" si="48"/>
        <v>24.66916533351402</v>
      </c>
      <c r="X66" s="122">
        <f t="shared" si="48"/>
        <v>23.68239872017346</v>
      </c>
      <c r="Y66" s="122">
        <f t="shared" si="48"/>
        <v>22.73510277136652</v>
      </c>
      <c r="Z66" s="122">
        <f t="shared" si="48"/>
        <v>21.825698660511858</v>
      </c>
    </row>
    <row r="67" spans="1:26" ht="18.75" x14ac:dyDescent="0.3">
      <c r="A67" s="116" t="s">
        <v>164</v>
      </c>
      <c r="B67" s="120">
        <v>0.7</v>
      </c>
      <c r="C67" s="118">
        <f>C58*0.7</f>
        <v>18676</v>
      </c>
      <c r="D67" s="120">
        <v>0.7</v>
      </c>
      <c r="E67" s="118">
        <f>E58*0.7</f>
        <v>22400</v>
      </c>
      <c r="F67" s="121">
        <v>0.16907</v>
      </c>
      <c r="G67" s="273"/>
      <c r="H67" s="123"/>
      <c r="I67" s="213">
        <f>H67*G67*15.96</f>
        <v>0</v>
      </c>
      <c r="J67" s="280"/>
      <c r="K67" s="123"/>
      <c r="L67" s="123"/>
      <c r="M67" s="123"/>
      <c r="N67" s="123"/>
      <c r="O67" s="123"/>
      <c r="P67" s="123"/>
      <c r="Q67" s="123"/>
      <c r="R67" s="123"/>
      <c r="S67" s="123"/>
      <c r="T67" s="123"/>
      <c r="U67" s="123"/>
      <c r="V67" s="123"/>
      <c r="W67" s="123"/>
      <c r="X67" s="123"/>
      <c r="Y67" s="123"/>
      <c r="Z67" s="123"/>
    </row>
    <row r="68" spans="1:26" ht="18.75" x14ac:dyDescent="0.3">
      <c r="A68" s="107" t="s">
        <v>140</v>
      </c>
      <c r="B68" s="120">
        <v>0</v>
      </c>
      <c r="C68" s="118">
        <v>0</v>
      </c>
      <c r="D68" s="120"/>
      <c r="E68" s="118">
        <v>0</v>
      </c>
      <c r="F68" s="121">
        <v>0.16907</v>
      </c>
      <c r="G68" s="273">
        <f t="shared" ref="G68:G74" si="49">F68*E68*8760/1000</f>
        <v>0</v>
      </c>
      <c r="H68" s="122"/>
      <c r="I68" s="213">
        <f t="shared" ref="I68:I74" si="50">H68*G68*15*0.96</f>
        <v>0</v>
      </c>
      <c r="J68" s="279">
        <v>0</v>
      </c>
      <c r="K68" s="122">
        <f t="shared" ref="K68:P74" si="51">J68*0.96</f>
        <v>0</v>
      </c>
      <c r="L68" s="122">
        <f t="shared" si="51"/>
        <v>0</v>
      </c>
      <c r="M68" s="122">
        <f t="shared" si="51"/>
        <v>0</v>
      </c>
      <c r="N68" s="122">
        <f t="shared" si="51"/>
        <v>0</v>
      </c>
      <c r="O68" s="122">
        <f t="shared" si="51"/>
        <v>0</v>
      </c>
      <c r="P68" s="122">
        <f t="shared" si="51"/>
        <v>0</v>
      </c>
      <c r="Q68" s="122">
        <f t="shared" ref="Q68:Z74" si="52">P68*$B$93</f>
        <v>0</v>
      </c>
      <c r="R68" s="122">
        <f t="shared" si="52"/>
        <v>0</v>
      </c>
      <c r="S68" s="122">
        <f t="shared" si="52"/>
        <v>0</v>
      </c>
      <c r="T68" s="122">
        <f t="shared" si="52"/>
        <v>0</v>
      </c>
      <c r="U68" s="122">
        <f t="shared" si="52"/>
        <v>0</v>
      </c>
      <c r="V68" s="122">
        <f t="shared" si="52"/>
        <v>0</v>
      </c>
      <c r="W68" s="122">
        <f t="shared" si="52"/>
        <v>0</v>
      </c>
      <c r="X68" s="122">
        <f t="shared" si="52"/>
        <v>0</v>
      </c>
      <c r="Y68" s="122">
        <f t="shared" si="52"/>
        <v>0</v>
      </c>
      <c r="Z68" s="122">
        <f t="shared" si="52"/>
        <v>0</v>
      </c>
    </row>
    <row r="69" spans="1:26" ht="18.75" x14ac:dyDescent="0.3">
      <c r="A69" s="107" t="s">
        <v>141</v>
      </c>
      <c r="B69" s="120">
        <v>0</v>
      </c>
      <c r="C69" s="118">
        <v>0</v>
      </c>
      <c r="D69" s="120"/>
      <c r="E69" s="118">
        <v>0</v>
      </c>
      <c r="F69" s="121">
        <v>0.16907</v>
      </c>
      <c r="G69" s="273">
        <f t="shared" si="49"/>
        <v>0</v>
      </c>
      <c r="H69" s="122">
        <v>82.366373483428873</v>
      </c>
      <c r="I69" s="213">
        <f t="shared" si="50"/>
        <v>0</v>
      </c>
      <c r="J69" s="279">
        <v>91.46</v>
      </c>
      <c r="K69" s="122">
        <f t="shared" si="51"/>
        <v>87.801599999999993</v>
      </c>
      <c r="L69" s="122">
        <f t="shared" si="51"/>
        <v>84.289535999999984</v>
      </c>
      <c r="M69" s="122">
        <f t="shared" si="51"/>
        <v>80.917954559999984</v>
      </c>
      <c r="N69" s="122">
        <f t="shared" si="51"/>
        <v>77.681236377599987</v>
      </c>
      <c r="O69" s="122">
        <f t="shared" si="51"/>
        <v>74.57398692249599</v>
      </c>
      <c r="P69" s="122">
        <f t="shared" si="51"/>
        <v>71.591027445596154</v>
      </c>
      <c r="Q69" s="122">
        <f t="shared" si="52"/>
        <v>68.72738634777231</v>
      </c>
      <c r="R69" s="122">
        <f t="shared" si="52"/>
        <v>65.978290893861413</v>
      </c>
      <c r="S69" s="122">
        <f t="shared" si="52"/>
        <v>63.339159258106953</v>
      </c>
      <c r="T69" s="122">
        <f t="shared" si="52"/>
        <v>60.805592887782673</v>
      </c>
      <c r="U69" s="122">
        <f t="shared" si="52"/>
        <v>58.373369172271367</v>
      </c>
      <c r="V69" s="122">
        <f t="shared" si="52"/>
        <v>56.038434405380514</v>
      </c>
      <c r="W69" s="122">
        <f t="shared" si="52"/>
        <v>53.796897029165294</v>
      </c>
      <c r="X69" s="122">
        <f t="shared" si="52"/>
        <v>51.645021147998683</v>
      </c>
      <c r="Y69" s="122">
        <f t="shared" si="52"/>
        <v>49.579220302078731</v>
      </c>
      <c r="Z69" s="122">
        <f t="shared" si="52"/>
        <v>47.596051489995581</v>
      </c>
    </row>
    <row r="70" spans="1:26" ht="18.75" x14ac:dyDescent="0.3">
      <c r="A70" s="107" t="s">
        <v>152</v>
      </c>
      <c r="B70" s="120">
        <v>0</v>
      </c>
      <c r="C70" s="118">
        <v>0</v>
      </c>
      <c r="D70" s="120"/>
      <c r="E70" s="118">
        <v>0</v>
      </c>
      <c r="F70" s="121">
        <v>0.16907</v>
      </c>
      <c r="G70" s="273">
        <f t="shared" si="49"/>
        <v>0</v>
      </c>
      <c r="H70" s="122">
        <v>93.60931583412021</v>
      </c>
      <c r="I70" s="213">
        <f t="shared" si="50"/>
        <v>0</v>
      </c>
      <c r="J70" s="279">
        <v>92.92</v>
      </c>
      <c r="K70" s="122">
        <f t="shared" si="51"/>
        <v>89.203199999999995</v>
      </c>
      <c r="L70" s="122">
        <f t="shared" si="51"/>
        <v>85.635071999999994</v>
      </c>
      <c r="M70" s="122">
        <f t="shared" si="51"/>
        <v>82.209669119999987</v>
      </c>
      <c r="N70" s="122">
        <f t="shared" si="51"/>
        <v>78.921282355199978</v>
      </c>
      <c r="O70" s="122">
        <f t="shared" si="51"/>
        <v>75.764431060991981</v>
      </c>
      <c r="P70" s="122">
        <f t="shared" si="51"/>
        <v>72.733853818552305</v>
      </c>
      <c r="Q70" s="122">
        <f t="shared" si="52"/>
        <v>69.824499665810208</v>
      </c>
      <c r="R70" s="122">
        <f t="shared" si="52"/>
        <v>67.031519679177791</v>
      </c>
      <c r="S70" s="122">
        <f t="shared" si="52"/>
        <v>64.350258892010672</v>
      </c>
      <c r="T70" s="122">
        <f t="shared" si="52"/>
        <v>61.776248536330243</v>
      </c>
      <c r="U70" s="122">
        <f t="shared" si="52"/>
        <v>59.305198594877034</v>
      </c>
      <c r="V70" s="122">
        <f t="shared" si="52"/>
        <v>56.932990651081951</v>
      </c>
      <c r="W70" s="122">
        <f t="shared" si="52"/>
        <v>54.655671025038671</v>
      </c>
      <c r="X70" s="122">
        <f t="shared" si="52"/>
        <v>52.469444184037123</v>
      </c>
      <c r="Y70" s="122">
        <f t="shared" si="52"/>
        <v>50.370666416675633</v>
      </c>
      <c r="Z70" s="122">
        <f t="shared" si="52"/>
        <v>48.355839760008607</v>
      </c>
    </row>
    <row r="71" spans="1:26" ht="18.75" x14ac:dyDescent="0.3">
      <c r="A71" s="107" t="s">
        <v>147</v>
      </c>
      <c r="B71" s="120">
        <v>0</v>
      </c>
      <c r="C71" s="118">
        <v>0</v>
      </c>
      <c r="D71" s="120"/>
      <c r="E71" s="118">
        <v>0</v>
      </c>
      <c r="F71" s="121">
        <v>0.16907</v>
      </c>
      <c r="G71" s="273">
        <f t="shared" si="49"/>
        <v>0</v>
      </c>
      <c r="H71" s="122">
        <v>95.124862440548199</v>
      </c>
      <c r="I71" s="213">
        <f t="shared" si="50"/>
        <v>0</v>
      </c>
      <c r="J71" s="279">
        <v>89.36</v>
      </c>
      <c r="K71" s="122">
        <f t="shared" si="51"/>
        <v>85.785600000000002</v>
      </c>
      <c r="L71" s="122">
        <f t="shared" si="51"/>
        <v>82.354175999999995</v>
      </c>
      <c r="M71" s="122">
        <f t="shared" si="51"/>
        <v>79.06000895999999</v>
      </c>
      <c r="N71" s="122">
        <f t="shared" si="51"/>
        <v>75.897608601599984</v>
      </c>
      <c r="O71" s="122">
        <f t="shared" si="51"/>
        <v>72.861704257535976</v>
      </c>
      <c r="P71" s="122">
        <f t="shared" si="51"/>
        <v>69.947236087234529</v>
      </c>
      <c r="Q71" s="122">
        <f t="shared" si="52"/>
        <v>67.149346643745147</v>
      </c>
      <c r="R71" s="122">
        <f t="shared" si="52"/>
        <v>64.463372777995346</v>
      </c>
      <c r="S71" s="122">
        <f t="shared" si="52"/>
        <v>61.884837866875529</v>
      </c>
      <c r="T71" s="122">
        <f t="shared" si="52"/>
        <v>59.409444352200502</v>
      </c>
      <c r="U71" s="122">
        <f t="shared" si="52"/>
        <v>57.033066578112482</v>
      </c>
      <c r="V71" s="122">
        <f t="shared" si="52"/>
        <v>54.751743914987983</v>
      </c>
      <c r="W71" s="122">
        <f t="shared" si="52"/>
        <v>52.561674158388463</v>
      </c>
      <c r="X71" s="122">
        <f t="shared" si="52"/>
        <v>50.459207192052922</v>
      </c>
      <c r="Y71" s="122">
        <f t="shared" si="52"/>
        <v>48.440838904370807</v>
      </c>
      <c r="Z71" s="122">
        <f t="shared" si="52"/>
        <v>46.503205348195976</v>
      </c>
    </row>
    <row r="72" spans="1:26" ht="18.75" x14ac:dyDescent="0.3">
      <c r="A72" s="107" t="s">
        <v>148</v>
      </c>
      <c r="B72" s="120">
        <v>0</v>
      </c>
      <c r="C72" s="118">
        <v>0</v>
      </c>
      <c r="D72" s="120"/>
      <c r="E72" s="118">
        <v>0</v>
      </c>
      <c r="F72" s="121">
        <v>0.16907</v>
      </c>
      <c r="G72" s="273">
        <f t="shared" si="49"/>
        <v>0</v>
      </c>
      <c r="H72" s="122">
        <v>84.098168080061313</v>
      </c>
      <c r="I72" s="213">
        <f t="shared" si="50"/>
        <v>0</v>
      </c>
      <c r="J72" s="279">
        <v>82.24</v>
      </c>
      <c r="K72" s="122">
        <f t="shared" si="51"/>
        <v>78.950399999999988</v>
      </c>
      <c r="L72" s="122">
        <f t="shared" si="51"/>
        <v>75.792383999999984</v>
      </c>
      <c r="M72" s="122">
        <f t="shared" si="51"/>
        <v>72.760688639999984</v>
      </c>
      <c r="N72" s="122">
        <f t="shared" si="51"/>
        <v>69.850261094399983</v>
      </c>
      <c r="O72" s="122">
        <f t="shared" si="51"/>
        <v>67.05625065062398</v>
      </c>
      <c r="P72" s="122">
        <f t="shared" si="51"/>
        <v>64.37400062459902</v>
      </c>
      <c r="Q72" s="122">
        <f t="shared" si="52"/>
        <v>61.799040599615054</v>
      </c>
      <c r="R72" s="122">
        <f t="shared" si="52"/>
        <v>59.32707897563045</v>
      </c>
      <c r="S72" s="122">
        <f t="shared" si="52"/>
        <v>56.953995816605229</v>
      </c>
      <c r="T72" s="122">
        <f t="shared" si="52"/>
        <v>54.67583598394102</v>
      </c>
      <c r="U72" s="122">
        <f t="shared" si="52"/>
        <v>52.488802544583379</v>
      </c>
      <c r="V72" s="122">
        <f t="shared" si="52"/>
        <v>50.389250442800041</v>
      </c>
      <c r="W72" s="122">
        <f t="shared" si="52"/>
        <v>48.37368042508804</v>
      </c>
      <c r="X72" s="122">
        <f t="shared" si="52"/>
        <v>46.438733208084514</v>
      </c>
      <c r="Y72" s="122">
        <f t="shared" si="52"/>
        <v>44.581183879761134</v>
      </c>
      <c r="Z72" s="122">
        <f t="shared" si="52"/>
        <v>42.797936524570687</v>
      </c>
    </row>
    <row r="73" spans="1:26" ht="18.75" x14ac:dyDescent="0.3">
      <c r="A73" s="107" t="s">
        <v>155</v>
      </c>
      <c r="B73" s="120">
        <v>1</v>
      </c>
      <c r="C73" s="118">
        <v>23345</v>
      </c>
      <c r="D73" s="120"/>
      <c r="E73" s="118">
        <v>23345</v>
      </c>
      <c r="F73" s="121">
        <v>0.16907</v>
      </c>
      <c r="G73" s="273">
        <v>0</v>
      </c>
      <c r="H73" s="122">
        <v>71.799662172322627</v>
      </c>
      <c r="I73" s="213">
        <f t="shared" si="50"/>
        <v>0</v>
      </c>
      <c r="J73" s="279">
        <v>68.95</v>
      </c>
      <c r="K73" s="122">
        <f t="shared" si="51"/>
        <v>66.192000000000007</v>
      </c>
      <c r="L73" s="122">
        <f t="shared" si="51"/>
        <v>63.544320000000006</v>
      </c>
      <c r="M73" s="122">
        <f t="shared" si="51"/>
        <v>61.002547200000002</v>
      </c>
      <c r="N73" s="122">
        <f t="shared" si="51"/>
        <v>58.562445312000001</v>
      </c>
      <c r="O73" s="122">
        <f t="shared" si="51"/>
        <v>56.219947499519996</v>
      </c>
      <c r="P73" s="122">
        <f t="shared" si="51"/>
        <v>53.971149599539196</v>
      </c>
      <c r="Q73" s="122">
        <f t="shared" si="52"/>
        <v>51.812303615557624</v>
      </c>
      <c r="R73" s="122">
        <f t="shared" si="52"/>
        <v>49.739811470935315</v>
      </c>
      <c r="S73" s="122">
        <f t="shared" si="52"/>
        <v>47.750219012097901</v>
      </c>
      <c r="T73" s="122">
        <f t="shared" si="52"/>
        <v>45.840210251613982</v>
      </c>
      <c r="U73" s="122">
        <f t="shared" si="52"/>
        <v>44.006601841549418</v>
      </c>
      <c r="V73" s="122">
        <f t="shared" si="52"/>
        <v>42.246337767887439</v>
      </c>
      <c r="W73" s="122">
        <f t="shared" si="52"/>
        <v>40.556484257171938</v>
      </c>
      <c r="X73" s="122">
        <f t="shared" si="52"/>
        <v>38.934224886885062</v>
      </c>
      <c r="Y73" s="122">
        <f t="shared" si="52"/>
        <v>37.376855891409654</v>
      </c>
      <c r="Z73" s="122">
        <f t="shared" si="52"/>
        <v>35.881781655753265</v>
      </c>
    </row>
    <row r="74" spans="1:26" ht="18.75" x14ac:dyDescent="0.3">
      <c r="A74" s="107" t="s">
        <v>156</v>
      </c>
      <c r="B74" s="120">
        <v>0</v>
      </c>
      <c r="C74" s="118">
        <v>0</v>
      </c>
      <c r="D74" s="120"/>
      <c r="E74" s="118">
        <v>0</v>
      </c>
      <c r="F74" s="121">
        <v>0.16907</v>
      </c>
      <c r="G74" s="273">
        <f t="shared" si="49"/>
        <v>0</v>
      </c>
      <c r="H74" s="122">
        <v>53.313352637016976</v>
      </c>
      <c r="I74" s="213">
        <f t="shared" si="50"/>
        <v>0</v>
      </c>
      <c r="J74" s="279">
        <v>49.79</v>
      </c>
      <c r="K74" s="122">
        <f t="shared" si="51"/>
        <v>47.798400000000001</v>
      </c>
      <c r="L74" s="122">
        <f t="shared" si="51"/>
        <v>45.886463999999997</v>
      </c>
      <c r="M74" s="122">
        <f t="shared" si="51"/>
        <v>44.051005439999997</v>
      </c>
      <c r="N74" s="122">
        <f t="shared" si="51"/>
        <v>42.288965222399995</v>
      </c>
      <c r="O74" s="122">
        <f t="shared" si="51"/>
        <v>40.597406613503992</v>
      </c>
      <c r="P74" s="122">
        <f t="shared" si="51"/>
        <v>38.973510348963828</v>
      </c>
      <c r="Q74" s="122">
        <f t="shared" si="52"/>
        <v>37.414569935005275</v>
      </c>
      <c r="R74" s="122">
        <f t="shared" si="52"/>
        <v>35.91798713760506</v>
      </c>
      <c r="S74" s="122">
        <f t="shared" si="52"/>
        <v>34.481267652100854</v>
      </c>
      <c r="T74" s="122">
        <f t="shared" si="52"/>
        <v>33.102016946016818</v>
      </c>
      <c r="U74" s="122">
        <f t="shared" si="52"/>
        <v>31.777936268176145</v>
      </c>
      <c r="V74" s="122">
        <f t="shared" si="52"/>
        <v>30.506818817449098</v>
      </c>
      <c r="W74" s="122">
        <f t="shared" si="52"/>
        <v>29.286546064751132</v>
      </c>
      <c r="X74" s="122">
        <f t="shared" si="52"/>
        <v>28.115084222161087</v>
      </c>
      <c r="Y74" s="122">
        <f t="shared" si="52"/>
        <v>26.990480853274644</v>
      </c>
      <c r="Z74" s="122">
        <f t="shared" si="52"/>
        <v>25.910861619143656</v>
      </c>
    </row>
    <row r="75" spans="1:26" ht="18.75" x14ac:dyDescent="0.3">
      <c r="A75" s="127" t="s">
        <v>165</v>
      </c>
      <c r="B75" s="113">
        <v>0.2</v>
      </c>
      <c r="C75" s="114">
        <f>B4*B75</f>
        <v>133400</v>
      </c>
      <c r="D75" s="113">
        <v>0.2</v>
      </c>
      <c r="E75" s="114">
        <f>D4*D75</f>
        <v>160000</v>
      </c>
      <c r="F75" s="111"/>
      <c r="G75" s="275"/>
      <c r="H75" s="111"/>
      <c r="I75" s="215">
        <f>SUM(I77:I87)</f>
        <v>0</v>
      </c>
      <c r="J75" s="277"/>
      <c r="K75" s="111"/>
      <c r="L75" s="111"/>
      <c r="M75" s="111"/>
      <c r="N75" s="111"/>
      <c r="O75" s="111"/>
      <c r="P75" s="111"/>
      <c r="Q75" s="111"/>
      <c r="R75" s="111"/>
      <c r="S75" s="111"/>
      <c r="T75" s="111"/>
      <c r="U75" s="111"/>
      <c r="V75" s="111"/>
      <c r="W75" s="111"/>
      <c r="X75" s="111"/>
      <c r="Y75" s="111"/>
      <c r="Z75" s="111"/>
    </row>
    <row r="76" spans="1:26" ht="18.75" x14ac:dyDescent="0.3">
      <c r="A76" s="116" t="s">
        <v>166</v>
      </c>
      <c r="B76" s="117"/>
      <c r="C76" s="118">
        <f>C75*0.3</f>
        <v>40020</v>
      </c>
      <c r="D76" s="117"/>
      <c r="E76" s="118">
        <f>E75*0.3</f>
        <v>48000</v>
      </c>
      <c r="F76" s="118"/>
      <c r="G76" s="274">
        <v>0</v>
      </c>
      <c r="H76" s="123"/>
      <c r="I76" s="211"/>
      <c r="J76" s="280"/>
      <c r="K76" s="123"/>
      <c r="L76" s="123"/>
      <c r="M76" s="123"/>
      <c r="N76" s="123"/>
      <c r="O76" s="123"/>
      <c r="P76" s="123"/>
      <c r="Q76" s="123"/>
      <c r="R76" s="123"/>
      <c r="S76" s="123"/>
      <c r="T76" s="123"/>
      <c r="U76" s="123"/>
      <c r="V76" s="123"/>
      <c r="W76" s="123"/>
      <c r="X76" s="123"/>
      <c r="Y76" s="123"/>
      <c r="Z76" s="123"/>
    </row>
    <row r="77" spans="1:26" ht="18.75" x14ac:dyDescent="0.3">
      <c r="A77" s="107" t="s">
        <v>146</v>
      </c>
      <c r="B77" s="120">
        <v>8.2589858081657974E-2</v>
      </c>
      <c r="C77" s="118">
        <f>$C$76*B77</f>
        <v>3305.2461204279521</v>
      </c>
      <c r="D77" s="120">
        <v>8.2589858081657974E-2</v>
      </c>
      <c r="E77" s="118">
        <f>$E$76*D77</f>
        <v>3964.3131879195826</v>
      </c>
      <c r="F77" s="121">
        <v>0.15196999999999999</v>
      </c>
      <c r="G77" s="273">
        <f>F77*D77*$G$76*8760/1000</f>
        <v>0</v>
      </c>
      <c r="H77" s="122">
        <f>H15</f>
        <v>59.27799510161713</v>
      </c>
      <c r="I77" s="213">
        <f>H77*G77*15*0.96</f>
        <v>0</v>
      </c>
      <c r="J77" s="279">
        <f>J15</f>
        <v>55.89</v>
      </c>
      <c r="K77" s="122">
        <f>J77*$B$93</f>
        <v>53.654399999999995</v>
      </c>
      <c r="L77" s="122">
        <f t="shared" ref="K77:Z81" si="53">K77*$B$93</f>
        <v>51.508223999999991</v>
      </c>
      <c r="M77" s="122">
        <f t="shared" si="53"/>
        <v>49.447895039999992</v>
      </c>
      <c r="N77" s="122">
        <f t="shared" si="53"/>
        <v>47.469979238399993</v>
      </c>
      <c r="O77" s="122">
        <f t="shared" si="53"/>
        <v>45.571180068863995</v>
      </c>
      <c r="P77" s="122">
        <f t="shared" si="53"/>
        <v>43.748332866109436</v>
      </c>
      <c r="Q77" s="122">
        <f t="shared" si="53"/>
        <v>41.998399551465056</v>
      </c>
      <c r="R77" s="122">
        <f t="shared" si="53"/>
        <v>40.318463569406454</v>
      </c>
      <c r="S77" s="122">
        <f t="shared" si="53"/>
        <v>38.705725026630198</v>
      </c>
      <c r="T77" s="122">
        <f t="shared" si="53"/>
        <v>37.157496025564988</v>
      </c>
      <c r="U77" s="122">
        <f t="shared" si="53"/>
        <v>35.671196184542389</v>
      </c>
      <c r="V77" s="122">
        <f t="shared" si="53"/>
        <v>34.244348337160694</v>
      </c>
      <c r="W77" s="122">
        <f t="shared" si="53"/>
        <v>32.874574403674266</v>
      </c>
      <c r="X77" s="122">
        <f t="shared" si="53"/>
        <v>31.559591427527295</v>
      </c>
      <c r="Y77" s="122">
        <f t="shared" si="53"/>
        <v>30.297207770426201</v>
      </c>
      <c r="Z77" s="122">
        <f t="shared" si="53"/>
        <v>29.085319459609153</v>
      </c>
    </row>
    <row r="78" spans="1:26" ht="18.75" x14ac:dyDescent="0.3">
      <c r="A78" s="107" t="s">
        <v>147</v>
      </c>
      <c r="B78" s="120">
        <v>6.3796727298494463E-2</v>
      </c>
      <c r="C78" s="118">
        <f>$C$76*B78</f>
        <v>2553.1450264857485</v>
      </c>
      <c r="D78" s="120">
        <v>6.3796727298494463E-2</v>
      </c>
      <c r="E78" s="118">
        <f>$E$76*D78</f>
        <v>3062.2429103277341</v>
      </c>
      <c r="F78" s="121">
        <v>0.14819000000000002</v>
      </c>
      <c r="G78" s="273">
        <f t="shared" ref="G78:G81" si="54">F78*D78*$G$76*8760/1000</f>
        <v>0</v>
      </c>
      <c r="H78" s="122">
        <f>H16</f>
        <v>60.436049575549703</v>
      </c>
      <c r="I78" s="213">
        <f>H78*G78*15*0.96</f>
        <v>0</v>
      </c>
      <c r="J78" s="279">
        <f t="shared" ref="J78:J81" si="55">J16</f>
        <v>53.63</v>
      </c>
      <c r="K78" s="122">
        <f t="shared" si="53"/>
        <v>51.4848</v>
      </c>
      <c r="L78" s="122">
        <f t="shared" si="53"/>
        <v>49.425407999999997</v>
      </c>
      <c r="M78" s="122">
        <f t="shared" si="53"/>
        <v>47.448391679999993</v>
      </c>
      <c r="N78" s="122">
        <f t="shared" si="53"/>
        <v>45.550456012799991</v>
      </c>
      <c r="O78" s="122">
        <f t="shared" si="53"/>
        <v>43.72843777228799</v>
      </c>
      <c r="P78" s="122">
        <f t="shared" si="53"/>
        <v>41.979300261396467</v>
      </c>
      <c r="Q78" s="122">
        <f t="shared" si="53"/>
        <v>40.30012825094061</v>
      </c>
      <c r="R78" s="122">
        <f t="shared" si="53"/>
        <v>38.688123120902986</v>
      </c>
      <c r="S78" s="122">
        <f t="shared" si="53"/>
        <v>37.140598196066868</v>
      </c>
      <c r="T78" s="122">
        <f t="shared" si="53"/>
        <v>35.654974268224194</v>
      </c>
      <c r="U78" s="122">
        <f t="shared" si="53"/>
        <v>34.228775297495226</v>
      </c>
      <c r="V78" s="122">
        <f t="shared" si="53"/>
        <v>32.859624285595416</v>
      </c>
      <c r="W78" s="122">
        <f t="shared" si="53"/>
        <v>31.545239314171599</v>
      </c>
      <c r="X78" s="122">
        <f t="shared" si="53"/>
        <v>30.283429741604735</v>
      </c>
      <c r="Y78" s="122">
        <f t="shared" si="53"/>
        <v>29.072092551940543</v>
      </c>
      <c r="Z78" s="122">
        <f t="shared" si="53"/>
        <v>27.909208849862921</v>
      </c>
    </row>
    <row r="79" spans="1:26" ht="18.75" x14ac:dyDescent="0.3">
      <c r="A79" s="107" t="s">
        <v>148</v>
      </c>
      <c r="B79" s="120">
        <v>0.14809231752718796</v>
      </c>
      <c r="C79" s="118">
        <f>$C$76*B79</f>
        <v>5926.6545474380619</v>
      </c>
      <c r="D79" s="120">
        <v>0.14809231752718796</v>
      </c>
      <c r="E79" s="118">
        <f>$E$76*D79</f>
        <v>7108.431241305022</v>
      </c>
      <c r="F79" s="121">
        <v>0.15303</v>
      </c>
      <c r="G79" s="273">
        <f t="shared" si="54"/>
        <v>0</v>
      </c>
      <c r="H79" s="122">
        <f>H17</f>
        <v>53.394693513735859</v>
      </c>
      <c r="I79" s="213">
        <f>H79*G79*15*0.96</f>
        <v>0</v>
      </c>
      <c r="J79" s="279">
        <f t="shared" si="55"/>
        <v>46.58</v>
      </c>
      <c r="K79" s="122">
        <f t="shared" si="53"/>
        <v>44.716799999999999</v>
      </c>
      <c r="L79" s="122">
        <f t="shared" si="53"/>
        <v>42.928128000000001</v>
      </c>
      <c r="M79" s="122">
        <f t="shared" si="53"/>
        <v>41.211002880000002</v>
      </c>
      <c r="N79" s="122">
        <f t="shared" si="53"/>
        <v>39.562562764799999</v>
      </c>
      <c r="O79" s="122">
        <f t="shared" si="53"/>
        <v>37.980060254207999</v>
      </c>
      <c r="P79" s="122">
        <f t="shared" si="53"/>
        <v>36.46085784403968</v>
      </c>
      <c r="Q79" s="122">
        <f t="shared" si="53"/>
        <v>35.002423530278094</v>
      </c>
      <c r="R79" s="122">
        <f t="shared" si="53"/>
        <v>33.602326589066969</v>
      </c>
      <c r="S79" s="122">
        <f t="shared" si="53"/>
        <v>32.258233525504288</v>
      </c>
      <c r="T79" s="122">
        <f t="shared" si="53"/>
        <v>30.967904184484116</v>
      </c>
      <c r="U79" s="122">
        <f t="shared" si="53"/>
        <v>29.72918801710475</v>
      </c>
      <c r="V79" s="122">
        <f t="shared" si="53"/>
        <v>28.54002049642056</v>
      </c>
      <c r="W79" s="122">
        <f t="shared" si="53"/>
        <v>27.398419676563737</v>
      </c>
      <c r="X79" s="122">
        <f t="shared" si="53"/>
        <v>26.302482889501185</v>
      </c>
      <c r="Y79" s="122">
        <f t="shared" si="53"/>
        <v>25.250383573921138</v>
      </c>
      <c r="Z79" s="122">
        <f t="shared" si="53"/>
        <v>24.24036823096429</v>
      </c>
    </row>
    <row r="80" spans="1:26" ht="18.75" x14ac:dyDescent="0.3">
      <c r="A80" s="107" t="s">
        <v>149</v>
      </c>
      <c r="B80" s="120">
        <v>0.7055190579627767</v>
      </c>
      <c r="C80" s="118">
        <f>$C$76*B80</f>
        <v>28234.872699670323</v>
      </c>
      <c r="D80" s="120">
        <v>0.7055190579627767</v>
      </c>
      <c r="E80" s="118">
        <f>$E$76*D80</f>
        <v>33864.91478221328</v>
      </c>
      <c r="F80" s="121">
        <v>0.14410999999999999</v>
      </c>
      <c r="G80" s="273">
        <f t="shared" si="54"/>
        <v>0</v>
      </c>
      <c r="H80" s="122">
        <f>H18</f>
        <v>50.013495974809175</v>
      </c>
      <c r="I80" s="213">
        <f>H80*G80*15*0.96</f>
        <v>0</v>
      </c>
      <c r="J80" s="279">
        <f t="shared" si="55"/>
        <v>43.77</v>
      </c>
      <c r="K80" s="122">
        <f t="shared" si="53"/>
        <v>42.019200000000005</v>
      </c>
      <c r="L80" s="122">
        <f t="shared" si="53"/>
        <v>40.338432000000005</v>
      </c>
      <c r="M80" s="122">
        <f t="shared" si="53"/>
        <v>38.724894720000002</v>
      </c>
      <c r="N80" s="122">
        <f t="shared" si="53"/>
        <v>37.175898931200003</v>
      </c>
      <c r="O80" s="122">
        <f t="shared" si="53"/>
        <v>35.688862973951998</v>
      </c>
      <c r="P80" s="122">
        <f t="shared" si="53"/>
        <v>34.261308454993916</v>
      </c>
      <c r="Q80" s="122">
        <f t="shared" si="53"/>
        <v>32.890856116794161</v>
      </c>
      <c r="R80" s="122">
        <f t="shared" si="53"/>
        <v>31.575221872122395</v>
      </c>
      <c r="S80" s="122">
        <f t="shared" si="53"/>
        <v>30.312212997237499</v>
      </c>
      <c r="T80" s="122">
        <f t="shared" si="53"/>
        <v>29.099724477347998</v>
      </c>
      <c r="U80" s="122">
        <f t="shared" si="53"/>
        <v>27.935735498254076</v>
      </c>
      <c r="V80" s="122">
        <f t="shared" si="53"/>
        <v>26.818306078323911</v>
      </c>
      <c r="W80" s="122">
        <f t="shared" si="53"/>
        <v>25.745573835190953</v>
      </c>
      <c r="X80" s="122">
        <f t="shared" si="53"/>
        <v>24.715750881783315</v>
      </c>
      <c r="Y80" s="122">
        <f t="shared" si="53"/>
        <v>23.72712084651198</v>
      </c>
      <c r="Z80" s="122">
        <f t="shared" si="53"/>
        <v>22.778036012651501</v>
      </c>
    </row>
    <row r="81" spans="1:26" ht="18.75" x14ac:dyDescent="0.3">
      <c r="A81" s="107" t="s">
        <v>150</v>
      </c>
      <c r="B81" s="120">
        <v>0</v>
      </c>
      <c r="C81" s="118">
        <f>$C$76*B81</f>
        <v>0</v>
      </c>
      <c r="D81" s="120">
        <v>0</v>
      </c>
      <c r="E81" s="118">
        <f>$E$76*D81</f>
        <v>0</v>
      </c>
      <c r="F81" s="121">
        <v>0.14399999999999999</v>
      </c>
      <c r="G81" s="273">
        <f t="shared" si="54"/>
        <v>0</v>
      </c>
      <c r="H81" s="122">
        <f>H19</f>
        <v>40.157397457835735</v>
      </c>
      <c r="I81" s="213">
        <f>H81*G81*15*0.96</f>
        <v>0</v>
      </c>
      <c r="J81" s="279">
        <f t="shared" si="55"/>
        <v>33.03</v>
      </c>
      <c r="K81" s="122">
        <f t="shared" si="53"/>
        <v>31.7088</v>
      </c>
      <c r="L81" s="122">
        <f t="shared" si="53"/>
        <v>30.440448</v>
      </c>
      <c r="M81" s="122">
        <f t="shared" si="53"/>
        <v>29.222830079999998</v>
      </c>
      <c r="N81" s="122">
        <f t="shared" si="53"/>
        <v>28.053916876799995</v>
      </c>
      <c r="O81" s="122">
        <f t="shared" si="53"/>
        <v>26.931760201727993</v>
      </c>
      <c r="P81" s="122">
        <f t="shared" si="53"/>
        <v>25.854489793658871</v>
      </c>
      <c r="Q81" s="122">
        <f t="shared" si="53"/>
        <v>24.820310201912516</v>
      </c>
      <c r="R81" s="122">
        <f t="shared" si="53"/>
        <v>23.827497793836013</v>
      </c>
      <c r="S81" s="122">
        <f t="shared" si="53"/>
        <v>22.874397882082572</v>
      </c>
      <c r="T81" s="122">
        <f t="shared" si="53"/>
        <v>21.959421966799269</v>
      </c>
      <c r="U81" s="122">
        <f t="shared" si="53"/>
        <v>21.081045088127297</v>
      </c>
      <c r="V81" s="122">
        <f t="shared" si="53"/>
        <v>20.237803284602204</v>
      </c>
      <c r="W81" s="122">
        <f t="shared" si="53"/>
        <v>19.428291153218115</v>
      </c>
      <c r="X81" s="122">
        <f t="shared" si="53"/>
        <v>18.651159507089389</v>
      </c>
      <c r="Y81" s="122">
        <f t="shared" si="53"/>
        <v>17.905113126805812</v>
      </c>
      <c r="Z81" s="122">
        <f t="shared" si="53"/>
        <v>17.18890860173358</v>
      </c>
    </row>
    <row r="82" spans="1:26" ht="18.75" x14ac:dyDescent="0.3">
      <c r="A82" s="116" t="s">
        <v>167</v>
      </c>
      <c r="B82" s="117"/>
      <c r="C82" s="118">
        <f>C75*0.7</f>
        <v>93380</v>
      </c>
      <c r="D82" s="117"/>
      <c r="E82" s="118">
        <f>E75*0.7</f>
        <v>112000</v>
      </c>
      <c r="F82" s="118"/>
      <c r="G82" s="274">
        <v>0</v>
      </c>
      <c r="H82" s="123"/>
      <c r="I82" s="211"/>
      <c r="J82" s="280"/>
      <c r="K82" s="123"/>
      <c r="L82" s="123"/>
      <c r="M82" s="123"/>
      <c r="N82" s="123"/>
      <c r="O82" s="123"/>
      <c r="P82" s="123"/>
      <c r="Q82" s="123"/>
      <c r="R82" s="123"/>
      <c r="S82" s="123"/>
      <c r="T82" s="123"/>
      <c r="U82" s="123"/>
      <c r="V82" s="123"/>
      <c r="W82" s="123"/>
      <c r="X82" s="123"/>
      <c r="Y82" s="123"/>
      <c r="Z82" s="123"/>
    </row>
    <row r="83" spans="1:26" ht="18.75" x14ac:dyDescent="0.3">
      <c r="A83" s="107" t="s">
        <v>152</v>
      </c>
      <c r="B83" s="120">
        <v>3.7818107834294019E-2</v>
      </c>
      <c r="C83" s="118">
        <f>$C$82*B83</f>
        <v>3531.4549095663756</v>
      </c>
      <c r="D83" s="120">
        <v>3.7818107834294019E-2</v>
      </c>
      <c r="E83" s="118">
        <f>$E$82*D83</f>
        <v>4235.6280774409306</v>
      </c>
      <c r="F83" s="121">
        <v>0.14305999999999999</v>
      </c>
      <c r="G83" s="273">
        <f>F83*D83*$G$82*8760/1000</f>
        <v>0</v>
      </c>
      <c r="H83" s="122">
        <f>H21</f>
        <v>69.473498635179098</v>
      </c>
      <c r="I83" s="213">
        <f>H83*G83*15*0.96</f>
        <v>0</v>
      </c>
      <c r="J83" s="279">
        <v>70.23</v>
      </c>
      <c r="K83" s="122">
        <f>J83*$B$93</f>
        <v>67.4208</v>
      </c>
      <c r="L83" s="122">
        <f t="shared" ref="K83:Z87" si="56">K83*$B$93</f>
        <v>64.723967999999999</v>
      </c>
      <c r="M83" s="122">
        <f t="shared" si="56"/>
        <v>62.135009279999998</v>
      </c>
      <c r="N83" s="122">
        <f t="shared" si="56"/>
        <v>59.649608908799998</v>
      </c>
      <c r="O83" s="122">
        <f t="shared" si="56"/>
        <v>57.263624552447993</v>
      </c>
      <c r="P83" s="122">
        <f t="shared" si="56"/>
        <v>54.973079570350073</v>
      </c>
      <c r="Q83" s="122">
        <f t="shared" si="56"/>
        <v>52.774156387536067</v>
      </c>
      <c r="R83" s="122">
        <f t="shared" si="56"/>
        <v>50.663190132034622</v>
      </c>
      <c r="S83" s="122">
        <f t="shared" si="56"/>
        <v>48.636662526753234</v>
      </c>
      <c r="T83" s="122">
        <f t="shared" si="56"/>
        <v>46.691196025683105</v>
      </c>
      <c r="U83" s="122">
        <f t="shared" si="56"/>
        <v>44.823548184655778</v>
      </c>
      <c r="V83" s="122">
        <f t="shared" si="56"/>
        <v>43.030606257269547</v>
      </c>
      <c r="W83" s="122">
        <f t="shared" si="56"/>
        <v>41.309382006978765</v>
      </c>
      <c r="X83" s="122">
        <f t="shared" si="56"/>
        <v>39.657006726699613</v>
      </c>
      <c r="Y83" s="122">
        <f t="shared" si="56"/>
        <v>38.070726457631629</v>
      </c>
      <c r="Z83" s="122">
        <f t="shared" si="56"/>
        <v>36.547897399326359</v>
      </c>
    </row>
    <row r="84" spans="1:26" ht="18.75" x14ac:dyDescent="0.3">
      <c r="A84" s="107" t="s">
        <v>147</v>
      </c>
      <c r="B84" s="120">
        <v>2.9448996157951057E-2</v>
      </c>
      <c r="C84" s="118">
        <f>$C$82*B84</f>
        <v>2749.9472612294699</v>
      </c>
      <c r="D84" s="120">
        <v>2.9448996157951057E-2</v>
      </c>
      <c r="E84" s="118">
        <f>$E$82*D84</f>
        <v>3298.2875696905185</v>
      </c>
      <c r="F84" s="121">
        <v>0.14176</v>
      </c>
      <c r="G84" s="273">
        <f t="shared" ref="G84:G86" si="57">F84*D84*$G$82*8760/1000</f>
        <v>0</v>
      </c>
      <c r="H84" s="122">
        <f>H22</f>
        <v>65.962856644973385</v>
      </c>
      <c r="I84" s="213">
        <f>H84*G84*15*0.96</f>
        <v>0</v>
      </c>
      <c r="J84" s="279">
        <v>63.34</v>
      </c>
      <c r="K84" s="122">
        <f t="shared" si="56"/>
        <v>60.806400000000004</v>
      </c>
      <c r="L84" s="122">
        <f t="shared" si="56"/>
        <v>58.374144000000001</v>
      </c>
      <c r="M84" s="122">
        <f t="shared" si="56"/>
        <v>56.039178239999998</v>
      </c>
      <c r="N84" s="122">
        <f t="shared" si="56"/>
        <v>53.797611110399998</v>
      </c>
      <c r="O84" s="122">
        <f t="shared" si="56"/>
        <v>51.645706665983994</v>
      </c>
      <c r="P84" s="122">
        <f t="shared" si="56"/>
        <v>49.579878399344629</v>
      </c>
      <c r="Q84" s="122">
        <f t="shared" si="56"/>
        <v>47.596683263370842</v>
      </c>
      <c r="R84" s="122">
        <f t="shared" si="56"/>
        <v>45.692815932836005</v>
      </c>
      <c r="S84" s="122">
        <f t="shared" si="56"/>
        <v>43.865103295522566</v>
      </c>
      <c r="T84" s="122">
        <f t="shared" si="56"/>
        <v>42.110499163701661</v>
      </c>
      <c r="U84" s="122">
        <f t="shared" si="56"/>
        <v>40.426079197153591</v>
      </c>
      <c r="V84" s="122">
        <f t="shared" si="56"/>
        <v>38.809036029267446</v>
      </c>
      <c r="W84" s="122">
        <f t="shared" si="56"/>
        <v>37.25667458809675</v>
      </c>
      <c r="X84" s="122">
        <f t="shared" si="56"/>
        <v>35.766407604572876</v>
      </c>
      <c r="Y84" s="122">
        <f t="shared" si="56"/>
        <v>34.335751300389958</v>
      </c>
      <c r="Z84" s="122">
        <f t="shared" si="56"/>
        <v>32.962321248374359</v>
      </c>
    </row>
    <row r="85" spans="1:26" ht="18.75" x14ac:dyDescent="0.3">
      <c r="A85" s="107" t="s">
        <v>148</v>
      </c>
      <c r="B85" s="120">
        <v>0.1091491177452943</v>
      </c>
      <c r="C85" s="118">
        <f>$C$82*B85</f>
        <v>10192.344615055583</v>
      </c>
      <c r="D85" s="120">
        <v>0.1091491177452943</v>
      </c>
      <c r="E85" s="118">
        <f>$E$82*D85</f>
        <v>12224.701187472961</v>
      </c>
      <c r="F85" s="121">
        <v>0.14119000000000001</v>
      </c>
      <c r="G85" s="273">
        <f t="shared" si="57"/>
        <v>0</v>
      </c>
      <c r="H85" s="122">
        <f>H23</f>
        <v>58.357776139219837</v>
      </c>
      <c r="I85" s="213">
        <f>H85*G85*15*0.96</f>
        <v>0</v>
      </c>
      <c r="J85" s="279">
        <v>54.6</v>
      </c>
      <c r="K85" s="122">
        <f t="shared" si="56"/>
        <v>52.415999999999997</v>
      </c>
      <c r="L85" s="122">
        <f t="shared" si="56"/>
        <v>50.319359999999996</v>
      </c>
      <c r="M85" s="122">
        <f t="shared" si="56"/>
        <v>48.306585599999991</v>
      </c>
      <c r="N85" s="122">
        <f t="shared" si="56"/>
        <v>46.374322175999993</v>
      </c>
      <c r="O85" s="122">
        <f t="shared" si="56"/>
        <v>44.519349288959994</v>
      </c>
      <c r="P85" s="122">
        <f t="shared" si="56"/>
        <v>42.73857531740159</v>
      </c>
      <c r="Q85" s="122">
        <f t="shared" si="56"/>
        <v>41.029032304705524</v>
      </c>
      <c r="R85" s="122">
        <f t="shared" si="56"/>
        <v>39.387871012517301</v>
      </c>
      <c r="S85" s="122">
        <f t="shared" si="56"/>
        <v>37.812356172016607</v>
      </c>
      <c r="T85" s="122">
        <f t="shared" si="56"/>
        <v>36.299861925135943</v>
      </c>
      <c r="U85" s="122">
        <f t="shared" si="56"/>
        <v>34.847867448130501</v>
      </c>
      <c r="V85" s="122">
        <f t="shared" si="56"/>
        <v>33.453952750205282</v>
      </c>
      <c r="W85" s="122">
        <f t="shared" si="56"/>
        <v>32.115794640197066</v>
      </c>
      <c r="X85" s="122">
        <f t="shared" si="56"/>
        <v>30.831162854589181</v>
      </c>
      <c r="Y85" s="122">
        <f t="shared" si="56"/>
        <v>29.597916340405611</v>
      </c>
      <c r="Z85" s="122">
        <f t="shared" si="56"/>
        <v>28.413999686789385</v>
      </c>
    </row>
    <row r="86" spans="1:26" ht="18.75" x14ac:dyDescent="0.3">
      <c r="A86" s="107" t="s">
        <v>149</v>
      </c>
      <c r="B86" s="120">
        <v>0.82358343106844789</v>
      </c>
      <c r="C86" s="118">
        <f>$C$82*B86</f>
        <v>76906.220793171669</v>
      </c>
      <c r="D86" s="120">
        <v>0.82358343106844789</v>
      </c>
      <c r="E86" s="118">
        <f>$E$82*D86</f>
        <v>92241.344279666169</v>
      </c>
      <c r="F86" s="121">
        <v>0.1497</v>
      </c>
      <c r="G86" s="273">
        <f t="shared" si="57"/>
        <v>0</v>
      </c>
      <c r="H86" s="122">
        <f>H24</f>
        <v>52.055130885781359</v>
      </c>
      <c r="I86" s="213">
        <f>H86*G86*15*0.96</f>
        <v>0</v>
      </c>
      <c r="J86" s="279">
        <v>49.49</v>
      </c>
      <c r="K86" s="122">
        <f t="shared" si="56"/>
        <v>47.510399999999997</v>
      </c>
      <c r="L86" s="122">
        <f t="shared" si="56"/>
        <v>45.609983999999997</v>
      </c>
      <c r="M86" s="122">
        <f t="shared" si="56"/>
        <v>43.785584639999996</v>
      </c>
      <c r="N86" s="122">
        <f t="shared" si="56"/>
        <v>42.034161254399997</v>
      </c>
      <c r="O86" s="122">
        <f t="shared" si="56"/>
        <v>40.352794804223997</v>
      </c>
      <c r="P86" s="122">
        <f t="shared" si="56"/>
        <v>38.738683012055034</v>
      </c>
      <c r="Q86" s="122">
        <f t="shared" si="56"/>
        <v>37.18913569157283</v>
      </c>
      <c r="R86" s="122">
        <f t="shared" si="56"/>
        <v>35.701570263909915</v>
      </c>
      <c r="S86" s="122">
        <f t="shared" si="56"/>
        <v>34.273507453353517</v>
      </c>
      <c r="T86" s="122">
        <f t="shared" si="56"/>
        <v>32.902567155219373</v>
      </c>
      <c r="U86" s="122">
        <f t="shared" si="56"/>
        <v>31.586464469010597</v>
      </c>
      <c r="V86" s="122">
        <f t="shared" si="56"/>
        <v>30.323005890250172</v>
      </c>
      <c r="W86" s="122">
        <f t="shared" si="56"/>
        <v>29.110085654640166</v>
      </c>
      <c r="X86" s="122">
        <f t="shared" si="56"/>
        <v>27.945682228454558</v>
      </c>
      <c r="Y86" s="122">
        <f t="shared" si="56"/>
        <v>26.827854939316374</v>
      </c>
      <c r="Z86" s="122">
        <f t="shared" si="56"/>
        <v>25.754740741743717</v>
      </c>
    </row>
    <row r="87" spans="1:26" ht="18.75" x14ac:dyDescent="0.3">
      <c r="A87" s="107" t="s">
        <v>150</v>
      </c>
      <c r="B87" s="120">
        <v>0</v>
      </c>
      <c r="C87" s="118">
        <f>$C$82*B87</f>
        <v>0</v>
      </c>
      <c r="D87" s="120">
        <v>0</v>
      </c>
      <c r="E87" s="118">
        <f>$E$82*D87</f>
        <v>0</v>
      </c>
      <c r="F87" s="121">
        <v>0.15</v>
      </c>
      <c r="G87" s="273">
        <f>F87*E87*8760/1000</f>
        <v>0</v>
      </c>
      <c r="H87" s="122">
        <f>H25</f>
        <v>39.558961261811675</v>
      </c>
      <c r="I87" s="213">
        <f>H87*G87*15*0.96</f>
        <v>0</v>
      </c>
      <c r="J87" s="279">
        <v>37.049999999999997</v>
      </c>
      <c r="K87" s="122">
        <f t="shared" si="56"/>
        <v>35.567999999999998</v>
      </c>
      <c r="L87" s="122">
        <f t="shared" si="56"/>
        <v>34.14528</v>
      </c>
      <c r="M87" s="122">
        <f t="shared" si="56"/>
        <v>32.779468799999997</v>
      </c>
      <c r="N87" s="122">
        <f t="shared" si="56"/>
        <v>31.468290047999997</v>
      </c>
      <c r="O87" s="122">
        <f t="shared" si="56"/>
        <v>30.209558446079996</v>
      </c>
      <c r="P87" s="122">
        <f t="shared" si="56"/>
        <v>29.001176108236795</v>
      </c>
      <c r="Q87" s="122">
        <f t="shared" si="56"/>
        <v>27.841129063907321</v>
      </c>
      <c r="R87" s="122">
        <f t="shared" si="56"/>
        <v>26.727483901351025</v>
      </c>
      <c r="S87" s="122">
        <f t="shared" si="56"/>
        <v>25.658384545296983</v>
      </c>
      <c r="T87" s="122">
        <f t="shared" si="56"/>
        <v>24.632049163485103</v>
      </c>
      <c r="U87" s="122">
        <f t="shared" si="56"/>
        <v>23.646767196945699</v>
      </c>
      <c r="V87" s="122">
        <f t="shared" si="56"/>
        <v>22.700896509067871</v>
      </c>
      <c r="W87" s="122">
        <f t="shared" si="56"/>
        <v>21.792860648705155</v>
      </c>
      <c r="X87" s="122">
        <f t="shared" si="56"/>
        <v>20.921146222756949</v>
      </c>
      <c r="Y87" s="122">
        <f t="shared" si="56"/>
        <v>20.08430037384667</v>
      </c>
      <c r="Z87" s="122">
        <f t="shared" si="56"/>
        <v>19.280928358892801</v>
      </c>
    </row>
    <row r="88" spans="1:26" ht="18.75" x14ac:dyDescent="0.3">
      <c r="A88" s="106"/>
      <c r="B88" s="106"/>
      <c r="C88" s="106"/>
      <c r="D88" s="106"/>
      <c r="E88" s="106"/>
      <c r="F88" s="106"/>
      <c r="G88" s="268"/>
      <c r="H88" s="106"/>
      <c r="I88" s="209" t="s">
        <v>168</v>
      </c>
      <c r="J88" s="281"/>
      <c r="K88" s="106"/>
      <c r="L88" s="106"/>
      <c r="M88" s="106"/>
      <c r="N88" s="106"/>
      <c r="O88" s="106"/>
      <c r="P88" s="106"/>
    </row>
    <row r="89" spans="1:26" ht="18.75" x14ac:dyDescent="0.3">
      <c r="A89" s="106"/>
      <c r="B89" s="106"/>
      <c r="C89" s="106"/>
      <c r="D89" s="106"/>
      <c r="E89" s="106"/>
      <c r="F89" s="106"/>
      <c r="G89" s="268"/>
      <c r="H89" s="128"/>
      <c r="I89" s="209"/>
      <c r="J89" s="133"/>
      <c r="K89" s="128"/>
      <c r="L89" s="128"/>
      <c r="M89" s="128"/>
      <c r="N89" s="128"/>
      <c r="O89" s="128"/>
      <c r="P89" s="128"/>
      <c r="Q89" s="128"/>
      <c r="R89" s="128"/>
      <c r="S89" s="128"/>
      <c r="T89" s="128"/>
      <c r="U89" s="128"/>
      <c r="V89" s="128"/>
      <c r="W89" s="128"/>
      <c r="X89" s="128"/>
      <c r="Y89" s="128"/>
      <c r="Z89" s="128"/>
    </row>
    <row r="90" spans="1:26" ht="18.75" x14ac:dyDescent="0.3">
      <c r="A90" s="106"/>
      <c r="B90" s="106"/>
      <c r="C90" s="106"/>
      <c r="D90" s="106"/>
      <c r="E90" s="106"/>
      <c r="F90" s="106"/>
      <c r="G90" s="268"/>
      <c r="H90" s="128"/>
      <c r="I90" s="209"/>
      <c r="J90" s="133"/>
      <c r="K90" s="128"/>
      <c r="L90" s="128"/>
      <c r="M90" s="128"/>
      <c r="N90" s="128"/>
      <c r="O90" s="128"/>
      <c r="P90" s="128"/>
      <c r="Q90" s="128"/>
      <c r="R90" s="128"/>
      <c r="S90" s="128"/>
      <c r="T90" s="128"/>
      <c r="U90" s="128"/>
      <c r="V90" s="128"/>
      <c r="W90" s="128"/>
      <c r="X90" s="128"/>
      <c r="Y90" s="128"/>
      <c r="Z90" s="128"/>
    </row>
    <row r="91" spans="1:26" ht="18.75" x14ac:dyDescent="0.3">
      <c r="A91" s="106"/>
      <c r="B91" s="106"/>
      <c r="C91" s="106"/>
      <c r="D91" s="106"/>
      <c r="E91" s="106"/>
      <c r="F91" s="106"/>
      <c r="G91" s="268"/>
      <c r="H91" s="106"/>
      <c r="I91" s="209"/>
      <c r="J91" s="129"/>
      <c r="K91" s="106"/>
      <c r="L91" s="106"/>
      <c r="M91" s="106"/>
      <c r="N91" s="106"/>
      <c r="O91" s="106"/>
      <c r="P91" s="106"/>
    </row>
    <row r="92" spans="1:26" ht="37.5" x14ac:dyDescent="0.3">
      <c r="A92" s="2" t="s">
        <v>169</v>
      </c>
      <c r="B92" s="2" t="s">
        <v>170</v>
      </c>
      <c r="C92" s="106"/>
      <c r="D92" s="126" t="s">
        <v>87</v>
      </c>
      <c r="E92" s="106"/>
      <c r="F92" s="106"/>
      <c r="G92" s="268"/>
      <c r="H92" s="106"/>
      <c r="I92" s="209"/>
      <c r="J92" s="129"/>
      <c r="K92" s="106"/>
      <c r="L92" s="106"/>
      <c r="M92" s="106"/>
      <c r="N92" s="106"/>
      <c r="O92" s="106"/>
      <c r="P92" s="106"/>
    </row>
    <row r="93" spans="1:26" ht="18.75" x14ac:dyDescent="0.3">
      <c r="A93" s="107">
        <v>2023</v>
      </c>
      <c r="B93" s="107">
        <v>0.96</v>
      </c>
      <c r="C93" s="106"/>
      <c r="D93" s="107">
        <v>0.995</v>
      </c>
      <c r="E93" s="106"/>
      <c r="F93" s="106"/>
      <c r="G93" s="268"/>
      <c r="H93" s="106"/>
      <c r="I93" s="209"/>
      <c r="J93" s="129"/>
      <c r="K93" s="106"/>
      <c r="L93" s="106"/>
      <c r="M93" s="106"/>
      <c r="N93" s="106"/>
      <c r="O93" s="106"/>
      <c r="P93" s="106"/>
    </row>
    <row r="96" spans="1:26" x14ac:dyDescent="0.25">
      <c r="I96" s="216"/>
      <c r="J96"/>
    </row>
    <row r="97" spans="9:10" x14ac:dyDescent="0.25">
      <c r="I97" s="216"/>
      <c r="J97"/>
    </row>
    <row r="98" spans="9:10" x14ac:dyDescent="0.25">
      <c r="I98" s="216"/>
      <c r="J98"/>
    </row>
    <row r="99" spans="9:10" x14ac:dyDescent="0.25">
      <c r="I99" s="216"/>
      <c r="J99"/>
    </row>
    <row r="100" spans="9:10" x14ac:dyDescent="0.25">
      <c r="I100" s="216"/>
      <c r="J100"/>
    </row>
    <row r="101" spans="9:10" x14ac:dyDescent="0.25">
      <c r="I101" s="216"/>
      <c r="J101"/>
    </row>
    <row r="102" spans="9:10" x14ac:dyDescent="0.25">
      <c r="I102" s="216"/>
      <c r="J102"/>
    </row>
    <row r="103" spans="9:10" x14ac:dyDescent="0.25">
      <c r="I103" s="216"/>
      <c r="J103"/>
    </row>
  </sheetData>
  <printOptions horizontalCentered="1" verticalCentered="1"/>
  <pageMargins left="0.25" right="0.25" top="0.75" bottom="0.75" header="0.3" footer="0.3"/>
  <pageSetup scale="49" fitToHeight="2" orientation="landscape" r:id="rId1"/>
  <headerFooter>
    <oddHeader>&amp;A</oddHeader>
  </headerFooter>
  <rowBreaks count="1" manualBreakCount="1">
    <brk id="57" max="16383" man="1"/>
  </rowBreaks>
  <customProperties>
    <customPr name="GUID" r:id="rId2"/>
  </customProperties>
  <ignoredErrors>
    <ignoredError sqref="I67 I77:I81 I83:I87"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2F2CA-7C17-4904-A133-2C85BDF3CD36}">
  <sheetPr>
    <tabColor theme="7" tint="0.59999389629810485"/>
    <pageSetUpPr fitToPage="1"/>
  </sheetPr>
  <dimension ref="B3:X123"/>
  <sheetViews>
    <sheetView zoomScaleNormal="100" workbookViewId="0">
      <selection activeCell="M3" sqref="M3"/>
    </sheetView>
  </sheetViews>
  <sheetFormatPr defaultColWidth="9.140625" defaultRowHeight="15" x14ac:dyDescent="0.25"/>
  <cols>
    <col min="1" max="1" width="15.42578125" customWidth="1"/>
    <col min="2" max="2" width="45.140625" bestFit="1" customWidth="1"/>
    <col min="3" max="3" width="11.42578125" bestFit="1" customWidth="1"/>
    <col min="4" max="4" width="9.42578125" bestFit="1" customWidth="1"/>
    <col min="5" max="5" width="17.42578125" bestFit="1" customWidth="1"/>
    <col min="6" max="11" width="16.42578125" bestFit="1" customWidth="1"/>
    <col min="12" max="13" width="15.5703125" bestFit="1" customWidth="1"/>
    <col min="14" max="21" width="16.42578125" bestFit="1" customWidth="1"/>
    <col min="22" max="23" width="15.5703125" bestFit="1" customWidth="1"/>
    <col min="24" max="24" width="16.42578125" bestFit="1" customWidth="1"/>
  </cols>
  <sheetData>
    <row r="3" spans="2:24" x14ac:dyDescent="0.25">
      <c r="B3" s="148" t="s">
        <v>171</v>
      </c>
      <c r="C3" s="31"/>
    </row>
    <row r="4" spans="2:24" ht="15.75" x14ac:dyDescent="0.25">
      <c r="B4" s="219"/>
      <c r="C4" s="219"/>
      <c r="D4" s="219"/>
      <c r="E4" s="219"/>
      <c r="F4" s="218" t="s">
        <v>23</v>
      </c>
      <c r="G4" s="218" t="s">
        <v>24</v>
      </c>
      <c r="H4" s="218" t="s">
        <v>25</v>
      </c>
      <c r="I4" s="218" t="s">
        <v>26</v>
      </c>
      <c r="J4" s="218" t="s">
        <v>27</v>
      </c>
      <c r="K4" s="218" t="s">
        <v>28</v>
      </c>
      <c r="L4" s="218" t="s">
        <v>29</v>
      </c>
      <c r="M4" s="218" t="s">
        <v>30</v>
      </c>
      <c r="N4" s="218" t="s">
        <v>31</v>
      </c>
      <c r="O4" s="218" t="s">
        <v>32</v>
      </c>
      <c r="P4" s="218" t="s">
        <v>33</v>
      </c>
      <c r="Q4" s="218" t="s">
        <v>34</v>
      </c>
      <c r="R4" s="218" t="s">
        <v>35</v>
      </c>
      <c r="S4" s="218" t="s">
        <v>36</v>
      </c>
      <c r="T4" s="218" t="s">
        <v>37</v>
      </c>
      <c r="U4" s="218" t="s">
        <v>38</v>
      </c>
      <c r="V4" s="218" t="s">
        <v>39</v>
      </c>
      <c r="W4" s="218" t="s">
        <v>40</v>
      </c>
      <c r="X4" s="218" t="s">
        <v>172</v>
      </c>
    </row>
    <row r="5" spans="2:24" ht="15.75" x14ac:dyDescent="0.25">
      <c r="B5" s="179"/>
      <c r="C5" s="218" t="s">
        <v>173</v>
      </c>
      <c r="D5" s="218" t="s">
        <v>174</v>
      </c>
      <c r="E5" s="218" t="s">
        <v>175</v>
      </c>
      <c r="F5" s="218">
        <v>2025</v>
      </c>
      <c r="G5" s="218">
        <f t="shared" ref="G5:X5" si="0">F5+1</f>
        <v>2026</v>
      </c>
      <c r="H5" s="218">
        <f t="shared" si="0"/>
        <v>2027</v>
      </c>
      <c r="I5" s="218">
        <f t="shared" si="0"/>
        <v>2028</v>
      </c>
      <c r="J5" s="218">
        <f t="shared" si="0"/>
        <v>2029</v>
      </c>
      <c r="K5" s="218">
        <f t="shared" si="0"/>
        <v>2030</v>
      </c>
      <c r="L5" s="218">
        <f t="shared" si="0"/>
        <v>2031</v>
      </c>
      <c r="M5" s="218">
        <f t="shared" si="0"/>
        <v>2032</v>
      </c>
      <c r="N5" s="218">
        <f t="shared" si="0"/>
        <v>2033</v>
      </c>
      <c r="O5" s="218">
        <f t="shared" si="0"/>
        <v>2034</v>
      </c>
      <c r="P5" s="218">
        <f t="shared" si="0"/>
        <v>2035</v>
      </c>
      <c r="Q5" s="218">
        <f t="shared" si="0"/>
        <v>2036</v>
      </c>
      <c r="R5" s="218">
        <f t="shared" si="0"/>
        <v>2037</v>
      </c>
      <c r="S5" s="218">
        <f t="shared" si="0"/>
        <v>2038</v>
      </c>
      <c r="T5" s="218">
        <f t="shared" si="0"/>
        <v>2039</v>
      </c>
      <c r="U5" s="218">
        <f t="shared" si="0"/>
        <v>2040</v>
      </c>
      <c r="V5" s="218">
        <f t="shared" si="0"/>
        <v>2041</v>
      </c>
      <c r="W5" s="218">
        <f t="shared" si="0"/>
        <v>2042</v>
      </c>
      <c r="X5" s="218">
        <f t="shared" si="0"/>
        <v>2043</v>
      </c>
    </row>
    <row r="6" spans="2:24" x14ac:dyDescent="0.25">
      <c r="B6" s="162" t="s">
        <v>176</v>
      </c>
      <c r="C6" s="147"/>
      <c r="D6" s="100"/>
      <c r="E6" s="147">
        <f>SUM(E9:E62)</f>
        <v>14372308.445732476</v>
      </c>
      <c r="F6" s="153"/>
      <c r="G6" s="153"/>
      <c r="H6" s="153"/>
      <c r="I6" s="153"/>
      <c r="J6" s="153"/>
      <c r="K6" s="153"/>
      <c r="L6" s="153"/>
      <c r="M6" s="153"/>
      <c r="N6" s="153"/>
      <c r="O6" s="153"/>
      <c r="P6" s="153"/>
      <c r="Q6" s="153"/>
      <c r="R6" s="153"/>
      <c r="S6" s="153"/>
      <c r="T6" s="153"/>
      <c r="U6" s="153"/>
      <c r="V6" s="153"/>
      <c r="W6" s="153"/>
      <c r="X6" s="153"/>
    </row>
    <row r="7" spans="2:24" x14ac:dyDescent="0.25">
      <c r="B7" s="161" t="s">
        <v>137</v>
      </c>
      <c r="C7" s="160">
        <f>C9+C16+C29+C32+C47+C50</f>
        <v>667000</v>
      </c>
      <c r="D7" s="100"/>
      <c r="E7" s="147">
        <f>SUM(F7:X7)</f>
        <v>14372308.445732472</v>
      </c>
      <c r="F7" s="153">
        <f>F11+F12+F14+F15+F18+F19+F20+F21+F24+F25+F26+F27+F30+F31+F34+F35+F36+F37+F38+F41+F42+F43+F44+F45+F40+F48+F49+F52+F53+F54+F55+F58+F59+F60+F61</f>
        <v>602273.92248011334</v>
      </c>
      <c r="G7" s="153">
        <f>G11+G12+G14+G15+G18+G19+G20+G21+G24+G25+G26+G27+G30+G31+G34+G35+G36+G37+G38+G41+G42+G43+G44+G45+G40+G48+G49+G52+G53+G54+G55+G58+G59+G60+G61</f>
        <v>905499.92303171277</v>
      </c>
      <c r="H7" s="153">
        <f t="shared" ref="H7:X7" si="1">H11+H12+H14+H15+H18+H19+H20+H21+H24+H25+H26+H27+H30+H31+H34+H35+H36+H37+H38+H41+H42+H43+H44+H45+H40+H48+H49+H52+H53+H54+H55+H58+H59+H60+H61</f>
        <v>900972.42341655423</v>
      </c>
      <c r="I7" s="153">
        <f t="shared" si="1"/>
        <v>896467.56129947142</v>
      </c>
      <c r="J7" s="153">
        <f t="shared" si="1"/>
        <v>891985.22349297418</v>
      </c>
      <c r="K7" s="153">
        <f t="shared" si="1"/>
        <v>887525.29737550905</v>
      </c>
      <c r="L7" s="153">
        <f t="shared" si="1"/>
        <v>883087.67088863149</v>
      </c>
      <c r="M7" s="153">
        <f t="shared" si="1"/>
        <v>878672.23253418843</v>
      </c>
      <c r="N7" s="153">
        <f t="shared" si="1"/>
        <v>874278.87137151742</v>
      </c>
      <c r="O7" s="153">
        <f t="shared" si="1"/>
        <v>869907.47701465979</v>
      </c>
      <c r="P7" s="153">
        <f t="shared" si="1"/>
        <v>865557.93962958688</v>
      </c>
      <c r="Q7" s="153">
        <f t="shared" si="1"/>
        <v>861230.14993143862</v>
      </c>
      <c r="R7" s="153">
        <f t="shared" si="1"/>
        <v>856923.99918178155</v>
      </c>
      <c r="S7" s="153">
        <f t="shared" si="1"/>
        <v>852639.37918587239</v>
      </c>
      <c r="T7" s="153">
        <f t="shared" si="1"/>
        <v>848376.1822899431</v>
      </c>
      <c r="U7" s="153">
        <f t="shared" si="1"/>
        <v>404604.07633604377</v>
      </c>
      <c r="V7" s="153">
        <f t="shared" si="1"/>
        <v>365928.63251479471</v>
      </c>
      <c r="W7" s="153">
        <f t="shared" si="1"/>
        <v>364098.98935222079</v>
      </c>
      <c r="X7" s="153">
        <f t="shared" si="1"/>
        <v>362278.49440545967</v>
      </c>
    </row>
    <row r="8" spans="2:24" x14ac:dyDescent="0.25">
      <c r="B8" s="161" t="s">
        <v>137</v>
      </c>
      <c r="C8" s="160">
        <f>C10+C13+C17+C23+C30+C31+C33+C40+C48+C49+C51+C57</f>
        <v>667000</v>
      </c>
      <c r="D8" s="100"/>
      <c r="E8" s="147">
        <f>SUM(E9:E61)</f>
        <v>14372308.445732476</v>
      </c>
      <c r="F8" s="153">
        <f>F9+F16+F29+F32+F47+F50</f>
        <v>602273.92248011334</v>
      </c>
      <c r="G8" s="153"/>
      <c r="H8" s="153"/>
      <c r="I8" s="153"/>
      <c r="J8" s="153"/>
      <c r="K8" s="153"/>
      <c r="L8" s="153"/>
      <c r="M8" s="153"/>
      <c r="N8" s="153"/>
      <c r="O8" s="153"/>
      <c r="P8" s="153"/>
      <c r="Q8" s="153"/>
      <c r="R8" s="153"/>
      <c r="S8" s="153"/>
      <c r="T8" s="153"/>
      <c r="U8" s="159"/>
      <c r="V8" s="159"/>
      <c r="W8" s="159"/>
      <c r="X8" s="159"/>
    </row>
    <row r="9" spans="2:24" x14ac:dyDescent="0.25">
      <c r="B9" s="14" t="s">
        <v>138</v>
      </c>
      <c r="C9" s="79">
        <f>'ABP Future Assumptions'!C6</f>
        <v>120060</v>
      </c>
      <c r="D9" s="79"/>
      <c r="E9" s="155"/>
      <c r="F9" s="79">
        <f>SUM(F10:F15)</f>
        <v>145906.86007555202</v>
      </c>
      <c r="G9" s="79">
        <f t="shared" ref="G9:X9" si="2">SUM(G10:G15)</f>
        <v>145177.32577517425</v>
      </c>
      <c r="H9" s="79">
        <f>SUM(H10:H15)</f>
        <v>144451.43914629839</v>
      </c>
      <c r="I9" s="79">
        <f t="shared" si="2"/>
        <v>143729.18195056688</v>
      </c>
      <c r="J9" s="79">
        <f t="shared" si="2"/>
        <v>143010.53604081407</v>
      </c>
      <c r="K9" s="79">
        <f t="shared" si="2"/>
        <v>142295.48336060997</v>
      </c>
      <c r="L9" s="79">
        <f t="shared" si="2"/>
        <v>141584.00594380693</v>
      </c>
      <c r="M9" s="79">
        <f t="shared" si="2"/>
        <v>140876.08591408789</v>
      </c>
      <c r="N9" s="79">
        <f t="shared" si="2"/>
        <v>140171.70548451744</v>
      </c>
      <c r="O9" s="79">
        <f t="shared" si="2"/>
        <v>139470.84695709485</v>
      </c>
      <c r="P9" s="79">
        <f t="shared" si="2"/>
        <v>138773.49272230937</v>
      </c>
      <c r="Q9" s="79">
        <f t="shared" si="2"/>
        <v>138079.62525869784</v>
      </c>
      <c r="R9" s="79">
        <f t="shared" si="2"/>
        <v>137389.22713240434</v>
      </c>
      <c r="S9" s="79">
        <f t="shared" si="2"/>
        <v>136702.28099674231</v>
      </c>
      <c r="T9" s="79">
        <f t="shared" si="2"/>
        <v>136018.76959175861</v>
      </c>
      <c r="U9" s="79">
        <f t="shared" si="2"/>
        <v>0</v>
      </c>
      <c r="V9" s="79">
        <f t="shared" si="2"/>
        <v>0</v>
      </c>
      <c r="W9" s="79">
        <f t="shared" si="2"/>
        <v>0</v>
      </c>
      <c r="X9" s="79">
        <f t="shared" si="2"/>
        <v>0</v>
      </c>
    </row>
    <row r="10" spans="2:24" x14ac:dyDescent="0.25">
      <c r="B10" s="179" t="s">
        <v>139</v>
      </c>
      <c r="C10" s="174">
        <f>'ABP Future Assumptions'!C7</f>
        <v>36018</v>
      </c>
      <c r="D10" s="174"/>
      <c r="E10" s="154"/>
      <c r="F10" s="153"/>
      <c r="G10" s="153"/>
      <c r="H10" s="153"/>
      <c r="I10" s="153"/>
      <c r="J10" s="153"/>
      <c r="K10" s="153"/>
      <c r="L10" s="153"/>
      <c r="M10" s="153"/>
      <c r="N10" s="153"/>
      <c r="O10" s="153"/>
      <c r="P10" s="153"/>
      <c r="Q10" s="153"/>
      <c r="R10" s="153"/>
      <c r="S10" s="153"/>
      <c r="T10" s="153"/>
      <c r="U10" s="179"/>
      <c r="V10" s="179"/>
      <c r="W10" s="179"/>
      <c r="X10" s="179"/>
    </row>
    <row r="11" spans="2:24" x14ac:dyDescent="0.25">
      <c r="B11" s="219" t="s">
        <v>140</v>
      </c>
      <c r="C11" s="79">
        <f>'ABP Future Assumptions'!C8</f>
        <v>13686.84</v>
      </c>
      <c r="D11" s="151">
        <f>'ABP Future Assumptions'!F8</f>
        <v>0.14884</v>
      </c>
      <c r="E11" s="155">
        <f>SUM(F11:X11)</f>
        <v>258512.54410614632</v>
      </c>
      <c r="F11" s="13">
        <f>(C11*D11*8760)/1000</f>
        <v>17845.427566656002</v>
      </c>
      <c r="G11" s="13">
        <f>F11*'ABP Future Assumptions'!$D$93</f>
        <v>17756.200428822722</v>
      </c>
      <c r="H11" s="13">
        <f>G11*'ABP Future Assumptions'!$D$93</f>
        <v>17667.419426678607</v>
      </c>
      <c r="I11" s="13">
        <f>H11*'ABP Future Assumptions'!$D$93</f>
        <v>17579.082329545214</v>
      </c>
      <c r="J11" s="13">
        <f>I11*'ABP Future Assumptions'!$D$93</f>
        <v>17491.186917897488</v>
      </c>
      <c r="K11" s="13">
        <f>J11*'ABP Future Assumptions'!$D$93</f>
        <v>17403.730983308</v>
      </c>
      <c r="L11" s="13">
        <f>K11*'ABP Future Assumptions'!$D$93</f>
        <v>17316.712328391459</v>
      </c>
      <c r="M11" s="13">
        <f>L11*'ABP Future Assumptions'!$D$93</f>
        <v>17230.128766749502</v>
      </c>
      <c r="N11" s="13">
        <f>M11*'ABP Future Assumptions'!$D$93</f>
        <v>17143.978122915752</v>
      </c>
      <c r="O11" s="13">
        <f>N11*'ABP Future Assumptions'!$D$93</f>
        <v>17058.258232301174</v>
      </c>
      <c r="P11" s="13">
        <f>O11*'ABP Future Assumptions'!$D$93</f>
        <v>16972.966941139668</v>
      </c>
      <c r="Q11" s="13">
        <f>P11*'ABP Future Assumptions'!$D$93</f>
        <v>16888.102106433969</v>
      </c>
      <c r="R11" s="13">
        <f>Q11*'ABP Future Assumptions'!$D$93</f>
        <v>16803.661595901798</v>
      </c>
      <c r="S11" s="13">
        <f>R11*'ABP Future Assumptions'!$D$93</f>
        <v>16719.643287922288</v>
      </c>
      <c r="T11" s="13">
        <f>S11*'ABP Future Assumptions'!$D$93</f>
        <v>16636.045071482677</v>
      </c>
      <c r="U11" s="149"/>
      <c r="V11" s="149"/>
      <c r="W11" s="149"/>
      <c r="X11" s="149"/>
    </row>
    <row r="12" spans="2:24" x14ac:dyDescent="0.25">
      <c r="B12" s="219" t="s">
        <v>141</v>
      </c>
      <c r="C12" s="79">
        <f>'ABP Future Assumptions'!C9</f>
        <v>22331.16</v>
      </c>
      <c r="D12" s="151">
        <f>'ABP Future Assumptions'!F9</f>
        <v>0.15130000000000002</v>
      </c>
      <c r="E12" s="155">
        <f>SUM(F12:X12)</f>
        <v>428754.78635520238</v>
      </c>
      <c r="F12" s="13">
        <f>(C12*D12*8760)/1000</f>
        <v>29597.451490080002</v>
      </c>
      <c r="G12" s="13">
        <f>F12*'ABP Future Assumptions'!$D$93</f>
        <v>29449.464232629602</v>
      </c>
      <c r="H12" s="13">
        <f>G12*'ABP Future Assumptions'!$D$93</f>
        <v>29302.216911466454</v>
      </c>
      <c r="I12" s="13">
        <f>H12*'ABP Future Assumptions'!$D$93</f>
        <v>29155.705826909121</v>
      </c>
      <c r="J12" s="13">
        <f>I12*'ABP Future Assumptions'!$D$93</f>
        <v>29009.927297774575</v>
      </c>
      <c r="K12" s="13">
        <f>J12*'ABP Future Assumptions'!$D$93</f>
        <v>28864.877661285704</v>
      </c>
      <c r="L12" s="13">
        <f>K12*'ABP Future Assumptions'!$D$93</f>
        <v>28720.553272979276</v>
      </c>
      <c r="M12" s="13">
        <f>L12*'ABP Future Assumptions'!$D$93</f>
        <v>28576.950506614379</v>
      </c>
      <c r="N12" s="13">
        <f>M12*'ABP Future Assumptions'!$D$93</f>
        <v>28434.065754081308</v>
      </c>
      <c r="O12" s="13">
        <f>N12*'ABP Future Assumptions'!$D$93</f>
        <v>28291.8954253109</v>
      </c>
      <c r="P12" s="13">
        <f>O12*'ABP Future Assumptions'!$D$93</f>
        <v>28150.435948184346</v>
      </c>
      <c r="Q12" s="13">
        <f>P12*'ABP Future Assumptions'!$D$93</f>
        <v>28009.683768443425</v>
      </c>
      <c r="R12" s="13">
        <f>Q12*'ABP Future Assumptions'!$D$93</f>
        <v>27869.635349601209</v>
      </c>
      <c r="S12" s="13">
        <f>R12*'ABP Future Assumptions'!$D$93</f>
        <v>27730.287172853201</v>
      </c>
      <c r="T12" s="13">
        <f>S12*'ABP Future Assumptions'!$D$93</f>
        <v>27591.635736988934</v>
      </c>
      <c r="U12" s="149"/>
      <c r="V12" s="149"/>
      <c r="W12" s="149"/>
      <c r="X12" s="149"/>
    </row>
    <row r="13" spans="2:24" x14ac:dyDescent="0.25">
      <c r="B13" s="179" t="s">
        <v>142</v>
      </c>
      <c r="C13" s="174">
        <f>'ABP Future Assumptions'!C10</f>
        <v>84042</v>
      </c>
      <c r="D13" s="151"/>
      <c r="E13" s="154"/>
      <c r="F13" s="153"/>
      <c r="G13" s="13"/>
      <c r="H13" s="153"/>
      <c r="I13" s="153"/>
      <c r="J13" s="153"/>
      <c r="K13" s="153"/>
      <c r="L13" s="153"/>
      <c r="M13" s="153"/>
      <c r="N13" s="153"/>
      <c r="O13" s="153"/>
      <c r="P13" s="153"/>
      <c r="Q13" s="153"/>
      <c r="R13" s="153"/>
      <c r="S13" s="153"/>
      <c r="T13" s="153"/>
      <c r="U13" s="179"/>
      <c r="V13" s="179"/>
      <c r="W13" s="179"/>
      <c r="X13" s="179"/>
    </row>
    <row r="14" spans="2:24" x14ac:dyDescent="0.25">
      <c r="B14" s="219" t="s">
        <v>143</v>
      </c>
      <c r="C14" s="79">
        <f>'ABP Future Assumptions'!C11</f>
        <v>31935.96</v>
      </c>
      <c r="D14" s="151">
        <f>'ABP Future Assumptions'!F11</f>
        <v>0.13464999999999999</v>
      </c>
      <c r="E14" s="155">
        <f>SUM(F14:X14)</f>
        <v>545688.87943932682</v>
      </c>
      <c r="F14" s="13">
        <f>(C14*D14*8760)/1000</f>
        <v>37669.550642640002</v>
      </c>
      <c r="G14" s="13">
        <f>F14*'ABP Future Assumptions'!$D$93</f>
        <v>37481.202889426801</v>
      </c>
      <c r="H14" s="13">
        <f>G14*'ABP Future Assumptions'!$D$93</f>
        <v>37293.796874979664</v>
      </c>
      <c r="I14" s="13">
        <f>H14*'ABP Future Assumptions'!$D$93</f>
        <v>37107.327890604764</v>
      </c>
      <c r="J14" s="13">
        <f>I14*'ABP Future Assumptions'!$D$93</f>
        <v>36921.791251151742</v>
      </c>
      <c r="K14" s="13">
        <f>J14*'ABP Future Assumptions'!$D$93</f>
        <v>36737.182294895982</v>
      </c>
      <c r="L14" s="13">
        <f>K14*'ABP Future Assumptions'!$D$93</f>
        <v>36553.496383421501</v>
      </c>
      <c r="M14" s="13">
        <f>L14*'ABP Future Assumptions'!$D$93</f>
        <v>36370.728901504393</v>
      </c>
      <c r="N14" s="13">
        <f>M14*'ABP Future Assumptions'!$D$93</f>
        <v>36188.875256996871</v>
      </c>
      <c r="O14" s="13">
        <f>N14*'ABP Future Assumptions'!$D$93</f>
        <v>36007.930880711887</v>
      </c>
      <c r="P14" s="13">
        <f>O14*'ABP Future Assumptions'!$D$93</f>
        <v>35827.891226308326</v>
      </c>
      <c r="Q14" s="13">
        <f>P14*'ABP Future Assumptions'!$D$93</f>
        <v>35648.751770176787</v>
      </c>
      <c r="R14" s="13">
        <f>Q14*'ABP Future Assumptions'!$D$93</f>
        <v>35470.508011325903</v>
      </c>
      <c r="S14" s="13">
        <f>R14*'ABP Future Assumptions'!$D$93</f>
        <v>35293.155471269274</v>
      </c>
      <c r="T14" s="13">
        <f>S14*'ABP Future Assumptions'!$D$93</f>
        <v>35116.689693912929</v>
      </c>
      <c r="U14" s="149"/>
      <c r="V14" s="149"/>
      <c r="W14" s="149"/>
      <c r="X14" s="149"/>
    </row>
    <row r="15" spans="2:24" x14ac:dyDescent="0.25">
      <c r="B15" s="219" t="s">
        <v>141</v>
      </c>
      <c r="C15" s="79">
        <f>'ABP Future Assumptions'!C12</f>
        <v>52106.04</v>
      </c>
      <c r="D15" s="151">
        <f>'ABP Future Assumptions'!F12</f>
        <v>0.13319</v>
      </c>
      <c r="E15" s="155">
        <f>SUM(F15:X15)</f>
        <v>880680.6564497595</v>
      </c>
      <c r="F15" s="13">
        <f>(C15*D15*8760)/1000</f>
        <v>60794.430376176009</v>
      </c>
      <c r="G15" s="13">
        <f>F15*'ABP Future Assumptions'!$D$93</f>
        <v>60490.458224295129</v>
      </c>
      <c r="H15" s="13">
        <f>G15*'ABP Future Assumptions'!$D$93</f>
        <v>60188.005933173656</v>
      </c>
      <c r="I15" s="13">
        <f>H15*'ABP Future Assumptions'!$D$93</f>
        <v>59887.065903507784</v>
      </c>
      <c r="J15" s="13">
        <f>I15*'ABP Future Assumptions'!$D$93</f>
        <v>59587.630573990245</v>
      </c>
      <c r="K15" s="13">
        <f>J15*'ABP Future Assumptions'!$D$93</f>
        <v>59289.692421120293</v>
      </c>
      <c r="L15" s="13">
        <f>K15*'ABP Future Assumptions'!$D$93</f>
        <v>58993.24395901469</v>
      </c>
      <c r="M15" s="13">
        <f>L15*'ABP Future Assumptions'!$D$93</f>
        <v>58698.277739219615</v>
      </c>
      <c r="N15" s="13">
        <f>M15*'ABP Future Assumptions'!$D$93</f>
        <v>58404.786350523515</v>
      </c>
      <c r="O15" s="13">
        <f>N15*'ABP Future Assumptions'!$D$93</f>
        <v>58112.762418770893</v>
      </c>
      <c r="P15" s="13">
        <f>O15*'ABP Future Assumptions'!$D$93</f>
        <v>57822.198606677041</v>
      </c>
      <c r="Q15" s="13">
        <f>P15*'ABP Future Assumptions'!$D$93</f>
        <v>57533.087613643656</v>
      </c>
      <c r="R15" s="13">
        <f>Q15*'ABP Future Assumptions'!$D$93</f>
        <v>57245.422175575441</v>
      </c>
      <c r="S15" s="13">
        <f>R15*'ABP Future Assumptions'!$D$93</f>
        <v>56959.19506469756</v>
      </c>
      <c r="T15" s="13">
        <f>S15*'ABP Future Assumptions'!$D$93</f>
        <v>56674.39908937407</v>
      </c>
      <c r="U15" s="149"/>
      <c r="V15" s="149"/>
      <c r="W15" s="149"/>
      <c r="X15" s="149"/>
    </row>
    <row r="16" spans="2:24" x14ac:dyDescent="0.25">
      <c r="B16" s="14" t="s">
        <v>144</v>
      </c>
      <c r="C16" s="79">
        <f>'ABP Future Assumptions'!C13</f>
        <v>120060</v>
      </c>
      <c r="D16" s="157"/>
      <c r="E16" s="154"/>
      <c r="F16" s="156">
        <f>SUM(F18:F27)</f>
        <v>155342.33973121329</v>
      </c>
      <c r="G16" s="156">
        <f t="shared" ref="G16:X16" si="3">SUM(G18:G27)</f>
        <v>154565.6280325572</v>
      </c>
      <c r="H16" s="156">
        <f t="shared" si="3"/>
        <v>153792.79989239443</v>
      </c>
      <c r="I16" s="156">
        <f t="shared" si="3"/>
        <v>153023.83589293246</v>
      </c>
      <c r="J16" s="156">
        <f t="shared" si="3"/>
        <v>152258.71671346779</v>
      </c>
      <c r="K16" s="156">
        <f t="shared" si="3"/>
        <v>151497.42312990045</v>
      </c>
      <c r="L16" s="156">
        <f t="shared" si="3"/>
        <v>150739.93601425094</v>
      </c>
      <c r="M16" s="156">
        <f t="shared" si="3"/>
        <v>149986.2363341797</v>
      </c>
      <c r="N16" s="156">
        <f t="shared" si="3"/>
        <v>149236.30515250878</v>
      </c>
      <c r="O16" s="156">
        <f t="shared" si="3"/>
        <v>148490.12362674624</v>
      </c>
      <c r="P16" s="156">
        <f t="shared" si="3"/>
        <v>147747.6730086125</v>
      </c>
      <c r="Q16" s="156">
        <f t="shared" si="3"/>
        <v>147008.93464356946</v>
      </c>
      <c r="R16" s="156">
        <f t="shared" si="3"/>
        <v>146273.88997035159</v>
      </c>
      <c r="S16" s="156">
        <f t="shared" si="3"/>
        <v>145542.52052049985</v>
      </c>
      <c r="T16" s="156">
        <f t="shared" si="3"/>
        <v>144814.80791789736</v>
      </c>
      <c r="U16" s="156">
        <f t="shared" si="3"/>
        <v>0</v>
      </c>
      <c r="V16" s="156">
        <f t="shared" si="3"/>
        <v>0</v>
      </c>
      <c r="W16" s="156">
        <f t="shared" si="3"/>
        <v>0</v>
      </c>
      <c r="X16" s="156">
        <f t="shared" si="3"/>
        <v>0</v>
      </c>
    </row>
    <row r="17" spans="2:24" x14ac:dyDescent="0.25">
      <c r="B17" s="179" t="s">
        <v>145</v>
      </c>
      <c r="C17" s="174">
        <f>'ABP Future Assumptions'!C14</f>
        <v>36018</v>
      </c>
      <c r="D17" s="104"/>
      <c r="E17" s="154"/>
      <c r="F17" s="153"/>
      <c r="G17" s="153"/>
      <c r="H17" s="153"/>
      <c r="I17" s="153"/>
      <c r="J17" s="153"/>
      <c r="K17" s="153"/>
      <c r="L17" s="153"/>
      <c r="M17" s="153"/>
      <c r="N17" s="153"/>
      <c r="O17" s="153"/>
      <c r="P17" s="153"/>
      <c r="Q17" s="153"/>
      <c r="R17" s="153"/>
      <c r="S17" s="153"/>
      <c r="T17" s="153"/>
      <c r="U17" s="179"/>
      <c r="V17" s="179"/>
      <c r="W17" s="179"/>
      <c r="X17" s="179"/>
    </row>
    <row r="18" spans="2:24" x14ac:dyDescent="0.25">
      <c r="B18" s="219" t="s">
        <v>146</v>
      </c>
      <c r="C18" s="79">
        <f>'ABP Future Assumptions'!C15</f>
        <v>2974.721508385157</v>
      </c>
      <c r="D18" s="151">
        <f>'ABP Future Assumptions'!F15</f>
        <v>0.15196999999999999</v>
      </c>
      <c r="E18" s="155">
        <f>SUM(F18:X18)</f>
        <v>57367.106726022539</v>
      </c>
      <c r="F18" s="13">
        <f>(C18*D18*8760)/1000</f>
        <v>3960.1194260326006</v>
      </c>
      <c r="G18" s="13">
        <f>F18*'ABP Future Assumptions'!$D$93</f>
        <v>3940.3188289024374</v>
      </c>
      <c r="H18" s="13">
        <f>G18*'ABP Future Assumptions'!$D$93</f>
        <v>3920.6172347579254</v>
      </c>
      <c r="I18" s="13">
        <f>H18*'ABP Future Assumptions'!$D$93</f>
        <v>3901.0141485841359</v>
      </c>
      <c r="J18" s="13">
        <f>I18*'ABP Future Assumptions'!$D$93</f>
        <v>3881.509077841215</v>
      </c>
      <c r="K18" s="13">
        <f>J18*'ABP Future Assumptions'!$D$93</f>
        <v>3862.101532452009</v>
      </c>
      <c r="L18" s="13">
        <f>K18*'ABP Future Assumptions'!$D$93</f>
        <v>3842.7910247897489</v>
      </c>
      <c r="M18" s="13">
        <f>L18*'ABP Future Assumptions'!$D$93</f>
        <v>3823.5770696658001</v>
      </c>
      <c r="N18" s="13">
        <f>M18*'ABP Future Assumptions'!$D$93</f>
        <v>3804.4591843174712</v>
      </c>
      <c r="O18" s="13">
        <f>N18*'ABP Future Assumptions'!$D$93</f>
        <v>3785.4368883958837</v>
      </c>
      <c r="P18" s="13">
        <f>O18*'ABP Future Assumptions'!$D$93</f>
        <v>3766.5097039539041</v>
      </c>
      <c r="Q18" s="13">
        <f>P18*'ABP Future Assumptions'!$D$93</f>
        <v>3747.6771554341344</v>
      </c>
      <c r="R18" s="13">
        <f>Q18*'ABP Future Assumptions'!$D$93</f>
        <v>3728.9387696569638</v>
      </c>
      <c r="S18" s="13">
        <f>R18*'ABP Future Assumptions'!$D$93</f>
        <v>3710.2940758086788</v>
      </c>
      <c r="T18" s="13">
        <f>S18*'ABP Future Assumptions'!$D$93</f>
        <v>3691.7426054296352</v>
      </c>
      <c r="U18" s="149"/>
      <c r="V18" s="149"/>
      <c r="W18" s="149"/>
      <c r="X18" s="149"/>
    </row>
    <row r="19" spans="2:24" x14ac:dyDescent="0.25">
      <c r="B19" s="219" t="s">
        <v>147</v>
      </c>
      <c r="C19" s="79">
        <f>'ABP Future Assumptions'!C16</f>
        <v>2297.8305238371736</v>
      </c>
      <c r="D19" s="151">
        <f>'ABP Future Assumptions'!F16</f>
        <v>0.14819000000000002</v>
      </c>
      <c r="E19" s="155">
        <f>SUM(F19:X19)</f>
        <v>43211.133850742874</v>
      </c>
      <c r="F19" s="13">
        <f>(C19*D19*8760)/1000</f>
        <v>2982.9158266682939</v>
      </c>
      <c r="G19" s="13">
        <f>F19*'ABP Future Assumptions'!$D$93</f>
        <v>2968.0012475349522</v>
      </c>
      <c r="H19" s="13">
        <f>G19*'ABP Future Assumptions'!$D$93</f>
        <v>2953.1612412972772</v>
      </c>
      <c r="I19" s="13">
        <f>H19*'ABP Future Assumptions'!$D$93</f>
        <v>2938.3954350907907</v>
      </c>
      <c r="J19" s="13">
        <f>I19*'ABP Future Assumptions'!$D$93</f>
        <v>2923.7034579153369</v>
      </c>
      <c r="K19" s="13">
        <f>J19*'ABP Future Assumptions'!$D$93</f>
        <v>2909.0849406257603</v>
      </c>
      <c r="L19" s="13">
        <f>K19*'ABP Future Assumptions'!$D$93</f>
        <v>2894.5395159226314</v>
      </c>
      <c r="M19" s="13">
        <f>L19*'ABP Future Assumptions'!$D$93</f>
        <v>2880.066818343018</v>
      </c>
      <c r="N19" s="13">
        <f>M19*'ABP Future Assumptions'!$D$93</f>
        <v>2865.6664842513028</v>
      </c>
      <c r="O19" s="13">
        <f>N19*'ABP Future Assumptions'!$D$93</f>
        <v>2851.3381518300462</v>
      </c>
      <c r="P19" s="13">
        <f>O19*'ABP Future Assumptions'!$D$93</f>
        <v>2837.0814610708958</v>
      </c>
      <c r="Q19" s="13">
        <f>P19*'ABP Future Assumptions'!$D$93</f>
        <v>2822.8960537655412</v>
      </c>
      <c r="R19" s="13">
        <f>Q19*'ABP Future Assumptions'!$D$93</f>
        <v>2808.7815734967135</v>
      </c>
      <c r="S19" s="13">
        <f>R19*'ABP Future Assumptions'!$D$93</f>
        <v>2794.7376656292299</v>
      </c>
      <c r="T19" s="13">
        <f>S19*'ABP Future Assumptions'!$D$93</f>
        <v>2780.7639773010837</v>
      </c>
      <c r="U19" s="149"/>
      <c r="V19" s="149"/>
      <c r="W19" s="149"/>
      <c r="X19" s="149"/>
    </row>
    <row r="20" spans="2:24" x14ac:dyDescent="0.25">
      <c r="B20" s="219" t="s">
        <v>148</v>
      </c>
      <c r="C20" s="79">
        <f>'ABP Future Assumptions'!C17</f>
        <v>5333.9890926942562</v>
      </c>
      <c r="D20" s="151">
        <f>'ABP Future Assumptions'!F17</f>
        <v>0.15303</v>
      </c>
      <c r="E20" s="155">
        <f>SUM(F20:X20)</f>
        <v>103582.75827684751</v>
      </c>
      <c r="F20" s="13">
        <f>(C20*D20*8760)/1000</f>
        <v>7150.4406734898175</v>
      </c>
      <c r="G20" s="13">
        <f>F20*'ABP Future Assumptions'!$D$93</f>
        <v>7114.688470122368</v>
      </c>
      <c r="H20" s="13">
        <f>G20*'ABP Future Assumptions'!$D$93</f>
        <v>7079.1150277717561</v>
      </c>
      <c r="I20" s="13">
        <f>H20*'ABP Future Assumptions'!$D$93</f>
        <v>7043.7194526328976</v>
      </c>
      <c r="J20" s="13">
        <f>I20*'ABP Future Assumptions'!$D$93</f>
        <v>7008.5008553697335</v>
      </c>
      <c r="K20" s="13">
        <f>J20*'ABP Future Assumptions'!$D$93</f>
        <v>6973.4583510928851</v>
      </c>
      <c r="L20" s="13">
        <f>K20*'ABP Future Assumptions'!$D$93</f>
        <v>6938.591059337421</v>
      </c>
      <c r="M20" s="13">
        <f>L20*'ABP Future Assumptions'!$D$93</f>
        <v>6903.8981040407343</v>
      </c>
      <c r="N20" s="13">
        <f>M20*'ABP Future Assumptions'!$D$93</f>
        <v>6869.378613520531</v>
      </c>
      <c r="O20" s="13">
        <f>N20*'ABP Future Assumptions'!$D$93</f>
        <v>6835.0317204529283</v>
      </c>
      <c r="P20" s="13">
        <f>O20*'ABP Future Assumptions'!$D$93</f>
        <v>6800.8565618506636</v>
      </c>
      <c r="Q20" s="13">
        <f>P20*'ABP Future Assumptions'!$D$93</f>
        <v>6766.8522790414099</v>
      </c>
      <c r="R20" s="13">
        <f>Q20*'ABP Future Assumptions'!$D$93</f>
        <v>6733.0180176462027</v>
      </c>
      <c r="S20" s="13">
        <f>R20*'ABP Future Assumptions'!$D$93</f>
        <v>6699.3529275579713</v>
      </c>
      <c r="T20" s="13">
        <f>S20*'ABP Future Assumptions'!$D$93</f>
        <v>6665.8561629201813</v>
      </c>
      <c r="U20" s="149"/>
      <c r="V20" s="149"/>
      <c r="W20" s="149"/>
      <c r="X20" s="149"/>
    </row>
    <row r="21" spans="2:24" x14ac:dyDescent="0.25">
      <c r="B21" s="219" t="s">
        <v>155</v>
      </c>
      <c r="C21" s="79">
        <f>'ABP Future Assumptions'!C18</f>
        <v>25411.385429703292</v>
      </c>
      <c r="D21" s="151">
        <f>'ABP Future Assumptions'!F18</f>
        <v>0.14410999999999999</v>
      </c>
      <c r="E21" s="155">
        <f>SUM(F21:X21)</f>
        <v>464709.1584885965</v>
      </c>
      <c r="F21" s="13">
        <f>(C21*D21*8760)/1000</f>
        <v>32079.424447444984</v>
      </c>
      <c r="G21" s="13">
        <f>F21*'ABP Future Assumptions'!$D$93</f>
        <v>31919.02732520776</v>
      </c>
      <c r="H21" s="13">
        <f>G21*'ABP Future Assumptions'!$D$93</f>
        <v>31759.432188581723</v>
      </c>
      <c r="I21" s="13">
        <f>H21*'ABP Future Assumptions'!$D$93</f>
        <v>31600.635027638815</v>
      </c>
      <c r="J21" s="13">
        <f>I21*'ABP Future Assumptions'!$D$93</f>
        <v>31442.631852500621</v>
      </c>
      <c r="K21" s="13">
        <f>J21*'ABP Future Assumptions'!$D$93</f>
        <v>31285.418693238116</v>
      </c>
      <c r="L21" s="13">
        <f>K21*'ABP Future Assumptions'!$D$93</f>
        <v>31128.991599771925</v>
      </c>
      <c r="M21" s="13">
        <f>L21*'ABP Future Assumptions'!$D$93</f>
        <v>30973.346641773067</v>
      </c>
      <c r="N21" s="13">
        <f>M21*'ABP Future Assumptions'!$D$93</f>
        <v>30818.479908564201</v>
      </c>
      <c r="O21" s="13">
        <f>N21*'ABP Future Assumptions'!$D$93</f>
        <v>30664.387509021381</v>
      </c>
      <c r="P21" s="13">
        <f>O21*'ABP Future Assumptions'!$D$93</f>
        <v>30511.065571476272</v>
      </c>
      <c r="Q21" s="13">
        <f>P21*'ABP Future Assumptions'!$D$93</f>
        <v>30358.51024361889</v>
      </c>
      <c r="R21" s="13">
        <f>Q21*'ABP Future Assumptions'!$D$93</f>
        <v>30206.717692400794</v>
      </c>
      <c r="S21" s="13">
        <f>R21*'ABP Future Assumptions'!$D$93</f>
        <v>30055.684103938791</v>
      </c>
      <c r="T21" s="13">
        <f>S21*'ABP Future Assumptions'!$D$93</f>
        <v>29905.405683419096</v>
      </c>
      <c r="U21" s="149"/>
      <c r="V21" s="149"/>
      <c r="W21" s="149"/>
      <c r="X21" s="149"/>
    </row>
    <row r="22" spans="2:24" x14ac:dyDescent="0.25">
      <c r="B22" s="219" t="s">
        <v>150</v>
      </c>
      <c r="C22" s="79">
        <f>'ABP Future Assumptions'!C19</f>
        <v>0</v>
      </c>
      <c r="D22" s="151">
        <f>'ABP Future Assumptions'!F19</f>
        <v>0</v>
      </c>
      <c r="E22" s="155"/>
      <c r="F22" s="13"/>
      <c r="G22" s="13"/>
      <c r="H22" s="13"/>
      <c r="I22" s="13"/>
      <c r="J22" s="13"/>
      <c r="K22" s="13"/>
      <c r="L22" s="13"/>
      <c r="M22" s="13"/>
      <c r="N22" s="13"/>
      <c r="O22" s="13"/>
      <c r="P22" s="13"/>
      <c r="Q22" s="13"/>
      <c r="R22" s="13"/>
      <c r="S22" s="13"/>
      <c r="T22" s="13"/>
      <c r="U22" s="149"/>
      <c r="V22" s="149"/>
      <c r="W22" s="149"/>
      <c r="X22" s="149"/>
    </row>
    <row r="23" spans="2:24" x14ac:dyDescent="0.25">
      <c r="B23" s="179" t="s">
        <v>151</v>
      </c>
      <c r="C23" s="174">
        <f>'ABP Future Assumptions'!C20</f>
        <v>84042</v>
      </c>
      <c r="D23" s="104"/>
      <c r="E23" s="154"/>
      <c r="F23" s="153"/>
      <c r="G23" s="13"/>
      <c r="H23" s="153"/>
      <c r="I23" s="153"/>
      <c r="J23" s="153"/>
      <c r="K23" s="153"/>
      <c r="L23" s="153"/>
      <c r="M23" s="153"/>
      <c r="N23" s="153"/>
      <c r="O23" s="153"/>
      <c r="P23" s="153"/>
      <c r="Q23" s="153"/>
      <c r="R23" s="153"/>
      <c r="S23" s="153"/>
      <c r="T23" s="153"/>
      <c r="U23" s="179"/>
      <c r="V23" s="179"/>
      <c r="W23" s="179"/>
      <c r="X23" s="179"/>
    </row>
    <row r="24" spans="2:24" x14ac:dyDescent="0.25">
      <c r="B24" s="219" t="s">
        <v>152</v>
      </c>
      <c r="C24" s="79">
        <f>'ABP Future Assumptions'!C21</f>
        <v>3178.3094186097378</v>
      </c>
      <c r="D24" s="151">
        <f>'ABP Future Assumptions'!F21</f>
        <v>0.14305999999999999</v>
      </c>
      <c r="E24" s="155">
        <f>SUM(F24:X24)</f>
        <v>57699.648250603808</v>
      </c>
      <c r="F24" s="13">
        <f>(C24*D24*8760)/1000</f>
        <v>3983.0751619344674</v>
      </c>
      <c r="G24" s="13">
        <f>F24*'ABP Future Assumptions'!$D$93</f>
        <v>3963.1597861247951</v>
      </c>
      <c r="H24" s="13">
        <f>G24*'ABP Future Assumptions'!$D$93</f>
        <v>3943.3439871941709</v>
      </c>
      <c r="I24" s="13">
        <f>H24*'ABP Future Assumptions'!$D$93</f>
        <v>3923.6272672581999</v>
      </c>
      <c r="J24" s="13">
        <f>I24*'ABP Future Assumptions'!$D$93</f>
        <v>3904.0091309219088</v>
      </c>
      <c r="K24" s="13">
        <f>J24*'ABP Future Assumptions'!$D$93</f>
        <v>3884.4890852672993</v>
      </c>
      <c r="L24" s="13">
        <f>K24*'ABP Future Assumptions'!$D$93</f>
        <v>3865.0666398409626</v>
      </c>
      <c r="M24" s="13">
        <f>L24*'ABP Future Assumptions'!$D$93</f>
        <v>3845.7413066417575</v>
      </c>
      <c r="N24" s="13">
        <f>M24*'ABP Future Assumptions'!$D$93</f>
        <v>3826.5126001085487</v>
      </c>
      <c r="O24" s="13">
        <f>N24*'ABP Future Assumptions'!$D$93</f>
        <v>3807.380037108006</v>
      </c>
      <c r="P24" s="13">
        <f>O24*'ABP Future Assumptions'!$D$93</f>
        <v>3788.3431369224659</v>
      </c>
      <c r="Q24" s="13">
        <f>P24*'ABP Future Assumptions'!$D$93</f>
        <v>3769.4014212378534</v>
      </c>
      <c r="R24" s="13">
        <f>Q24*'ABP Future Assumptions'!$D$93</f>
        <v>3750.5544141316641</v>
      </c>
      <c r="S24" s="13">
        <f>R24*'ABP Future Assumptions'!$D$93</f>
        <v>3731.8016420610056</v>
      </c>
      <c r="T24" s="13">
        <f>S24*'ABP Future Assumptions'!$D$93</f>
        <v>3713.1426338507008</v>
      </c>
      <c r="U24" s="149"/>
      <c r="V24" s="149"/>
      <c r="W24" s="149"/>
      <c r="X24" s="149"/>
    </row>
    <row r="25" spans="2:24" x14ac:dyDescent="0.25">
      <c r="B25" s="219" t="s">
        <v>147</v>
      </c>
      <c r="C25" s="79">
        <f>'ABP Future Assumptions'!C22</f>
        <v>2474.9525351065226</v>
      </c>
      <c r="D25" s="151">
        <f>'ABP Future Assumptions'!F22</f>
        <v>0.14176</v>
      </c>
      <c r="E25" s="155">
        <f>SUM(F25:X25)</f>
        <v>44522.480150547606</v>
      </c>
      <c r="F25" s="13">
        <f>(C25*D25*8760)/1000</f>
        <v>3073.4396172598977</v>
      </c>
      <c r="G25" s="13">
        <f>F25*'ABP Future Assumptions'!$D$93</f>
        <v>3058.0724191735981</v>
      </c>
      <c r="H25" s="13">
        <f>G25*'ABP Future Assumptions'!$D$93</f>
        <v>3042.7820570777299</v>
      </c>
      <c r="I25" s="13">
        <f>H25*'ABP Future Assumptions'!$D$93</f>
        <v>3027.5681467923414</v>
      </c>
      <c r="J25" s="13">
        <f>I25*'ABP Future Assumptions'!$D$93</f>
        <v>3012.4303060583798</v>
      </c>
      <c r="K25" s="13">
        <f>J25*'ABP Future Assumptions'!$D$93</f>
        <v>2997.3681545280879</v>
      </c>
      <c r="L25" s="13">
        <f>K25*'ABP Future Assumptions'!$D$93</f>
        <v>2982.3813137554475</v>
      </c>
      <c r="M25" s="13">
        <f>L25*'ABP Future Assumptions'!$D$93</f>
        <v>2967.4694071866702</v>
      </c>
      <c r="N25" s="13">
        <f>M25*'ABP Future Assumptions'!$D$93</f>
        <v>2952.6320601507368</v>
      </c>
      <c r="O25" s="13">
        <f>N25*'ABP Future Assumptions'!$D$93</f>
        <v>2937.8688998499833</v>
      </c>
      <c r="P25" s="13">
        <f>O25*'ABP Future Assumptions'!$D$93</f>
        <v>2923.1795553507336</v>
      </c>
      <c r="Q25" s="13">
        <f>P25*'ABP Future Assumptions'!$D$93</f>
        <v>2908.56365757398</v>
      </c>
      <c r="R25" s="13">
        <f>Q25*'ABP Future Assumptions'!$D$93</f>
        <v>2894.02083928611</v>
      </c>
      <c r="S25" s="13">
        <f>R25*'ABP Future Assumptions'!$D$93</f>
        <v>2879.5507350896796</v>
      </c>
      <c r="T25" s="13">
        <f>S25*'ABP Future Assumptions'!$D$93</f>
        <v>2865.1529814142314</v>
      </c>
      <c r="U25" s="149"/>
      <c r="V25" s="149"/>
      <c r="W25" s="149"/>
      <c r="X25" s="149"/>
    </row>
    <row r="26" spans="2:24" x14ac:dyDescent="0.25">
      <c r="B26" s="219" t="s">
        <v>148</v>
      </c>
      <c r="C26" s="79">
        <f>'ABP Future Assumptions'!C23</f>
        <v>9173.1101535500238</v>
      </c>
      <c r="D26" s="151">
        <f>'ABP Future Assumptions'!F23</f>
        <v>0.14119000000000001</v>
      </c>
      <c r="E26" s="155">
        <f>SUM(F26:X26)</f>
        <v>164353.63618540141</v>
      </c>
      <c r="F26" s="13">
        <f>(C26*D26*8760)/1000</f>
        <v>11345.526461798416</v>
      </c>
      <c r="G26" s="13">
        <f>F26*'ABP Future Assumptions'!$D$93</f>
        <v>11288.798829489424</v>
      </c>
      <c r="H26" s="13">
        <f>G26*'ABP Future Assumptions'!$D$93</f>
        <v>11232.354835341977</v>
      </c>
      <c r="I26" s="13">
        <f>H26*'ABP Future Assumptions'!$D$93</f>
        <v>11176.193061165268</v>
      </c>
      <c r="J26" s="13">
        <f>I26*'ABP Future Assumptions'!$D$93</f>
        <v>11120.312095859441</v>
      </c>
      <c r="K26" s="13">
        <f>J26*'ABP Future Assumptions'!$D$93</f>
        <v>11064.710535380143</v>
      </c>
      <c r="L26" s="13">
        <f>K26*'ABP Future Assumptions'!$D$93</f>
        <v>11009.386982703243</v>
      </c>
      <c r="M26" s="13">
        <f>L26*'ABP Future Assumptions'!$D$93</f>
        <v>10954.340047789727</v>
      </c>
      <c r="N26" s="13">
        <f>M26*'ABP Future Assumptions'!$D$93</f>
        <v>10899.568347550778</v>
      </c>
      <c r="O26" s="13">
        <f>N26*'ABP Future Assumptions'!$D$93</f>
        <v>10845.070505813024</v>
      </c>
      <c r="P26" s="13">
        <f>O26*'ABP Future Assumptions'!$D$93</f>
        <v>10790.845153283959</v>
      </c>
      <c r="Q26" s="13">
        <f>P26*'ABP Future Assumptions'!$D$93</f>
        <v>10736.890927517539</v>
      </c>
      <c r="R26" s="13">
        <f>Q26*'ABP Future Assumptions'!$D$93</f>
        <v>10683.206472879952</v>
      </c>
      <c r="S26" s="13">
        <f>R26*'ABP Future Assumptions'!$D$93</f>
        <v>10629.790440515553</v>
      </c>
      <c r="T26" s="13">
        <f>S26*'ABP Future Assumptions'!$D$93</f>
        <v>10576.641488312975</v>
      </c>
      <c r="U26" s="149"/>
      <c r="V26" s="149"/>
      <c r="W26" s="149"/>
      <c r="X26" s="149"/>
    </row>
    <row r="27" spans="2:24" x14ac:dyDescent="0.25">
      <c r="B27" s="219" t="s">
        <v>155</v>
      </c>
      <c r="C27" s="79">
        <f>'ABP Future Assumptions'!C24</f>
        <v>69215.598713854502</v>
      </c>
      <c r="D27" s="151">
        <f>'ABP Future Assumptions'!F24</f>
        <v>0.1497</v>
      </c>
      <c r="E27" s="155">
        <f>SUM(F27:X27)</f>
        <v>1314875.2486523199</v>
      </c>
      <c r="F27" s="13">
        <f>(C27*D27*8760)/1000</f>
        <v>90767.398116584809</v>
      </c>
      <c r="G27" s="13">
        <f>F27*'ABP Future Assumptions'!$D$93</f>
        <v>90313.561126001878</v>
      </c>
      <c r="H27" s="13">
        <f>G27*'ABP Future Assumptions'!$D$93</f>
        <v>89861.993320371868</v>
      </c>
      <c r="I27" s="13">
        <f>H27*'ABP Future Assumptions'!$D$93</f>
        <v>89412.683353770015</v>
      </c>
      <c r="J27" s="13">
        <f>I27*'ABP Future Assumptions'!$D$93</f>
        <v>88965.61993700116</v>
      </c>
      <c r="K27" s="13">
        <f>J27*'ABP Future Assumptions'!$D$93</f>
        <v>88520.791837316152</v>
      </c>
      <c r="L27" s="13">
        <f>K27*'ABP Future Assumptions'!$D$93</f>
        <v>88078.187878129567</v>
      </c>
      <c r="M27" s="13">
        <f>L27*'ABP Future Assumptions'!$D$93</f>
        <v>87637.796938738917</v>
      </c>
      <c r="N27" s="13">
        <f>M27*'ABP Future Assumptions'!$D$93</f>
        <v>87199.607954045219</v>
      </c>
      <c r="O27" s="13">
        <f>N27*'ABP Future Assumptions'!$D$93</f>
        <v>86763.609914274988</v>
      </c>
      <c r="P27" s="13">
        <f>O27*'ABP Future Assumptions'!$D$93</f>
        <v>86329.791864703613</v>
      </c>
      <c r="Q27" s="13">
        <f>P27*'ABP Future Assumptions'!$D$93</f>
        <v>85898.142905380097</v>
      </c>
      <c r="R27" s="13">
        <f>Q27*'ABP Future Assumptions'!$D$93</f>
        <v>85468.652190853201</v>
      </c>
      <c r="S27" s="13">
        <f>R27*'ABP Future Assumptions'!$D$93</f>
        <v>85041.308929898936</v>
      </c>
      <c r="T27" s="13">
        <f>S27*'ABP Future Assumptions'!$D$93</f>
        <v>84616.10238524944</v>
      </c>
      <c r="U27" s="149"/>
      <c r="V27" s="149"/>
      <c r="W27" s="149"/>
      <c r="X27" s="149"/>
    </row>
    <row r="28" spans="2:24" x14ac:dyDescent="0.25">
      <c r="B28" s="219" t="s">
        <v>150</v>
      </c>
      <c r="C28" s="79">
        <f>'ABP Future Assumptions'!C25</f>
        <v>0</v>
      </c>
      <c r="D28" s="151">
        <f>'ABP Future Assumptions'!F25</f>
        <v>0</v>
      </c>
      <c r="E28" s="155"/>
      <c r="F28" s="13"/>
      <c r="G28" s="13"/>
      <c r="H28" s="13"/>
      <c r="I28" s="13"/>
      <c r="J28" s="13"/>
      <c r="K28" s="13"/>
      <c r="L28" s="13"/>
      <c r="M28" s="13"/>
      <c r="N28" s="13"/>
      <c r="O28" s="13"/>
      <c r="P28" s="13"/>
      <c r="Q28" s="13"/>
      <c r="R28" s="13"/>
      <c r="S28" s="13"/>
      <c r="T28" s="13"/>
      <c r="U28" s="149"/>
      <c r="V28" s="149"/>
      <c r="W28" s="149"/>
      <c r="X28" s="149"/>
    </row>
    <row r="29" spans="2:24" x14ac:dyDescent="0.25">
      <c r="B29" s="14" t="s">
        <v>153</v>
      </c>
      <c r="C29" s="79">
        <f>'ABP Future Assumptions'!C26</f>
        <v>180090</v>
      </c>
      <c r="D29" s="157"/>
      <c r="E29" s="154"/>
      <c r="F29" s="156">
        <f t="shared" ref="F29:X29" si="4">SUM(F30:F31)</f>
        <v>0</v>
      </c>
      <c r="G29" s="156">
        <f t="shared" si="4"/>
        <v>266722.870788</v>
      </c>
      <c r="H29" s="156">
        <f t="shared" si="4"/>
        <v>265389.25643405999</v>
      </c>
      <c r="I29" s="156">
        <f t="shared" si="4"/>
        <v>264062.31015188969</v>
      </c>
      <c r="J29" s="156">
        <f t="shared" si="4"/>
        <v>262741.99860113027</v>
      </c>
      <c r="K29" s="156">
        <f t="shared" si="4"/>
        <v>261428.2886081246</v>
      </c>
      <c r="L29" s="156">
        <f t="shared" si="4"/>
        <v>260121.14716508397</v>
      </c>
      <c r="M29" s="156">
        <f t="shared" si="4"/>
        <v>258820.54142925856</v>
      </c>
      <c r="N29" s="156">
        <f t="shared" si="4"/>
        <v>257526.43872211227</v>
      </c>
      <c r="O29" s="156">
        <f t="shared" si="4"/>
        <v>256238.80652850171</v>
      </c>
      <c r="P29" s="156">
        <f t="shared" si="4"/>
        <v>254957.61249585918</v>
      </c>
      <c r="Q29" s="156">
        <f t="shared" si="4"/>
        <v>253682.82443337986</v>
      </c>
      <c r="R29" s="156">
        <f t="shared" si="4"/>
        <v>252414.41031121297</v>
      </c>
      <c r="S29" s="156">
        <f t="shared" si="4"/>
        <v>251152.33825965691</v>
      </c>
      <c r="T29" s="156">
        <f t="shared" si="4"/>
        <v>249896.57656835864</v>
      </c>
      <c r="U29" s="156">
        <f t="shared" si="4"/>
        <v>248647.09368551683</v>
      </c>
      <c r="V29" s="156">
        <f t="shared" si="4"/>
        <v>247403.85821708923</v>
      </c>
      <c r="W29" s="156">
        <f t="shared" si="4"/>
        <v>246166.83892600378</v>
      </c>
      <c r="X29" s="156">
        <f t="shared" si="4"/>
        <v>244936.00473137377</v>
      </c>
    </row>
    <row r="30" spans="2:24" x14ac:dyDescent="0.25">
      <c r="B30" s="179" t="s">
        <v>154</v>
      </c>
      <c r="C30" s="174">
        <f>'ABP Future Assumptions'!C27</f>
        <v>54027</v>
      </c>
      <c r="D30" s="151">
        <f>'ABP Future Assumptions'!F27</f>
        <v>0.16907</v>
      </c>
      <c r="E30" s="155">
        <f>SUM(F30:X30)</f>
        <v>1380692.7648169841</v>
      </c>
      <c r="F30" s="13"/>
      <c r="G30" s="13">
        <f>(($C30*$D30)*8760)/1000</f>
        <v>80016.861236400015</v>
      </c>
      <c r="H30" s="13">
        <f>G30*'ABP Future Assumptions'!$D$93</f>
        <v>79616.77693021801</v>
      </c>
      <c r="I30" s="13">
        <f>H30*'ABP Future Assumptions'!$D$93</f>
        <v>79218.693045566921</v>
      </c>
      <c r="J30" s="13">
        <f>I30*'ABP Future Assumptions'!$D$93</f>
        <v>78822.599580339083</v>
      </c>
      <c r="K30" s="13">
        <f>J30*'ABP Future Assumptions'!$D$93</f>
        <v>78428.486582437385</v>
      </c>
      <c r="L30" s="13">
        <f>K30*'ABP Future Assumptions'!$D$93</f>
        <v>78036.344149525205</v>
      </c>
      <c r="M30" s="13">
        <f>L30*'ABP Future Assumptions'!$D$93</f>
        <v>77646.162428777578</v>
      </c>
      <c r="N30" s="13">
        <f>M30*'ABP Future Assumptions'!$D$93</f>
        <v>77257.931616633694</v>
      </c>
      <c r="O30" s="13">
        <f>N30*'ABP Future Assumptions'!$D$93</f>
        <v>76871.641958550521</v>
      </c>
      <c r="P30" s="13">
        <f>O30*'ABP Future Assumptions'!$D$93</f>
        <v>76487.283748757764</v>
      </c>
      <c r="Q30" s="13">
        <f>P30*'ABP Future Assumptions'!$D$93</f>
        <v>76104.847330013974</v>
      </c>
      <c r="R30" s="13">
        <f>Q30*'ABP Future Assumptions'!$D$93</f>
        <v>75724.323093363899</v>
      </c>
      <c r="S30" s="13">
        <f>R30*'ABP Future Assumptions'!$D$93</f>
        <v>75345.701477897077</v>
      </c>
      <c r="T30" s="13">
        <f>S30*'ABP Future Assumptions'!$D$93</f>
        <v>74968.972970507588</v>
      </c>
      <c r="U30" s="13">
        <f>T30*'ABP Future Assumptions'!$D$93</f>
        <v>74594.128105655051</v>
      </c>
      <c r="V30" s="13">
        <f>U30*'ABP Future Assumptions'!$D$93</f>
        <v>74221.157465126773</v>
      </c>
      <c r="W30" s="13">
        <f>V30*'ABP Future Assumptions'!$D$93</f>
        <v>73850.051677801137</v>
      </c>
      <c r="X30" s="13">
        <f>W30*'ABP Future Assumptions'!$D$93</f>
        <v>73480.801419412135</v>
      </c>
    </row>
    <row r="31" spans="2:24" x14ac:dyDescent="0.25">
      <c r="B31" s="179" t="s">
        <v>157</v>
      </c>
      <c r="C31" s="174">
        <f>'ABP Future Assumptions'!C35</f>
        <v>126062.99999999999</v>
      </c>
      <c r="D31" s="151">
        <f>'ABP Future Assumptions'!F28</f>
        <v>0.16907</v>
      </c>
      <c r="E31" s="155">
        <f>SUM(F31:X31)</f>
        <v>3221616.4512396283</v>
      </c>
      <c r="F31" s="13"/>
      <c r="G31" s="13">
        <f>(($C31*$D31)*8760)/1000</f>
        <v>186706.00955159997</v>
      </c>
      <c r="H31" s="13">
        <f>G31*'ABP Future Assumptions'!$D$93</f>
        <v>185772.47950384198</v>
      </c>
      <c r="I31" s="13">
        <f>H31*'ABP Future Assumptions'!$D$93</f>
        <v>184843.61710632278</v>
      </c>
      <c r="J31" s="13">
        <f>I31*'ABP Future Assumptions'!$D$93</f>
        <v>183919.39902079117</v>
      </c>
      <c r="K31" s="13">
        <f>J31*'ABP Future Assumptions'!$D$93</f>
        <v>182999.80202568721</v>
      </c>
      <c r="L31" s="13">
        <f>K31*'ABP Future Assumptions'!$D$93</f>
        <v>182084.80301555878</v>
      </c>
      <c r="M31" s="13">
        <f>L31*'ABP Future Assumptions'!$D$93</f>
        <v>181174.37900048099</v>
      </c>
      <c r="N31" s="13">
        <f>M31*'ABP Future Assumptions'!$D$93</f>
        <v>180268.50710547858</v>
      </c>
      <c r="O31" s="13">
        <f>N31*'ABP Future Assumptions'!$D$93</f>
        <v>179367.16456995119</v>
      </c>
      <c r="P31" s="13">
        <f>O31*'ABP Future Assumptions'!$D$93</f>
        <v>178470.32874710142</v>
      </c>
      <c r="Q31" s="13">
        <f>P31*'ABP Future Assumptions'!$D$93</f>
        <v>177577.97710336591</v>
      </c>
      <c r="R31" s="13">
        <f>Q31*'ABP Future Assumptions'!$D$93</f>
        <v>176690.08721784907</v>
      </c>
      <c r="S31" s="13">
        <f>R31*'ABP Future Assumptions'!$D$93</f>
        <v>175806.63678175982</v>
      </c>
      <c r="T31" s="13">
        <f>S31*'ABP Future Assumptions'!$D$93</f>
        <v>174927.60359785103</v>
      </c>
      <c r="U31" s="13">
        <f>T31*'ABP Future Assumptions'!$D$93</f>
        <v>174052.96557986178</v>
      </c>
      <c r="V31" s="13">
        <f>U31*'ABP Future Assumptions'!$D$93</f>
        <v>173182.70075196246</v>
      </c>
      <c r="W31" s="13">
        <f>V31*'ABP Future Assumptions'!$D$93</f>
        <v>172316.78724820266</v>
      </c>
      <c r="X31" s="13">
        <f>W31*'ABP Future Assumptions'!$D$93</f>
        <v>171455.20331196164</v>
      </c>
    </row>
    <row r="32" spans="2:24" x14ac:dyDescent="0.25">
      <c r="B32" s="14" t="s">
        <v>158</v>
      </c>
      <c r="C32" s="79">
        <f>'ABP Future Assumptions'!C43</f>
        <v>86710</v>
      </c>
      <c r="D32" s="157"/>
      <c r="E32" s="154"/>
      <c r="F32" s="156">
        <f t="shared" ref="F32:X32" si="5">SUM(F33:F45)</f>
        <v>128422.12297199998</v>
      </c>
      <c r="G32" s="156">
        <f t="shared" si="5"/>
        <v>127780.01235713999</v>
      </c>
      <c r="H32" s="156">
        <f t="shared" si="5"/>
        <v>127141.11229535428</v>
      </c>
      <c r="I32" s="156">
        <f t="shared" si="5"/>
        <v>126505.40673387751</v>
      </c>
      <c r="J32" s="156">
        <f t="shared" si="5"/>
        <v>125872.87970020811</v>
      </c>
      <c r="K32" s="156">
        <f t="shared" si="5"/>
        <v>125243.51530170708</v>
      </c>
      <c r="L32" s="156">
        <f t="shared" si="5"/>
        <v>124617.29772519854</v>
      </c>
      <c r="M32" s="156">
        <f t="shared" si="5"/>
        <v>123994.21123657255</v>
      </c>
      <c r="N32" s="156">
        <f t="shared" si="5"/>
        <v>123374.24018038969</v>
      </c>
      <c r="O32" s="156">
        <f t="shared" si="5"/>
        <v>122757.36897948774</v>
      </c>
      <c r="P32" s="156">
        <f t="shared" si="5"/>
        <v>122143.58213459028</v>
      </c>
      <c r="Q32" s="156">
        <f t="shared" si="5"/>
        <v>121532.86422391734</v>
      </c>
      <c r="R32" s="156">
        <f t="shared" si="5"/>
        <v>120925.19990279774</v>
      </c>
      <c r="S32" s="156">
        <f t="shared" si="5"/>
        <v>120320.57390328377</v>
      </c>
      <c r="T32" s="156">
        <f t="shared" si="5"/>
        <v>119718.97103376733</v>
      </c>
      <c r="U32" s="156">
        <f t="shared" si="5"/>
        <v>119120.3761785985</v>
      </c>
      <c r="V32" s="156">
        <f t="shared" si="5"/>
        <v>118524.77429770552</v>
      </c>
      <c r="W32" s="156">
        <f t="shared" si="5"/>
        <v>117932.15042621699</v>
      </c>
      <c r="X32" s="156">
        <f t="shared" si="5"/>
        <v>117342.4896740859</v>
      </c>
    </row>
    <row r="33" spans="2:24" x14ac:dyDescent="0.25">
      <c r="B33" s="179" t="s">
        <v>159</v>
      </c>
      <c r="C33" s="174">
        <f>'ABP Future Assumptions'!C44</f>
        <v>26013</v>
      </c>
      <c r="D33" s="104"/>
      <c r="E33" s="155"/>
      <c r="F33" s="13"/>
      <c r="G33" s="13"/>
      <c r="H33" s="13"/>
      <c r="I33" s="13"/>
      <c r="J33" s="13"/>
      <c r="K33" s="13"/>
      <c r="L33" s="13"/>
      <c r="M33" s="13"/>
      <c r="N33" s="13"/>
      <c r="O33" s="13"/>
      <c r="P33" s="13"/>
      <c r="Q33" s="13"/>
      <c r="R33" s="13"/>
      <c r="S33" s="13"/>
      <c r="T33" s="13"/>
      <c r="U33" s="149"/>
      <c r="V33" s="158"/>
      <c r="W33" s="158"/>
      <c r="X33" s="158"/>
    </row>
    <row r="34" spans="2:24" x14ac:dyDescent="0.25">
      <c r="B34" s="219" t="s">
        <v>160</v>
      </c>
      <c r="C34" s="79">
        <f>'ABP Future Assumptions'!C45</f>
        <v>1204.3055555555554</v>
      </c>
      <c r="D34" s="151">
        <f>'ABP Future Assumptions'!F31</f>
        <v>0.16907</v>
      </c>
      <c r="E34" s="155">
        <f>SUM(F34:X34)</f>
        <v>32406.515961901368</v>
      </c>
      <c r="F34" s="13">
        <f>(C34*D34*8760)/1000</f>
        <v>1783.6405968333331</v>
      </c>
      <c r="G34" s="13">
        <f>F34*'ABP Future Assumptions'!$D$93</f>
        <v>1774.7223938491663</v>
      </c>
      <c r="H34" s="13">
        <f>G34*'ABP Future Assumptions'!$D$93</f>
        <v>1765.8487818799206</v>
      </c>
      <c r="I34" s="13">
        <f>H34*'ABP Future Assumptions'!$D$93</f>
        <v>1757.019537970521</v>
      </c>
      <c r="J34" s="13">
        <f>I34*'ABP Future Assumptions'!$D$93</f>
        <v>1748.2344402806684</v>
      </c>
      <c r="K34" s="13">
        <f>J34*'ABP Future Assumptions'!$D$93</f>
        <v>1739.4932680792651</v>
      </c>
      <c r="L34" s="13">
        <f>K34*'ABP Future Assumptions'!$D$93</f>
        <v>1730.7958017388687</v>
      </c>
      <c r="M34" s="13">
        <f>L34*'ABP Future Assumptions'!$D$93</f>
        <v>1722.1418227301745</v>
      </c>
      <c r="N34" s="13">
        <f>M34*'ABP Future Assumptions'!$D$93</f>
        <v>1713.5311136165235</v>
      </c>
      <c r="O34" s="13">
        <f>N34*'ABP Future Assumptions'!$D$93</f>
        <v>1704.9634580484408</v>
      </c>
      <c r="P34" s="13">
        <f>O34*'ABP Future Assumptions'!$D$93</f>
        <v>1696.4386407581985</v>
      </c>
      <c r="Q34" s="13">
        <f>P34*'ABP Future Assumptions'!$D$93</f>
        <v>1687.9564475544075</v>
      </c>
      <c r="R34" s="13">
        <f>Q34*'ABP Future Assumptions'!$D$93</f>
        <v>1679.5166653166355</v>
      </c>
      <c r="S34" s="13">
        <f>R34*'ABP Future Assumptions'!$D$93</f>
        <v>1671.1190819900523</v>
      </c>
      <c r="T34" s="13">
        <f>S34*'ABP Future Assumptions'!$D$93</f>
        <v>1662.7634865801022</v>
      </c>
      <c r="U34" s="13">
        <f>T34*'ABP Future Assumptions'!$D$93</f>
        <v>1654.4496691472016</v>
      </c>
      <c r="V34" s="13">
        <f>U34*'ABP Future Assumptions'!$D$93</f>
        <v>1646.1774208014656</v>
      </c>
      <c r="W34" s="13">
        <f>V34*'ABP Future Assumptions'!$D$93</f>
        <v>1637.9465336974583</v>
      </c>
      <c r="X34" s="13">
        <f>W34*'ABP Future Assumptions'!$D$93</f>
        <v>1629.756801028971</v>
      </c>
    </row>
    <row r="35" spans="2:24" x14ac:dyDescent="0.25">
      <c r="B35" s="219" t="s">
        <v>152</v>
      </c>
      <c r="C35" s="79">
        <f>'ABP Future Assumptions'!C46</f>
        <v>1445.1666666666665</v>
      </c>
      <c r="D35" s="151">
        <f>'ABP Future Assumptions'!F32</f>
        <v>0.16907</v>
      </c>
      <c r="E35" s="155">
        <f>SUM(F35:X35)</f>
        <v>38887.819154281657</v>
      </c>
      <c r="F35" s="13">
        <f>(C35*D35*8760)/1000</f>
        <v>2140.3687161999997</v>
      </c>
      <c r="G35" s="13">
        <f>F35*'ABP Future Assumptions'!$D$93</f>
        <v>2129.6668726189996</v>
      </c>
      <c r="H35" s="13">
        <f>G35*'ABP Future Assumptions'!$D$93</f>
        <v>2119.0185382559048</v>
      </c>
      <c r="I35" s="13">
        <f>H35*'ABP Future Assumptions'!$D$93</f>
        <v>2108.4234455646251</v>
      </c>
      <c r="J35" s="13">
        <f>I35*'ABP Future Assumptions'!$D$93</f>
        <v>2097.8813283368022</v>
      </c>
      <c r="K35" s="13">
        <f>J35*'ABP Future Assumptions'!$D$93</f>
        <v>2087.3919216951181</v>
      </c>
      <c r="L35" s="13">
        <f>K35*'ABP Future Assumptions'!$D$93</f>
        <v>2076.9549620866424</v>
      </c>
      <c r="M35" s="13">
        <f>L35*'ABP Future Assumptions'!$D$93</f>
        <v>2066.5701872762093</v>
      </c>
      <c r="N35" s="13">
        <f>M35*'ABP Future Assumptions'!$D$93</f>
        <v>2056.2373363398283</v>
      </c>
      <c r="O35" s="13">
        <f>N35*'ABP Future Assumptions'!$D$93</f>
        <v>2045.9561496581291</v>
      </c>
      <c r="P35" s="13">
        <f>O35*'ABP Future Assumptions'!$D$93</f>
        <v>2035.7263689098384</v>
      </c>
      <c r="Q35" s="13">
        <f>P35*'ABP Future Assumptions'!$D$93</f>
        <v>2025.5477370652891</v>
      </c>
      <c r="R35" s="13">
        <f>Q35*'ABP Future Assumptions'!$D$93</f>
        <v>2015.4199983799626</v>
      </c>
      <c r="S35" s="13">
        <f>R35*'ABP Future Assumptions'!$D$93</f>
        <v>2005.3428983880628</v>
      </c>
      <c r="T35" s="13">
        <f>S35*'ABP Future Assumptions'!$D$93</f>
        <v>1995.3161838961225</v>
      </c>
      <c r="U35" s="13">
        <f>T35*'ABP Future Assumptions'!$D$93</f>
        <v>1985.339602976642</v>
      </c>
      <c r="V35" s="13">
        <f>U35*'ABP Future Assumptions'!$D$93</f>
        <v>1975.4129049617588</v>
      </c>
      <c r="W35" s="13">
        <f>V35*'ABP Future Assumptions'!$D$93</f>
        <v>1965.5358404369501</v>
      </c>
      <c r="X35" s="13">
        <f>W35*'ABP Future Assumptions'!$D$93</f>
        <v>1955.7081612347654</v>
      </c>
    </row>
    <row r="36" spans="2:24" x14ac:dyDescent="0.25">
      <c r="B36" s="219" t="s">
        <v>147</v>
      </c>
      <c r="C36" s="79">
        <f>'ABP Future Assumptions'!C47</f>
        <v>5539.8055555555557</v>
      </c>
      <c r="D36" s="151">
        <f>'ABP Future Assumptions'!F33</f>
        <v>0.16907</v>
      </c>
      <c r="E36" s="155">
        <f>SUM(F36:X36)</f>
        <v>149069.97342474636</v>
      </c>
      <c r="F36" s="13">
        <f>(C36*D36*8760)/1000</f>
        <v>8204.7467454333328</v>
      </c>
      <c r="G36" s="13">
        <f>F36*'ABP Future Assumptions'!$D$93</f>
        <v>8163.7230117061663</v>
      </c>
      <c r="H36" s="13">
        <f>G36*'ABP Future Assumptions'!$D$93</f>
        <v>8122.9043966476356</v>
      </c>
      <c r="I36" s="13">
        <f>H36*'ABP Future Assumptions'!$D$93</f>
        <v>8082.2898746643978</v>
      </c>
      <c r="J36" s="13">
        <f>I36*'ABP Future Assumptions'!$D$93</f>
        <v>8041.8784252910755</v>
      </c>
      <c r="K36" s="13">
        <f>J36*'ABP Future Assumptions'!$D$93</f>
        <v>8001.6690331646205</v>
      </c>
      <c r="L36" s="13">
        <f>K36*'ABP Future Assumptions'!$D$93</f>
        <v>7961.6606879987976</v>
      </c>
      <c r="M36" s="13">
        <f>L36*'ABP Future Assumptions'!$D$93</f>
        <v>7921.8523845588034</v>
      </c>
      <c r="N36" s="13">
        <f>M36*'ABP Future Assumptions'!$D$93</f>
        <v>7882.2431226360095</v>
      </c>
      <c r="O36" s="13">
        <f>N36*'ABP Future Assumptions'!$D$93</f>
        <v>7842.831907022829</v>
      </c>
      <c r="P36" s="13">
        <f>O36*'ABP Future Assumptions'!$D$93</f>
        <v>7803.617747487715</v>
      </c>
      <c r="Q36" s="13">
        <f>P36*'ABP Future Assumptions'!$D$93</f>
        <v>7764.5996587502759</v>
      </c>
      <c r="R36" s="13">
        <f>Q36*'ABP Future Assumptions'!$D$93</f>
        <v>7725.776660456525</v>
      </c>
      <c r="S36" s="13">
        <f>R36*'ABP Future Assumptions'!$D$93</f>
        <v>7687.1477771542422</v>
      </c>
      <c r="T36" s="13">
        <f>S36*'ABP Future Assumptions'!$D$93</f>
        <v>7648.7120382684707</v>
      </c>
      <c r="U36" s="13">
        <f>T36*'ABP Future Assumptions'!$D$93</f>
        <v>7610.4684780771286</v>
      </c>
      <c r="V36" s="13">
        <f>U36*'ABP Future Assumptions'!$D$93</f>
        <v>7572.4161356867426</v>
      </c>
      <c r="W36" s="13">
        <f>V36*'ABP Future Assumptions'!$D$93</f>
        <v>7534.5540550083088</v>
      </c>
      <c r="X36" s="13">
        <f>W36*'ABP Future Assumptions'!$D$93</f>
        <v>7496.8812847332674</v>
      </c>
    </row>
    <row r="37" spans="2:24" x14ac:dyDescent="0.25">
      <c r="B37" s="219" t="s">
        <v>148</v>
      </c>
      <c r="C37" s="79">
        <f>'ABP Future Assumptions'!C48</f>
        <v>11802.194444444445</v>
      </c>
      <c r="D37" s="151">
        <f>'ABP Future Assumptions'!F34</f>
        <v>0.16907</v>
      </c>
      <c r="E37" s="155">
        <f>SUM(F37:X37)</f>
        <v>317583.85642663349</v>
      </c>
      <c r="F37" s="13">
        <f>(C37*D37*8760)/1000</f>
        <v>17479.677848966669</v>
      </c>
      <c r="G37" s="13">
        <f>F37*'ABP Future Assumptions'!$D$93</f>
        <v>17392.279459721834</v>
      </c>
      <c r="H37" s="13">
        <f>G37*'ABP Future Assumptions'!$D$93</f>
        <v>17305.318062423226</v>
      </c>
      <c r="I37" s="13">
        <f>H37*'ABP Future Assumptions'!$D$93</f>
        <v>17218.791472111112</v>
      </c>
      <c r="J37" s="13">
        <f>I37*'ABP Future Assumptions'!$D$93</f>
        <v>17132.697514750555</v>
      </c>
      <c r="K37" s="13">
        <f>J37*'ABP Future Assumptions'!$D$93</f>
        <v>17047.0340271768</v>
      </c>
      <c r="L37" s="13">
        <f>K37*'ABP Future Assumptions'!$D$93</f>
        <v>16961.798857040914</v>
      </c>
      <c r="M37" s="13">
        <f>L37*'ABP Future Assumptions'!$D$93</f>
        <v>16876.989862755709</v>
      </c>
      <c r="N37" s="13">
        <f>M37*'ABP Future Assumptions'!$D$93</f>
        <v>16792.60491344193</v>
      </c>
      <c r="O37" s="13">
        <f>N37*'ABP Future Assumptions'!$D$93</f>
        <v>16708.641888874721</v>
      </c>
      <c r="P37" s="13">
        <f>O37*'ABP Future Assumptions'!$D$93</f>
        <v>16625.098679430346</v>
      </c>
      <c r="Q37" s="13">
        <f>P37*'ABP Future Assumptions'!$D$93</f>
        <v>16541.973186033196</v>
      </c>
      <c r="R37" s="13">
        <f>Q37*'ABP Future Assumptions'!$D$93</f>
        <v>16459.263320103029</v>
      </c>
      <c r="S37" s="13">
        <f>R37*'ABP Future Assumptions'!$D$93</f>
        <v>16376.967003502514</v>
      </c>
      <c r="T37" s="13">
        <f>S37*'ABP Future Assumptions'!$D$93</f>
        <v>16295.082168485002</v>
      </c>
      <c r="U37" s="13">
        <f>T37*'ABP Future Assumptions'!$D$93</f>
        <v>16213.606757642576</v>
      </c>
      <c r="V37" s="13">
        <f>U37*'ABP Future Assumptions'!$D$93</f>
        <v>16132.538723854363</v>
      </c>
      <c r="W37" s="13">
        <f>V37*'ABP Future Assumptions'!$D$93</f>
        <v>16051.876030235091</v>
      </c>
      <c r="X37" s="13">
        <f>W37*'ABP Future Assumptions'!$D$93</f>
        <v>15971.616650083915</v>
      </c>
    </row>
    <row r="38" spans="2:24" x14ac:dyDescent="0.25">
      <c r="B38" s="219" t="s">
        <v>155</v>
      </c>
      <c r="C38" s="79">
        <f>'ABP Future Assumptions'!C49</f>
        <v>6021.5277777777774</v>
      </c>
      <c r="D38" s="151">
        <f>'ABP Future Assumptions'!F35</f>
        <v>0.16907</v>
      </c>
      <c r="E38" s="155">
        <f>SUM(F38:X38)</f>
        <v>162032.57980950689</v>
      </c>
      <c r="F38" s="13">
        <f>(C38*D38*8760)/1000</f>
        <v>8918.2029841666663</v>
      </c>
      <c r="G38" s="13">
        <f>F38*'ABP Future Assumptions'!$D$93</f>
        <v>8873.6119692458324</v>
      </c>
      <c r="H38" s="13">
        <f>G38*'ABP Future Assumptions'!$D$93</f>
        <v>8829.2439093996036</v>
      </c>
      <c r="I38" s="13">
        <f>H38*'ABP Future Assumptions'!$D$93</f>
        <v>8785.097689852606</v>
      </c>
      <c r="J38" s="13">
        <f>I38*'ABP Future Assumptions'!$D$93</f>
        <v>8741.1722014033421</v>
      </c>
      <c r="K38" s="13">
        <f>J38*'ABP Future Assumptions'!$D$93</f>
        <v>8697.4663403963259</v>
      </c>
      <c r="L38" s="13">
        <f>K38*'ABP Future Assumptions'!$D$93</f>
        <v>8653.9790086943449</v>
      </c>
      <c r="M38" s="13">
        <f>L38*'ABP Future Assumptions'!$D$93</f>
        <v>8610.7091136508734</v>
      </c>
      <c r="N38" s="13">
        <f>M38*'ABP Future Assumptions'!$D$93</f>
        <v>8567.6555680826186</v>
      </c>
      <c r="O38" s="13">
        <f>N38*'ABP Future Assumptions'!$D$93</f>
        <v>8524.8172902422048</v>
      </c>
      <c r="P38" s="13">
        <f>O38*'ABP Future Assumptions'!$D$93</f>
        <v>8482.1932037909937</v>
      </c>
      <c r="Q38" s="13">
        <f>P38*'ABP Future Assumptions'!$D$93</f>
        <v>8439.7822377720386</v>
      </c>
      <c r="R38" s="13">
        <f>Q38*'ABP Future Assumptions'!$D$93</f>
        <v>8397.5833265831789</v>
      </c>
      <c r="S38" s="13">
        <f>R38*'ABP Future Assumptions'!$D$93</f>
        <v>8355.5954099502633</v>
      </c>
      <c r="T38" s="13">
        <f>S38*'ABP Future Assumptions'!$D$93</f>
        <v>8313.8174329005124</v>
      </c>
      <c r="U38" s="13">
        <f>T38*'ABP Future Assumptions'!$D$93</f>
        <v>8272.2483457360104</v>
      </c>
      <c r="V38" s="13">
        <f>U38*'ABP Future Assumptions'!$D$93</f>
        <v>8230.88710400733</v>
      </c>
      <c r="W38" s="13">
        <f>V38*'ABP Future Assumptions'!$D$93</f>
        <v>8189.7326684872933</v>
      </c>
      <c r="X38" s="13">
        <f>W38*'ABP Future Assumptions'!$D$93</f>
        <v>8148.7840051448566</v>
      </c>
    </row>
    <row r="39" spans="2:24" x14ac:dyDescent="0.25">
      <c r="B39" s="219" t="s">
        <v>150</v>
      </c>
      <c r="C39" s="79">
        <f>'ABP Future Assumptions'!C50</f>
        <v>0</v>
      </c>
      <c r="D39" s="151">
        <f>'ABP Future Assumptions'!F36</f>
        <v>0.16907</v>
      </c>
      <c r="E39" s="155"/>
      <c r="F39" s="13"/>
      <c r="G39" s="13"/>
      <c r="H39" s="13"/>
      <c r="I39" s="13"/>
      <c r="J39" s="13"/>
      <c r="K39" s="13"/>
      <c r="L39" s="13"/>
      <c r="M39" s="13"/>
      <c r="N39" s="13"/>
      <c r="O39" s="13"/>
      <c r="P39" s="13"/>
      <c r="Q39" s="13"/>
      <c r="R39" s="13"/>
      <c r="S39" s="13"/>
      <c r="T39" s="13"/>
      <c r="U39" s="13"/>
      <c r="V39" s="13"/>
      <c r="W39" s="13"/>
      <c r="X39" s="13"/>
    </row>
    <row r="40" spans="2:24" x14ac:dyDescent="0.25">
      <c r="B40" s="179" t="s">
        <v>161</v>
      </c>
      <c r="C40" s="174">
        <f>'ABP Future Assumptions'!C51</f>
        <v>60696.999999999993</v>
      </c>
      <c r="D40" s="104"/>
      <c r="E40" s="155"/>
      <c r="F40" s="13"/>
      <c r="G40" s="13"/>
      <c r="H40" s="13"/>
      <c r="I40" s="13"/>
      <c r="J40" s="13"/>
      <c r="K40" s="13"/>
      <c r="L40" s="13"/>
      <c r="M40" s="13"/>
      <c r="N40" s="13"/>
      <c r="O40" s="13"/>
      <c r="P40" s="13"/>
      <c r="Q40" s="13"/>
      <c r="R40" s="13"/>
      <c r="S40" s="13"/>
      <c r="T40" s="13"/>
      <c r="U40" s="13"/>
      <c r="V40" s="13"/>
      <c r="W40" s="13"/>
      <c r="X40" s="13"/>
    </row>
    <row r="41" spans="2:24" x14ac:dyDescent="0.25">
      <c r="B41" s="219" t="s">
        <v>160</v>
      </c>
      <c r="C41" s="79">
        <f>'ABP Future Assumptions'!C52</f>
        <v>2810.0462962962956</v>
      </c>
      <c r="D41" s="151">
        <f>'ABP Future Assumptions'!F38</f>
        <v>0.16907</v>
      </c>
      <c r="E41" s="155">
        <f>SUM(F41:X41)</f>
        <v>75615.203911103192</v>
      </c>
      <c r="F41" s="13">
        <f>(C41*D41*8760)/1000</f>
        <v>4161.8280592777764</v>
      </c>
      <c r="G41" s="13">
        <f>F41*'ABP Future Assumptions'!$D$93</f>
        <v>4141.0189189813873</v>
      </c>
      <c r="H41" s="13">
        <f>G41*'ABP Future Assumptions'!$D$93</f>
        <v>4120.3138243864805</v>
      </c>
      <c r="I41" s="13">
        <f>H41*'ABP Future Assumptions'!$D$93</f>
        <v>4099.7122552645478</v>
      </c>
      <c r="J41" s="13">
        <f>I41*'ABP Future Assumptions'!$D$93</f>
        <v>4079.2136939882253</v>
      </c>
      <c r="K41" s="13">
        <f>J41*'ABP Future Assumptions'!$D$93</f>
        <v>4058.8176255182843</v>
      </c>
      <c r="L41" s="13">
        <f>K41*'ABP Future Assumptions'!$D$93</f>
        <v>4038.523537390693</v>
      </c>
      <c r="M41" s="13">
        <f>L41*'ABP Future Assumptions'!$D$93</f>
        <v>4018.3309197037397</v>
      </c>
      <c r="N41" s="13">
        <f>M41*'ABP Future Assumptions'!$D$93</f>
        <v>3998.239265105221</v>
      </c>
      <c r="O41" s="13">
        <f>N41*'ABP Future Assumptions'!$D$93</f>
        <v>3978.2480687796947</v>
      </c>
      <c r="P41" s="13">
        <f>O41*'ABP Future Assumptions'!$D$93</f>
        <v>3958.3568284357962</v>
      </c>
      <c r="Q41" s="13">
        <f>P41*'ABP Future Assumptions'!$D$93</f>
        <v>3938.5650442936171</v>
      </c>
      <c r="R41" s="13">
        <f>Q41*'ABP Future Assumptions'!$D$93</f>
        <v>3918.8722190721492</v>
      </c>
      <c r="S41" s="13">
        <f>R41*'ABP Future Assumptions'!$D$93</f>
        <v>3899.2778579767883</v>
      </c>
      <c r="T41" s="13">
        <f>S41*'ABP Future Assumptions'!$D$93</f>
        <v>3879.7814686869042</v>
      </c>
      <c r="U41" s="13">
        <f>T41*'ABP Future Assumptions'!$D$93</f>
        <v>3860.3825613434697</v>
      </c>
      <c r="V41" s="13">
        <f>U41*'ABP Future Assumptions'!$D$93</f>
        <v>3841.0806485367525</v>
      </c>
      <c r="W41" s="13">
        <f>V41*'ABP Future Assumptions'!$D$93</f>
        <v>3821.8752452940689</v>
      </c>
      <c r="X41" s="13">
        <f>W41*'ABP Future Assumptions'!$D$93</f>
        <v>3802.7658690675985</v>
      </c>
    </row>
    <row r="42" spans="2:24" x14ac:dyDescent="0.25">
      <c r="B42" s="219" t="s">
        <v>152</v>
      </c>
      <c r="C42" s="79">
        <f>'ABP Future Assumptions'!C53</f>
        <v>3372.0555555555547</v>
      </c>
      <c r="D42" s="151">
        <f>'ABP Future Assumptions'!F39</f>
        <v>0.16907</v>
      </c>
      <c r="E42" s="155">
        <f>SUM(F42:X42)</f>
        <v>90738.244693323824</v>
      </c>
      <c r="F42" s="13">
        <f>(C42*D42*8760)/1000</f>
        <v>4994.1936711333328</v>
      </c>
      <c r="G42" s="13">
        <f>F42*'ABP Future Assumptions'!$D$93</f>
        <v>4969.2227027776662</v>
      </c>
      <c r="H42" s="13">
        <f>G42*'ABP Future Assumptions'!$D$93</f>
        <v>4944.3765892637775</v>
      </c>
      <c r="I42" s="13">
        <f>H42*'ABP Future Assumptions'!$D$93</f>
        <v>4919.6547063174585</v>
      </c>
      <c r="J42" s="13">
        <f>I42*'ABP Future Assumptions'!$D$93</f>
        <v>4895.056432785871</v>
      </c>
      <c r="K42" s="13">
        <f>J42*'ABP Future Assumptions'!$D$93</f>
        <v>4870.5811506219416</v>
      </c>
      <c r="L42" s="13">
        <f>K42*'ABP Future Assumptions'!$D$93</f>
        <v>4846.228244868832</v>
      </c>
      <c r="M42" s="13">
        <f>L42*'ABP Future Assumptions'!$D$93</f>
        <v>4821.9971036444877</v>
      </c>
      <c r="N42" s="13">
        <f>M42*'ABP Future Assumptions'!$D$93</f>
        <v>4797.8871181262648</v>
      </c>
      <c r="O42" s="13">
        <f>N42*'ABP Future Assumptions'!$D$93</f>
        <v>4773.8976825356331</v>
      </c>
      <c r="P42" s="13">
        <f>O42*'ABP Future Assumptions'!$D$93</f>
        <v>4750.028194122955</v>
      </c>
      <c r="Q42" s="13">
        <f>P42*'ABP Future Assumptions'!$D$93</f>
        <v>4726.2780531523404</v>
      </c>
      <c r="R42" s="13">
        <f>Q42*'ABP Future Assumptions'!$D$93</f>
        <v>4702.6466628865783</v>
      </c>
      <c r="S42" s="13">
        <f>R42*'ABP Future Assumptions'!$D$93</f>
        <v>4679.1334295721454</v>
      </c>
      <c r="T42" s="13">
        <f>S42*'ABP Future Assumptions'!$D$93</f>
        <v>4655.7377624242845</v>
      </c>
      <c r="U42" s="13">
        <f>T42*'ABP Future Assumptions'!$D$93</f>
        <v>4632.4590736121627</v>
      </c>
      <c r="V42" s="13">
        <f>U42*'ABP Future Assumptions'!$D$93</f>
        <v>4609.2967782441019</v>
      </c>
      <c r="W42" s="13">
        <f>V42*'ABP Future Assumptions'!$D$93</f>
        <v>4586.2502943528816</v>
      </c>
      <c r="X42" s="13">
        <f>W42*'ABP Future Assumptions'!$D$93</f>
        <v>4563.3190428811167</v>
      </c>
    </row>
    <row r="43" spans="2:24" x14ac:dyDescent="0.25">
      <c r="B43" s="219" t="s">
        <v>147</v>
      </c>
      <c r="C43" s="79">
        <f>'ABP Future Assumptions'!C54</f>
        <v>12926.212962962962</v>
      </c>
      <c r="D43" s="151">
        <f>'ABP Future Assumptions'!F40</f>
        <v>0.16907</v>
      </c>
      <c r="E43" s="155">
        <f>SUM(F43:X43)</f>
        <v>347829.93799107475</v>
      </c>
      <c r="F43" s="13">
        <f>(C43*D43*8760)/1000</f>
        <v>19144.409072677776</v>
      </c>
      <c r="G43" s="13">
        <f>F43*'ABP Future Assumptions'!$D$93</f>
        <v>19048.687027314387</v>
      </c>
      <c r="H43" s="13">
        <f>G43*'ABP Future Assumptions'!$D$93</f>
        <v>18953.443592177813</v>
      </c>
      <c r="I43" s="13">
        <f>H43*'ABP Future Assumptions'!$D$93</f>
        <v>18858.676374216924</v>
      </c>
      <c r="J43" s="13">
        <f>I43*'ABP Future Assumptions'!$D$93</f>
        <v>18764.38299234584</v>
      </c>
      <c r="K43" s="13">
        <f>J43*'ABP Future Assumptions'!$D$93</f>
        <v>18670.561077384111</v>
      </c>
      <c r="L43" s="13">
        <f>K43*'ABP Future Assumptions'!$D$93</f>
        <v>18577.208271997191</v>
      </c>
      <c r="M43" s="13">
        <f>L43*'ABP Future Assumptions'!$D$93</f>
        <v>18484.322230637204</v>
      </c>
      <c r="N43" s="13">
        <f>M43*'ABP Future Assumptions'!$D$93</f>
        <v>18391.900619484019</v>
      </c>
      <c r="O43" s="13">
        <f>N43*'ABP Future Assumptions'!$D$93</f>
        <v>18299.941116386599</v>
      </c>
      <c r="P43" s="13">
        <f>O43*'ABP Future Assumptions'!$D$93</f>
        <v>18208.441410804666</v>
      </c>
      <c r="Q43" s="13">
        <f>P43*'ABP Future Assumptions'!$D$93</f>
        <v>18117.399203750643</v>
      </c>
      <c r="R43" s="13">
        <f>Q43*'ABP Future Assumptions'!$D$93</f>
        <v>18026.812207731891</v>
      </c>
      <c r="S43" s="13">
        <f>R43*'ABP Future Assumptions'!$D$93</f>
        <v>17936.678146693233</v>
      </c>
      <c r="T43" s="13">
        <f>S43*'ABP Future Assumptions'!$D$93</f>
        <v>17846.994755959768</v>
      </c>
      <c r="U43" s="13">
        <f>T43*'ABP Future Assumptions'!$D$93</f>
        <v>17757.759782179968</v>
      </c>
      <c r="V43" s="13">
        <f>U43*'ABP Future Assumptions'!$D$93</f>
        <v>17668.970983269068</v>
      </c>
      <c r="W43" s="13">
        <f>V43*'ABP Future Assumptions'!$D$93</f>
        <v>17580.626128352724</v>
      </c>
      <c r="X43" s="13">
        <f>W43*'ABP Future Assumptions'!$D$93</f>
        <v>17492.72299771096</v>
      </c>
    </row>
    <row r="44" spans="2:24" x14ac:dyDescent="0.25">
      <c r="B44" s="219" t="s">
        <v>148</v>
      </c>
      <c r="C44" s="79">
        <f>'ABP Future Assumptions'!C55</f>
        <v>27538.453703703701</v>
      </c>
      <c r="D44" s="151">
        <f>'ABP Future Assumptions'!F41</f>
        <v>0.16907</v>
      </c>
      <c r="E44" s="155">
        <f>SUM(F44:X44)</f>
        <v>741028.99832881137</v>
      </c>
      <c r="F44" s="13">
        <f>(C44*D44*8760)/1000</f>
        <v>40785.914980922214</v>
      </c>
      <c r="G44" s="13">
        <f>F44*'ABP Future Assumptions'!$D$93</f>
        <v>40581.9854060176</v>
      </c>
      <c r="H44" s="13">
        <f>G44*'ABP Future Assumptions'!$D$93</f>
        <v>40379.075478987514</v>
      </c>
      <c r="I44" s="13">
        <f>H44*'ABP Future Assumptions'!$D$93</f>
        <v>40177.180101592574</v>
      </c>
      <c r="J44" s="13">
        <f>I44*'ABP Future Assumptions'!$D$93</f>
        <v>39976.294201084609</v>
      </c>
      <c r="K44" s="13">
        <f>J44*'ABP Future Assumptions'!$D$93</f>
        <v>39776.412730079188</v>
      </c>
      <c r="L44" s="13">
        <f>K44*'ABP Future Assumptions'!$D$93</f>
        <v>39577.530666428793</v>
      </c>
      <c r="M44" s="13">
        <f>L44*'ABP Future Assumptions'!$D$93</f>
        <v>39379.643013096647</v>
      </c>
      <c r="N44" s="13">
        <f>M44*'ABP Future Assumptions'!$D$93</f>
        <v>39182.744798031163</v>
      </c>
      <c r="O44" s="13">
        <f>N44*'ABP Future Assumptions'!$D$93</f>
        <v>38986.831074041009</v>
      </c>
      <c r="P44" s="13">
        <f>O44*'ABP Future Assumptions'!$D$93</f>
        <v>38791.896918670805</v>
      </c>
      <c r="Q44" s="13">
        <f>P44*'ABP Future Assumptions'!$D$93</f>
        <v>38597.937434077452</v>
      </c>
      <c r="R44" s="13">
        <f>Q44*'ABP Future Assumptions'!$D$93</f>
        <v>38404.947746907063</v>
      </c>
      <c r="S44" s="13">
        <f>R44*'ABP Future Assumptions'!$D$93</f>
        <v>38212.923008172525</v>
      </c>
      <c r="T44" s="13">
        <f>S44*'ABP Future Assumptions'!$D$93</f>
        <v>38021.858393131661</v>
      </c>
      <c r="U44" s="13">
        <f>T44*'ABP Future Assumptions'!$D$93</f>
        <v>37831.749101166002</v>
      </c>
      <c r="V44" s="13">
        <f>U44*'ABP Future Assumptions'!$D$93</f>
        <v>37642.59035566017</v>
      </c>
      <c r="W44" s="13">
        <f>V44*'ABP Future Assumptions'!$D$93</f>
        <v>37454.377403881866</v>
      </c>
      <c r="X44" s="13">
        <f>W44*'ABP Future Assumptions'!$D$93</f>
        <v>37267.105516862459</v>
      </c>
    </row>
    <row r="45" spans="2:24" x14ac:dyDescent="0.25">
      <c r="B45" s="219" t="s">
        <v>155</v>
      </c>
      <c r="C45" s="79">
        <f>'ABP Future Assumptions'!C56</f>
        <v>14050.23148148148</v>
      </c>
      <c r="D45" s="151">
        <f>'ABP Future Assumptions'!F42</f>
        <v>0.16907</v>
      </c>
      <c r="E45" s="155">
        <f>SUM(F45:X45)</f>
        <v>378076.01955551596</v>
      </c>
      <c r="F45" s="13">
        <f>(C45*D45*8760)/1000</f>
        <v>20809.140296388887</v>
      </c>
      <c r="G45" s="13">
        <f>F45*'ABP Future Assumptions'!$D$93</f>
        <v>20705.094594906943</v>
      </c>
      <c r="H45" s="13">
        <f>G45*'ABP Future Assumptions'!$D$93</f>
        <v>20601.569121932407</v>
      </c>
      <c r="I45" s="13">
        <f>H45*'ABP Future Assumptions'!$D$93</f>
        <v>20498.561276322744</v>
      </c>
      <c r="J45" s="13">
        <f>I45*'ABP Future Assumptions'!$D$93</f>
        <v>20396.068469941129</v>
      </c>
      <c r="K45" s="13">
        <f>J45*'ABP Future Assumptions'!$D$93</f>
        <v>20294.088127591422</v>
      </c>
      <c r="L45" s="13">
        <f>K45*'ABP Future Assumptions'!$D$93</f>
        <v>20192.617686953465</v>
      </c>
      <c r="M45" s="13">
        <f>L45*'ABP Future Assumptions'!$D$93</f>
        <v>20091.654598518697</v>
      </c>
      <c r="N45" s="13">
        <f>M45*'ABP Future Assumptions'!$D$93</f>
        <v>19991.196325526103</v>
      </c>
      <c r="O45" s="13">
        <f>N45*'ABP Future Assumptions'!$D$93</f>
        <v>19891.240343898473</v>
      </c>
      <c r="P45" s="13">
        <f>O45*'ABP Future Assumptions'!$D$93</f>
        <v>19791.784142178982</v>
      </c>
      <c r="Q45" s="13">
        <f>P45*'ABP Future Assumptions'!$D$93</f>
        <v>19692.825221468087</v>
      </c>
      <c r="R45" s="13">
        <f>Q45*'ABP Future Assumptions'!$D$93</f>
        <v>19594.361095360746</v>
      </c>
      <c r="S45" s="13">
        <f>R45*'ABP Future Assumptions'!$D$93</f>
        <v>19496.38928988394</v>
      </c>
      <c r="T45" s="13">
        <f>S45*'ABP Future Assumptions'!$D$93</f>
        <v>19398.907343434519</v>
      </c>
      <c r="U45" s="13">
        <f>T45*'ABP Future Assumptions'!$D$93</f>
        <v>19301.912806717348</v>
      </c>
      <c r="V45" s="13">
        <f>U45*'ABP Future Assumptions'!$D$93</f>
        <v>19205.403242683762</v>
      </c>
      <c r="W45" s="13">
        <f>V45*'ABP Future Assumptions'!$D$93</f>
        <v>19109.376226470344</v>
      </c>
      <c r="X45" s="13">
        <f>W45*'ABP Future Assumptions'!$D$93</f>
        <v>19013.829345337992</v>
      </c>
    </row>
    <row r="46" spans="2:24" x14ac:dyDescent="0.25">
      <c r="B46" s="219" t="s">
        <v>150</v>
      </c>
      <c r="C46" s="79">
        <f>'ABP Future Assumptions'!C57</f>
        <v>0</v>
      </c>
      <c r="D46" s="151">
        <f>'ABP Future Assumptions'!F43</f>
        <v>0</v>
      </c>
      <c r="E46" s="155"/>
      <c r="F46" s="13"/>
      <c r="G46" s="13"/>
      <c r="H46" s="13"/>
      <c r="I46" s="13"/>
      <c r="J46" s="13"/>
      <c r="K46" s="13"/>
      <c r="L46" s="13"/>
      <c r="M46" s="13"/>
      <c r="N46" s="13"/>
      <c r="O46" s="13"/>
      <c r="P46" s="13"/>
      <c r="Q46" s="13"/>
      <c r="R46" s="13"/>
      <c r="S46" s="13"/>
      <c r="T46" s="13"/>
      <c r="U46" s="13"/>
      <c r="V46" s="13"/>
      <c r="W46" s="13"/>
      <c r="X46" s="13"/>
    </row>
    <row r="47" spans="2:24" x14ac:dyDescent="0.25">
      <c r="B47" s="14" t="s">
        <v>162</v>
      </c>
      <c r="C47" s="79">
        <f>'ABP Future Assumptions'!C58</f>
        <v>26680</v>
      </c>
      <c r="D47" s="157"/>
      <c r="E47" s="154"/>
      <c r="F47" s="156">
        <f t="shared" ref="F47:X47" si="6">SUM(F48:F49)</f>
        <v>0</v>
      </c>
      <c r="G47" s="156">
        <f t="shared" si="6"/>
        <v>39514.499376</v>
      </c>
      <c r="H47" s="156">
        <f t="shared" si="6"/>
        <v>39316.926879120001</v>
      </c>
      <c r="I47" s="156">
        <f t="shared" si="6"/>
        <v>39120.342244724401</v>
      </c>
      <c r="J47" s="156">
        <f t="shared" si="6"/>
        <v>38924.740533500779</v>
      </c>
      <c r="K47" s="156">
        <f t="shared" si="6"/>
        <v>38730.116830833278</v>
      </c>
      <c r="L47" s="156">
        <f t="shared" si="6"/>
        <v>38536.466246679112</v>
      </c>
      <c r="M47" s="156">
        <f t="shared" si="6"/>
        <v>38343.783915445718</v>
      </c>
      <c r="N47" s="156">
        <f t="shared" si="6"/>
        <v>38152.064995868488</v>
      </c>
      <c r="O47" s="156">
        <f t="shared" si="6"/>
        <v>37961.304670889149</v>
      </c>
      <c r="P47" s="156">
        <f t="shared" si="6"/>
        <v>37771.498147534701</v>
      </c>
      <c r="Q47" s="156">
        <f t="shared" si="6"/>
        <v>37582.640656797026</v>
      </c>
      <c r="R47" s="156">
        <f t="shared" si="6"/>
        <v>37394.727453513042</v>
      </c>
      <c r="S47" s="156">
        <f t="shared" si="6"/>
        <v>37207.753816245473</v>
      </c>
      <c r="T47" s="156">
        <f t="shared" si="6"/>
        <v>37021.715047164245</v>
      </c>
      <c r="U47" s="156">
        <f t="shared" si="6"/>
        <v>36836.606471928426</v>
      </c>
      <c r="V47" s="156">
        <f t="shared" si="6"/>
        <v>0</v>
      </c>
      <c r="W47" s="156">
        <f t="shared" si="6"/>
        <v>0</v>
      </c>
      <c r="X47" s="156">
        <f t="shared" si="6"/>
        <v>0</v>
      </c>
    </row>
    <row r="48" spans="2:24" x14ac:dyDescent="0.25">
      <c r="B48" s="179" t="s">
        <v>163</v>
      </c>
      <c r="C48" s="174">
        <f>'ABP Future Assumptions'!C59</f>
        <v>8004</v>
      </c>
      <c r="D48" s="151">
        <f>'ABP Future Assumptions'!F45</f>
        <v>0.16907</v>
      </c>
      <c r="E48" s="155">
        <f>SUM(F48:X48)</f>
        <v>171724.55618587314</v>
      </c>
      <c r="F48" s="13"/>
      <c r="G48" s="13">
        <f>(C48*D48*8760)/1000</f>
        <v>11854.349812800001</v>
      </c>
      <c r="H48" s="13">
        <f>G48*'ABP Future Assumptions'!$D$93</f>
        <v>11795.078063736</v>
      </c>
      <c r="I48" s="13">
        <f>H48*'ABP Future Assumptions'!$D$93</f>
        <v>11736.102673417321</v>
      </c>
      <c r="J48" s="13">
        <f>I48*'ABP Future Assumptions'!$D$93</f>
        <v>11677.422160050235</v>
      </c>
      <c r="K48" s="13">
        <f>J48*'ABP Future Assumptions'!$D$93</f>
        <v>11619.035049249984</v>
      </c>
      <c r="L48" s="13">
        <f>K48*'ABP Future Assumptions'!$D$93</f>
        <v>11560.939874003734</v>
      </c>
      <c r="M48" s="13">
        <f>L48*'ABP Future Assumptions'!$D$93</f>
        <v>11503.135174633715</v>
      </c>
      <c r="N48" s="13">
        <f>M48*'ABP Future Assumptions'!$D$93</f>
        <v>11445.619498760547</v>
      </c>
      <c r="O48" s="13">
        <f>N48*'ABP Future Assumptions'!$D$93</f>
        <v>11388.391401266745</v>
      </c>
      <c r="P48" s="13">
        <f>O48*'ABP Future Assumptions'!$D$93</f>
        <v>11331.44944426041</v>
      </c>
      <c r="Q48" s="13">
        <f>P48*'ABP Future Assumptions'!$D$93</f>
        <v>11274.792197039107</v>
      </c>
      <c r="R48" s="13">
        <f>Q48*'ABP Future Assumptions'!$D$93</f>
        <v>11218.418236053911</v>
      </c>
      <c r="S48" s="13">
        <f>R48*'ABP Future Assumptions'!$D$93</f>
        <v>11162.326144873641</v>
      </c>
      <c r="T48" s="13">
        <f>S48*'ABP Future Assumptions'!$D$93</f>
        <v>11106.514514149272</v>
      </c>
      <c r="U48" s="13">
        <f>T48*'ABP Future Assumptions'!$D$93</f>
        <v>11050.981941578526</v>
      </c>
      <c r="V48" s="149"/>
      <c r="W48" s="149"/>
      <c r="X48" s="149"/>
    </row>
    <row r="49" spans="2:24" x14ac:dyDescent="0.25">
      <c r="B49" s="179" t="s">
        <v>164</v>
      </c>
      <c r="C49" s="174">
        <f>'ABP Future Assumptions'!C67</f>
        <v>18676</v>
      </c>
      <c r="D49" s="151">
        <f>'ABP Future Assumptions'!F46</f>
        <v>0.16907</v>
      </c>
      <c r="E49" s="155">
        <f>SUM(F49:X49)</f>
        <v>400690.63110037067</v>
      </c>
      <c r="F49" s="13"/>
      <c r="G49" s="13">
        <f>(C49*D49*8760)/1000</f>
        <v>27660.149563200001</v>
      </c>
      <c r="H49" s="13">
        <f>G49*'ABP Future Assumptions'!$D$93</f>
        <v>27521.848815384001</v>
      </c>
      <c r="I49" s="13">
        <f>H49*'ABP Future Assumptions'!$D$93</f>
        <v>27384.23957130708</v>
      </c>
      <c r="J49" s="13">
        <f>I49*'ABP Future Assumptions'!$D$93</f>
        <v>27247.318373450544</v>
      </c>
      <c r="K49" s="13">
        <f>J49*'ABP Future Assumptions'!$D$93</f>
        <v>27111.081781583292</v>
      </c>
      <c r="L49" s="13">
        <f>K49*'ABP Future Assumptions'!$D$93</f>
        <v>26975.526372675376</v>
      </c>
      <c r="M49" s="13">
        <f>L49*'ABP Future Assumptions'!$D$93</f>
        <v>26840.648740812001</v>
      </c>
      <c r="N49" s="13">
        <f>M49*'ABP Future Assumptions'!$D$93</f>
        <v>26706.445497107939</v>
      </c>
      <c r="O49" s="13">
        <f>N49*'ABP Future Assumptions'!$D$93</f>
        <v>26572.913269622401</v>
      </c>
      <c r="P49" s="13">
        <f>O49*'ABP Future Assumptions'!$D$93</f>
        <v>26440.048703274289</v>
      </c>
      <c r="Q49" s="13">
        <f>P49*'ABP Future Assumptions'!$D$93</f>
        <v>26307.848459757919</v>
      </c>
      <c r="R49" s="13">
        <f>Q49*'ABP Future Assumptions'!$D$93</f>
        <v>26176.309217459129</v>
      </c>
      <c r="S49" s="13">
        <f>R49*'ABP Future Assumptions'!$D$93</f>
        <v>26045.427671371832</v>
      </c>
      <c r="T49" s="13">
        <f>S49*'ABP Future Assumptions'!$D$93</f>
        <v>25915.200533014973</v>
      </c>
      <c r="U49" s="13">
        <f>T49*'ABP Future Assumptions'!$D$93</f>
        <v>25785.624530349898</v>
      </c>
      <c r="V49" s="149"/>
      <c r="W49" s="149"/>
      <c r="X49" s="149"/>
    </row>
    <row r="50" spans="2:24" x14ac:dyDescent="0.25">
      <c r="B50" s="99" t="s">
        <v>165</v>
      </c>
      <c r="C50" s="79">
        <f>'ABP Future Assumptions'!C75</f>
        <v>133400</v>
      </c>
      <c r="D50" s="157"/>
      <c r="E50" s="154"/>
      <c r="F50" s="156">
        <f t="shared" ref="F50:X50" si="7">SUM(F51:F61)</f>
        <v>172602.59970134808</v>
      </c>
      <c r="G50" s="156">
        <f t="shared" si="7"/>
        <v>171739.58670284133</v>
      </c>
      <c r="H50" s="156">
        <f t="shared" si="7"/>
        <v>170880.88876932714</v>
      </c>
      <c r="I50" s="156">
        <f t="shared" si="7"/>
        <v>170026.4843254805</v>
      </c>
      <c r="J50" s="156">
        <f t="shared" si="7"/>
        <v>169176.35190385312</v>
      </c>
      <c r="K50" s="156">
        <f t="shared" si="7"/>
        <v>168330.47014433384</v>
      </c>
      <c r="L50" s="156">
        <f t="shared" si="7"/>
        <v>167488.81779361214</v>
      </c>
      <c r="M50" s="156">
        <f t="shared" si="7"/>
        <v>166651.37370464409</v>
      </c>
      <c r="N50" s="156">
        <f t="shared" si="7"/>
        <v>165818.11683612087</v>
      </c>
      <c r="O50" s="156">
        <f t="shared" si="7"/>
        <v>164989.02625194026</v>
      </c>
      <c r="P50" s="156">
        <f t="shared" si="7"/>
        <v>164164.08112068055</v>
      </c>
      <c r="Q50" s="156">
        <f t="shared" si="7"/>
        <v>163343.26071507717</v>
      </c>
      <c r="R50" s="156">
        <f t="shared" si="7"/>
        <v>162526.54441150179</v>
      </c>
      <c r="S50" s="156">
        <f t="shared" si="7"/>
        <v>161713.91168944424</v>
      </c>
      <c r="T50" s="156">
        <f t="shared" si="7"/>
        <v>160905.34213099704</v>
      </c>
      <c r="U50" s="156">
        <f t="shared" si="7"/>
        <v>0</v>
      </c>
      <c r="V50" s="156">
        <f t="shared" si="7"/>
        <v>0</v>
      </c>
      <c r="W50" s="156">
        <f t="shared" si="7"/>
        <v>0</v>
      </c>
      <c r="X50" s="156">
        <f t="shared" si="7"/>
        <v>0</v>
      </c>
    </row>
    <row r="51" spans="2:24" x14ac:dyDescent="0.25">
      <c r="B51" s="179" t="s">
        <v>166</v>
      </c>
      <c r="C51" s="174">
        <f>'ABP Future Assumptions'!C76</f>
        <v>40020</v>
      </c>
      <c r="D51" s="104"/>
      <c r="E51" s="154"/>
      <c r="F51" s="153"/>
      <c r="G51" s="153"/>
      <c r="H51" s="153"/>
      <c r="I51" s="153"/>
      <c r="J51" s="153"/>
      <c r="K51" s="153"/>
      <c r="L51" s="153"/>
      <c r="M51" s="153"/>
      <c r="N51" s="153"/>
      <c r="O51" s="153"/>
      <c r="P51" s="153"/>
      <c r="Q51" s="153"/>
      <c r="R51" s="153"/>
      <c r="S51" s="153"/>
      <c r="T51" s="153"/>
      <c r="U51" s="179"/>
      <c r="V51" s="179"/>
      <c r="W51" s="179"/>
      <c r="X51" s="179"/>
    </row>
    <row r="52" spans="2:24" x14ac:dyDescent="0.25">
      <c r="B52" s="219" t="s">
        <v>146</v>
      </c>
      <c r="C52" s="79">
        <f>'ABP Future Assumptions'!C77</f>
        <v>3305.2461204279521</v>
      </c>
      <c r="D52" s="151">
        <f>'ABP Future Assumptions'!F77</f>
        <v>0.15196999999999999</v>
      </c>
      <c r="E52" s="155">
        <f>SUM(F52:X52)</f>
        <v>63741.229695580587</v>
      </c>
      <c r="F52" s="13">
        <f>(C52*D52*8760)/1000</f>
        <v>4400.1326955917775</v>
      </c>
      <c r="G52" s="13">
        <f>F52*'ABP Future Assumptions'!$D$93</f>
        <v>4378.1320321138182</v>
      </c>
      <c r="H52" s="13">
        <f>G52*'ABP Future Assumptions'!$D$93</f>
        <v>4356.2413719532487</v>
      </c>
      <c r="I52" s="13">
        <f>H52*'ABP Future Assumptions'!$D$93</f>
        <v>4334.4601650934828</v>
      </c>
      <c r="J52" s="13">
        <f>I52*'ABP Future Assumptions'!$D$93</f>
        <v>4312.7878642680153</v>
      </c>
      <c r="K52" s="13">
        <f>J52*'ABP Future Assumptions'!$D$93</f>
        <v>4291.2239249466747</v>
      </c>
      <c r="L52" s="13">
        <f>K52*'ABP Future Assumptions'!$D$93</f>
        <v>4269.7678053219415</v>
      </c>
      <c r="M52" s="13">
        <f>L52*'ABP Future Assumptions'!$D$93</f>
        <v>4248.4189662953322</v>
      </c>
      <c r="N52" s="13">
        <f>M52*'ABP Future Assumptions'!$D$93</f>
        <v>4227.1768714638556</v>
      </c>
      <c r="O52" s="13">
        <f>N52*'ABP Future Assumptions'!$D$93</f>
        <v>4206.0409871065367</v>
      </c>
      <c r="P52" s="13">
        <f>O52*'ABP Future Assumptions'!$D$93</f>
        <v>4185.0107821710044</v>
      </c>
      <c r="Q52" s="13">
        <f>P52*'ABP Future Assumptions'!$D$93</f>
        <v>4164.0857282601492</v>
      </c>
      <c r="R52" s="13">
        <f>Q52*'ABP Future Assumptions'!$D$93</f>
        <v>4143.2652996188481</v>
      </c>
      <c r="S52" s="13">
        <f>R52*'ABP Future Assumptions'!$D$93</f>
        <v>4122.5489731207535</v>
      </c>
      <c r="T52" s="13">
        <f>S52*'ABP Future Assumptions'!$D$93</f>
        <v>4101.9362282551501</v>
      </c>
      <c r="U52" s="149"/>
      <c r="V52" s="149"/>
      <c r="W52" s="149"/>
      <c r="X52" s="149"/>
    </row>
    <row r="53" spans="2:24" x14ac:dyDescent="0.25">
      <c r="B53" s="219" t="s">
        <v>147</v>
      </c>
      <c r="C53" s="79">
        <f>'ABP Future Assumptions'!C78</f>
        <v>2553.1450264857485</v>
      </c>
      <c r="D53" s="151">
        <f>'ABP Future Assumptions'!F78</f>
        <v>0.14819000000000002</v>
      </c>
      <c r="E53" s="155">
        <f>SUM(F53:X53)</f>
        <v>48012.37094526986</v>
      </c>
      <c r="F53" s="13">
        <f>(C53*D53*8760)/1000</f>
        <v>3314.3509185203261</v>
      </c>
      <c r="G53" s="13">
        <f>F53*'ABP Future Assumptions'!$D$93</f>
        <v>3297.7791639277243</v>
      </c>
      <c r="H53" s="13">
        <f>G53*'ABP Future Assumptions'!$D$93</f>
        <v>3281.2902681080855</v>
      </c>
      <c r="I53" s="13">
        <f>H53*'ABP Future Assumptions'!$D$93</f>
        <v>3264.8838167675449</v>
      </c>
      <c r="J53" s="13">
        <f>I53*'ABP Future Assumptions'!$D$93</f>
        <v>3248.5593976837072</v>
      </c>
      <c r="K53" s="13">
        <f>J53*'ABP Future Assumptions'!$D$93</f>
        <v>3232.3166006952888</v>
      </c>
      <c r="L53" s="13">
        <f>K53*'ABP Future Assumptions'!$D$93</f>
        <v>3216.1550176918122</v>
      </c>
      <c r="M53" s="13">
        <f>L53*'ABP Future Assumptions'!$D$93</f>
        <v>3200.074242603353</v>
      </c>
      <c r="N53" s="13">
        <f>M53*'ABP Future Assumptions'!$D$93</f>
        <v>3184.0738713903361</v>
      </c>
      <c r="O53" s="13">
        <f>N53*'ABP Future Assumptions'!$D$93</f>
        <v>3168.1535020333845</v>
      </c>
      <c r="P53" s="13">
        <f>O53*'ABP Future Assumptions'!$D$93</f>
        <v>3152.3127345232174</v>
      </c>
      <c r="Q53" s="13">
        <f>P53*'ABP Future Assumptions'!$D$93</f>
        <v>3136.5511708506015</v>
      </c>
      <c r="R53" s="13">
        <f>Q53*'ABP Future Assumptions'!$D$93</f>
        <v>3120.8684149963483</v>
      </c>
      <c r="S53" s="13">
        <f>R53*'ABP Future Assumptions'!$D$93</f>
        <v>3105.2640729213667</v>
      </c>
      <c r="T53" s="13">
        <f>S53*'ABP Future Assumptions'!$D$93</f>
        <v>3089.7377525567599</v>
      </c>
      <c r="U53" s="149"/>
      <c r="V53" s="149"/>
      <c r="W53" s="149"/>
      <c r="X53" s="149"/>
    </row>
    <row r="54" spans="2:24" x14ac:dyDescent="0.25">
      <c r="B54" s="219" t="s">
        <v>148</v>
      </c>
      <c r="C54" s="79">
        <f>'ABP Future Assumptions'!C79</f>
        <v>5926.6545474380619</v>
      </c>
      <c r="D54" s="151">
        <f>'ABP Future Assumptions'!F79</f>
        <v>0.15303</v>
      </c>
      <c r="E54" s="155">
        <f>SUM(F54:X54)</f>
        <v>115091.95364094165</v>
      </c>
      <c r="F54" s="13">
        <f>(C54*D54*8760)/1000</f>
        <v>7944.9340816553522</v>
      </c>
      <c r="G54" s="13">
        <f>F54*'ABP Future Assumptions'!$D$93</f>
        <v>7905.209411247075</v>
      </c>
      <c r="H54" s="13">
        <f>G54*'ABP Future Assumptions'!$D$93</f>
        <v>7865.6833641908397</v>
      </c>
      <c r="I54" s="13">
        <f>H54*'ABP Future Assumptions'!$D$93</f>
        <v>7826.3549473698858</v>
      </c>
      <c r="J54" s="13">
        <f>I54*'ABP Future Assumptions'!$D$93</f>
        <v>7787.2231726330365</v>
      </c>
      <c r="K54" s="13">
        <f>J54*'ABP Future Assumptions'!$D$93</f>
        <v>7748.287056769871</v>
      </c>
      <c r="L54" s="13">
        <f>K54*'ABP Future Assumptions'!$D$93</f>
        <v>7709.5456214860214</v>
      </c>
      <c r="M54" s="13">
        <f>L54*'ABP Future Assumptions'!$D$93</f>
        <v>7670.9978933785915</v>
      </c>
      <c r="N54" s="13">
        <f>M54*'ABP Future Assumptions'!$D$93</f>
        <v>7632.6429039116983</v>
      </c>
      <c r="O54" s="13">
        <f>N54*'ABP Future Assumptions'!$D$93</f>
        <v>7594.4796893921402</v>
      </c>
      <c r="P54" s="13">
        <f>O54*'ABP Future Assumptions'!$D$93</f>
        <v>7556.5072909451792</v>
      </c>
      <c r="Q54" s="13">
        <f>P54*'ABP Future Assumptions'!$D$93</f>
        <v>7518.7247544904531</v>
      </c>
      <c r="R54" s="13">
        <f>Q54*'ABP Future Assumptions'!$D$93</f>
        <v>7481.1311307180003</v>
      </c>
      <c r="S54" s="13">
        <f>R54*'ABP Future Assumptions'!$D$93</f>
        <v>7443.7254750644106</v>
      </c>
      <c r="T54" s="13">
        <f>S54*'ABP Future Assumptions'!$D$93</f>
        <v>7406.5068476890883</v>
      </c>
      <c r="U54" s="149"/>
      <c r="V54" s="149"/>
      <c r="W54" s="149"/>
      <c r="X54" s="149"/>
    </row>
    <row r="55" spans="2:24" x14ac:dyDescent="0.25">
      <c r="B55" s="219" t="s">
        <v>155</v>
      </c>
      <c r="C55" s="79">
        <f>'ABP Future Assumptions'!C80</f>
        <v>28234.872699670323</v>
      </c>
      <c r="D55" s="151">
        <f>'ABP Future Assumptions'!F80</f>
        <v>0.14410999999999999</v>
      </c>
      <c r="E55" s="155">
        <f>SUM(F55:X55)</f>
        <v>516343.50943177368</v>
      </c>
      <c r="F55" s="13">
        <f>(C55*D55*8760)/1000</f>
        <v>35643.804941605529</v>
      </c>
      <c r="G55" s="13">
        <f>F55*'ABP Future Assumptions'!$D$93</f>
        <v>35465.5859168975</v>
      </c>
      <c r="H55" s="13">
        <f>G55*'ABP Future Assumptions'!$D$93</f>
        <v>35288.257987313016</v>
      </c>
      <c r="I55" s="13">
        <f>H55*'ABP Future Assumptions'!$D$93</f>
        <v>35111.816697376453</v>
      </c>
      <c r="J55" s="13">
        <f>I55*'ABP Future Assumptions'!$D$93</f>
        <v>34936.257613889567</v>
      </c>
      <c r="K55" s="13">
        <f>J55*'ABP Future Assumptions'!$D$93</f>
        <v>34761.576325820119</v>
      </c>
      <c r="L55" s="13">
        <f>K55*'ABP Future Assumptions'!$D$93</f>
        <v>34587.768444191017</v>
      </c>
      <c r="M55" s="13">
        <f>L55*'ABP Future Assumptions'!$D$93</f>
        <v>34414.829601970065</v>
      </c>
      <c r="N55" s="13">
        <f>M55*'ABP Future Assumptions'!$D$93</f>
        <v>34242.755453960213</v>
      </c>
      <c r="O55" s="13">
        <f>N55*'ABP Future Assumptions'!$D$93</f>
        <v>34071.541676690409</v>
      </c>
      <c r="P55" s="13">
        <f>O55*'ABP Future Assumptions'!$D$93</f>
        <v>33901.183968306956</v>
      </c>
      <c r="Q55" s="13">
        <f>P55*'ABP Future Assumptions'!$D$93</f>
        <v>33731.678048465423</v>
      </c>
      <c r="R55" s="13">
        <f>Q55*'ABP Future Assumptions'!$D$93</f>
        <v>33563.019658223093</v>
      </c>
      <c r="S55" s="13">
        <f>R55*'ABP Future Assumptions'!$D$93</f>
        <v>33395.204559931975</v>
      </c>
      <c r="T55" s="13">
        <f>S55*'ABP Future Assumptions'!$D$93</f>
        <v>33228.228537132316</v>
      </c>
      <c r="U55" s="149"/>
      <c r="V55" s="149"/>
      <c r="W55" s="149"/>
      <c r="X55" s="149"/>
    </row>
    <row r="56" spans="2:24" x14ac:dyDescent="0.25">
      <c r="B56" s="219" t="s">
        <v>150</v>
      </c>
      <c r="C56" s="79">
        <f>'ABP Future Assumptions'!C81</f>
        <v>0</v>
      </c>
      <c r="D56" s="151">
        <f>'ABP Future Assumptions'!F81</f>
        <v>0.14399999999999999</v>
      </c>
      <c r="E56" s="155"/>
      <c r="F56" s="13"/>
      <c r="G56" s="13"/>
      <c r="H56" s="13"/>
      <c r="I56" s="13"/>
      <c r="J56" s="13"/>
      <c r="K56" s="13"/>
      <c r="L56" s="13"/>
      <c r="M56" s="13"/>
      <c r="N56" s="13"/>
      <c r="O56" s="13"/>
      <c r="P56" s="13"/>
      <c r="Q56" s="13"/>
      <c r="R56" s="13"/>
      <c r="S56" s="13"/>
      <c r="T56" s="13"/>
      <c r="U56" s="149"/>
      <c r="V56" s="149"/>
      <c r="W56" s="149"/>
      <c r="X56" s="149"/>
    </row>
    <row r="57" spans="2:24" x14ac:dyDescent="0.25">
      <c r="B57" s="179" t="s">
        <v>167</v>
      </c>
      <c r="C57" s="174">
        <f>'ABP Future Assumptions'!C82</f>
        <v>93380</v>
      </c>
      <c r="D57" s="104"/>
      <c r="E57" s="154"/>
      <c r="F57" s="13"/>
      <c r="G57" s="13"/>
      <c r="H57" s="153"/>
      <c r="I57" s="153"/>
      <c r="J57" s="153"/>
      <c r="K57" s="153"/>
      <c r="L57" s="153"/>
      <c r="M57" s="153"/>
      <c r="N57" s="153"/>
      <c r="O57" s="153"/>
      <c r="P57" s="153"/>
      <c r="Q57" s="153"/>
      <c r="R57" s="153"/>
      <c r="S57" s="153"/>
      <c r="T57" s="153"/>
      <c r="U57" s="179"/>
      <c r="V57" s="179"/>
      <c r="W57" s="179"/>
      <c r="X57" s="179"/>
    </row>
    <row r="58" spans="2:24" x14ac:dyDescent="0.25">
      <c r="B58" s="219" t="s">
        <v>152</v>
      </c>
      <c r="C58" s="79">
        <f>'ABP Future Assumptions'!C83</f>
        <v>3531.4549095663756</v>
      </c>
      <c r="D58" s="151">
        <f>'ABP Future Assumptions'!F83</f>
        <v>0.14305999999999999</v>
      </c>
      <c r="E58" s="152">
        <f>SUM(F58:X58)</f>
        <v>64110.72027844868</v>
      </c>
      <c r="F58" s="13">
        <f>(C58*D58*8760)/1000</f>
        <v>4425.6390688160755</v>
      </c>
      <c r="G58" s="13">
        <f>F58*'ABP Future Assumptions'!$D$93</f>
        <v>4403.5108734719952</v>
      </c>
      <c r="H58" s="13">
        <f>G58*'ABP Future Assumptions'!$D$93</f>
        <v>4381.4933191046348</v>
      </c>
      <c r="I58" s="13">
        <f>H58*'ABP Future Assumptions'!$D$93</f>
        <v>4359.5858525091116</v>
      </c>
      <c r="J58" s="13">
        <f>I58*'ABP Future Assumptions'!$D$93</f>
        <v>4337.7879232465657</v>
      </c>
      <c r="K58" s="13">
        <f>J58*'ABP Future Assumptions'!$D$93</f>
        <v>4316.0989836303324</v>
      </c>
      <c r="L58" s="13">
        <f>K58*'ABP Future Assumptions'!$D$93</f>
        <v>4294.5184887121804</v>
      </c>
      <c r="M58" s="13">
        <f>L58*'ABP Future Assumptions'!$D$93</f>
        <v>4273.0458962686198</v>
      </c>
      <c r="N58" s="13">
        <f>M58*'ABP Future Assumptions'!$D$93</f>
        <v>4251.680666787277</v>
      </c>
      <c r="O58" s="13">
        <f>N58*'ABP Future Assumptions'!$D$93</f>
        <v>4230.4222634533407</v>
      </c>
      <c r="P58" s="13">
        <f>O58*'ABP Future Assumptions'!$D$93</f>
        <v>4209.2701521360741</v>
      </c>
      <c r="Q58" s="13">
        <f>P58*'ABP Future Assumptions'!$D$93</f>
        <v>4188.223801375394</v>
      </c>
      <c r="R58" s="13">
        <f>Q58*'ABP Future Assumptions'!$D$93</f>
        <v>4167.2826823685173</v>
      </c>
      <c r="S58" s="13">
        <f>R58*'ABP Future Assumptions'!$D$93</f>
        <v>4146.4462689566744</v>
      </c>
      <c r="T58" s="13">
        <f>S58*'ABP Future Assumptions'!$D$93</f>
        <v>4125.7140376118914</v>
      </c>
      <c r="U58" s="149"/>
      <c r="V58" s="149"/>
      <c r="W58" s="149"/>
      <c r="X58" s="149"/>
    </row>
    <row r="59" spans="2:24" x14ac:dyDescent="0.25">
      <c r="B59" s="219" t="s">
        <v>147</v>
      </c>
      <c r="C59" s="79">
        <f>'ABP Future Assumptions'!C84</f>
        <v>2749.9472612294699</v>
      </c>
      <c r="D59" s="151">
        <f>'ABP Future Assumptions'!F84</f>
        <v>0.14176</v>
      </c>
      <c r="E59" s="152">
        <f>SUM(F59:X59)</f>
        <v>49469.42238949734</v>
      </c>
      <c r="F59" s="13">
        <f>(C59*D59*8760)/1000</f>
        <v>3414.9329080665534</v>
      </c>
      <c r="G59" s="13">
        <f>F59*'ABP Future Assumptions'!$D$93</f>
        <v>3397.8582435262206</v>
      </c>
      <c r="H59" s="13">
        <f>G59*'ABP Future Assumptions'!$D$93</f>
        <v>3380.8689523085895</v>
      </c>
      <c r="I59" s="13">
        <f>H59*'ABP Future Assumptions'!$D$93</f>
        <v>3363.9646075470464</v>
      </c>
      <c r="J59" s="13">
        <f>I59*'ABP Future Assumptions'!$D$93</f>
        <v>3347.1447845093112</v>
      </c>
      <c r="K59" s="13">
        <f>J59*'ABP Future Assumptions'!$D$93</f>
        <v>3330.4090605867646</v>
      </c>
      <c r="L59" s="13">
        <f>K59*'ABP Future Assumptions'!$D$93</f>
        <v>3313.7570152838307</v>
      </c>
      <c r="M59" s="13">
        <f>L59*'ABP Future Assumptions'!$D$93</f>
        <v>3297.1882302074114</v>
      </c>
      <c r="N59" s="13">
        <f>M59*'ABP Future Assumptions'!$D$93</f>
        <v>3280.7022890563744</v>
      </c>
      <c r="O59" s="13">
        <f>N59*'ABP Future Assumptions'!$D$93</f>
        <v>3264.2987776110926</v>
      </c>
      <c r="P59" s="13">
        <f>O59*'ABP Future Assumptions'!$D$93</f>
        <v>3247.9772837230371</v>
      </c>
      <c r="Q59" s="13">
        <f>P59*'ABP Future Assumptions'!$D$93</f>
        <v>3231.7373973044218</v>
      </c>
      <c r="R59" s="13">
        <f>Q59*'ABP Future Assumptions'!$D$93</f>
        <v>3215.5787103178995</v>
      </c>
      <c r="S59" s="13">
        <f>R59*'ABP Future Assumptions'!$D$93</f>
        <v>3199.50081676631</v>
      </c>
      <c r="T59" s="13">
        <f>S59*'ABP Future Assumptions'!$D$93</f>
        <v>3183.5033126824783</v>
      </c>
      <c r="U59" s="149"/>
      <c r="V59" s="149"/>
      <c r="W59" s="149"/>
      <c r="X59" s="149"/>
    </row>
    <row r="60" spans="2:24" x14ac:dyDescent="0.25">
      <c r="B60" s="219" t="s">
        <v>148</v>
      </c>
      <c r="C60" s="79">
        <f>'ABP Future Assumptions'!C85</f>
        <v>10192.344615055583</v>
      </c>
      <c r="D60" s="151">
        <f>'ABP Future Assumptions'!F85</f>
        <v>0.14119000000000001</v>
      </c>
      <c r="E60" s="152">
        <f>SUM(F60:X60)</f>
        <v>182615.15131711276</v>
      </c>
      <c r="F60" s="13">
        <f>(C60*D60*8760)/1000</f>
        <v>12606.140513109354</v>
      </c>
      <c r="G60" s="13">
        <f>F60*'ABP Future Assumptions'!$D$93</f>
        <v>12543.109810543807</v>
      </c>
      <c r="H60" s="13">
        <f>G60*'ABP Future Assumptions'!$D$93</f>
        <v>12480.394261491088</v>
      </c>
      <c r="I60" s="13">
        <f>H60*'ABP Future Assumptions'!$D$93</f>
        <v>12417.992290183633</v>
      </c>
      <c r="J60" s="13">
        <f>I60*'ABP Future Assumptions'!$D$93</f>
        <v>12355.902328732715</v>
      </c>
      <c r="K60" s="13">
        <f>J60*'ABP Future Assumptions'!$D$93</f>
        <v>12294.122817089052</v>
      </c>
      <c r="L60" s="13">
        <f>K60*'ABP Future Assumptions'!$D$93</f>
        <v>12232.652203003607</v>
      </c>
      <c r="M60" s="13">
        <f>L60*'ABP Future Assumptions'!$D$93</f>
        <v>12171.488941988589</v>
      </c>
      <c r="N60" s="13">
        <f>M60*'ABP Future Assumptions'!$D$93</f>
        <v>12110.631497278646</v>
      </c>
      <c r="O60" s="13">
        <f>N60*'ABP Future Assumptions'!$D$93</f>
        <v>12050.078339792253</v>
      </c>
      <c r="P60" s="13">
        <f>O60*'ABP Future Assumptions'!$D$93</f>
        <v>11989.827948093292</v>
      </c>
      <c r="Q60" s="13">
        <f>P60*'ABP Future Assumptions'!$D$93</f>
        <v>11929.878808352825</v>
      </c>
      <c r="R60" s="13">
        <f>Q60*'ABP Future Assumptions'!$D$93</f>
        <v>11870.229414311061</v>
      </c>
      <c r="S60" s="13">
        <f>R60*'ABP Future Assumptions'!$D$93</f>
        <v>11810.878267239506</v>
      </c>
      <c r="T60" s="13">
        <f>S60*'ABP Future Assumptions'!$D$93</f>
        <v>11751.823875903308</v>
      </c>
      <c r="U60" s="149"/>
      <c r="V60" s="149"/>
      <c r="W60" s="149"/>
      <c r="X60" s="149"/>
    </row>
    <row r="61" spans="2:24" x14ac:dyDescent="0.25">
      <c r="B61" s="219" t="s">
        <v>155</v>
      </c>
      <c r="C61" s="79">
        <f>'ABP Future Assumptions'!C86</f>
        <v>76906.220793171669</v>
      </c>
      <c r="D61" s="151">
        <f>'ABP Future Assumptions'!F86</f>
        <v>0.1497</v>
      </c>
      <c r="E61" s="150">
        <f>SUM(F61:X61)</f>
        <v>1460972.4985025774</v>
      </c>
      <c r="F61" s="13">
        <f>(C61*D61*8760)/1000</f>
        <v>100852.66457398311</v>
      </c>
      <c r="G61" s="13">
        <f>F61*'ABP Future Assumptions'!$D$93</f>
        <v>100348.4012511132</v>
      </c>
      <c r="H61" s="13">
        <f>G61*'ABP Future Assumptions'!$D$93</f>
        <v>99846.659244857641</v>
      </c>
      <c r="I61" s="13">
        <f>H61*'ABP Future Assumptions'!$D$93</f>
        <v>99347.425948633347</v>
      </c>
      <c r="J61" s="13">
        <f>I61*'ABP Future Assumptions'!$D$93</f>
        <v>98850.688818890179</v>
      </c>
      <c r="K61" s="13">
        <f>J61*'ABP Future Assumptions'!$D$93</f>
        <v>98356.435374795721</v>
      </c>
      <c r="L61" s="13">
        <f>K61*'ABP Future Assumptions'!$D$93</f>
        <v>97864.65319792174</v>
      </c>
      <c r="M61" s="13">
        <f>L61*'ABP Future Assumptions'!$D$93</f>
        <v>97375.329931932138</v>
      </c>
      <c r="N61" s="13">
        <f>M61*'ABP Future Assumptions'!$D$93</f>
        <v>96888.453282272472</v>
      </c>
      <c r="O61" s="13">
        <f>N61*'ABP Future Assumptions'!$D$93</f>
        <v>96404.011015861106</v>
      </c>
      <c r="P61" s="13">
        <f>O61*'ABP Future Assumptions'!$D$93</f>
        <v>95921.990960781797</v>
      </c>
      <c r="Q61" s="13">
        <f>P61*'ABP Future Assumptions'!$D$93</f>
        <v>95442.381005977892</v>
      </c>
      <c r="R61" s="13">
        <f>Q61*'ABP Future Assumptions'!$D$93</f>
        <v>94965.169100947998</v>
      </c>
      <c r="S61" s="13">
        <f>R61*'ABP Future Assumptions'!$D$93</f>
        <v>94490.343255443251</v>
      </c>
      <c r="T61" s="13">
        <f>S61*'ABP Future Assumptions'!$D$93</f>
        <v>94017.891539166041</v>
      </c>
      <c r="U61" s="149"/>
      <c r="V61" s="149"/>
      <c r="W61" s="149"/>
      <c r="X61" s="149"/>
    </row>
    <row r="62" spans="2:24" x14ac:dyDescent="0.25">
      <c r="B62" s="219" t="s">
        <v>150</v>
      </c>
      <c r="C62" s="79">
        <f>'ABP Future Assumptions'!C87</f>
        <v>0</v>
      </c>
      <c r="D62" s="151">
        <f>'ABP Future Assumptions'!F87</f>
        <v>0.15</v>
      </c>
      <c r="E62" s="150"/>
      <c r="F62" s="13"/>
      <c r="G62" s="13"/>
      <c r="H62" s="13"/>
      <c r="I62" s="13"/>
      <c r="J62" s="13"/>
      <c r="K62" s="13"/>
      <c r="L62" s="13"/>
      <c r="M62" s="13"/>
      <c r="N62" s="13"/>
      <c r="O62" s="13"/>
      <c r="P62" s="13"/>
      <c r="Q62" s="13"/>
      <c r="R62" s="13"/>
      <c r="S62" s="13"/>
      <c r="T62" s="13"/>
      <c r="U62" s="149"/>
      <c r="V62" s="149"/>
      <c r="W62" s="149"/>
      <c r="X62" s="149"/>
    </row>
    <row r="64" spans="2:24" x14ac:dyDescent="0.25">
      <c r="B64" s="148" t="s">
        <v>177</v>
      </c>
    </row>
    <row r="65" spans="2:24" x14ac:dyDescent="0.25">
      <c r="B65" s="219"/>
    </row>
    <row r="66" spans="2:24" ht="15.75" x14ac:dyDescent="0.25">
      <c r="B66" s="179"/>
      <c r="C66" s="218" t="s">
        <v>173</v>
      </c>
      <c r="D66" s="218" t="s">
        <v>178</v>
      </c>
      <c r="E66" s="218" t="s">
        <v>179</v>
      </c>
      <c r="F66" s="218" t="s">
        <v>23</v>
      </c>
      <c r="G66" s="218" t="s">
        <v>24</v>
      </c>
      <c r="H66" s="218" t="s">
        <v>25</v>
      </c>
      <c r="I66" s="218" t="s">
        <v>26</v>
      </c>
      <c r="J66" s="218" t="s">
        <v>27</v>
      </c>
      <c r="K66" s="218" t="s">
        <v>28</v>
      </c>
      <c r="L66" s="218" t="s">
        <v>29</v>
      </c>
      <c r="M66" s="218" t="s">
        <v>30</v>
      </c>
      <c r="N66" s="218" t="s">
        <v>31</v>
      </c>
      <c r="O66" s="218" t="s">
        <v>32</v>
      </c>
      <c r="P66" s="218" t="s">
        <v>33</v>
      </c>
      <c r="Q66" s="218" t="s">
        <v>34</v>
      </c>
      <c r="R66" s="218" t="s">
        <v>35</v>
      </c>
      <c r="S66" s="218" t="s">
        <v>36</v>
      </c>
      <c r="T66" s="218" t="s">
        <v>37</v>
      </c>
      <c r="U66" s="218" t="s">
        <v>38</v>
      </c>
      <c r="V66" s="218" t="s">
        <v>39</v>
      </c>
      <c r="W66" s="218" t="s">
        <v>40</v>
      </c>
      <c r="X66" s="218" t="s">
        <v>172</v>
      </c>
    </row>
    <row r="67" spans="2:24" ht="15.75" x14ac:dyDescent="0.25">
      <c r="B67" s="184" t="s">
        <v>176</v>
      </c>
      <c r="C67" s="218"/>
      <c r="D67" s="218"/>
      <c r="E67" s="146">
        <f>SUM(E70:E123)</f>
        <v>828096973.31247175</v>
      </c>
      <c r="F67" s="218">
        <v>2025</v>
      </c>
      <c r="G67" s="218">
        <f t="shared" ref="G67:X67" si="8">F67+1</f>
        <v>2026</v>
      </c>
      <c r="H67" s="218">
        <f t="shared" si="8"/>
        <v>2027</v>
      </c>
      <c r="I67" s="218">
        <f t="shared" si="8"/>
        <v>2028</v>
      </c>
      <c r="J67" s="218">
        <f t="shared" si="8"/>
        <v>2029</v>
      </c>
      <c r="K67" s="218">
        <f t="shared" si="8"/>
        <v>2030</v>
      </c>
      <c r="L67" s="218">
        <f t="shared" si="8"/>
        <v>2031</v>
      </c>
      <c r="M67" s="218">
        <f t="shared" si="8"/>
        <v>2032</v>
      </c>
      <c r="N67" s="218">
        <f t="shared" si="8"/>
        <v>2033</v>
      </c>
      <c r="O67" s="218">
        <f t="shared" si="8"/>
        <v>2034</v>
      </c>
      <c r="P67" s="218">
        <f t="shared" si="8"/>
        <v>2035</v>
      </c>
      <c r="Q67" s="218">
        <f t="shared" si="8"/>
        <v>2036</v>
      </c>
      <c r="R67" s="218">
        <f t="shared" si="8"/>
        <v>2037</v>
      </c>
      <c r="S67" s="218">
        <f t="shared" si="8"/>
        <v>2038</v>
      </c>
      <c r="T67" s="218">
        <f t="shared" si="8"/>
        <v>2039</v>
      </c>
      <c r="U67" s="218">
        <f t="shared" si="8"/>
        <v>2040</v>
      </c>
      <c r="V67" s="218">
        <f t="shared" si="8"/>
        <v>2041</v>
      </c>
      <c r="W67" s="218">
        <f t="shared" si="8"/>
        <v>2042</v>
      </c>
      <c r="X67" s="218">
        <f t="shared" si="8"/>
        <v>2043</v>
      </c>
    </row>
    <row r="68" spans="2:24" x14ac:dyDescent="0.25">
      <c r="B68" s="98" t="s">
        <v>92</v>
      </c>
      <c r="C68" s="145">
        <f>C70+C77+C90+C93+C108+C111</f>
        <v>667000</v>
      </c>
      <c r="D68" s="147"/>
      <c r="E68" s="146"/>
      <c r="F68" s="146"/>
      <c r="G68" s="146"/>
      <c r="H68" s="146"/>
      <c r="I68" s="146"/>
      <c r="J68" s="146"/>
      <c r="K68" s="146"/>
      <c r="L68" s="146"/>
      <c r="M68" s="146"/>
      <c r="N68" s="146"/>
      <c r="O68" s="146"/>
      <c r="P68" s="146"/>
      <c r="Q68" s="146"/>
      <c r="R68" s="146"/>
      <c r="S68" s="146"/>
      <c r="T68" s="146"/>
      <c r="U68" s="146"/>
      <c r="V68" s="146"/>
      <c r="W68" s="146"/>
      <c r="X68" s="146"/>
    </row>
    <row r="69" spans="2:24" x14ac:dyDescent="0.25">
      <c r="B69" s="98" t="s">
        <v>137</v>
      </c>
      <c r="C69" s="145">
        <f>C72+C73+C75+C76+C79+C80+C81+C82+C85+C86+C87+C88+C91+C92+C95+C96+C97+C98+C99+C102+C103+C104+C105+C106+C109+C110+C113+C114+C115+C116+C119+C120+C121+C122</f>
        <v>666999.78334878595</v>
      </c>
      <c r="D69" s="101"/>
      <c r="E69" s="18">
        <f t="shared" ref="E69:X69" si="9">E70+E77+E90+E93+E108+E111</f>
        <v>828096973.31247175</v>
      </c>
      <c r="F69" s="18">
        <f>F70+F77+F90+F93+F108+F111</f>
        <v>204284231.95154271</v>
      </c>
      <c r="G69" s="18">
        <f>G70+G77+G90+G93+G108+G111</f>
        <v>61383552.303259507</v>
      </c>
      <c r="H69" s="18">
        <f t="shared" si="9"/>
        <v>60958581.442118526</v>
      </c>
      <c r="I69" s="18">
        <f t="shared" si="9"/>
        <v>60847299.972295299</v>
      </c>
      <c r="J69" s="18">
        <f t="shared" si="9"/>
        <v>60736574.909821197</v>
      </c>
      <c r="K69" s="18">
        <f t="shared" si="9"/>
        <v>60626403.472659454</v>
      </c>
      <c r="L69" s="18">
        <f t="shared" si="9"/>
        <v>60516782.892683521</v>
      </c>
      <c r="M69" s="18">
        <f t="shared" si="9"/>
        <v>27028636.133314371</v>
      </c>
      <c r="N69" s="18">
        <f t="shared" si="9"/>
        <v>21596895.823442794</v>
      </c>
      <c r="O69" s="18">
        <f t="shared" si="9"/>
        <v>21488911.344325576</v>
      </c>
      <c r="P69" s="18">
        <f t="shared" si="9"/>
        <v>21381466.787603952</v>
      </c>
      <c r="Q69" s="18">
        <f t="shared" si="9"/>
        <v>21274559.453665931</v>
      </c>
      <c r="R69" s="18">
        <f t="shared" si="9"/>
        <v>21168186.656397596</v>
      </c>
      <c r="S69" s="18">
        <f t="shared" si="9"/>
        <v>21062345.723115612</v>
      </c>
      <c r="T69" s="18">
        <f t="shared" si="9"/>
        <v>20957033.99450003</v>
      </c>
      <c r="U69" s="18">
        <f t="shared" si="9"/>
        <v>20852248.824527532</v>
      </c>
      <c r="V69" s="18">
        <f t="shared" si="9"/>
        <v>20747987.580404893</v>
      </c>
      <c r="W69" s="18">
        <f t="shared" si="9"/>
        <v>20644247.64250287</v>
      </c>
      <c r="X69" s="18">
        <f t="shared" si="9"/>
        <v>20541026.404290356</v>
      </c>
    </row>
    <row r="70" spans="2:24" x14ac:dyDescent="0.25">
      <c r="B70" s="14" t="s">
        <v>138</v>
      </c>
      <c r="C70" s="79">
        <f>'ABP Future Assumptions'!C6</f>
        <v>120060</v>
      </c>
      <c r="D70" s="102"/>
      <c r="E70" s="18">
        <f>SUM(F70:Y70)</f>
        <v>160339848.81633624</v>
      </c>
      <c r="F70" s="144">
        <f t="shared" ref="F70:X70" si="10">F72+F73+F75+F76</f>
        <v>160339848.81633624</v>
      </c>
      <c r="G70" s="144">
        <f t="shared" si="10"/>
        <v>0</v>
      </c>
      <c r="H70" s="144">
        <f t="shared" si="10"/>
        <v>0</v>
      </c>
      <c r="I70" s="144">
        <f t="shared" si="10"/>
        <v>0</v>
      </c>
      <c r="J70" s="144">
        <f t="shared" si="10"/>
        <v>0</v>
      </c>
      <c r="K70" s="144">
        <f t="shared" si="10"/>
        <v>0</v>
      </c>
      <c r="L70" s="144">
        <f t="shared" si="10"/>
        <v>0</v>
      </c>
      <c r="M70" s="144">
        <f t="shared" si="10"/>
        <v>0</v>
      </c>
      <c r="N70" s="144">
        <f t="shared" si="10"/>
        <v>0</v>
      </c>
      <c r="O70" s="144">
        <f t="shared" si="10"/>
        <v>0</v>
      </c>
      <c r="P70" s="144">
        <f t="shared" si="10"/>
        <v>0</v>
      </c>
      <c r="Q70" s="144">
        <f t="shared" si="10"/>
        <v>0</v>
      </c>
      <c r="R70" s="144">
        <f t="shared" si="10"/>
        <v>0</v>
      </c>
      <c r="S70" s="144">
        <f t="shared" si="10"/>
        <v>0</v>
      </c>
      <c r="T70" s="144">
        <f t="shared" si="10"/>
        <v>0</v>
      </c>
      <c r="U70" s="144">
        <f t="shared" si="10"/>
        <v>0</v>
      </c>
      <c r="V70" s="144">
        <f t="shared" si="10"/>
        <v>0</v>
      </c>
      <c r="W70" s="144">
        <f t="shared" si="10"/>
        <v>0</v>
      </c>
      <c r="X70" s="144">
        <f t="shared" si="10"/>
        <v>0</v>
      </c>
    </row>
    <row r="71" spans="2:24" x14ac:dyDescent="0.25">
      <c r="B71" s="179" t="s">
        <v>139</v>
      </c>
      <c r="C71" s="174">
        <f>'ABP Future Assumptions'!C7</f>
        <v>36018</v>
      </c>
      <c r="D71" s="176"/>
      <c r="E71" s="179"/>
      <c r="F71" s="143"/>
      <c r="G71" s="176"/>
      <c r="H71" s="176"/>
      <c r="I71" s="176"/>
      <c r="J71" s="176"/>
      <c r="K71" s="176"/>
      <c r="L71" s="176"/>
      <c r="M71" s="176"/>
      <c r="N71" s="176"/>
      <c r="O71" s="176"/>
      <c r="P71" s="176"/>
      <c r="Q71" s="176"/>
      <c r="R71" s="176"/>
      <c r="S71" s="176"/>
      <c r="T71" s="176"/>
      <c r="U71" s="176"/>
      <c r="V71" s="176"/>
      <c r="W71" s="176"/>
      <c r="X71" s="176"/>
    </row>
    <row r="72" spans="2:24" x14ac:dyDescent="0.25">
      <c r="B72" s="219" t="s">
        <v>140</v>
      </c>
      <c r="C72" s="79">
        <f>'ABP Future Assumptions'!C8</f>
        <v>13686.84</v>
      </c>
      <c r="D72" s="80">
        <f>'ABP Future Assumptions'!J8</f>
        <v>73.709999999999994</v>
      </c>
      <c r="E72" s="219"/>
      <c r="F72" s="141">
        <f>E11*D72</f>
        <v>19054959.626064043</v>
      </c>
      <c r="G72" s="42"/>
      <c r="H72" s="42"/>
      <c r="I72" s="42"/>
      <c r="J72" s="42"/>
      <c r="K72" s="42"/>
      <c r="L72" s="42"/>
      <c r="M72" s="42"/>
      <c r="N72" s="42"/>
      <c r="O72" s="42"/>
      <c r="P72" s="42"/>
      <c r="Q72" s="42"/>
      <c r="R72" s="42"/>
      <c r="S72" s="42"/>
      <c r="T72" s="42"/>
      <c r="U72" s="42"/>
      <c r="V72" s="42"/>
      <c r="W72" s="42"/>
      <c r="X72" s="42"/>
    </row>
    <row r="73" spans="2:24" x14ac:dyDescent="0.25">
      <c r="B73" s="219" t="s">
        <v>141</v>
      </c>
      <c r="C73" s="79">
        <f>'ABP Future Assumptions'!C9</f>
        <v>22331.16</v>
      </c>
      <c r="D73" s="80">
        <f>'ABP Future Assumptions'!J9</f>
        <v>63.53</v>
      </c>
      <c r="E73" s="219"/>
      <c r="F73" s="141">
        <f>E12*D73</f>
        <v>27238791.577146009</v>
      </c>
      <c r="G73" s="42"/>
      <c r="H73" s="42"/>
      <c r="I73" s="42"/>
      <c r="J73" s="42"/>
      <c r="K73" s="42"/>
      <c r="L73" s="42"/>
      <c r="M73" s="42"/>
      <c r="N73" s="42"/>
      <c r="O73" s="42"/>
      <c r="P73" s="42"/>
      <c r="Q73" s="42"/>
      <c r="R73" s="42"/>
      <c r="S73" s="42"/>
      <c r="T73" s="42"/>
      <c r="U73" s="42"/>
      <c r="V73" s="42"/>
      <c r="W73" s="42"/>
      <c r="X73" s="42"/>
    </row>
    <row r="74" spans="2:24" x14ac:dyDescent="0.25">
      <c r="B74" s="179" t="s">
        <v>142</v>
      </c>
      <c r="C74" s="174">
        <f>'ABP Future Assumptions'!C10</f>
        <v>84042</v>
      </c>
      <c r="D74" s="103"/>
      <c r="E74" s="179"/>
      <c r="F74" s="142"/>
      <c r="G74" s="176"/>
      <c r="H74" s="176"/>
      <c r="I74" s="176"/>
      <c r="J74" s="176"/>
      <c r="K74" s="176"/>
      <c r="L74" s="176"/>
      <c r="M74" s="176"/>
      <c r="N74" s="176"/>
      <c r="O74" s="176"/>
      <c r="P74" s="176"/>
      <c r="Q74" s="176"/>
      <c r="R74" s="176"/>
      <c r="S74" s="176"/>
      <c r="T74" s="176"/>
      <c r="U74" s="176"/>
      <c r="V74" s="176"/>
      <c r="W74" s="176"/>
      <c r="X74" s="176"/>
    </row>
    <row r="75" spans="2:24" x14ac:dyDescent="0.25">
      <c r="B75" s="219" t="s">
        <v>143</v>
      </c>
      <c r="C75" s="79">
        <f>'ABP Future Assumptions'!C11</f>
        <v>31935.96</v>
      </c>
      <c r="D75" s="80">
        <f>'ABP Future Assumptions'!J11</f>
        <v>83.87</v>
      </c>
      <c r="E75" s="219"/>
      <c r="F75" s="141">
        <f>E14*D75</f>
        <v>45766926.318576343</v>
      </c>
      <c r="G75" s="42"/>
      <c r="H75" s="42"/>
      <c r="I75" s="42"/>
      <c r="J75" s="42"/>
      <c r="K75" s="42"/>
      <c r="L75" s="42"/>
      <c r="M75" s="42"/>
      <c r="N75" s="42"/>
      <c r="O75" s="42"/>
      <c r="P75" s="42"/>
      <c r="Q75" s="42"/>
      <c r="R75" s="42"/>
      <c r="S75" s="42"/>
      <c r="T75" s="42"/>
      <c r="U75" s="42"/>
      <c r="V75" s="42"/>
      <c r="W75" s="42"/>
      <c r="X75" s="42"/>
    </row>
    <row r="76" spans="2:24" x14ac:dyDescent="0.25">
      <c r="B76" s="219" t="s">
        <v>141</v>
      </c>
      <c r="C76" s="79">
        <f>'ABP Future Assumptions'!C12</f>
        <v>52106.04</v>
      </c>
      <c r="D76" s="80">
        <f>'ABP Future Assumptions'!J12</f>
        <v>77.53</v>
      </c>
      <c r="E76" s="219"/>
      <c r="F76" s="141">
        <f>E15*D76</f>
        <v>68279171.294549853</v>
      </c>
      <c r="G76" s="42"/>
      <c r="H76" s="42"/>
      <c r="I76" s="42"/>
      <c r="J76" s="42"/>
      <c r="K76" s="42"/>
      <c r="L76" s="42"/>
      <c r="M76" s="42"/>
      <c r="N76" s="42"/>
      <c r="O76" s="42"/>
      <c r="P76" s="42"/>
      <c r="Q76" s="42"/>
      <c r="R76" s="42"/>
      <c r="S76" s="42"/>
      <c r="T76" s="42"/>
      <c r="U76" s="42"/>
      <c r="V76" s="42"/>
      <c r="W76" s="42"/>
      <c r="X76" s="42"/>
    </row>
    <row r="77" spans="2:24" x14ac:dyDescent="0.25">
      <c r="B77" s="14" t="s">
        <v>144</v>
      </c>
      <c r="C77" s="79">
        <f>'ABP Future Assumptions'!C13</f>
        <v>120060</v>
      </c>
      <c r="D77" s="102"/>
      <c r="E77" s="18">
        <f>SUM(F77:Y77)</f>
        <v>111608050.23181599</v>
      </c>
      <c r="F77" s="135">
        <f t="shared" ref="F77:X77" si="11">SUM(F79:F88)</f>
        <v>16741207.534772398</v>
      </c>
      <c r="G77" s="135">
        <f t="shared" si="11"/>
        <v>15811140.449507266</v>
      </c>
      <c r="H77" s="135">
        <f t="shared" si="11"/>
        <v>15811140.449507266</v>
      </c>
      <c r="I77" s="135">
        <f t="shared" si="11"/>
        <v>15811140.449507266</v>
      </c>
      <c r="J77" s="135">
        <f t="shared" si="11"/>
        <v>15811140.449507266</v>
      </c>
      <c r="K77" s="135">
        <f t="shared" si="11"/>
        <v>15811140.449507266</v>
      </c>
      <c r="L77" s="135">
        <f t="shared" si="11"/>
        <v>15811140.449507266</v>
      </c>
      <c r="M77" s="135">
        <f t="shared" si="11"/>
        <v>0</v>
      </c>
      <c r="N77" s="135">
        <f t="shared" si="11"/>
        <v>0</v>
      </c>
      <c r="O77" s="135">
        <f t="shared" si="11"/>
        <v>0</v>
      </c>
      <c r="P77" s="135">
        <f t="shared" si="11"/>
        <v>0</v>
      </c>
      <c r="Q77" s="135">
        <f t="shared" si="11"/>
        <v>0</v>
      </c>
      <c r="R77" s="135">
        <f t="shared" si="11"/>
        <v>0</v>
      </c>
      <c r="S77" s="135">
        <f t="shared" si="11"/>
        <v>0</v>
      </c>
      <c r="T77" s="135">
        <f t="shared" si="11"/>
        <v>0</v>
      </c>
      <c r="U77" s="135">
        <f t="shared" si="11"/>
        <v>0</v>
      </c>
      <c r="V77" s="135">
        <f t="shared" si="11"/>
        <v>0</v>
      </c>
      <c r="W77" s="135">
        <f t="shared" si="11"/>
        <v>0</v>
      </c>
      <c r="X77" s="135">
        <f t="shared" si="11"/>
        <v>0</v>
      </c>
    </row>
    <row r="78" spans="2:24" x14ac:dyDescent="0.25">
      <c r="B78" s="179" t="s">
        <v>145</v>
      </c>
      <c r="C78" s="174">
        <f>'ABP Future Assumptions'!C14</f>
        <v>36018</v>
      </c>
      <c r="D78" s="103"/>
      <c r="E78" s="179"/>
      <c r="F78" s="176"/>
      <c r="G78" s="176"/>
      <c r="H78" s="176"/>
      <c r="I78" s="176"/>
      <c r="J78" s="176"/>
      <c r="K78" s="176"/>
      <c r="L78" s="176"/>
      <c r="M78" s="176"/>
      <c r="N78" s="176"/>
      <c r="O78" s="176"/>
      <c r="P78" s="176"/>
      <c r="Q78" s="176"/>
      <c r="R78" s="176"/>
      <c r="S78" s="176"/>
      <c r="T78" s="176"/>
      <c r="U78" s="176"/>
      <c r="V78" s="176"/>
      <c r="W78" s="176"/>
      <c r="X78" s="176"/>
    </row>
    <row r="79" spans="2:24" x14ac:dyDescent="0.25">
      <c r="B79" s="219" t="s">
        <v>146</v>
      </c>
      <c r="C79" s="79">
        <f>'ABP Future Assumptions'!C15</f>
        <v>2974.721508385157</v>
      </c>
      <c r="D79" s="80">
        <f>'ABP Future Assumptions'!J15</f>
        <v>55.89</v>
      </c>
      <c r="E79" s="219"/>
      <c r="F79" s="42">
        <f>(E18*D79)*0.15</f>
        <v>480937.13923760992</v>
      </c>
      <c r="G79" s="42">
        <f>((E18*D79)-F79)/6</f>
        <v>454218.40927996504</v>
      </c>
      <c r="H79" s="42">
        <f t="shared" ref="H79:L82" si="12">G79</f>
        <v>454218.40927996504</v>
      </c>
      <c r="I79" s="42">
        <f t="shared" si="12"/>
        <v>454218.40927996504</v>
      </c>
      <c r="J79" s="42">
        <f t="shared" si="12"/>
        <v>454218.40927996504</v>
      </c>
      <c r="K79" s="42">
        <f t="shared" si="12"/>
        <v>454218.40927996504</v>
      </c>
      <c r="L79" s="42">
        <f t="shared" si="12"/>
        <v>454218.40927996504</v>
      </c>
      <c r="M79" s="42"/>
      <c r="N79" s="42"/>
      <c r="O79" s="42"/>
      <c r="P79" s="42"/>
      <c r="Q79" s="42"/>
      <c r="R79" s="42"/>
      <c r="S79" s="42"/>
      <c r="T79" s="42"/>
      <c r="U79" s="42"/>
      <c r="V79" s="42"/>
      <c r="W79" s="42"/>
      <c r="X79" s="42"/>
    </row>
    <row r="80" spans="2:24" x14ac:dyDescent="0.25">
      <c r="B80" s="219" t="s">
        <v>147</v>
      </c>
      <c r="C80" s="79">
        <f>'ABP Future Assumptions'!C16</f>
        <v>2297.8305238371736</v>
      </c>
      <c r="D80" s="80">
        <f>'ABP Future Assumptions'!J16</f>
        <v>53.63</v>
      </c>
      <c r="E80" s="219"/>
      <c r="F80" s="42">
        <f>(E19*D80)*0.15</f>
        <v>347611.96626230108</v>
      </c>
      <c r="G80" s="42">
        <f>((E19*D80)-F80)/6</f>
        <v>328300.19035883993</v>
      </c>
      <c r="H80" s="42">
        <f t="shared" si="12"/>
        <v>328300.19035883993</v>
      </c>
      <c r="I80" s="42">
        <f t="shared" si="12"/>
        <v>328300.19035883993</v>
      </c>
      <c r="J80" s="42">
        <f t="shared" si="12"/>
        <v>328300.19035883993</v>
      </c>
      <c r="K80" s="42">
        <f t="shared" si="12"/>
        <v>328300.19035883993</v>
      </c>
      <c r="L80" s="42">
        <f t="shared" si="12"/>
        <v>328300.19035883993</v>
      </c>
      <c r="M80" s="42"/>
      <c r="N80" s="42"/>
      <c r="O80" s="42"/>
      <c r="P80" s="42"/>
      <c r="Q80" s="42"/>
      <c r="R80" s="42"/>
      <c r="S80" s="42"/>
      <c r="T80" s="42"/>
      <c r="U80" s="42"/>
      <c r="V80" s="42"/>
      <c r="W80" s="42"/>
      <c r="X80" s="42"/>
    </row>
    <row r="81" spans="2:24" x14ac:dyDescent="0.25">
      <c r="B81" s="219" t="s">
        <v>148</v>
      </c>
      <c r="C81" s="79">
        <f>'ABP Future Assumptions'!C17</f>
        <v>5333.9890926942562</v>
      </c>
      <c r="D81" s="80">
        <f>'ABP Future Assumptions'!J17</f>
        <v>46.58</v>
      </c>
      <c r="E81" s="219"/>
      <c r="F81" s="42">
        <f>(E20*D81)*0.15</f>
        <v>723732.73208033352</v>
      </c>
      <c r="G81" s="42">
        <f>((E20*D81)-F81)/6</f>
        <v>683525.35807587055</v>
      </c>
      <c r="H81" s="42">
        <f t="shared" si="12"/>
        <v>683525.35807587055</v>
      </c>
      <c r="I81" s="42">
        <f t="shared" si="12"/>
        <v>683525.35807587055</v>
      </c>
      <c r="J81" s="42">
        <f t="shared" si="12"/>
        <v>683525.35807587055</v>
      </c>
      <c r="K81" s="42">
        <f t="shared" si="12"/>
        <v>683525.35807587055</v>
      </c>
      <c r="L81" s="42">
        <f t="shared" si="12"/>
        <v>683525.35807587055</v>
      </c>
      <c r="M81" s="42"/>
      <c r="N81" s="42"/>
      <c r="O81" s="42"/>
      <c r="P81" s="42"/>
      <c r="Q81" s="42"/>
      <c r="R81" s="42"/>
      <c r="S81" s="42"/>
      <c r="T81" s="42"/>
      <c r="U81" s="42"/>
      <c r="V81" s="42"/>
      <c r="W81" s="42"/>
      <c r="X81" s="42"/>
    </row>
    <row r="82" spans="2:24" x14ac:dyDescent="0.25">
      <c r="B82" s="219" t="s">
        <v>155</v>
      </c>
      <c r="C82" s="79">
        <f>'ABP Future Assumptions'!C18</f>
        <v>25411.385429703292</v>
      </c>
      <c r="D82" s="80">
        <f>'ABP Future Assumptions'!J18</f>
        <v>43.77</v>
      </c>
      <c r="E82" s="219"/>
      <c r="F82" s="42">
        <f>(E21*D82)*0.15</f>
        <v>3051047.9800568805</v>
      </c>
      <c r="G82" s="42">
        <f>((E21*D82)-F82)/6</f>
        <v>2881545.3144981652</v>
      </c>
      <c r="H82" s="42">
        <f t="shared" si="12"/>
        <v>2881545.3144981652</v>
      </c>
      <c r="I82" s="42">
        <f t="shared" si="12"/>
        <v>2881545.3144981652</v>
      </c>
      <c r="J82" s="42">
        <f t="shared" si="12"/>
        <v>2881545.3144981652</v>
      </c>
      <c r="K82" s="42">
        <f t="shared" si="12"/>
        <v>2881545.3144981652</v>
      </c>
      <c r="L82" s="42">
        <f t="shared" si="12"/>
        <v>2881545.3144981652</v>
      </c>
      <c r="M82" s="42"/>
      <c r="N82" s="42"/>
      <c r="O82" s="42"/>
      <c r="P82" s="42"/>
      <c r="Q82" s="42"/>
      <c r="R82" s="42"/>
      <c r="S82" s="42"/>
      <c r="T82" s="42"/>
      <c r="U82" s="42"/>
      <c r="V82" s="42"/>
      <c r="W82" s="42"/>
      <c r="X82" s="42"/>
    </row>
    <row r="83" spans="2:24" x14ac:dyDescent="0.25">
      <c r="B83" s="219" t="s">
        <v>150</v>
      </c>
      <c r="C83" s="79">
        <f>'ABP Future Assumptions'!C19</f>
        <v>0</v>
      </c>
      <c r="D83" s="80">
        <f>'ABP Future Assumptions'!J19</f>
        <v>33.03</v>
      </c>
      <c r="E83" s="219"/>
      <c r="F83" s="42"/>
      <c r="G83" s="42"/>
      <c r="H83" s="42"/>
      <c r="I83" s="42"/>
      <c r="J83" s="42"/>
      <c r="K83" s="42"/>
      <c r="L83" s="42"/>
      <c r="M83" s="42"/>
      <c r="N83" s="42"/>
      <c r="O83" s="42"/>
      <c r="P83" s="42"/>
      <c r="Q83" s="42"/>
      <c r="R83" s="42"/>
      <c r="S83" s="42"/>
      <c r="T83" s="42"/>
      <c r="U83" s="42"/>
      <c r="V83" s="42"/>
      <c r="W83" s="42"/>
      <c r="X83" s="42"/>
    </row>
    <row r="84" spans="2:24" x14ac:dyDescent="0.25">
      <c r="B84" s="179" t="s">
        <v>151</v>
      </c>
      <c r="C84" s="174">
        <f>'ABP Future Assumptions'!C20</f>
        <v>84042</v>
      </c>
      <c r="D84" s="103"/>
      <c r="E84" s="179"/>
      <c r="F84" s="140"/>
      <c r="G84" s="140"/>
      <c r="H84" s="176"/>
      <c r="I84" s="176"/>
      <c r="J84" s="176"/>
      <c r="K84" s="176"/>
      <c r="L84" s="176"/>
      <c r="M84" s="176"/>
      <c r="N84" s="176"/>
      <c r="O84" s="176"/>
      <c r="P84" s="176"/>
      <c r="Q84" s="176"/>
      <c r="R84" s="176"/>
      <c r="S84" s="176"/>
      <c r="T84" s="176"/>
      <c r="U84" s="176"/>
      <c r="V84" s="176"/>
      <c r="W84" s="176"/>
      <c r="X84" s="176"/>
    </row>
    <row r="85" spans="2:24" x14ac:dyDescent="0.25">
      <c r="B85" s="219" t="s">
        <v>152</v>
      </c>
      <c r="C85" s="79">
        <f>'ABP Future Assumptions'!C21</f>
        <v>3178.3094186097378</v>
      </c>
      <c r="D85" s="80">
        <f>'ABP Future Assumptions'!J21</f>
        <v>70.23</v>
      </c>
      <c r="E85" s="219"/>
      <c r="F85" s="42">
        <f>(E24*D85)*0.15</f>
        <v>607836.94449598587</v>
      </c>
      <c r="G85" s="42">
        <f>((E24*D85)-F85)/6</f>
        <v>574068.22535732004</v>
      </c>
      <c r="H85" s="42">
        <f t="shared" ref="H85:L88" si="13">G85</f>
        <v>574068.22535732004</v>
      </c>
      <c r="I85" s="42">
        <f t="shared" si="13"/>
        <v>574068.22535732004</v>
      </c>
      <c r="J85" s="42">
        <f t="shared" si="13"/>
        <v>574068.22535732004</v>
      </c>
      <c r="K85" s="42">
        <f t="shared" si="13"/>
        <v>574068.22535732004</v>
      </c>
      <c r="L85" s="42">
        <f t="shared" si="13"/>
        <v>574068.22535732004</v>
      </c>
      <c r="M85" s="42"/>
      <c r="N85" s="42"/>
      <c r="O85" s="42"/>
      <c r="P85" s="42"/>
      <c r="Q85" s="42"/>
      <c r="R85" s="42"/>
      <c r="S85" s="42"/>
      <c r="T85" s="42"/>
      <c r="U85" s="42"/>
      <c r="V85" s="42"/>
      <c r="W85" s="42"/>
      <c r="X85" s="42"/>
    </row>
    <row r="86" spans="2:24" x14ac:dyDescent="0.25">
      <c r="B86" s="219" t="s">
        <v>147</v>
      </c>
      <c r="C86" s="79">
        <f>'ABP Future Assumptions'!C22</f>
        <v>2474.9525351065226</v>
      </c>
      <c r="D86" s="80">
        <f>'ABP Future Assumptions'!J22</f>
        <v>63.34</v>
      </c>
      <c r="E86" s="219"/>
      <c r="F86" s="42">
        <f>(E25*D86)*0.15</f>
        <v>423008.08391035284</v>
      </c>
      <c r="G86" s="42">
        <f>((E25*D86)-F86)/6</f>
        <v>399507.63480422209</v>
      </c>
      <c r="H86" s="42">
        <f t="shared" si="13"/>
        <v>399507.63480422209</v>
      </c>
      <c r="I86" s="42">
        <f t="shared" si="13"/>
        <v>399507.63480422209</v>
      </c>
      <c r="J86" s="42">
        <f t="shared" si="13"/>
        <v>399507.63480422209</v>
      </c>
      <c r="K86" s="42">
        <f t="shared" si="13"/>
        <v>399507.63480422209</v>
      </c>
      <c r="L86" s="42">
        <f t="shared" si="13"/>
        <v>399507.63480422209</v>
      </c>
      <c r="M86" s="42"/>
      <c r="N86" s="42"/>
      <c r="O86" s="42"/>
      <c r="P86" s="42"/>
      <c r="Q86" s="42"/>
      <c r="R86" s="42"/>
      <c r="S86" s="42"/>
      <c r="T86" s="42"/>
      <c r="U86" s="42"/>
      <c r="V86" s="42"/>
      <c r="W86" s="42"/>
      <c r="X86" s="42"/>
    </row>
    <row r="87" spans="2:24" x14ac:dyDescent="0.25">
      <c r="B87" s="219" t="s">
        <v>148</v>
      </c>
      <c r="C87" s="79">
        <f>'ABP Future Assumptions'!C23</f>
        <v>9173.1101535500238</v>
      </c>
      <c r="D87" s="80">
        <f>'ABP Future Assumptions'!J23</f>
        <v>54.6</v>
      </c>
      <c r="E87" s="219"/>
      <c r="F87" s="42">
        <f>(E26*D87)*0.15</f>
        <v>1346056.2803584374</v>
      </c>
      <c r="G87" s="42">
        <f>((E26*D87)-F87)/6</f>
        <v>1271275.3758940799</v>
      </c>
      <c r="H87" s="42">
        <f t="shared" si="13"/>
        <v>1271275.3758940799</v>
      </c>
      <c r="I87" s="42">
        <f t="shared" si="13"/>
        <v>1271275.3758940799</v>
      </c>
      <c r="J87" s="42">
        <f t="shared" si="13"/>
        <v>1271275.3758940799</v>
      </c>
      <c r="K87" s="42">
        <f t="shared" si="13"/>
        <v>1271275.3758940799</v>
      </c>
      <c r="L87" s="42">
        <f t="shared" si="13"/>
        <v>1271275.3758940799</v>
      </c>
      <c r="M87" s="42"/>
      <c r="N87" s="42"/>
      <c r="O87" s="42"/>
      <c r="P87" s="42"/>
      <c r="Q87" s="42"/>
      <c r="R87" s="42"/>
      <c r="S87" s="42"/>
      <c r="T87" s="42"/>
      <c r="U87" s="42"/>
      <c r="V87" s="42"/>
      <c r="W87" s="42"/>
      <c r="X87" s="42"/>
    </row>
    <row r="88" spans="2:24" x14ac:dyDescent="0.25">
      <c r="B88" s="219" t="s">
        <v>155</v>
      </c>
      <c r="C88" s="79">
        <f>'ABP Future Assumptions'!C24</f>
        <v>69215.598713854502</v>
      </c>
      <c r="D88" s="80">
        <f>'ABP Future Assumptions'!J24</f>
        <v>49.49</v>
      </c>
      <c r="E88" s="219"/>
      <c r="F88" s="42">
        <f>(E27*D88)*0.15</f>
        <v>9760976.4083704967</v>
      </c>
      <c r="G88" s="42">
        <f>((E27*D88)-F88)/6</f>
        <v>9218699.9412388038</v>
      </c>
      <c r="H88" s="42">
        <f t="shared" si="13"/>
        <v>9218699.9412388038</v>
      </c>
      <c r="I88" s="42">
        <f t="shared" si="13"/>
        <v>9218699.9412388038</v>
      </c>
      <c r="J88" s="42">
        <f t="shared" si="13"/>
        <v>9218699.9412388038</v>
      </c>
      <c r="K88" s="42">
        <f t="shared" si="13"/>
        <v>9218699.9412388038</v>
      </c>
      <c r="L88" s="42">
        <f t="shared" si="13"/>
        <v>9218699.9412388038</v>
      </c>
      <c r="M88" s="42"/>
      <c r="N88" s="42"/>
      <c r="O88" s="42"/>
      <c r="P88" s="42"/>
      <c r="Q88" s="42"/>
      <c r="R88" s="42"/>
      <c r="S88" s="42"/>
      <c r="T88" s="42"/>
      <c r="U88" s="42"/>
      <c r="V88" s="42"/>
      <c r="W88" s="42"/>
      <c r="X88" s="42"/>
    </row>
    <row r="89" spans="2:24" x14ac:dyDescent="0.25">
      <c r="B89" s="219" t="s">
        <v>150</v>
      </c>
      <c r="C89" s="79">
        <f>'ABP Future Assumptions'!C25</f>
        <v>0</v>
      </c>
      <c r="D89" s="80">
        <f>'ABP Future Assumptions'!J25</f>
        <v>37.049999999999997</v>
      </c>
      <c r="E89" s="219"/>
      <c r="F89" s="42"/>
      <c r="G89" s="42"/>
      <c r="H89" s="42"/>
      <c r="I89" s="42"/>
      <c r="J89" s="42"/>
      <c r="K89" s="42"/>
      <c r="L89" s="42"/>
      <c r="M89" s="42"/>
      <c r="N89" s="42"/>
      <c r="O89" s="42"/>
      <c r="P89" s="42"/>
      <c r="Q89" s="42"/>
      <c r="R89" s="42"/>
      <c r="S89" s="42"/>
      <c r="T89" s="42"/>
      <c r="U89" s="42"/>
      <c r="V89" s="42"/>
      <c r="W89" s="42"/>
      <c r="X89" s="42"/>
    </row>
    <row r="90" spans="2:24" x14ac:dyDescent="0.25">
      <c r="B90" s="14" t="s">
        <v>180</v>
      </c>
      <c r="C90" s="79">
        <f>'ABP Future Assumptions'!C26</f>
        <v>180090</v>
      </c>
      <c r="D90" s="102"/>
      <c r="E90" s="135">
        <f>SUM(F90:X90)</f>
        <v>238279957.35211506</v>
      </c>
      <c r="F90" s="135">
        <f t="shared" ref="F90:X90" si="14">SUM(F91:F92)</f>
        <v>0</v>
      </c>
      <c r="G90" s="135">
        <f t="shared" si="14"/>
        <v>13809309.912177913</v>
      </c>
      <c r="H90" s="135">
        <f t="shared" si="14"/>
        <v>13740263.362617023</v>
      </c>
      <c r="I90" s="135">
        <f t="shared" si="14"/>
        <v>13671562.045803938</v>
      </c>
      <c r="J90" s="135">
        <f t="shared" si="14"/>
        <v>13603204.23557492</v>
      </c>
      <c r="K90" s="135">
        <f t="shared" si="14"/>
        <v>13535188.214397043</v>
      </c>
      <c r="L90" s="135">
        <f t="shared" si="14"/>
        <v>13467512.273325058</v>
      </c>
      <c r="M90" s="135">
        <f t="shared" si="14"/>
        <v>13400174.711958434</v>
      </c>
      <c r="N90" s="135">
        <f t="shared" si="14"/>
        <v>13333173.838398643</v>
      </c>
      <c r="O90" s="135">
        <f t="shared" si="14"/>
        <v>13266507.969206648</v>
      </c>
      <c r="P90" s="135">
        <f t="shared" si="14"/>
        <v>13200175.429360615</v>
      </c>
      <c r="Q90" s="135">
        <f t="shared" si="14"/>
        <v>13134174.55221381</v>
      </c>
      <c r="R90" s="135">
        <f t="shared" si="14"/>
        <v>13068503.67945274</v>
      </c>
      <c r="S90" s="135">
        <f t="shared" si="14"/>
        <v>13003161.161055477</v>
      </c>
      <c r="T90" s="135">
        <f t="shared" si="14"/>
        <v>12938145.355250198</v>
      </c>
      <c r="U90" s="135">
        <f t="shared" si="14"/>
        <v>12873454.628473949</v>
      </c>
      <c r="V90" s="135">
        <f t="shared" si="14"/>
        <v>12809087.355331577</v>
      </c>
      <c r="W90" s="135">
        <f t="shared" si="14"/>
        <v>12745041.918554921</v>
      </c>
      <c r="X90" s="135">
        <f t="shared" si="14"/>
        <v>12681316.708962146</v>
      </c>
    </row>
    <row r="91" spans="2:24" x14ac:dyDescent="0.25">
      <c r="B91" s="179" t="s">
        <v>154</v>
      </c>
      <c r="C91" s="174">
        <f>'ABP Future Assumptions'!C27</f>
        <v>54027</v>
      </c>
      <c r="D91" s="80">
        <f>'ABP Future Assumptions'!J33</f>
        <v>46.02</v>
      </c>
      <c r="E91" s="219"/>
      <c r="F91" s="137"/>
      <c r="G91" s="42">
        <f>'24-25 ABP Activities'!G30*$D91</f>
        <v>3682375.954099129</v>
      </c>
      <c r="H91" s="42">
        <f t="shared" ref="H91:X91" si="15">H30*$D91</f>
        <v>3663964.074328633</v>
      </c>
      <c r="I91" s="42">
        <f t="shared" si="15"/>
        <v>3645644.2539569899</v>
      </c>
      <c r="J91" s="42">
        <f t="shared" si="15"/>
        <v>3627416.0326872049</v>
      </c>
      <c r="K91" s="42">
        <f t="shared" si="15"/>
        <v>3609278.9525237689</v>
      </c>
      <c r="L91" s="42">
        <f t="shared" si="15"/>
        <v>3591232.5577611499</v>
      </c>
      <c r="M91" s="42">
        <f t="shared" si="15"/>
        <v>3573276.3949723444</v>
      </c>
      <c r="N91" s="42">
        <f t="shared" si="15"/>
        <v>3555410.0129974829</v>
      </c>
      <c r="O91" s="42">
        <f t="shared" si="15"/>
        <v>3537632.9629324954</v>
      </c>
      <c r="P91" s="42">
        <f t="shared" si="15"/>
        <v>3519944.7981178327</v>
      </c>
      <c r="Q91" s="42">
        <f t="shared" si="15"/>
        <v>3502345.0741272434</v>
      </c>
      <c r="R91" s="42">
        <f t="shared" si="15"/>
        <v>3484833.3487566067</v>
      </c>
      <c r="S91" s="42">
        <f t="shared" si="15"/>
        <v>3467409.1820128239</v>
      </c>
      <c r="T91" s="42">
        <f t="shared" si="15"/>
        <v>3450072.1361027593</v>
      </c>
      <c r="U91" s="42">
        <f t="shared" si="15"/>
        <v>3432821.7754222457</v>
      </c>
      <c r="V91" s="42">
        <f t="shared" si="15"/>
        <v>3415657.6665451345</v>
      </c>
      <c r="W91" s="42">
        <f t="shared" si="15"/>
        <v>3398579.3782124086</v>
      </c>
      <c r="X91" s="42">
        <f t="shared" si="15"/>
        <v>3381586.4813213465</v>
      </c>
    </row>
    <row r="92" spans="2:24" x14ac:dyDescent="0.25">
      <c r="B92" s="179" t="s">
        <v>157</v>
      </c>
      <c r="C92" s="174">
        <f>'ABP Future Assumptions'!C35</f>
        <v>126062.99999999999</v>
      </c>
      <c r="D92" s="80">
        <f>'ABP Future Assumptions'!J41</f>
        <v>54.24</v>
      </c>
      <c r="E92" s="219"/>
      <c r="F92" s="137"/>
      <c r="G92" s="42">
        <f>'24-25 ABP Activities'!G31*$D92</f>
        <v>10126933.958078783</v>
      </c>
      <c r="H92" s="42">
        <f t="shared" ref="H92:X92" si="16">H31*$D92</f>
        <v>10076299.28828839</v>
      </c>
      <c r="I92" s="42">
        <f t="shared" si="16"/>
        <v>10025917.791846948</v>
      </c>
      <c r="J92" s="42">
        <f t="shared" si="16"/>
        <v>9975788.2028877139</v>
      </c>
      <c r="K92" s="42">
        <f t="shared" si="16"/>
        <v>9925909.261873275</v>
      </c>
      <c r="L92" s="42">
        <f t="shared" si="16"/>
        <v>9876279.7155639082</v>
      </c>
      <c r="M92" s="42">
        <f t="shared" si="16"/>
        <v>9826898.3169860896</v>
      </c>
      <c r="N92" s="42">
        <f t="shared" si="16"/>
        <v>9777763.825401159</v>
      </c>
      <c r="O92" s="42">
        <f t="shared" si="16"/>
        <v>9728875.0062741525</v>
      </c>
      <c r="P92" s="42">
        <f t="shared" si="16"/>
        <v>9680230.6312427819</v>
      </c>
      <c r="Q92" s="42">
        <f t="shared" si="16"/>
        <v>9631829.4780865666</v>
      </c>
      <c r="R92" s="42">
        <f t="shared" si="16"/>
        <v>9583670.3306961339</v>
      </c>
      <c r="S92" s="42">
        <f t="shared" si="16"/>
        <v>9535751.979042653</v>
      </c>
      <c r="T92" s="42">
        <f t="shared" si="16"/>
        <v>9488073.21914744</v>
      </c>
      <c r="U92" s="42">
        <f t="shared" si="16"/>
        <v>9440632.8530517034</v>
      </c>
      <c r="V92" s="42">
        <f t="shared" si="16"/>
        <v>9393429.6887864433</v>
      </c>
      <c r="W92" s="42">
        <f t="shared" si="16"/>
        <v>9346462.5403425116</v>
      </c>
      <c r="X92" s="42">
        <f t="shared" si="16"/>
        <v>9299730.2276408002</v>
      </c>
    </row>
    <row r="93" spans="2:24" x14ac:dyDescent="0.25">
      <c r="B93" s="14" t="s">
        <v>158</v>
      </c>
      <c r="C93" s="79">
        <f>'ABP Future Assumptions'!C43</f>
        <v>86710</v>
      </c>
      <c r="D93" s="102"/>
      <c r="E93" s="18">
        <f>SUM(F93:Y93)</f>
        <v>156284549.65596849</v>
      </c>
      <c r="F93" s="135">
        <f t="shared" ref="F93:X93" si="17">SUM(F94:F106)</f>
        <v>8601833.8951314129</v>
      </c>
      <c r="G93" s="135">
        <f t="shared" si="17"/>
        <v>8558824.725655755</v>
      </c>
      <c r="H93" s="135">
        <f t="shared" si="17"/>
        <v>8516030.6020274758</v>
      </c>
      <c r="I93" s="135">
        <f t="shared" si="17"/>
        <v>8473450.4490173385</v>
      </c>
      <c r="J93" s="135">
        <f t="shared" si="17"/>
        <v>8431083.1967722513</v>
      </c>
      <c r="K93" s="135">
        <f t="shared" si="17"/>
        <v>8388927.78078839</v>
      </c>
      <c r="L93" s="135">
        <f t="shared" si="17"/>
        <v>8346983.141884448</v>
      </c>
      <c r="M93" s="135">
        <f t="shared" si="17"/>
        <v>8305248.2261750251</v>
      </c>
      <c r="N93" s="135">
        <f t="shared" si="17"/>
        <v>8263721.9850441515</v>
      </c>
      <c r="O93" s="135">
        <f t="shared" si="17"/>
        <v>8222403.375118929</v>
      </c>
      <c r="P93" s="135">
        <f t="shared" si="17"/>
        <v>8181291.358243335</v>
      </c>
      <c r="Q93" s="135">
        <f t="shared" si="17"/>
        <v>8140384.9014521195</v>
      </c>
      <c r="R93" s="135">
        <f t="shared" si="17"/>
        <v>8099682.9769448582</v>
      </c>
      <c r="S93" s="135">
        <f t="shared" si="17"/>
        <v>8059184.5620601336</v>
      </c>
      <c r="T93" s="135">
        <f t="shared" si="17"/>
        <v>8018888.6392498324</v>
      </c>
      <c r="U93" s="135">
        <f t="shared" si="17"/>
        <v>7978794.1960535841</v>
      </c>
      <c r="V93" s="135">
        <f t="shared" si="17"/>
        <v>7938900.2250733171</v>
      </c>
      <c r="W93" s="135">
        <f t="shared" si="17"/>
        <v>7899205.7239479488</v>
      </c>
      <c r="X93" s="135">
        <f t="shared" si="17"/>
        <v>7859709.6953282095</v>
      </c>
    </row>
    <row r="94" spans="2:24" x14ac:dyDescent="0.25">
      <c r="B94" s="179" t="s">
        <v>159</v>
      </c>
      <c r="C94" s="174">
        <f>'ABP Future Assumptions'!C44</f>
        <v>26013</v>
      </c>
      <c r="D94" s="103"/>
      <c r="E94" s="179"/>
      <c r="F94" s="140"/>
      <c r="G94" s="140"/>
      <c r="H94" s="140"/>
      <c r="I94" s="140"/>
      <c r="J94" s="140"/>
      <c r="K94" s="140"/>
      <c r="L94" s="140"/>
      <c r="M94" s="140"/>
      <c r="N94" s="140"/>
      <c r="O94" s="140"/>
      <c r="P94" s="140"/>
      <c r="Q94" s="140"/>
      <c r="R94" s="140"/>
      <c r="S94" s="140"/>
      <c r="T94" s="140"/>
      <c r="U94" s="140"/>
      <c r="V94" s="140"/>
      <c r="W94" s="140"/>
      <c r="X94" s="140"/>
    </row>
    <row r="95" spans="2:24" x14ac:dyDescent="0.25">
      <c r="B95" s="219" t="s">
        <v>160</v>
      </c>
      <c r="C95" s="79">
        <f>'ABP Future Assumptions'!C45</f>
        <v>1204.3055555555554</v>
      </c>
      <c r="D95" s="80">
        <f>'ABP Future Assumptions'!J45</f>
        <v>77.17</v>
      </c>
      <c r="E95" s="219"/>
      <c r="F95" s="42">
        <f t="shared" ref="F95:X95" si="18">F34*$D$95</f>
        <v>137643.54485762832</v>
      </c>
      <c r="G95" s="42">
        <f t="shared" si="18"/>
        <v>136955.32713334018</v>
      </c>
      <c r="H95" s="42">
        <f t="shared" si="18"/>
        <v>136270.55049767348</v>
      </c>
      <c r="I95" s="42">
        <f t="shared" si="18"/>
        <v>135589.19774518511</v>
      </c>
      <c r="J95" s="42">
        <f t="shared" si="18"/>
        <v>134911.25175645918</v>
      </c>
      <c r="K95" s="42">
        <f t="shared" si="18"/>
        <v>134236.6954976769</v>
      </c>
      <c r="L95" s="42">
        <f t="shared" si="18"/>
        <v>133565.5120201885</v>
      </c>
      <c r="M95" s="42">
        <f t="shared" si="18"/>
        <v>132897.68446008756</v>
      </c>
      <c r="N95" s="42">
        <f t="shared" si="18"/>
        <v>132233.19603778713</v>
      </c>
      <c r="O95" s="42">
        <f t="shared" si="18"/>
        <v>131572.03005759817</v>
      </c>
      <c r="P95" s="42">
        <f t="shared" si="18"/>
        <v>130914.16990731018</v>
      </c>
      <c r="Q95" s="42">
        <f t="shared" si="18"/>
        <v>130259.59905777364</v>
      </c>
      <c r="R95" s="42">
        <f t="shared" si="18"/>
        <v>129608.30106248477</v>
      </c>
      <c r="S95" s="42">
        <f t="shared" si="18"/>
        <v>128960.25955717234</v>
      </c>
      <c r="T95" s="42">
        <f t="shared" si="18"/>
        <v>128315.45825938649</v>
      </c>
      <c r="U95" s="42">
        <f t="shared" si="18"/>
        <v>127673.88096808955</v>
      </c>
      <c r="V95" s="42">
        <f t="shared" si="18"/>
        <v>127035.51156324911</v>
      </c>
      <c r="W95" s="42">
        <f t="shared" si="18"/>
        <v>126400.33400543286</v>
      </c>
      <c r="X95" s="42">
        <f t="shared" si="18"/>
        <v>125768.33233540569</v>
      </c>
    </row>
    <row r="96" spans="2:24" x14ac:dyDescent="0.25">
      <c r="B96" s="219" t="s">
        <v>152</v>
      </c>
      <c r="C96" s="79">
        <f>'ABP Future Assumptions'!C46</f>
        <v>1445.1666666666665</v>
      </c>
      <c r="D96" s="80">
        <f>'ABP Future Assumptions'!J46</f>
        <v>68.569999999999993</v>
      </c>
      <c r="E96" s="219"/>
      <c r="F96" s="42">
        <f t="shared" ref="F96:X96" si="19">F35*$D96</f>
        <v>146765.08286983398</v>
      </c>
      <c r="G96" s="42">
        <f t="shared" si="19"/>
        <v>146031.2574554848</v>
      </c>
      <c r="H96" s="42">
        <f t="shared" si="19"/>
        <v>145301.10116820739</v>
      </c>
      <c r="I96" s="42">
        <f t="shared" si="19"/>
        <v>144574.59566236634</v>
      </c>
      <c r="J96" s="42">
        <f t="shared" si="19"/>
        <v>143851.72268405452</v>
      </c>
      <c r="K96" s="42">
        <f t="shared" si="19"/>
        <v>143132.46407063422</v>
      </c>
      <c r="L96" s="42">
        <f t="shared" si="19"/>
        <v>142416.80175028104</v>
      </c>
      <c r="M96" s="42">
        <f t="shared" si="19"/>
        <v>141704.71774152966</v>
      </c>
      <c r="N96" s="42">
        <f t="shared" si="19"/>
        <v>140996.19415282202</v>
      </c>
      <c r="O96" s="42">
        <f t="shared" si="19"/>
        <v>140291.21318205789</v>
      </c>
      <c r="P96" s="42">
        <f t="shared" si="19"/>
        <v>139589.75711614761</v>
      </c>
      <c r="Q96" s="42">
        <f t="shared" si="19"/>
        <v>138891.80833056686</v>
      </c>
      <c r="R96" s="42">
        <f t="shared" si="19"/>
        <v>138197.34928891403</v>
      </c>
      <c r="S96" s="42">
        <f t="shared" si="19"/>
        <v>137506.36254246946</v>
      </c>
      <c r="T96" s="42">
        <f t="shared" si="19"/>
        <v>136818.83072975712</v>
      </c>
      <c r="U96" s="42">
        <f t="shared" si="19"/>
        <v>136134.73657610832</v>
      </c>
      <c r="V96" s="42">
        <f t="shared" si="19"/>
        <v>135454.06289322779</v>
      </c>
      <c r="W96" s="42">
        <f t="shared" si="19"/>
        <v>134776.79257876167</v>
      </c>
      <c r="X96" s="42">
        <f t="shared" si="19"/>
        <v>134102.90861586784</v>
      </c>
    </row>
    <row r="97" spans="2:24" x14ac:dyDescent="0.25">
      <c r="B97" s="219" t="s">
        <v>147</v>
      </c>
      <c r="C97" s="79">
        <f>'ABP Future Assumptions'!C47</f>
        <v>5539.8055555555557</v>
      </c>
      <c r="D97" s="80">
        <f>'ABP Future Assumptions'!J47</f>
        <v>65.81</v>
      </c>
      <c r="E97" s="219"/>
      <c r="F97" s="42">
        <f t="shared" ref="F97:X97" si="20">F36*$D97</f>
        <v>539954.38331696764</v>
      </c>
      <c r="G97" s="42">
        <f t="shared" si="20"/>
        <v>537254.61140038283</v>
      </c>
      <c r="H97" s="42">
        <f t="shared" si="20"/>
        <v>534568.33834338095</v>
      </c>
      <c r="I97" s="42">
        <f t="shared" si="20"/>
        <v>531895.49665166403</v>
      </c>
      <c r="J97" s="42">
        <f t="shared" si="20"/>
        <v>529236.01916840568</v>
      </c>
      <c r="K97" s="42">
        <f t="shared" si="20"/>
        <v>526589.83907256369</v>
      </c>
      <c r="L97" s="42">
        <f t="shared" si="20"/>
        <v>523956.88987720088</v>
      </c>
      <c r="M97" s="42">
        <f t="shared" si="20"/>
        <v>521337.10542781488</v>
      </c>
      <c r="N97" s="42">
        <f t="shared" si="20"/>
        <v>518730.41990067583</v>
      </c>
      <c r="O97" s="42">
        <f t="shared" si="20"/>
        <v>516136.76780117239</v>
      </c>
      <c r="P97" s="42">
        <f t="shared" si="20"/>
        <v>513556.08396216657</v>
      </c>
      <c r="Q97" s="42">
        <f t="shared" si="20"/>
        <v>510988.30354235566</v>
      </c>
      <c r="R97" s="42">
        <f t="shared" si="20"/>
        <v>508433.36202464392</v>
      </c>
      <c r="S97" s="42">
        <f t="shared" si="20"/>
        <v>505891.19521452067</v>
      </c>
      <c r="T97" s="42">
        <f t="shared" si="20"/>
        <v>503361.73923844809</v>
      </c>
      <c r="U97" s="42">
        <f t="shared" si="20"/>
        <v>500844.93054225587</v>
      </c>
      <c r="V97" s="42">
        <f t="shared" si="20"/>
        <v>498340.70588954457</v>
      </c>
      <c r="W97" s="42">
        <f t="shared" si="20"/>
        <v>495849.00236009684</v>
      </c>
      <c r="X97" s="42">
        <f t="shared" si="20"/>
        <v>493369.75734829635</v>
      </c>
    </row>
    <row r="98" spans="2:24" x14ac:dyDescent="0.25">
      <c r="B98" s="219" t="s">
        <v>148</v>
      </c>
      <c r="C98" s="79">
        <f>'ABP Future Assumptions'!C48</f>
        <v>11802.194444444445</v>
      </c>
      <c r="D98" s="80">
        <f>'ABP Future Assumptions'!J48</f>
        <v>57.72</v>
      </c>
      <c r="E98" s="219"/>
      <c r="F98" s="42">
        <f t="shared" ref="F98:X98" si="21">F37*$D98</f>
        <v>1008927.0054423561</v>
      </c>
      <c r="G98" s="42">
        <f t="shared" si="21"/>
        <v>1003882.3704151443</v>
      </c>
      <c r="H98" s="42">
        <f t="shared" si="21"/>
        <v>998862.95856306865</v>
      </c>
      <c r="I98" s="42">
        <f t="shared" si="21"/>
        <v>993868.6437702534</v>
      </c>
      <c r="J98" s="42">
        <f t="shared" si="21"/>
        <v>988899.30055140203</v>
      </c>
      <c r="K98" s="42">
        <f t="shared" si="21"/>
        <v>983954.80404864484</v>
      </c>
      <c r="L98" s="42">
        <f t="shared" si="21"/>
        <v>979035.03002840152</v>
      </c>
      <c r="M98" s="42">
        <f t="shared" si="21"/>
        <v>974139.85487825947</v>
      </c>
      <c r="N98" s="42">
        <f t="shared" si="21"/>
        <v>969269.15560386819</v>
      </c>
      <c r="O98" s="42">
        <f t="shared" si="21"/>
        <v>964422.8098258489</v>
      </c>
      <c r="P98" s="42">
        <f t="shared" si="21"/>
        <v>959600.6957767196</v>
      </c>
      <c r="Q98" s="42">
        <f t="shared" si="21"/>
        <v>954802.69229783607</v>
      </c>
      <c r="R98" s="42">
        <f t="shared" si="21"/>
        <v>950028.67883634684</v>
      </c>
      <c r="S98" s="42">
        <f t="shared" si="21"/>
        <v>945278.5354421651</v>
      </c>
      <c r="T98" s="42">
        <f t="shared" si="21"/>
        <v>940552.14276495425</v>
      </c>
      <c r="U98" s="42">
        <f t="shared" si="21"/>
        <v>935849.38205112948</v>
      </c>
      <c r="V98" s="42">
        <f t="shared" si="21"/>
        <v>931170.13514087384</v>
      </c>
      <c r="W98" s="42">
        <f t="shared" si="21"/>
        <v>926514.28446516942</v>
      </c>
      <c r="X98" s="42">
        <f t="shared" si="21"/>
        <v>921881.71304284362</v>
      </c>
    </row>
    <row r="99" spans="2:24" x14ac:dyDescent="0.25">
      <c r="B99" s="219" t="s">
        <v>155</v>
      </c>
      <c r="C99" s="79">
        <f>'ABP Future Assumptions'!C49</f>
        <v>6021.5277777777774</v>
      </c>
      <c r="D99" s="80">
        <f>'ABP Future Assumptions'!J49</f>
        <v>54.51</v>
      </c>
      <c r="E99" s="219"/>
      <c r="F99" s="42">
        <f t="shared" ref="F99:X99" si="22">F38*$D99</f>
        <v>486131.24466692493</v>
      </c>
      <c r="G99" s="42">
        <f t="shared" si="22"/>
        <v>483700.58844359033</v>
      </c>
      <c r="H99" s="42">
        <f t="shared" si="22"/>
        <v>481282.08550137235</v>
      </c>
      <c r="I99" s="42">
        <f t="shared" si="22"/>
        <v>478875.67507386551</v>
      </c>
      <c r="J99" s="42">
        <f t="shared" si="22"/>
        <v>476481.29669849615</v>
      </c>
      <c r="K99" s="42">
        <f t="shared" si="22"/>
        <v>474098.89021500369</v>
      </c>
      <c r="L99" s="42">
        <f t="shared" si="22"/>
        <v>471728.39576392871</v>
      </c>
      <c r="M99" s="42">
        <f t="shared" si="22"/>
        <v>469369.75378510909</v>
      </c>
      <c r="N99" s="42">
        <f t="shared" si="22"/>
        <v>467022.9050161835</v>
      </c>
      <c r="O99" s="42">
        <f t="shared" si="22"/>
        <v>464687.79049110255</v>
      </c>
      <c r="P99" s="42">
        <f t="shared" si="22"/>
        <v>462364.35153864702</v>
      </c>
      <c r="Q99" s="42">
        <f t="shared" si="22"/>
        <v>460052.52978095383</v>
      </c>
      <c r="R99" s="42">
        <f t="shared" si="22"/>
        <v>457752.26713204908</v>
      </c>
      <c r="S99" s="42">
        <f t="shared" si="22"/>
        <v>455463.50579638884</v>
      </c>
      <c r="T99" s="42">
        <f t="shared" si="22"/>
        <v>453186.18826740689</v>
      </c>
      <c r="U99" s="42">
        <f t="shared" si="22"/>
        <v>450920.25732606993</v>
      </c>
      <c r="V99" s="42">
        <f t="shared" si="22"/>
        <v>448665.65603943955</v>
      </c>
      <c r="W99" s="42">
        <f t="shared" si="22"/>
        <v>446422.32775924233</v>
      </c>
      <c r="X99" s="42">
        <f t="shared" si="22"/>
        <v>444190.2161204461</v>
      </c>
    </row>
    <row r="100" spans="2:24" x14ac:dyDescent="0.25">
      <c r="B100" s="219" t="s">
        <v>150</v>
      </c>
      <c r="C100" s="79">
        <f>'ABP Future Assumptions'!C50</f>
        <v>0</v>
      </c>
      <c r="D100" s="80">
        <f>'ABP Future Assumptions'!J50</f>
        <v>42.15</v>
      </c>
      <c r="E100" s="219"/>
      <c r="F100" s="42"/>
      <c r="G100" s="42"/>
      <c r="H100" s="42"/>
      <c r="I100" s="42"/>
      <c r="J100" s="42"/>
      <c r="K100" s="42"/>
      <c r="L100" s="42"/>
      <c r="M100" s="42"/>
      <c r="N100" s="42"/>
      <c r="O100" s="42"/>
      <c r="P100" s="42"/>
      <c r="Q100" s="42"/>
      <c r="R100" s="42"/>
      <c r="S100" s="42"/>
      <c r="T100" s="42"/>
      <c r="U100" s="42"/>
      <c r="V100" s="42"/>
      <c r="W100" s="42"/>
      <c r="X100" s="42"/>
    </row>
    <row r="101" spans="2:24" x14ac:dyDescent="0.25">
      <c r="B101" s="179" t="s">
        <v>161</v>
      </c>
      <c r="C101" s="174">
        <f>'ABP Future Assumptions'!C51</f>
        <v>60696.999999999993</v>
      </c>
      <c r="D101" s="103"/>
      <c r="E101" s="179"/>
      <c r="F101" s="140"/>
      <c r="G101" s="140"/>
      <c r="H101" s="140"/>
      <c r="I101" s="140"/>
      <c r="J101" s="140"/>
      <c r="K101" s="140"/>
      <c r="L101" s="140"/>
      <c r="M101" s="140"/>
      <c r="N101" s="140"/>
      <c r="O101" s="140"/>
      <c r="P101" s="140"/>
      <c r="Q101" s="140"/>
      <c r="R101" s="140"/>
      <c r="S101" s="140"/>
      <c r="T101" s="140"/>
      <c r="U101" s="140"/>
      <c r="V101" s="140"/>
      <c r="W101" s="140"/>
      <c r="X101" s="140"/>
    </row>
    <row r="102" spans="2:24" x14ac:dyDescent="0.25">
      <c r="B102" s="219" t="s">
        <v>160</v>
      </c>
      <c r="C102" s="79">
        <f>'ABP Future Assumptions'!C52</f>
        <v>2810.0462962962956</v>
      </c>
      <c r="D102" s="80">
        <f>'ABP Future Assumptions'!J52</f>
        <v>93.17</v>
      </c>
      <c r="E102" s="219"/>
      <c r="F102" s="42">
        <f t="shared" ref="F102:X102" si="23">F41*$D102</f>
        <v>387757.52028291044</v>
      </c>
      <c r="G102" s="42">
        <f t="shared" si="23"/>
        <v>385818.73268149584</v>
      </c>
      <c r="H102" s="42">
        <f t="shared" si="23"/>
        <v>383889.6390180884</v>
      </c>
      <c r="I102" s="42">
        <f t="shared" si="23"/>
        <v>381970.19082299795</v>
      </c>
      <c r="J102" s="42">
        <f t="shared" si="23"/>
        <v>380060.33986888296</v>
      </c>
      <c r="K102" s="42">
        <f t="shared" si="23"/>
        <v>378160.03816953854</v>
      </c>
      <c r="L102" s="42">
        <f t="shared" si="23"/>
        <v>376269.23797869089</v>
      </c>
      <c r="M102" s="42">
        <f t="shared" si="23"/>
        <v>374387.89178879745</v>
      </c>
      <c r="N102" s="42">
        <f t="shared" si="23"/>
        <v>372515.95232985343</v>
      </c>
      <c r="O102" s="42">
        <f t="shared" si="23"/>
        <v>370653.37256820418</v>
      </c>
      <c r="P102" s="42">
        <f t="shared" si="23"/>
        <v>368800.10570536315</v>
      </c>
      <c r="Q102" s="42">
        <f t="shared" si="23"/>
        <v>366956.10517683631</v>
      </c>
      <c r="R102" s="42">
        <f t="shared" si="23"/>
        <v>365121.32465095213</v>
      </c>
      <c r="S102" s="42">
        <f t="shared" si="23"/>
        <v>363295.71802769735</v>
      </c>
      <c r="T102" s="42">
        <f t="shared" si="23"/>
        <v>361479.23943755886</v>
      </c>
      <c r="U102" s="42">
        <f t="shared" si="23"/>
        <v>359671.84324037109</v>
      </c>
      <c r="V102" s="42">
        <f t="shared" si="23"/>
        <v>357873.48402416921</v>
      </c>
      <c r="W102" s="42">
        <f t="shared" si="23"/>
        <v>356084.11660404841</v>
      </c>
      <c r="X102" s="42">
        <f t="shared" si="23"/>
        <v>354303.69602102815</v>
      </c>
    </row>
    <row r="103" spans="2:24" x14ac:dyDescent="0.25">
      <c r="B103" s="219" t="s">
        <v>152</v>
      </c>
      <c r="C103" s="79">
        <f>'ABP Future Assumptions'!C53</f>
        <v>3372.0555555555547</v>
      </c>
      <c r="D103" s="80">
        <f>'ABP Future Assumptions'!J53</f>
        <v>84.96</v>
      </c>
      <c r="E103" s="219"/>
      <c r="F103" s="42">
        <f t="shared" ref="F103:X103" si="24">F42*$D103</f>
        <v>424306.69429948792</v>
      </c>
      <c r="G103" s="42">
        <f t="shared" si="24"/>
        <v>422185.1608279905</v>
      </c>
      <c r="H103" s="42">
        <f t="shared" si="24"/>
        <v>420074.23502385052</v>
      </c>
      <c r="I103" s="42">
        <f t="shared" si="24"/>
        <v>417973.86384873121</v>
      </c>
      <c r="J103" s="42">
        <f t="shared" si="24"/>
        <v>415883.99452948757</v>
      </c>
      <c r="K103" s="42">
        <f t="shared" si="24"/>
        <v>413804.57455684012</v>
      </c>
      <c r="L103" s="42">
        <f t="shared" si="24"/>
        <v>411735.55168405594</v>
      </c>
      <c r="M103" s="42">
        <f t="shared" si="24"/>
        <v>409676.87392563565</v>
      </c>
      <c r="N103" s="42">
        <f t="shared" si="24"/>
        <v>407628.48955600744</v>
      </c>
      <c r="O103" s="42">
        <f t="shared" si="24"/>
        <v>405590.34710822738</v>
      </c>
      <c r="P103" s="42">
        <f t="shared" si="24"/>
        <v>403562.39537268621</v>
      </c>
      <c r="Q103" s="42">
        <f t="shared" si="24"/>
        <v>401544.58339582279</v>
      </c>
      <c r="R103" s="42">
        <f t="shared" si="24"/>
        <v>399536.86047884368</v>
      </c>
      <c r="S103" s="42">
        <f t="shared" si="24"/>
        <v>397539.17617644946</v>
      </c>
      <c r="T103" s="42">
        <f t="shared" si="24"/>
        <v>395551.48029556719</v>
      </c>
      <c r="U103" s="42">
        <f t="shared" si="24"/>
        <v>393573.7228940893</v>
      </c>
      <c r="V103" s="42">
        <f t="shared" si="24"/>
        <v>391605.85427961888</v>
      </c>
      <c r="W103" s="42">
        <f t="shared" si="24"/>
        <v>389647.8250082208</v>
      </c>
      <c r="X103" s="42">
        <f t="shared" si="24"/>
        <v>387699.58588317962</v>
      </c>
    </row>
    <row r="104" spans="2:24" x14ac:dyDescent="0.25">
      <c r="B104" s="219" t="s">
        <v>147</v>
      </c>
      <c r="C104" s="79">
        <f>'ABP Future Assumptions'!C54</f>
        <v>12926.212962962962</v>
      </c>
      <c r="D104" s="80">
        <f>'ABP Future Assumptions'!J54</f>
        <v>76.91</v>
      </c>
      <c r="E104" s="219"/>
      <c r="F104" s="42">
        <f t="shared" ref="F104:X104" si="25">F43*$D104</f>
        <v>1472396.5017796478</v>
      </c>
      <c r="G104" s="42">
        <f t="shared" si="25"/>
        <v>1465034.5192707495</v>
      </c>
      <c r="H104" s="42">
        <f t="shared" si="25"/>
        <v>1457709.3466743955</v>
      </c>
      <c r="I104" s="42">
        <f t="shared" si="25"/>
        <v>1450420.7999410236</v>
      </c>
      <c r="J104" s="42">
        <f t="shared" si="25"/>
        <v>1443168.6959413185</v>
      </c>
      <c r="K104" s="42">
        <f t="shared" si="25"/>
        <v>1435952.8524616119</v>
      </c>
      <c r="L104" s="42">
        <f t="shared" si="25"/>
        <v>1428773.088199304</v>
      </c>
      <c r="M104" s="42">
        <f t="shared" si="25"/>
        <v>1421629.2227583074</v>
      </c>
      <c r="N104" s="42">
        <f t="shared" si="25"/>
        <v>1414521.0766445159</v>
      </c>
      <c r="O104" s="42">
        <f t="shared" si="25"/>
        <v>1407448.4712612932</v>
      </c>
      <c r="P104" s="42">
        <f t="shared" si="25"/>
        <v>1400411.2289049868</v>
      </c>
      <c r="Q104" s="42">
        <f t="shared" si="25"/>
        <v>1393409.1727604619</v>
      </c>
      <c r="R104" s="42">
        <f t="shared" si="25"/>
        <v>1386442.1268966596</v>
      </c>
      <c r="S104" s="42">
        <f t="shared" si="25"/>
        <v>1379509.9162621766</v>
      </c>
      <c r="T104" s="42">
        <f t="shared" si="25"/>
        <v>1372612.3666808656</v>
      </c>
      <c r="U104" s="42">
        <f t="shared" si="25"/>
        <v>1365749.3048474614</v>
      </c>
      <c r="V104" s="42">
        <f t="shared" si="25"/>
        <v>1358920.5583232238</v>
      </c>
      <c r="W104" s="42">
        <f t="shared" si="25"/>
        <v>1352125.9555316078</v>
      </c>
      <c r="X104" s="42">
        <f t="shared" si="25"/>
        <v>1345365.3257539498</v>
      </c>
    </row>
    <row r="105" spans="2:24" x14ac:dyDescent="0.25">
      <c r="B105" s="219" t="s">
        <v>148</v>
      </c>
      <c r="C105" s="79">
        <f>'ABP Future Assumptions'!C55</f>
        <v>27538.453703703701</v>
      </c>
      <c r="D105" s="80">
        <f>'ABP Future Assumptions'!J55</f>
        <v>66.88</v>
      </c>
      <c r="E105" s="219"/>
      <c r="F105" s="42">
        <f t="shared" ref="F105:X105" si="26">F44*$D105</f>
        <v>2727761.9939240776</v>
      </c>
      <c r="G105" s="42">
        <f t="shared" si="26"/>
        <v>2714123.1839544568</v>
      </c>
      <c r="H105" s="42">
        <f t="shared" si="26"/>
        <v>2700552.5680346848</v>
      </c>
      <c r="I105" s="42">
        <f t="shared" si="26"/>
        <v>2687049.8051945111</v>
      </c>
      <c r="J105" s="42">
        <f t="shared" si="26"/>
        <v>2673614.5561685385</v>
      </c>
      <c r="K105" s="42">
        <f t="shared" si="26"/>
        <v>2660246.4833876961</v>
      </c>
      <c r="L105" s="42">
        <f t="shared" si="26"/>
        <v>2646945.2509707576</v>
      </c>
      <c r="M105" s="42">
        <f t="shared" si="26"/>
        <v>2633710.5247159037</v>
      </c>
      <c r="N105" s="42">
        <f t="shared" si="26"/>
        <v>2620541.9720923239</v>
      </c>
      <c r="O105" s="42">
        <f t="shared" si="26"/>
        <v>2607439.2622318626</v>
      </c>
      <c r="P105" s="42">
        <f t="shared" si="26"/>
        <v>2594402.0659207031</v>
      </c>
      <c r="Q105" s="42">
        <f t="shared" si="26"/>
        <v>2581430.0555910999</v>
      </c>
      <c r="R105" s="42">
        <f t="shared" si="26"/>
        <v>2568522.905313144</v>
      </c>
      <c r="S105" s="42">
        <f t="shared" si="26"/>
        <v>2555680.2907865783</v>
      </c>
      <c r="T105" s="42">
        <f t="shared" si="26"/>
        <v>2542901.8893326451</v>
      </c>
      <c r="U105" s="42">
        <f t="shared" si="26"/>
        <v>2530187.3798859823</v>
      </c>
      <c r="V105" s="42">
        <f t="shared" si="26"/>
        <v>2517536.4429865521</v>
      </c>
      <c r="W105" s="42">
        <f t="shared" si="26"/>
        <v>2504948.7607716192</v>
      </c>
      <c r="X105" s="42">
        <f t="shared" si="26"/>
        <v>2492424.0169677609</v>
      </c>
    </row>
    <row r="106" spans="2:24" x14ac:dyDescent="0.25">
      <c r="B106" s="219" t="s">
        <v>155</v>
      </c>
      <c r="C106" s="79">
        <f>'ABP Future Assumptions'!C56</f>
        <v>14050.23148148148</v>
      </c>
      <c r="D106" s="80">
        <f>'ABP Future Assumptions'!J56</f>
        <v>61.04</v>
      </c>
      <c r="E106" s="219"/>
      <c r="F106" s="42">
        <f t="shared" ref="F106:X106" si="27">F45*$D106</f>
        <v>1270189.9236915777</v>
      </c>
      <c r="G106" s="42">
        <f t="shared" si="27"/>
        <v>1263838.9740731197</v>
      </c>
      <c r="H106" s="42">
        <f t="shared" si="27"/>
        <v>1257519.7792027541</v>
      </c>
      <c r="I106" s="42">
        <f t="shared" si="27"/>
        <v>1251232.1803067403</v>
      </c>
      <c r="J106" s="42">
        <f t="shared" si="27"/>
        <v>1244976.0194052064</v>
      </c>
      <c r="K106" s="42">
        <f t="shared" si="27"/>
        <v>1238751.1393081804</v>
      </c>
      <c r="L106" s="42">
        <f t="shared" si="27"/>
        <v>1232557.3836116395</v>
      </c>
      <c r="M106" s="42">
        <f t="shared" si="27"/>
        <v>1226394.5966935812</v>
      </c>
      <c r="N106" s="42">
        <f t="shared" si="27"/>
        <v>1220262.6237101133</v>
      </c>
      <c r="O106" s="42">
        <f t="shared" si="27"/>
        <v>1214161.3105915629</v>
      </c>
      <c r="P106" s="42">
        <f t="shared" si="27"/>
        <v>1208090.5040386051</v>
      </c>
      <c r="Q106" s="42">
        <f t="shared" si="27"/>
        <v>1202050.0515184121</v>
      </c>
      <c r="R106" s="42">
        <f t="shared" si="27"/>
        <v>1196039.8012608199</v>
      </c>
      <c r="S106" s="42">
        <f t="shared" si="27"/>
        <v>1190059.6022545157</v>
      </c>
      <c r="T106" s="42">
        <f t="shared" si="27"/>
        <v>1184109.3042432431</v>
      </c>
      <c r="U106" s="42">
        <f t="shared" si="27"/>
        <v>1178188.7577220269</v>
      </c>
      <c r="V106" s="42">
        <f t="shared" si="27"/>
        <v>1172297.8139334167</v>
      </c>
      <c r="W106" s="42">
        <f t="shared" si="27"/>
        <v>1166436.3248637498</v>
      </c>
      <c r="X106" s="42">
        <f t="shared" si="27"/>
        <v>1160604.1432394311</v>
      </c>
    </row>
    <row r="107" spans="2:24" x14ac:dyDescent="0.25">
      <c r="B107" s="219" t="s">
        <v>150</v>
      </c>
      <c r="C107" s="79">
        <f>'ABP Future Assumptions'!C57</f>
        <v>0</v>
      </c>
      <c r="D107" s="80">
        <f>'ABP Future Assumptions'!J57</f>
        <v>46.74</v>
      </c>
      <c r="E107" s="219"/>
      <c r="F107" s="139"/>
      <c r="G107" s="42"/>
      <c r="H107" s="42"/>
      <c r="I107" s="42"/>
      <c r="J107" s="42"/>
      <c r="K107" s="42"/>
      <c r="L107" s="42"/>
      <c r="M107" s="42"/>
      <c r="N107" s="42"/>
      <c r="O107" s="42"/>
      <c r="P107" s="42"/>
      <c r="Q107" s="42"/>
      <c r="R107" s="42"/>
      <c r="S107" s="42"/>
      <c r="T107" s="42"/>
      <c r="U107" s="42"/>
      <c r="V107" s="42"/>
      <c r="W107" s="42"/>
      <c r="X107" s="42"/>
    </row>
    <row r="108" spans="2:24" x14ac:dyDescent="0.25">
      <c r="B108" s="14" t="s">
        <v>162</v>
      </c>
      <c r="C108" s="79">
        <f>'ABP Future Assumptions'!C58</f>
        <v>26680</v>
      </c>
      <c r="D108" s="102"/>
      <c r="E108" s="18">
        <f>SUM(G108:Y108)</f>
        <v>37575622.55421818</v>
      </c>
      <c r="F108" s="138"/>
      <c r="G108" s="135">
        <f t="shared" ref="G108:X108" si="28">SUM(G109:G110)</f>
        <v>5636343.3831327278</v>
      </c>
      <c r="H108" s="135">
        <f t="shared" si="28"/>
        <v>5323213.1951809097</v>
      </c>
      <c r="I108" s="135">
        <f t="shared" si="28"/>
        <v>5323213.1951809097</v>
      </c>
      <c r="J108" s="135">
        <f t="shared" si="28"/>
        <v>5323213.1951809097</v>
      </c>
      <c r="K108" s="135">
        <f t="shared" si="28"/>
        <v>5323213.1951809097</v>
      </c>
      <c r="L108" s="135">
        <f t="shared" si="28"/>
        <v>5323213.1951809097</v>
      </c>
      <c r="M108" s="135">
        <f t="shared" si="28"/>
        <v>5323213.1951809097</v>
      </c>
      <c r="N108" s="135">
        <f t="shared" si="28"/>
        <v>0</v>
      </c>
      <c r="O108" s="135">
        <f t="shared" si="28"/>
        <v>0</v>
      </c>
      <c r="P108" s="135">
        <f t="shared" si="28"/>
        <v>0</v>
      </c>
      <c r="Q108" s="135">
        <f t="shared" si="28"/>
        <v>0</v>
      </c>
      <c r="R108" s="135">
        <f t="shared" si="28"/>
        <v>0</v>
      </c>
      <c r="S108" s="135">
        <f t="shared" si="28"/>
        <v>0</v>
      </c>
      <c r="T108" s="135">
        <f t="shared" si="28"/>
        <v>0</v>
      </c>
      <c r="U108" s="135">
        <f t="shared" si="28"/>
        <v>0</v>
      </c>
      <c r="V108" s="135">
        <f t="shared" si="28"/>
        <v>0</v>
      </c>
      <c r="W108" s="135">
        <f t="shared" si="28"/>
        <v>0</v>
      </c>
      <c r="X108" s="135">
        <f t="shared" si="28"/>
        <v>0</v>
      </c>
    </row>
    <row r="109" spans="2:24" x14ac:dyDescent="0.25">
      <c r="B109" s="179" t="s">
        <v>163</v>
      </c>
      <c r="C109" s="174">
        <f>'ABP Future Assumptions'!C59</f>
        <v>8004</v>
      </c>
      <c r="D109" s="80">
        <f>'ABP Future Assumptions'!J65</f>
        <v>57.93</v>
      </c>
      <c r="E109" s="219"/>
      <c r="F109" s="137"/>
      <c r="G109" s="42">
        <f>(E48*D109)*0.15</f>
        <v>1492200.5309771446</v>
      </c>
      <c r="H109" s="42">
        <f>((E48*D109)-G109)/6</f>
        <v>1409300.5014784143</v>
      </c>
      <c r="I109" s="42">
        <f t="shared" ref="I109:M110" si="29">H109</f>
        <v>1409300.5014784143</v>
      </c>
      <c r="J109" s="42">
        <f t="shared" si="29"/>
        <v>1409300.5014784143</v>
      </c>
      <c r="K109" s="42">
        <f t="shared" si="29"/>
        <v>1409300.5014784143</v>
      </c>
      <c r="L109" s="42">
        <f t="shared" si="29"/>
        <v>1409300.5014784143</v>
      </c>
      <c r="M109" s="42">
        <f t="shared" si="29"/>
        <v>1409300.5014784143</v>
      </c>
      <c r="O109" s="42"/>
      <c r="P109" s="42"/>
      <c r="Q109" s="42"/>
      <c r="R109" s="42"/>
      <c r="S109" s="42"/>
      <c r="T109" s="42"/>
      <c r="U109" s="42"/>
      <c r="V109" s="42"/>
      <c r="W109" s="42"/>
      <c r="X109" s="42"/>
    </row>
    <row r="110" spans="2:24" x14ac:dyDescent="0.25">
      <c r="B110" s="179" t="s">
        <v>164</v>
      </c>
      <c r="C110" s="174">
        <f>'ABP Future Assumptions'!C67</f>
        <v>18676</v>
      </c>
      <c r="D110" s="80">
        <f>'ABP Future Assumptions'!J73</f>
        <v>68.95</v>
      </c>
      <c r="E110" s="219"/>
      <c r="F110" s="137"/>
      <c r="G110" s="42">
        <f>(E49*D110)*0.15</f>
        <v>4144142.8521555834</v>
      </c>
      <c r="H110" s="42">
        <f>((E49*D110)-G110)/6</f>
        <v>3913912.6937024952</v>
      </c>
      <c r="I110" s="42">
        <f t="shared" si="29"/>
        <v>3913912.6937024952</v>
      </c>
      <c r="J110" s="42">
        <f t="shared" si="29"/>
        <v>3913912.6937024952</v>
      </c>
      <c r="K110" s="42">
        <f t="shared" si="29"/>
        <v>3913912.6937024952</v>
      </c>
      <c r="L110" s="42">
        <f t="shared" si="29"/>
        <v>3913912.6937024952</v>
      </c>
      <c r="M110" s="42">
        <f t="shared" si="29"/>
        <v>3913912.6937024952</v>
      </c>
      <c r="O110" s="42"/>
      <c r="P110" s="42"/>
      <c r="Q110" s="42"/>
      <c r="R110" s="42"/>
      <c r="S110" s="42"/>
      <c r="T110" s="42"/>
      <c r="U110" s="42"/>
      <c r="V110" s="42"/>
      <c r="W110" s="42"/>
      <c r="X110" s="42"/>
    </row>
    <row r="111" spans="2:24" x14ac:dyDescent="0.25">
      <c r="B111" s="99" t="s">
        <v>165</v>
      </c>
      <c r="C111" s="79">
        <f>'ABP Future Assumptions'!C75</f>
        <v>133400</v>
      </c>
      <c r="D111" s="102"/>
      <c r="E111" s="18">
        <f>SUM(F111:Y111)</f>
        <v>124008944.70201774</v>
      </c>
      <c r="F111" s="136">
        <f t="shared" ref="F111:X111" si="30">SUM(F113:F122)</f>
        <v>18601341.705302659</v>
      </c>
      <c r="G111" s="136">
        <f t="shared" si="30"/>
        <v>17567933.832785849</v>
      </c>
      <c r="H111" s="136">
        <f t="shared" si="30"/>
        <v>17567933.832785849</v>
      </c>
      <c r="I111" s="136">
        <f t="shared" si="30"/>
        <v>17567933.832785849</v>
      </c>
      <c r="J111" s="136">
        <f t="shared" si="30"/>
        <v>17567933.832785849</v>
      </c>
      <c r="K111" s="136">
        <f t="shared" si="30"/>
        <v>17567933.832785849</v>
      </c>
      <c r="L111" s="136">
        <f t="shared" si="30"/>
        <v>17567933.832785849</v>
      </c>
      <c r="M111" s="136">
        <f t="shared" si="30"/>
        <v>0</v>
      </c>
      <c r="N111" s="136">
        <f t="shared" si="30"/>
        <v>0</v>
      </c>
      <c r="O111" s="136">
        <f t="shared" si="30"/>
        <v>0</v>
      </c>
      <c r="P111" s="136">
        <f t="shared" si="30"/>
        <v>0</v>
      </c>
      <c r="Q111" s="136">
        <f t="shared" si="30"/>
        <v>0</v>
      </c>
      <c r="R111" s="136">
        <f t="shared" si="30"/>
        <v>0</v>
      </c>
      <c r="S111" s="136">
        <f t="shared" si="30"/>
        <v>0</v>
      </c>
      <c r="T111" s="136">
        <f t="shared" si="30"/>
        <v>0</v>
      </c>
      <c r="U111" s="136">
        <f t="shared" si="30"/>
        <v>0</v>
      </c>
      <c r="V111" s="136">
        <f t="shared" si="30"/>
        <v>0</v>
      </c>
      <c r="W111" s="136">
        <f t="shared" si="30"/>
        <v>0</v>
      </c>
      <c r="X111" s="136">
        <f t="shared" si="30"/>
        <v>0</v>
      </c>
    </row>
    <row r="112" spans="2:24" x14ac:dyDescent="0.25">
      <c r="B112" s="179" t="s">
        <v>166</v>
      </c>
      <c r="C112" s="174">
        <f>'ABP Future Assumptions'!C76</f>
        <v>40020</v>
      </c>
      <c r="D112" s="103"/>
      <c r="E112" s="179"/>
      <c r="F112" s="176"/>
      <c r="G112" s="176"/>
      <c r="H112" s="176"/>
      <c r="I112" s="176"/>
      <c r="J112" s="176"/>
      <c r="K112" s="176"/>
      <c r="L112" s="176"/>
      <c r="M112" s="176"/>
      <c r="N112" s="176"/>
      <c r="O112" s="176"/>
      <c r="P112" s="176"/>
      <c r="Q112" s="176"/>
      <c r="R112" s="176"/>
      <c r="S112" s="176"/>
      <c r="T112" s="176"/>
      <c r="U112" s="176"/>
      <c r="V112" s="176"/>
      <c r="W112" s="176"/>
      <c r="X112" s="176"/>
    </row>
    <row r="113" spans="2:24" x14ac:dyDescent="0.25">
      <c r="B113" s="219" t="s">
        <v>146</v>
      </c>
      <c r="C113" s="79">
        <f>'ABP Future Assumptions'!C77</f>
        <v>3305.2461204279521</v>
      </c>
      <c r="D113" s="80">
        <f>'ABP Future Assumptions'!J77</f>
        <v>55.89</v>
      </c>
      <c r="E113" s="219"/>
      <c r="F113" s="42">
        <f>(E52*D113)*0.15</f>
        <v>534374.59915289981</v>
      </c>
      <c r="G113" s="42">
        <f>((E52*D113)-F113)/6</f>
        <v>504687.12142218323</v>
      </c>
      <c r="H113" s="42">
        <f t="shared" ref="H113:L116" si="31">G113</f>
        <v>504687.12142218323</v>
      </c>
      <c r="I113" s="42">
        <f t="shared" si="31"/>
        <v>504687.12142218323</v>
      </c>
      <c r="J113" s="42">
        <f t="shared" si="31"/>
        <v>504687.12142218323</v>
      </c>
      <c r="K113" s="42">
        <f t="shared" si="31"/>
        <v>504687.12142218323</v>
      </c>
      <c r="L113" s="42">
        <f t="shared" si="31"/>
        <v>504687.12142218323</v>
      </c>
      <c r="M113" s="42">
        <v>0</v>
      </c>
      <c r="N113" s="42">
        <v>0</v>
      </c>
      <c r="O113" s="42">
        <v>0</v>
      </c>
      <c r="P113" s="42">
        <v>0</v>
      </c>
      <c r="Q113" s="42">
        <v>0</v>
      </c>
      <c r="R113" s="42">
        <v>0</v>
      </c>
      <c r="S113" s="42">
        <v>0</v>
      </c>
      <c r="T113" s="42">
        <v>0</v>
      </c>
      <c r="U113" s="42">
        <v>0</v>
      </c>
      <c r="V113" s="42">
        <v>0</v>
      </c>
      <c r="W113" s="42">
        <v>0</v>
      </c>
      <c r="X113" s="42">
        <v>0</v>
      </c>
    </row>
    <row r="114" spans="2:24" x14ac:dyDescent="0.25">
      <c r="B114" s="219" t="s">
        <v>147</v>
      </c>
      <c r="C114" s="79">
        <f>'ABP Future Assumptions'!C78</f>
        <v>2553.1450264857485</v>
      </c>
      <c r="D114" s="80">
        <f>'ABP Future Assumptions'!J78</f>
        <v>53.63</v>
      </c>
      <c r="E114" s="219"/>
      <c r="F114" s="42">
        <f>(E53*D114)*0.15</f>
        <v>386235.51806922338</v>
      </c>
      <c r="G114" s="42">
        <f>((E53*D114)-F114)/6</f>
        <v>364777.98928759986</v>
      </c>
      <c r="H114" s="42">
        <f t="shared" si="31"/>
        <v>364777.98928759986</v>
      </c>
      <c r="I114" s="42">
        <f t="shared" si="31"/>
        <v>364777.98928759986</v>
      </c>
      <c r="J114" s="42">
        <f t="shared" si="31"/>
        <v>364777.98928759986</v>
      </c>
      <c r="K114" s="42">
        <f t="shared" si="31"/>
        <v>364777.98928759986</v>
      </c>
      <c r="L114" s="42">
        <f t="shared" si="31"/>
        <v>364777.98928759986</v>
      </c>
      <c r="M114" s="42">
        <v>0</v>
      </c>
      <c r="N114" s="42">
        <v>0</v>
      </c>
      <c r="O114" s="42">
        <v>0</v>
      </c>
      <c r="P114" s="42">
        <v>0</v>
      </c>
      <c r="Q114" s="42">
        <v>0</v>
      </c>
      <c r="R114" s="42">
        <v>0</v>
      </c>
      <c r="S114" s="42">
        <v>0</v>
      </c>
      <c r="T114" s="42">
        <v>0</v>
      </c>
      <c r="U114" s="42">
        <v>0</v>
      </c>
      <c r="V114" s="42">
        <v>0</v>
      </c>
      <c r="W114" s="42">
        <v>0</v>
      </c>
      <c r="X114" s="42">
        <v>0</v>
      </c>
    </row>
    <row r="115" spans="2:24" x14ac:dyDescent="0.25">
      <c r="B115" s="219" t="s">
        <v>148</v>
      </c>
      <c r="C115" s="79">
        <f>'ABP Future Assumptions'!C79</f>
        <v>5926.6545474380619</v>
      </c>
      <c r="D115" s="80">
        <f>'ABP Future Assumptions'!J79</f>
        <v>46.58</v>
      </c>
      <c r="E115" s="219"/>
      <c r="F115" s="42">
        <f>(E54*D115)*0.15</f>
        <v>804147.48008925922</v>
      </c>
      <c r="G115" s="42">
        <f>((E54*D115)-F115)/6</f>
        <v>759472.62008430029</v>
      </c>
      <c r="H115" s="42">
        <f t="shared" si="31"/>
        <v>759472.62008430029</v>
      </c>
      <c r="I115" s="42">
        <f t="shared" si="31"/>
        <v>759472.62008430029</v>
      </c>
      <c r="J115" s="42">
        <f t="shared" si="31"/>
        <v>759472.62008430029</v>
      </c>
      <c r="K115" s="42">
        <f t="shared" si="31"/>
        <v>759472.62008430029</v>
      </c>
      <c r="L115" s="42">
        <f t="shared" si="31"/>
        <v>759472.62008430029</v>
      </c>
      <c r="M115" s="42">
        <v>0</v>
      </c>
      <c r="N115" s="42">
        <v>0</v>
      </c>
      <c r="O115" s="42">
        <v>0</v>
      </c>
      <c r="P115" s="42">
        <v>0</v>
      </c>
      <c r="Q115" s="42">
        <v>0</v>
      </c>
      <c r="R115" s="42">
        <v>0</v>
      </c>
      <c r="S115" s="42">
        <v>0</v>
      </c>
      <c r="T115" s="42">
        <v>0</v>
      </c>
      <c r="U115" s="42">
        <v>0</v>
      </c>
      <c r="V115" s="42">
        <v>0</v>
      </c>
      <c r="W115" s="42">
        <v>0</v>
      </c>
      <c r="X115" s="42">
        <v>0</v>
      </c>
    </row>
    <row r="116" spans="2:24" x14ac:dyDescent="0.25">
      <c r="B116" s="219" t="s">
        <v>155</v>
      </c>
      <c r="C116" s="79">
        <f>'ABP Future Assumptions'!C80</f>
        <v>28234.872699670323</v>
      </c>
      <c r="D116" s="80">
        <f>'ABP Future Assumptions'!J80</f>
        <v>43.77</v>
      </c>
      <c r="E116" s="219"/>
      <c r="F116" s="42">
        <f>(E55*D116)*0.15</f>
        <v>3390053.3111743103</v>
      </c>
      <c r="G116" s="42">
        <f>((E55*D116)-F116)/6</f>
        <v>3201717.0161090712</v>
      </c>
      <c r="H116" s="42">
        <f t="shared" si="31"/>
        <v>3201717.0161090712</v>
      </c>
      <c r="I116" s="42">
        <f t="shared" si="31"/>
        <v>3201717.0161090712</v>
      </c>
      <c r="J116" s="42">
        <f t="shared" si="31"/>
        <v>3201717.0161090712</v>
      </c>
      <c r="K116" s="42">
        <f t="shared" si="31"/>
        <v>3201717.0161090712</v>
      </c>
      <c r="L116" s="42">
        <f t="shared" si="31"/>
        <v>3201717.0161090712</v>
      </c>
      <c r="M116" s="42">
        <v>0</v>
      </c>
      <c r="N116" s="42">
        <v>0</v>
      </c>
      <c r="O116" s="42">
        <v>0</v>
      </c>
      <c r="P116" s="42">
        <v>0</v>
      </c>
      <c r="Q116" s="42">
        <v>0</v>
      </c>
      <c r="R116" s="42">
        <v>0</v>
      </c>
      <c r="S116" s="42">
        <v>0</v>
      </c>
      <c r="T116" s="42">
        <v>0</v>
      </c>
      <c r="U116" s="42">
        <v>0</v>
      </c>
      <c r="V116" s="42">
        <v>0</v>
      </c>
      <c r="W116" s="42">
        <v>0</v>
      </c>
      <c r="X116" s="42">
        <v>0</v>
      </c>
    </row>
    <row r="117" spans="2:24" x14ac:dyDescent="0.25">
      <c r="B117" s="219" t="s">
        <v>150</v>
      </c>
      <c r="C117" s="79">
        <f>'ABP Future Assumptions'!C81</f>
        <v>0</v>
      </c>
      <c r="D117" s="80">
        <f>'ABP Future Assumptions'!J81</f>
        <v>33.03</v>
      </c>
      <c r="E117" s="219"/>
      <c r="F117" s="42"/>
      <c r="G117" s="42"/>
      <c r="H117" s="42"/>
      <c r="I117" s="42"/>
      <c r="J117" s="42"/>
      <c r="K117" s="42"/>
      <c r="L117" s="42"/>
      <c r="M117" s="42"/>
      <c r="N117" s="42"/>
      <c r="O117" s="42"/>
      <c r="P117" s="42"/>
      <c r="Q117" s="42"/>
      <c r="R117" s="42"/>
      <c r="S117" s="42"/>
      <c r="T117" s="42"/>
      <c r="U117" s="42"/>
      <c r="V117" s="42"/>
      <c r="W117" s="42"/>
      <c r="X117" s="42"/>
    </row>
    <row r="118" spans="2:24" x14ac:dyDescent="0.25">
      <c r="B118" s="179" t="s">
        <v>167</v>
      </c>
      <c r="C118" s="174">
        <f>'ABP Future Assumptions'!C82</f>
        <v>93380</v>
      </c>
      <c r="D118" s="103"/>
      <c r="E118" s="179"/>
      <c r="F118" s="176"/>
      <c r="G118" s="176"/>
      <c r="H118" s="176"/>
      <c r="I118" s="176"/>
      <c r="J118" s="176"/>
      <c r="K118" s="176"/>
      <c r="L118" s="176"/>
      <c r="M118" s="176"/>
      <c r="N118" s="176"/>
      <c r="O118" s="176"/>
      <c r="P118" s="176"/>
      <c r="Q118" s="176"/>
      <c r="R118" s="176"/>
      <c r="S118" s="176"/>
      <c r="T118" s="176"/>
      <c r="U118" s="176"/>
      <c r="V118" s="176"/>
      <c r="W118" s="176"/>
      <c r="X118" s="176"/>
    </row>
    <row r="119" spans="2:24" x14ac:dyDescent="0.25">
      <c r="B119" s="219" t="s">
        <v>152</v>
      </c>
      <c r="C119" s="79">
        <f>'ABP Future Assumptions'!C83</f>
        <v>3531.4549095663756</v>
      </c>
      <c r="D119" s="80">
        <f>'ABP Future Assumptions'!J83</f>
        <v>70.23</v>
      </c>
      <c r="E119" s="219"/>
      <c r="F119" s="42">
        <f>(E58*D119)*0.15</f>
        <v>675374.38277331775</v>
      </c>
      <c r="G119" s="42">
        <f>((E58*D119)-F119)/6</f>
        <v>637853.5837303556</v>
      </c>
      <c r="H119" s="42">
        <f t="shared" ref="H119:L122" si="32">G119</f>
        <v>637853.5837303556</v>
      </c>
      <c r="I119" s="42">
        <f t="shared" si="32"/>
        <v>637853.5837303556</v>
      </c>
      <c r="J119" s="42">
        <f t="shared" si="32"/>
        <v>637853.5837303556</v>
      </c>
      <c r="K119" s="42">
        <f t="shared" si="32"/>
        <v>637853.5837303556</v>
      </c>
      <c r="L119" s="42">
        <f t="shared" si="32"/>
        <v>637853.5837303556</v>
      </c>
      <c r="M119" s="42">
        <v>0</v>
      </c>
      <c r="N119" s="42">
        <v>0</v>
      </c>
      <c r="O119" s="42">
        <v>0</v>
      </c>
      <c r="P119" s="42">
        <v>0</v>
      </c>
      <c r="Q119" s="42">
        <v>0</v>
      </c>
      <c r="R119" s="42">
        <v>0</v>
      </c>
      <c r="S119" s="42">
        <v>0</v>
      </c>
      <c r="T119" s="42">
        <v>0</v>
      </c>
      <c r="U119" s="42">
        <v>0</v>
      </c>
      <c r="V119" s="42">
        <v>0</v>
      </c>
      <c r="W119" s="42">
        <v>0</v>
      </c>
      <c r="X119" s="42">
        <v>0</v>
      </c>
    </row>
    <row r="120" spans="2:24" x14ac:dyDescent="0.25">
      <c r="B120" s="219" t="s">
        <v>147</v>
      </c>
      <c r="C120" s="79">
        <f>'ABP Future Assumptions'!C84</f>
        <v>2749.9472612294699</v>
      </c>
      <c r="D120" s="80">
        <f>'ABP Future Assumptions'!J84</f>
        <v>63.34</v>
      </c>
      <c r="E120" s="219"/>
      <c r="F120" s="42">
        <f>(E59*D120)*0.15</f>
        <v>470008.98212261422</v>
      </c>
      <c r="G120" s="42">
        <f>((E59*D120)-F120)/6</f>
        <v>443897.37200469128</v>
      </c>
      <c r="H120" s="42">
        <f t="shared" si="32"/>
        <v>443897.37200469128</v>
      </c>
      <c r="I120" s="42">
        <f t="shared" si="32"/>
        <v>443897.37200469128</v>
      </c>
      <c r="J120" s="42">
        <f t="shared" si="32"/>
        <v>443897.37200469128</v>
      </c>
      <c r="K120" s="42">
        <f t="shared" si="32"/>
        <v>443897.37200469128</v>
      </c>
      <c r="L120" s="42">
        <f t="shared" si="32"/>
        <v>443897.37200469128</v>
      </c>
      <c r="M120" s="42">
        <v>0</v>
      </c>
      <c r="N120" s="42">
        <v>0</v>
      </c>
      <c r="O120" s="42">
        <v>0</v>
      </c>
      <c r="P120" s="42">
        <v>0</v>
      </c>
      <c r="Q120" s="42">
        <v>0</v>
      </c>
      <c r="R120" s="42">
        <v>0</v>
      </c>
      <c r="S120" s="42">
        <v>0</v>
      </c>
      <c r="T120" s="42">
        <v>0</v>
      </c>
      <c r="U120" s="42">
        <v>0</v>
      </c>
      <c r="V120" s="42">
        <v>0</v>
      </c>
      <c r="W120" s="42">
        <v>0</v>
      </c>
      <c r="X120" s="42">
        <v>0</v>
      </c>
    </row>
    <row r="121" spans="2:24" x14ac:dyDescent="0.25">
      <c r="B121" s="219" t="s">
        <v>148</v>
      </c>
      <c r="C121" s="79">
        <f>'ABP Future Assumptions'!C85</f>
        <v>10192.344615055583</v>
      </c>
      <c r="D121" s="80">
        <f>'ABP Future Assumptions'!J85</f>
        <v>54.6</v>
      </c>
      <c r="E121" s="219"/>
      <c r="F121" s="42">
        <f>(E60*D121)*0.15</f>
        <v>1495618.0892871537</v>
      </c>
      <c r="G121" s="42">
        <f>((E60*D121)-F121)/6</f>
        <v>1412528.1954378672</v>
      </c>
      <c r="H121" s="42">
        <f t="shared" si="32"/>
        <v>1412528.1954378672</v>
      </c>
      <c r="I121" s="42">
        <f t="shared" si="32"/>
        <v>1412528.1954378672</v>
      </c>
      <c r="J121" s="42">
        <f t="shared" si="32"/>
        <v>1412528.1954378672</v>
      </c>
      <c r="K121" s="42">
        <f t="shared" si="32"/>
        <v>1412528.1954378672</v>
      </c>
      <c r="L121" s="42">
        <f t="shared" si="32"/>
        <v>1412528.1954378672</v>
      </c>
      <c r="M121" s="42">
        <v>0</v>
      </c>
      <c r="N121" s="42">
        <v>0</v>
      </c>
      <c r="O121" s="42">
        <v>0</v>
      </c>
      <c r="P121" s="42">
        <v>0</v>
      </c>
      <c r="Q121" s="42">
        <v>0</v>
      </c>
      <c r="R121" s="42">
        <v>0</v>
      </c>
      <c r="S121" s="42">
        <v>0</v>
      </c>
      <c r="T121" s="42">
        <v>0</v>
      </c>
      <c r="U121" s="42">
        <v>0</v>
      </c>
      <c r="V121" s="42">
        <v>0</v>
      </c>
      <c r="W121" s="42">
        <v>0</v>
      </c>
      <c r="X121" s="42">
        <v>0</v>
      </c>
    </row>
    <row r="122" spans="2:24" x14ac:dyDescent="0.25">
      <c r="B122" s="219" t="s">
        <v>155</v>
      </c>
      <c r="C122" s="79">
        <f>'ABP Future Assumptions'!C86</f>
        <v>76906.220793171669</v>
      </c>
      <c r="D122" s="80">
        <f>'ABP Future Assumptions'!J86</f>
        <v>49.49</v>
      </c>
      <c r="E122" s="219"/>
      <c r="F122" s="42">
        <f>(E61*D122)*0.15</f>
        <v>10845529.342633883</v>
      </c>
      <c r="G122" s="42">
        <f>((E61*D122)-F122)/6</f>
        <v>10242999.934709778</v>
      </c>
      <c r="H122" s="42">
        <f t="shared" si="32"/>
        <v>10242999.934709778</v>
      </c>
      <c r="I122" s="42">
        <f t="shared" si="32"/>
        <v>10242999.934709778</v>
      </c>
      <c r="J122" s="42">
        <f t="shared" si="32"/>
        <v>10242999.934709778</v>
      </c>
      <c r="K122" s="42">
        <f t="shared" si="32"/>
        <v>10242999.934709778</v>
      </c>
      <c r="L122" s="42">
        <f t="shared" si="32"/>
        <v>10242999.934709778</v>
      </c>
      <c r="M122" s="42">
        <v>0</v>
      </c>
      <c r="N122" s="42">
        <v>0</v>
      </c>
      <c r="O122" s="42">
        <v>0</v>
      </c>
      <c r="P122" s="42">
        <v>0</v>
      </c>
      <c r="Q122" s="42">
        <v>0</v>
      </c>
      <c r="R122" s="42">
        <v>0</v>
      </c>
      <c r="S122" s="42">
        <v>0</v>
      </c>
      <c r="T122" s="42">
        <v>0</v>
      </c>
      <c r="U122" s="42">
        <v>0</v>
      </c>
      <c r="V122" s="42">
        <v>0</v>
      </c>
      <c r="W122" s="42">
        <v>0</v>
      </c>
      <c r="X122" s="42">
        <v>0</v>
      </c>
    </row>
    <row r="123" spans="2:24" x14ac:dyDescent="0.25">
      <c r="B123" s="219" t="s">
        <v>150</v>
      </c>
      <c r="C123" s="79">
        <f>'ABP Future Assumptions'!C87</f>
        <v>0</v>
      </c>
      <c r="D123" s="80">
        <f>'ABP Future Assumptions'!J87</f>
        <v>37.049999999999997</v>
      </c>
      <c r="E123" s="219"/>
      <c r="F123" s="42"/>
      <c r="G123" s="42"/>
      <c r="H123" s="42"/>
      <c r="I123" s="42"/>
      <c r="J123" s="42"/>
      <c r="K123" s="42"/>
      <c r="L123" s="42"/>
      <c r="M123" s="42"/>
      <c r="N123" s="42"/>
      <c r="O123" s="42"/>
      <c r="P123" s="42"/>
      <c r="Q123" s="42"/>
      <c r="R123" s="42"/>
      <c r="S123" s="42"/>
      <c r="T123" s="42"/>
      <c r="U123" s="42"/>
      <c r="V123" s="42"/>
      <c r="W123" s="42"/>
      <c r="X123" s="42"/>
    </row>
  </sheetData>
  <printOptions horizontalCentered="1" verticalCentered="1"/>
  <pageMargins left="0.7" right="0.7" top="0.75" bottom="0.75" header="0.3" footer="0.3"/>
  <pageSetup scale="31" fitToHeight="2" orientation="landscape" r:id="rId1"/>
  <headerFooter>
    <oddHeader>&amp;A</oddHeader>
  </headerFooter>
  <rowBreaks count="1" manualBreakCount="1">
    <brk id="63" min="1" max="25" man="1"/>
  </rowBreaks>
  <customProperties>
    <customPr name="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95495-4789-471F-B543-3F1A7BE9C8C0}">
  <sheetPr>
    <tabColor theme="7" tint="0.59999389629810485"/>
    <pageSetUpPr fitToPage="1"/>
  </sheetPr>
  <dimension ref="A1:T16"/>
  <sheetViews>
    <sheetView zoomScaleNormal="100" workbookViewId="0">
      <selection activeCell="B21" sqref="B21"/>
    </sheetView>
  </sheetViews>
  <sheetFormatPr defaultColWidth="9.140625" defaultRowHeight="15" x14ac:dyDescent="0.25"/>
  <cols>
    <col min="1" max="1" width="45.140625" bestFit="1" customWidth="1"/>
    <col min="2" max="2" width="12.5703125" bestFit="1" customWidth="1"/>
    <col min="3" max="4" width="12.42578125" bestFit="1" customWidth="1"/>
    <col min="5" max="5" width="12.5703125" bestFit="1" customWidth="1"/>
    <col min="6" max="6" width="12.42578125" bestFit="1" customWidth="1"/>
    <col min="7" max="7" width="12" bestFit="1" customWidth="1"/>
    <col min="8" max="8" width="12.5703125" bestFit="1" customWidth="1"/>
    <col min="9" max="11" width="12.42578125" bestFit="1" customWidth="1"/>
    <col min="12" max="13" width="12.5703125" bestFit="1" customWidth="1"/>
    <col min="14" max="14" width="12.42578125" bestFit="1" customWidth="1"/>
    <col min="15" max="15" width="12.5703125" bestFit="1" customWidth="1"/>
    <col min="16" max="17" width="12.42578125" bestFit="1" customWidth="1"/>
    <col min="18" max="18" width="12" bestFit="1" customWidth="1"/>
    <col min="19" max="20" width="12.5703125" bestFit="1" customWidth="1"/>
  </cols>
  <sheetData>
    <row r="1" spans="1:20" ht="15.75" x14ac:dyDescent="0.25">
      <c r="A1" s="167"/>
      <c r="B1" s="218" t="str">
        <f>'24-25 ABP Activities'!F4</f>
        <v>2025-2026</v>
      </c>
      <c r="C1" s="218" t="str">
        <f>'24-25 ABP Activities'!G4</f>
        <v>2026-2027</v>
      </c>
      <c r="D1" s="218" t="str">
        <f>'24-25 ABP Activities'!H4</f>
        <v>2027-2028</v>
      </c>
      <c r="E1" s="218" t="str">
        <f>'24-25 ABP Activities'!I4</f>
        <v>2028-2029</v>
      </c>
      <c r="F1" s="218" t="str">
        <f>'24-25 ABP Activities'!J4</f>
        <v>2029-2030</v>
      </c>
      <c r="G1" s="218" t="str">
        <f>'24-25 ABP Activities'!K4</f>
        <v>2030-2031</v>
      </c>
      <c r="H1" s="218" t="str">
        <f>'24-25 ABP Activities'!L4</f>
        <v>2031-2032</v>
      </c>
      <c r="I1" s="218" t="str">
        <f>'24-25 ABP Activities'!M4</f>
        <v>2032-2033</v>
      </c>
      <c r="J1" s="218" t="str">
        <f>'24-25 ABP Activities'!N4</f>
        <v>2033-2034</v>
      </c>
      <c r="K1" s="218" t="str">
        <f>'24-25 ABP Activities'!O4</f>
        <v>2034-2035</v>
      </c>
      <c r="L1" s="218" t="str">
        <f>'24-25 ABP Activities'!P4</f>
        <v>2035-2036</v>
      </c>
      <c r="M1" s="218" t="str">
        <f>'24-25 ABP Activities'!Q4</f>
        <v>2036-2037</v>
      </c>
      <c r="N1" s="218" t="str">
        <f>'24-25 ABP Activities'!R4</f>
        <v>2037-2038</v>
      </c>
      <c r="O1" s="218" t="str">
        <f>'24-25 ABP Activities'!S4</f>
        <v>2038-2039</v>
      </c>
      <c r="P1" s="218" t="str">
        <f>'24-25 ABP Activities'!T4</f>
        <v>2039-2040</v>
      </c>
      <c r="Q1" s="218" t="str">
        <f>'24-25 ABP Activities'!U4</f>
        <v>2040-2041</v>
      </c>
      <c r="R1" s="218" t="str">
        <f>'24-25 ABP Activities'!V4</f>
        <v>2041-2042</v>
      </c>
      <c r="S1" s="218" t="str">
        <f>'24-25 ABP Activities'!W4</f>
        <v>2042-2043</v>
      </c>
      <c r="T1" s="218" t="str">
        <f>'24-25 ABP Activities'!X4</f>
        <v>2043-2044</v>
      </c>
    </row>
    <row r="2" spans="1:20" x14ac:dyDescent="0.25">
      <c r="A2" s="184" t="s">
        <v>138</v>
      </c>
      <c r="B2" s="78">
        <f>'24-25 ABP Activities'!F9</f>
        <v>145906.86007555202</v>
      </c>
      <c r="C2" s="78">
        <f>'24-25 ABP Activities'!G9</f>
        <v>145177.32577517425</v>
      </c>
      <c r="D2" s="78">
        <f>'24-25 ABP Activities'!H9</f>
        <v>144451.43914629839</v>
      </c>
      <c r="E2" s="78">
        <f>'24-25 ABP Activities'!I9</f>
        <v>143729.18195056688</v>
      </c>
      <c r="F2" s="78">
        <f>'24-25 ABP Activities'!J9</f>
        <v>143010.53604081407</v>
      </c>
      <c r="G2" s="78">
        <f>'24-25 ABP Activities'!K9</f>
        <v>142295.48336060997</v>
      </c>
      <c r="H2" s="78">
        <f>'24-25 ABP Activities'!L9</f>
        <v>141584.00594380693</v>
      </c>
      <c r="I2" s="78">
        <f>'24-25 ABP Activities'!M9</f>
        <v>140876.08591408789</v>
      </c>
      <c r="J2" s="78">
        <f>'24-25 ABP Activities'!N9</f>
        <v>140171.70548451744</v>
      </c>
      <c r="K2" s="78">
        <f>'24-25 ABP Activities'!O9</f>
        <v>139470.84695709485</v>
      </c>
      <c r="L2" s="78">
        <f>'24-25 ABP Activities'!P9</f>
        <v>138773.49272230937</v>
      </c>
      <c r="M2" s="78">
        <f>'24-25 ABP Activities'!Q9</f>
        <v>138079.62525869784</v>
      </c>
      <c r="N2" s="78">
        <f>'24-25 ABP Activities'!R9</f>
        <v>137389.22713240434</v>
      </c>
      <c r="O2" s="78">
        <f>'24-25 ABP Activities'!S9</f>
        <v>136702.28099674231</v>
      </c>
      <c r="P2" s="78">
        <f>'24-25 ABP Activities'!T9</f>
        <v>136018.76959175861</v>
      </c>
      <c r="Q2" s="78">
        <f>'24-25 ABP Activities'!U9</f>
        <v>0</v>
      </c>
      <c r="R2" s="78">
        <f>'24-25 ABP Activities'!V9</f>
        <v>0</v>
      </c>
      <c r="S2" s="78">
        <f>'24-25 ABP Activities'!W9</f>
        <v>0</v>
      </c>
      <c r="T2" s="78">
        <f>'24-25 ABP Activities'!X9</f>
        <v>0</v>
      </c>
    </row>
    <row r="3" spans="1:20" x14ac:dyDescent="0.25">
      <c r="A3" s="184" t="s">
        <v>144</v>
      </c>
      <c r="B3" s="168">
        <f>'24-25 ABP Activities'!F16</f>
        <v>155342.33973121329</v>
      </c>
      <c r="C3" s="168">
        <f>'24-25 ABP Activities'!G16</f>
        <v>154565.6280325572</v>
      </c>
      <c r="D3" s="168">
        <f>'24-25 ABP Activities'!H16</f>
        <v>153792.79989239443</v>
      </c>
      <c r="E3" s="168">
        <f>'24-25 ABP Activities'!I16</f>
        <v>153023.83589293246</v>
      </c>
      <c r="F3" s="168">
        <f>'24-25 ABP Activities'!J16</f>
        <v>152258.71671346779</v>
      </c>
      <c r="G3" s="168">
        <f>'24-25 ABP Activities'!K16</f>
        <v>151497.42312990045</v>
      </c>
      <c r="H3" s="168">
        <f>'24-25 ABP Activities'!L16</f>
        <v>150739.93601425094</v>
      </c>
      <c r="I3" s="168">
        <f>'24-25 ABP Activities'!M16</f>
        <v>149986.2363341797</v>
      </c>
      <c r="J3" s="168">
        <f>'24-25 ABP Activities'!N16</f>
        <v>149236.30515250878</v>
      </c>
      <c r="K3" s="168">
        <f>'24-25 ABP Activities'!O16</f>
        <v>148490.12362674624</v>
      </c>
      <c r="L3" s="168">
        <f>'24-25 ABP Activities'!P16</f>
        <v>147747.6730086125</v>
      </c>
      <c r="M3" s="168">
        <f>'24-25 ABP Activities'!Q16</f>
        <v>147008.93464356946</v>
      </c>
      <c r="N3" s="168">
        <f>'24-25 ABP Activities'!R16</f>
        <v>146273.88997035159</v>
      </c>
      <c r="O3" s="168">
        <f>'24-25 ABP Activities'!S16</f>
        <v>145542.52052049985</v>
      </c>
      <c r="P3" s="168">
        <f>'24-25 ABP Activities'!T16</f>
        <v>144814.80791789736</v>
      </c>
      <c r="Q3" s="168">
        <f>'24-25 ABP Activities'!U16</f>
        <v>0</v>
      </c>
      <c r="R3" s="168">
        <f>'24-25 ABP Activities'!V16</f>
        <v>0</v>
      </c>
      <c r="S3" s="168">
        <f>'24-25 ABP Activities'!W16</f>
        <v>0</v>
      </c>
      <c r="T3" s="168">
        <f>'24-25 ABP Activities'!X16</f>
        <v>0</v>
      </c>
    </row>
    <row r="4" spans="1:20" x14ac:dyDescent="0.25">
      <c r="A4" s="184" t="s">
        <v>153</v>
      </c>
      <c r="B4" s="168">
        <f>'24-25 ABP Activities'!F29</f>
        <v>0</v>
      </c>
      <c r="C4" s="168">
        <f>'24-25 ABP Activities'!G29</f>
        <v>266722.870788</v>
      </c>
      <c r="D4" s="168">
        <f>'24-25 ABP Activities'!H29</f>
        <v>265389.25643405999</v>
      </c>
      <c r="E4" s="168">
        <f>'24-25 ABP Activities'!I29</f>
        <v>264062.31015188969</v>
      </c>
      <c r="F4" s="168">
        <f>'24-25 ABP Activities'!J29</f>
        <v>262741.99860113027</v>
      </c>
      <c r="G4" s="168">
        <f>'24-25 ABP Activities'!K29</f>
        <v>261428.2886081246</v>
      </c>
      <c r="H4" s="168">
        <f>'24-25 ABP Activities'!L29</f>
        <v>260121.14716508397</v>
      </c>
      <c r="I4" s="168">
        <f>'24-25 ABP Activities'!M29</f>
        <v>258820.54142925856</v>
      </c>
      <c r="J4" s="168">
        <f>'24-25 ABP Activities'!N29</f>
        <v>257526.43872211227</v>
      </c>
      <c r="K4" s="168">
        <f>'24-25 ABP Activities'!O29</f>
        <v>256238.80652850171</v>
      </c>
      <c r="L4" s="168">
        <f>'24-25 ABP Activities'!P29</f>
        <v>254957.61249585918</v>
      </c>
      <c r="M4" s="168">
        <f>'24-25 ABP Activities'!Q29</f>
        <v>253682.82443337986</v>
      </c>
      <c r="N4" s="168">
        <f>'24-25 ABP Activities'!R29</f>
        <v>252414.41031121297</v>
      </c>
      <c r="O4" s="168">
        <f>'24-25 ABP Activities'!S29</f>
        <v>251152.33825965691</v>
      </c>
      <c r="P4" s="168">
        <f>'24-25 ABP Activities'!T29</f>
        <v>249896.57656835864</v>
      </c>
      <c r="Q4" s="168">
        <f>'24-25 ABP Activities'!U29</f>
        <v>248647.09368551683</v>
      </c>
      <c r="R4" s="168">
        <f>'24-25 ABP Activities'!V29</f>
        <v>247403.85821708923</v>
      </c>
      <c r="S4" s="168">
        <f>'24-25 ABP Activities'!W29</f>
        <v>246166.83892600378</v>
      </c>
      <c r="T4" s="168">
        <f>'24-25 ABP Activities'!X29</f>
        <v>244936.00473137377</v>
      </c>
    </row>
    <row r="5" spans="1:20" x14ac:dyDescent="0.25">
      <c r="A5" s="184" t="s">
        <v>158</v>
      </c>
      <c r="B5" s="168">
        <f>'24-25 ABP Activities'!F32</f>
        <v>128422.12297199998</v>
      </c>
      <c r="C5" s="168">
        <f>'24-25 ABP Activities'!G32</f>
        <v>127780.01235713999</v>
      </c>
      <c r="D5" s="168">
        <f>'24-25 ABP Activities'!H32</f>
        <v>127141.11229535428</v>
      </c>
      <c r="E5" s="168">
        <f>'24-25 ABP Activities'!I32</f>
        <v>126505.40673387751</v>
      </c>
      <c r="F5" s="168">
        <f>'24-25 ABP Activities'!J32</f>
        <v>125872.87970020811</v>
      </c>
      <c r="G5" s="168">
        <f>'24-25 ABP Activities'!K32</f>
        <v>125243.51530170708</v>
      </c>
      <c r="H5" s="168">
        <f>'24-25 ABP Activities'!L32</f>
        <v>124617.29772519854</v>
      </c>
      <c r="I5" s="168">
        <f>'24-25 ABP Activities'!M32</f>
        <v>123994.21123657255</v>
      </c>
      <c r="J5" s="168">
        <f>'24-25 ABP Activities'!N32</f>
        <v>123374.24018038969</v>
      </c>
      <c r="K5" s="168">
        <f>'24-25 ABP Activities'!O32</f>
        <v>122757.36897948774</v>
      </c>
      <c r="L5" s="168">
        <f>'24-25 ABP Activities'!P32</f>
        <v>122143.58213459028</v>
      </c>
      <c r="M5" s="168">
        <f>'24-25 ABP Activities'!Q32</f>
        <v>121532.86422391734</v>
      </c>
      <c r="N5" s="168">
        <f>'24-25 ABP Activities'!R32</f>
        <v>120925.19990279774</v>
      </c>
      <c r="O5" s="168">
        <f>'24-25 ABP Activities'!S32</f>
        <v>120320.57390328377</v>
      </c>
      <c r="P5" s="168">
        <f>'24-25 ABP Activities'!T32</f>
        <v>119718.97103376733</v>
      </c>
      <c r="Q5" s="168">
        <f>'24-25 ABP Activities'!U32</f>
        <v>119120.3761785985</v>
      </c>
      <c r="R5" s="168">
        <f>'24-25 ABP Activities'!V32</f>
        <v>118524.77429770552</v>
      </c>
      <c r="S5" s="168">
        <f>'24-25 ABP Activities'!W32</f>
        <v>117932.15042621699</v>
      </c>
      <c r="T5" s="168">
        <f>'24-25 ABP Activities'!X32</f>
        <v>117342.4896740859</v>
      </c>
    </row>
    <row r="6" spans="1:20" x14ac:dyDescent="0.25">
      <c r="A6" s="184" t="s">
        <v>162</v>
      </c>
      <c r="B6" s="168">
        <f>'24-25 ABP Activities'!F47</f>
        <v>0</v>
      </c>
      <c r="C6" s="168">
        <f>'24-25 ABP Activities'!G47</f>
        <v>39514.499376</v>
      </c>
      <c r="D6" s="168">
        <f>'24-25 ABP Activities'!H47</f>
        <v>39316.926879120001</v>
      </c>
      <c r="E6" s="168">
        <f>'24-25 ABP Activities'!I47</f>
        <v>39120.342244724401</v>
      </c>
      <c r="F6" s="168">
        <f>'24-25 ABP Activities'!J47</f>
        <v>38924.740533500779</v>
      </c>
      <c r="G6" s="168">
        <f>'24-25 ABP Activities'!K47</f>
        <v>38730.116830833278</v>
      </c>
      <c r="H6" s="168">
        <f>'24-25 ABP Activities'!L47</f>
        <v>38536.466246679112</v>
      </c>
      <c r="I6" s="168">
        <f>'24-25 ABP Activities'!M47</f>
        <v>38343.783915445718</v>
      </c>
      <c r="J6" s="168">
        <f>'24-25 ABP Activities'!N47</f>
        <v>38152.064995868488</v>
      </c>
      <c r="K6" s="168">
        <f>'24-25 ABP Activities'!O47</f>
        <v>37961.304670889149</v>
      </c>
      <c r="L6" s="168">
        <f>'24-25 ABP Activities'!P47</f>
        <v>37771.498147534701</v>
      </c>
      <c r="M6" s="168">
        <f>'24-25 ABP Activities'!Q47</f>
        <v>37582.640656797026</v>
      </c>
      <c r="N6" s="168">
        <f>'24-25 ABP Activities'!R47</f>
        <v>37394.727453513042</v>
      </c>
      <c r="O6" s="168">
        <f>'24-25 ABP Activities'!S47</f>
        <v>37207.753816245473</v>
      </c>
      <c r="P6" s="168">
        <f>'24-25 ABP Activities'!T47</f>
        <v>37021.715047164245</v>
      </c>
      <c r="Q6" s="168">
        <f>'24-25 ABP Activities'!U47</f>
        <v>36836.606471928426</v>
      </c>
      <c r="R6" s="168">
        <f>'24-25 ABP Activities'!V47</f>
        <v>0</v>
      </c>
      <c r="S6" s="168">
        <f>'24-25 ABP Activities'!W47</f>
        <v>0</v>
      </c>
      <c r="T6" s="168">
        <f>'24-25 ABP Activities'!X47</f>
        <v>0</v>
      </c>
    </row>
    <row r="7" spans="1:20" x14ac:dyDescent="0.25">
      <c r="A7" s="12" t="s">
        <v>165</v>
      </c>
      <c r="B7" s="168">
        <f>'24-25 ABP Activities'!F50</f>
        <v>172602.59970134808</v>
      </c>
      <c r="C7" s="168">
        <f>'24-25 ABP Activities'!G50</f>
        <v>171739.58670284133</v>
      </c>
      <c r="D7" s="168">
        <f>'24-25 ABP Activities'!H50</f>
        <v>170880.88876932714</v>
      </c>
      <c r="E7" s="168">
        <f>'24-25 ABP Activities'!I50</f>
        <v>170026.4843254805</v>
      </c>
      <c r="F7" s="168">
        <f>'24-25 ABP Activities'!J50</f>
        <v>169176.35190385312</v>
      </c>
      <c r="G7" s="168">
        <f>'24-25 ABP Activities'!K50</f>
        <v>168330.47014433384</v>
      </c>
      <c r="H7" s="168">
        <f>'24-25 ABP Activities'!L50</f>
        <v>167488.81779361214</v>
      </c>
      <c r="I7" s="168">
        <f>'24-25 ABP Activities'!M50</f>
        <v>166651.37370464409</v>
      </c>
      <c r="J7" s="168">
        <f>'24-25 ABP Activities'!N50</f>
        <v>165818.11683612087</v>
      </c>
      <c r="K7" s="168">
        <f>'24-25 ABP Activities'!O50</f>
        <v>164989.02625194026</v>
      </c>
      <c r="L7" s="168">
        <f>'24-25 ABP Activities'!P50</f>
        <v>164164.08112068055</v>
      </c>
      <c r="M7" s="168">
        <f>'24-25 ABP Activities'!Q50</f>
        <v>163343.26071507717</v>
      </c>
      <c r="N7" s="168">
        <f>'24-25 ABP Activities'!R50</f>
        <v>162526.54441150179</v>
      </c>
      <c r="O7" s="168">
        <f>'24-25 ABP Activities'!S50</f>
        <v>161713.91168944424</v>
      </c>
      <c r="P7" s="168">
        <f>'24-25 ABP Activities'!T50</f>
        <v>160905.34213099704</v>
      </c>
      <c r="Q7" s="168">
        <f>'24-25 ABP Activities'!U50</f>
        <v>0</v>
      </c>
      <c r="R7" s="168">
        <f>'24-25 ABP Activities'!V50</f>
        <v>0</v>
      </c>
      <c r="S7" s="168">
        <f>'24-25 ABP Activities'!W50</f>
        <v>0</v>
      </c>
      <c r="T7" s="168">
        <f>'24-25 ABP Activities'!X50</f>
        <v>0</v>
      </c>
    </row>
    <row r="10" spans="1:20" ht="15.75" x14ac:dyDescent="0.25">
      <c r="A10" s="167"/>
      <c r="B10" s="218" t="str">
        <f t="shared" ref="B10:T10" si="0">B1</f>
        <v>2025-2026</v>
      </c>
      <c r="C10" s="218" t="str">
        <f t="shared" si="0"/>
        <v>2026-2027</v>
      </c>
      <c r="D10" s="218" t="str">
        <f t="shared" si="0"/>
        <v>2027-2028</v>
      </c>
      <c r="E10" s="218" t="str">
        <f t="shared" si="0"/>
        <v>2028-2029</v>
      </c>
      <c r="F10" s="218" t="str">
        <f t="shared" si="0"/>
        <v>2029-2030</v>
      </c>
      <c r="G10" s="218" t="str">
        <f t="shared" si="0"/>
        <v>2030-2031</v>
      </c>
      <c r="H10" s="218" t="str">
        <f t="shared" si="0"/>
        <v>2031-2032</v>
      </c>
      <c r="I10" s="218" t="str">
        <f t="shared" si="0"/>
        <v>2032-2033</v>
      </c>
      <c r="J10" s="218" t="str">
        <f t="shared" si="0"/>
        <v>2033-2034</v>
      </c>
      <c r="K10" s="218" t="str">
        <f t="shared" si="0"/>
        <v>2034-2035</v>
      </c>
      <c r="L10" s="218" t="str">
        <f t="shared" si="0"/>
        <v>2035-2036</v>
      </c>
      <c r="M10" s="218" t="str">
        <f t="shared" si="0"/>
        <v>2036-2037</v>
      </c>
      <c r="N10" s="218" t="str">
        <f t="shared" si="0"/>
        <v>2037-2038</v>
      </c>
      <c r="O10" s="218" t="str">
        <f t="shared" si="0"/>
        <v>2038-2039</v>
      </c>
      <c r="P10" s="218" t="str">
        <f t="shared" si="0"/>
        <v>2039-2040</v>
      </c>
      <c r="Q10" s="218" t="str">
        <f t="shared" si="0"/>
        <v>2040-2041</v>
      </c>
      <c r="R10" s="218" t="str">
        <f t="shared" si="0"/>
        <v>2041-2042</v>
      </c>
      <c r="S10" s="218" t="str">
        <f t="shared" si="0"/>
        <v>2042-2043</v>
      </c>
      <c r="T10" s="218" t="str">
        <f t="shared" si="0"/>
        <v>2043-2044</v>
      </c>
    </row>
    <row r="11" spans="1:20" x14ac:dyDescent="0.25">
      <c r="A11" s="184" t="s">
        <v>138</v>
      </c>
      <c r="B11" s="166">
        <f>'24-25 ABP Activities'!F70</f>
        <v>160339848.81633624</v>
      </c>
      <c r="C11" s="166">
        <f>'24-25 ABP Activities'!G70</f>
        <v>0</v>
      </c>
      <c r="D11" s="166">
        <f>'24-25 ABP Activities'!H70</f>
        <v>0</v>
      </c>
      <c r="E11" s="166">
        <f>'24-25 ABP Activities'!I70</f>
        <v>0</v>
      </c>
      <c r="F11" s="166">
        <f>'24-25 ABP Activities'!J70</f>
        <v>0</v>
      </c>
      <c r="G11" s="166">
        <f>'24-25 ABP Activities'!K70</f>
        <v>0</v>
      </c>
      <c r="H11" s="166">
        <f>'24-25 ABP Activities'!L70</f>
        <v>0</v>
      </c>
      <c r="I11" s="166">
        <f>'24-25 ABP Activities'!M70</f>
        <v>0</v>
      </c>
      <c r="J11" s="166">
        <f>'24-25 ABP Activities'!N70</f>
        <v>0</v>
      </c>
      <c r="K11" s="166">
        <f>'24-25 ABP Activities'!O70</f>
        <v>0</v>
      </c>
      <c r="L11" s="166">
        <f>'24-25 ABP Activities'!P70</f>
        <v>0</v>
      </c>
      <c r="M11" s="166">
        <f>'24-25 ABP Activities'!Q70</f>
        <v>0</v>
      </c>
      <c r="N11" s="166">
        <f>'24-25 ABP Activities'!R70</f>
        <v>0</v>
      </c>
      <c r="O11" s="166">
        <f>'24-25 ABP Activities'!S70</f>
        <v>0</v>
      </c>
      <c r="P11" s="166">
        <f>'24-25 ABP Activities'!T70</f>
        <v>0</v>
      </c>
      <c r="Q11" s="166">
        <f>'24-25 ABP Activities'!U70</f>
        <v>0</v>
      </c>
      <c r="R11" s="166">
        <f>'24-25 ABP Activities'!V70</f>
        <v>0</v>
      </c>
      <c r="S11" s="166">
        <f>'24-25 ABP Activities'!W70</f>
        <v>0</v>
      </c>
      <c r="T11" s="166">
        <f>'24-25 ABP Activities'!X70</f>
        <v>0</v>
      </c>
    </row>
    <row r="12" spans="1:20" x14ac:dyDescent="0.25">
      <c r="A12" s="184" t="s">
        <v>144</v>
      </c>
      <c r="B12" s="166">
        <f>'24-25 ABP Activities'!F77</f>
        <v>16741207.534772398</v>
      </c>
      <c r="C12" s="166">
        <f>'24-25 ABP Activities'!G77</f>
        <v>15811140.449507266</v>
      </c>
      <c r="D12" s="166">
        <f>'24-25 ABP Activities'!H77</f>
        <v>15811140.449507266</v>
      </c>
      <c r="E12" s="166">
        <f>'24-25 ABP Activities'!I77</f>
        <v>15811140.449507266</v>
      </c>
      <c r="F12" s="166">
        <f>'24-25 ABP Activities'!J77</f>
        <v>15811140.449507266</v>
      </c>
      <c r="G12" s="166">
        <f>'24-25 ABP Activities'!K77</f>
        <v>15811140.449507266</v>
      </c>
      <c r="H12" s="166">
        <f>'24-25 ABP Activities'!L77</f>
        <v>15811140.449507266</v>
      </c>
      <c r="I12" s="166">
        <f>'24-25 ABP Activities'!M77</f>
        <v>0</v>
      </c>
      <c r="J12" s="166">
        <f>'24-25 ABP Activities'!N77</f>
        <v>0</v>
      </c>
      <c r="K12" s="166">
        <f>'24-25 ABP Activities'!O77</f>
        <v>0</v>
      </c>
      <c r="L12" s="166">
        <f>'24-25 ABP Activities'!P77</f>
        <v>0</v>
      </c>
      <c r="M12" s="166">
        <f>'24-25 ABP Activities'!Q77</f>
        <v>0</v>
      </c>
      <c r="N12" s="166">
        <f>'24-25 ABP Activities'!R77</f>
        <v>0</v>
      </c>
      <c r="O12" s="166">
        <f>'24-25 ABP Activities'!S77</f>
        <v>0</v>
      </c>
      <c r="P12" s="166">
        <f>'24-25 ABP Activities'!T77</f>
        <v>0</v>
      </c>
      <c r="Q12" s="166">
        <f>'24-25 ABP Activities'!U77</f>
        <v>0</v>
      </c>
      <c r="R12" s="166">
        <f>'24-25 ABP Activities'!V77</f>
        <v>0</v>
      </c>
      <c r="S12" s="166">
        <f>'24-25 ABP Activities'!W77</f>
        <v>0</v>
      </c>
      <c r="T12" s="166">
        <f>'24-25 ABP Activities'!X77</f>
        <v>0</v>
      </c>
    </row>
    <row r="13" spans="1:20" x14ac:dyDescent="0.25">
      <c r="A13" s="184" t="s">
        <v>153</v>
      </c>
      <c r="B13" s="166">
        <f>'24-25 ABP Activities'!F90</f>
        <v>0</v>
      </c>
      <c r="C13" s="166">
        <f>'24-25 ABP Activities'!G90</f>
        <v>13809309.912177913</v>
      </c>
      <c r="D13" s="166">
        <f>'24-25 ABP Activities'!H90</f>
        <v>13740263.362617023</v>
      </c>
      <c r="E13" s="166">
        <f>'24-25 ABP Activities'!I90</f>
        <v>13671562.045803938</v>
      </c>
      <c r="F13" s="166">
        <f>'24-25 ABP Activities'!J90</f>
        <v>13603204.23557492</v>
      </c>
      <c r="G13" s="166">
        <f>'24-25 ABP Activities'!K90</f>
        <v>13535188.214397043</v>
      </c>
      <c r="H13" s="166">
        <f>'24-25 ABP Activities'!L90</f>
        <v>13467512.273325058</v>
      </c>
      <c r="I13" s="166">
        <f>'24-25 ABP Activities'!M90</f>
        <v>13400174.711958434</v>
      </c>
      <c r="J13" s="166">
        <f>'24-25 ABP Activities'!N90</f>
        <v>13333173.838398643</v>
      </c>
      <c r="K13" s="166">
        <f>'24-25 ABP Activities'!O90</f>
        <v>13266507.969206648</v>
      </c>
      <c r="L13" s="166">
        <f>'24-25 ABP Activities'!P90</f>
        <v>13200175.429360615</v>
      </c>
      <c r="M13" s="166">
        <f>'24-25 ABP Activities'!Q90</f>
        <v>13134174.55221381</v>
      </c>
      <c r="N13" s="166">
        <f>'24-25 ABP Activities'!R90</f>
        <v>13068503.67945274</v>
      </c>
      <c r="O13" s="166">
        <f>'24-25 ABP Activities'!S90</f>
        <v>13003161.161055477</v>
      </c>
      <c r="P13" s="166">
        <f>'24-25 ABP Activities'!T90</f>
        <v>12938145.355250198</v>
      </c>
      <c r="Q13" s="166">
        <f>'24-25 ABP Activities'!U90</f>
        <v>12873454.628473949</v>
      </c>
      <c r="R13" s="166">
        <f>'24-25 ABP Activities'!V90</f>
        <v>12809087.355331577</v>
      </c>
      <c r="S13" s="166">
        <f>'24-25 ABP Activities'!W90</f>
        <v>12745041.918554921</v>
      </c>
      <c r="T13" s="166">
        <f>'24-25 ABP Activities'!X90</f>
        <v>12681316.708962146</v>
      </c>
    </row>
    <row r="14" spans="1:20" x14ac:dyDescent="0.25">
      <c r="A14" s="184" t="s">
        <v>158</v>
      </c>
      <c r="B14" s="166">
        <f>'24-25 ABP Activities'!F93</f>
        <v>8601833.8951314129</v>
      </c>
      <c r="C14" s="166">
        <f>'24-25 ABP Activities'!G93</f>
        <v>8558824.725655755</v>
      </c>
      <c r="D14" s="166">
        <f>'24-25 ABP Activities'!H93</f>
        <v>8516030.6020274758</v>
      </c>
      <c r="E14" s="166">
        <f>'24-25 ABP Activities'!I93</f>
        <v>8473450.4490173385</v>
      </c>
      <c r="F14" s="166">
        <f>'24-25 ABP Activities'!J93</f>
        <v>8431083.1967722513</v>
      </c>
      <c r="G14" s="166">
        <f>'24-25 ABP Activities'!K93</f>
        <v>8388927.78078839</v>
      </c>
      <c r="H14" s="166">
        <f>'24-25 ABP Activities'!L93</f>
        <v>8346983.141884448</v>
      </c>
      <c r="I14" s="166">
        <f>'24-25 ABP Activities'!M93</f>
        <v>8305248.2261750251</v>
      </c>
      <c r="J14" s="166">
        <f>'24-25 ABP Activities'!N93</f>
        <v>8263721.9850441515</v>
      </c>
      <c r="K14" s="166">
        <f>'24-25 ABP Activities'!O93</f>
        <v>8222403.375118929</v>
      </c>
      <c r="L14" s="166">
        <f>'24-25 ABP Activities'!P93</f>
        <v>8181291.358243335</v>
      </c>
      <c r="M14" s="166">
        <f>'24-25 ABP Activities'!Q93</f>
        <v>8140384.9014521195</v>
      </c>
      <c r="N14" s="166">
        <f>'24-25 ABP Activities'!R93</f>
        <v>8099682.9769448582</v>
      </c>
      <c r="O14" s="166">
        <f>'24-25 ABP Activities'!S93</f>
        <v>8059184.5620601336</v>
      </c>
      <c r="P14" s="166">
        <f>'24-25 ABP Activities'!T93</f>
        <v>8018888.6392498324</v>
      </c>
      <c r="Q14" s="166">
        <f>'24-25 ABP Activities'!U93</f>
        <v>7978794.1960535841</v>
      </c>
      <c r="R14" s="166">
        <f>'24-25 ABP Activities'!V93</f>
        <v>7938900.2250733171</v>
      </c>
      <c r="S14" s="166">
        <f>'24-25 ABP Activities'!W93</f>
        <v>7899205.7239479488</v>
      </c>
      <c r="T14" s="166">
        <f>'24-25 ABP Activities'!X93</f>
        <v>7859709.6953282095</v>
      </c>
    </row>
    <row r="15" spans="1:20" x14ac:dyDescent="0.25">
      <c r="A15" s="184" t="s">
        <v>162</v>
      </c>
      <c r="B15" s="166">
        <f>'24-25 ABP Activities'!F108</f>
        <v>0</v>
      </c>
      <c r="C15" s="166">
        <f>'24-25 ABP Activities'!G108</f>
        <v>5636343.3831327278</v>
      </c>
      <c r="D15" s="166">
        <f>'24-25 ABP Activities'!H108</f>
        <v>5323213.1951809097</v>
      </c>
      <c r="E15" s="166">
        <f>'24-25 ABP Activities'!I108</f>
        <v>5323213.1951809097</v>
      </c>
      <c r="F15" s="166">
        <f>'24-25 ABP Activities'!J108</f>
        <v>5323213.1951809097</v>
      </c>
      <c r="G15" s="166">
        <f>'24-25 ABP Activities'!K108</f>
        <v>5323213.1951809097</v>
      </c>
      <c r="H15" s="166">
        <f>'24-25 ABP Activities'!L108</f>
        <v>5323213.1951809097</v>
      </c>
      <c r="I15" s="166">
        <f>'24-25 ABP Activities'!M108</f>
        <v>5323213.1951809097</v>
      </c>
      <c r="J15" s="166">
        <f>'24-25 ABP Activities'!N108</f>
        <v>0</v>
      </c>
      <c r="K15" s="166">
        <f>'24-25 ABP Activities'!O108</f>
        <v>0</v>
      </c>
      <c r="L15" s="166">
        <f>'24-25 ABP Activities'!P108</f>
        <v>0</v>
      </c>
      <c r="M15" s="166">
        <f>'24-25 ABP Activities'!Q108</f>
        <v>0</v>
      </c>
      <c r="N15" s="166">
        <f>'24-25 ABP Activities'!R108</f>
        <v>0</v>
      </c>
      <c r="O15" s="166">
        <f>'24-25 ABP Activities'!S108</f>
        <v>0</v>
      </c>
      <c r="P15" s="166">
        <f>'24-25 ABP Activities'!T108</f>
        <v>0</v>
      </c>
      <c r="Q15" s="166">
        <f>'24-25 ABP Activities'!U108</f>
        <v>0</v>
      </c>
      <c r="R15" s="166">
        <f>'24-25 ABP Activities'!V108</f>
        <v>0</v>
      </c>
      <c r="S15" s="166">
        <f>'24-25 ABP Activities'!W108</f>
        <v>0</v>
      </c>
      <c r="T15" s="166">
        <f>'24-25 ABP Activities'!X108</f>
        <v>0</v>
      </c>
    </row>
    <row r="16" spans="1:20" x14ac:dyDescent="0.25">
      <c r="A16" s="12" t="s">
        <v>165</v>
      </c>
      <c r="B16" s="166">
        <f>'24-25 ABP Activities'!F111</f>
        <v>18601341.705302659</v>
      </c>
      <c r="C16" s="166">
        <f>'24-25 ABP Activities'!G111</f>
        <v>17567933.832785849</v>
      </c>
      <c r="D16" s="166">
        <f>'24-25 ABP Activities'!H111</f>
        <v>17567933.832785849</v>
      </c>
      <c r="E16" s="166">
        <f>'24-25 ABP Activities'!I111</f>
        <v>17567933.832785849</v>
      </c>
      <c r="F16" s="166">
        <f>'24-25 ABP Activities'!J111</f>
        <v>17567933.832785849</v>
      </c>
      <c r="G16" s="166">
        <f>'24-25 ABP Activities'!K111</f>
        <v>17567933.832785849</v>
      </c>
      <c r="H16" s="166">
        <f>'24-25 ABP Activities'!L111</f>
        <v>17567933.832785849</v>
      </c>
      <c r="I16" s="166">
        <f>'24-25 ABP Activities'!M111</f>
        <v>0</v>
      </c>
      <c r="J16" s="166">
        <f>'24-25 ABP Activities'!N111</f>
        <v>0</v>
      </c>
      <c r="K16" s="166">
        <f>'24-25 ABP Activities'!O111</f>
        <v>0</v>
      </c>
      <c r="L16" s="166">
        <f>'24-25 ABP Activities'!P111</f>
        <v>0</v>
      </c>
      <c r="M16" s="166">
        <f>'24-25 ABP Activities'!Q111</f>
        <v>0</v>
      </c>
      <c r="N16" s="166">
        <f>'24-25 ABP Activities'!R111</f>
        <v>0</v>
      </c>
      <c r="O16" s="166">
        <f>'24-25 ABP Activities'!S111</f>
        <v>0</v>
      </c>
      <c r="P16" s="166">
        <f>'24-25 ABP Activities'!T111</f>
        <v>0</v>
      </c>
      <c r="Q16" s="166">
        <f>'24-25 ABP Activities'!U111</f>
        <v>0</v>
      </c>
      <c r="R16" s="166">
        <f>'24-25 ABP Activities'!V111</f>
        <v>0</v>
      </c>
      <c r="S16" s="166">
        <f>'24-25 ABP Activities'!W111</f>
        <v>0</v>
      </c>
      <c r="T16" s="166">
        <f>'24-25 ABP Activities'!X111</f>
        <v>0</v>
      </c>
    </row>
  </sheetData>
  <printOptions horizontalCentered="1" verticalCentered="1"/>
  <pageMargins left="0.7" right="0.7" top="0.75" bottom="0.75" header="0.3" footer="0.3"/>
  <pageSetup scale="43" orientation="landscape" r:id="rId1"/>
  <headerFooter>
    <oddHeader>&amp;A</oddHeader>
  </headerFooter>
  <customProperties>
    <customPr name="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0695E-EA75-435A-857D-F9C5B35E9691}">
  <sheetPr>
    <tabColor theme="7" tint="0.59999389629810485"/>
    <pageSetUpPr fitToPage="1"/>
  </sheetPr>
  <dimension ref="A1:AO183"/>
  <sheetViews>
    <sheetView zoomScaleNormal="100" workbookViewId="0">
      <selection activeCell="D174" sqref="D174"/>
    </sheetView>
  </sheetViews>
  <sheetFormatPr defaultColWidth="9.140625" defaultRowHeight="15" x14ac:dyDescent="0.25"/>
  <cols>
    <col min="1" max="1" width="45.140625" bestFit="1" customWidth="1"/>
    <col min="2" max="2" width="9" bestFit="1" customWidth="1"/>
    <col min="3" max="5" width="11.5703125" bestFit="1" customWidth="1"/>
    <col min="6" max="6" width="12" bestFit="1" customWidth="1"/>
    <col min="7" max="7" width="12.5703125" bestFit="1" customWidth="1"/>
    <col min="8" max="8" width="12.42578125" bestFit="1" customWidth="1"/>
    <col min="9" max="21" width="12.5703125" bestFit="1" customWidth="1"/>
  </cols>
  <sheetData>
    <row r="1" spans="1:21" ht="15.75" x14ac:dyDescent="0.25">
      <c r="A1" s="77" t="s">
        <v>181</v>
      </c>
      <c r="B1" s="218">
        <v>2024</v>
      </c>
      <c r="C1" s="218">
        <v>2025</v>
      </c>
      <c r="D1" s="218">
        <v>2026</v>
      </c>
      <c r="E1" s="218">
        <v>2027</v>
      </c>
      <c r="F1" s="218">
        <v>2028</v>
      </c>
      <c r="G1" s="218">
        <v>2029</v>
      </c>
      <c r="H1" s="218">
        <v>2030</v>
      </c>
      <c r="I1" s="218">
        <v>2031</v>
      </c>
      <c r="J1" s="218">
        <v>2032</v>
      </c>
      <c r="K1" s="218">
        <v>2033</v>
      </c>
      <c r="L1" s="218">
        <v>2034</v>
      </c>
      <c r="M1" s="218">
        <v>2035</v>
      </c>
      <c r="N1" s="218">
        <v>2036</v>
      </c>
      <c r="O1" s="218">
        <v>2037</v>
      </c>
      <c r="P1" s="218">
        <v>2038</v>
      </c>
      <c r="Q1" s="218">
        <v>2039</v>
      </c>
      <c r="R1" s="218">
        <v>2040</v>
      </c>
      <c r="S1" s="218">
        <v>2041</v>
      </c>
      <c r="T1" s="218">
        <v>2042</v>
      </c>
      <c r="U1" s="218">
        <v>2043</v>
      </c>
    </row>
    <row r="2" spans="1:21" x14ac:dyDescent="0.25">
      <c r="A2" s="184" t="s">
        <v>138</v>
      </c>
      <c r="B2" s="78">
        <f>SUM('ABP Future Assumptions'!G8:G12)</f>
        <v>0</v>
      </c>
      <c r="C2" s="78">
        <f>B2*0.995</f>
        <v>0</v>
      </c>
      <c r="D2" s="78">
        <f>C2*0.995</f>
        <v>0</v>
      </c>
      <c r="E2" s="78">
        <f>D2*0.995</f>
        <v>0</v>
      </c>
      <c r="F2" s="78">
        <f t="shared" ref="F2:U2" si="0">E2*0.995</f>
        <v>0</v>
      </c>
      <c r="G2" s="78">
        <f t="shared" si="0"/>
        <v>0</v>
      </c>
      <c r="H2" s="78">
        <f t="shared" si="0"/>
        <v>0</v>
      </c>
      <c r="I2" s="78">
        <f t="shared" si="0"/>
        <v>0</v>
      </c>
      <c r="J2" s="78">
        <f t="shared" si="0"/>
        <v>0</v>
      </c>
      <c r="K2" s="78">
        <f t="shared" si="0"/>
        <v>0</v>
      </c>
      <c r="L2" s="78">
        <f t="shared" si="0"/>
        <v>0</v>
      </c>
      <c r="M2" s="78">
        <f t="shared" si="0"/>
        <v>0</v>
      </c>
      <c r="N2" s="78">
        <f t="shared" si="0"/>
        <v>0</v>
      </c>
      <c r="O2" s="78">
        <f t="shared" si="0"/>
        <v>0</v>
      </c>
      <c r="P2" s="78">
        <f t="shared" si="0"/>
        <v>0</v>
      </c>
      <c r="Q2" s="78"/>
      <c r="R2" s="78">
        <f t="shared" si="0"/>
        <v>0</v>
      </c>
      <c r="S2" s="78">
        <f t="shared" si="0"/>
        <v>0</v>
      </c>
      <c r="T2" s="78">
        <f t="shared" si="0"/>
        <v>0</v>
      </c>
      <c r="U2" s="78">
        <f t="shared" si="0"/>
        <v>0</v>
      </c>
    </row>
    <row r="3" spans="1:21" x14ac:dyDescent="0.25">
      <c r="A3" s="184" t="s">
        <v>144</v>
      </c>
      <c r="B3" s="78">
        <f>SUM('ABP Future Assumptions'!G15:G24)</f>
        <v>0</v>
      </c>
      <c r="C3" s="78">
        <f>B3*0.995</f>
        <v>0</v>
      </c>
      <c r="D3" s="78">
        <f t="shared" ref="D3:U7" si="1">C3*0.995</f>
        <v>0</v>
      </c>
      <c r="E3" s="78">
        <f t="shared" si="1"/>
        <v>0</v>
      </c>
      <c r="F3" s="78">
        <f t="shared" si="1"/>
        <v>0</v>
      </c>
      <c r="G3" s="78">
        <f t="shared" si="1"/>
        <v>0</v>
      </c>
      <c r="H3" s="78">
        <f t="shared" si="1"/>
        <v>0</v>
      </c>
      <c r="I3" s="78">
        <f t="shared" si="1"/>
        <v>0</v>
      </c>
      <c r="J3" s="78">
        <f t="shared" si="1"/>
        <v>0</v>
      </c>
      <c r="K3" s="78">
        <f t="shared" si="1"/>
        <v>0</v>
      </c>
      <c r="L3" s="78">
        <f t="shared" si="1"/>
        <v>0</v>
      </c>
      <c r="M3" s="78">
        <f t="shared" si="1"/>
        <v>0</v>
      </c>
      <c r="N3" s="78">
        <f t="shared" si="1"/>
        <v>0</v>
      </c>
      <c r="O3" s="78">
        <f t="shared" si="1"/>
        <v>0</v>
      </c>
      <c r="P3" s="78">
        <f t="shared" si="1"/>
        <v>0</v>
      </c>
      <c r="Q3" s="78"/>
      <c r="R3" s="78">
        <f t="shared" si="1"/>
        <v>0</v>
      </c>
      <c r="S3" s="78">
        <f t="shared" si="1"/>
        <v>0</v>
      </c>
      <c r="T3" s="78">
        <f t="shared" si="1"/>
        <v>0</v>
      </c>
      <c r="U3" s="78">
        <f t="shared" si="1"/>
        <v>0</v>
      </c>
    </row>
    <row r="4" spans="1:21" x14ac:dyDescent="0.25">
      <c r="A4" s="184" t="s">
        <v>153</v>
      </c>
      <c r="B4" s="78"/>
      <c r="C4" s="78">
        <f>SUM('ABP Future Assumptions'!G28:G42)</f>
        <v>0</v>
      </c>
      <c r="D4" s="78">
        <f t="shared" si="1"/>
        <v>0</v>
      </c>
      <c r="E4" s="78">
        <f t="shared" si="1"/>
        <v>0</v>
      </c>
      <c r="F4" s="78">
        <f t="shared" si="1"/>
        <v>0</v>
      </c>
      <c r="G4" s="78">
        <f t="shared" si="1"/>
        <v>0</v>
      </c>
      <c r="H4" s="78">
        <f t="shared" si="1"/>
        <v>0</v>
      </c>
      <c r="I4" s="78">
        <f t="shared" si="1"/>
        <v>0</v>
      </c>
      <c r="J4" s="78">
        <f t="shared" si="1"/>
        <v>0</v>
      </c>
      <c r="K4" s="78">
        <f t="shared" si="1"/>
        <v>0</v>
      </c>
      <c r="L4" s="78">
        <f t="shared" si="1"/>
        <v>0</v>
      </c>
      <c r="M4" s="78">
        <f t="shared" si="1"/>
        <v>0</v>
      </c>
      <c r="N4" s="78">
        <f t="shared" si="1"/>
        <v>0</v>
      </c>
      <c r="O4" s="78">
        <f t="shared" si="1"/>
        <v>0</v>
      </c>
      <c r="P4" s="78">
        <f t="shared" si="1"/>
        <v>0</v>
      </c>
      <c r="Q4" s="78">
        <f t="shared" si="1"/>
        <v>0</v>
      </c>
      <c r="R4" s="78">
        <f t="shared" si="1"/>
        <v>0</v>
      </c>
      <c r="S4" s="78">
        <f t="shared" si="1"/>
        <v>0</v>
      </c>
      <c r="T4" s="78">
        <f t="shared" si="1"/>
        <v>0</v>
      </c>
      <c r="U4" s="78">
        <f t="shared" si="1"/>
        <v>0</v>
      </c>
    </row>
    <row r="5" spans="1:21" x14ac:dyDescent="0.25">
      <c r="A5" s="184" t="s">
        <v>158</v>
      </c>
      <c r="B5" s="78">
        <f>SUM('ABP Future Assumptions'!G45:G57)</f>
        <v>0</v>
      </c>
      <c r="C5" s="78">
        <f>B5*0.995</f>
        <v>0</v>
      </c>
      <c r="D5" s="78">
        <f t="shared" si="1"/>
        <v>0</v>
      </c>
      <c r="E5" s="78">
        <f t="shared" si="1"/>
        <v>0</v>
      </c>
      <c r="F5" s="78">
        <f t="shared" si="1"/>
        <v>0</v>
      </c>
      <c r="G5" s="78">
        <f t="shared" si="1"/>
        <v>0</v>
      </c>
      <c r="H5" s="78">
        <f t="shared" si="1"/>
        <v>0</v>
      </c>
      <c r="I5" s="78">
        <f t="shared" si="1"/>
        <v>0</v>
      </c>
      <c r="J5" s="78">
        <f t="shared" si="1"/>
        <v>0</v>
      </c>
      <c r="K5" s="78">
        <f t="shared" si="1"/>
        <v>0</v>
      </c>
      <c r="L5" s="78">
        <f t="shared" si="1"/>
        <v>0</v>
      </c>
      <c r="M5" s="78">
        <f t="shared" si="1"/>
        <v>0</v>
      </c>
      <c r="N5" s="78">
        <f t="shared" si="1"/>
        <v>0</v>
      </c>
      <c r="O5" s="78">
        <f t="shared" si="1"/>
        <v>0</v>
      </c>
      <c r="P5" s="78">
        <f t="shared" si="1"/>
        <v>0</v>
      </c>
      <c r="Q5" s="78"/>
      <c r="R5" s="78"/>
      <c r="S5" s="78"/>
      <c r="T5" s="78"/>
      <c r="U5" s="78"/>
    </row>
    <row r="6" spans="1:21" x14ac:dyDescent="0.25">
      <c r="A6" s="184" t="s">
        <v>162</v>
      </c>
      <c r="B6" s="78"/>
      <c r="C6" s="78">
        <f>SUM('ABP Future Assumptions'!G64:G73)</f>
        <v>0</v>
      </c>
      <c r="D6" s="78">
        <f t="shared" si="1"/>
        <v>0</v>
      </c>
      <c r="E6" s="78">
        <f t="shared" si="1"/>
        <v>0</v>
      </c>
      <c r="F6" s="78">
        <f t="shared" si="1"/>
        <v>0</v>
      </c>
      <c r="G6" s="78">
        <f t="shared" si="1"/>
        <v>0</v>
      </c>
      <c r="H6" s="78">
        <f t="shared" si="1"/>
        <v>0</v>
      </c>
      <c r="I6" s="78">
        <f t="shared" si="1"/>
        <v>0</v>
      </c>
      <c r="J6" s="78">
        <f t="shared" si="1"/>
        <v>0</v>
      </c>
      <c r="K6" s="78">
        <f t="shared" si="1"/>
        <v>0</v>
      </c>
      <c r="L6" s="78">
        <f t="shared" si="1"/>
        <v>0</v>
      </c>
      <c r="M6" s="78">
        <f t="shared" si="1"/>
        <v>0</v>
      </c>
      <c r="N6" s="78">
        <f t="shared" si="1"/>
        <v>0</v>
      </c>
      <c r="O6" s="78">
        <f t="shared" si="1"/>
        <v>0</v>
      </c>
      <c r="P6" s="78">
        <f t="shared" si="1"/>
        <v>0</v>
      </c>
      <c r="Q6" s="78">
        <f t="shared" si="1"/>
        <v>0</v>
      </c>
      <c r="R6" s="78">
        <f t="shared" si="1"/>
        <v>0</v>
      </c>
      <c r="S6" s="78">
        <f t="shared" si="1"/>
        <v>0</v>
      </c>
      <c r="T6" s="78">
        <f t="shared" si="1"/>
        <v>0</v>
      </c>
      <c r="U6" s="78">
        <f t="shared" si="1"/>
        <v>0</v>
      </c>
    </row>
    <row r="7" spans="1:21" x14ac:dyDescent="0.25">
      <c r="A7" s="12" t="s">
        <v>165</v>
      </c>
      <c r="B7" s="78">
        <f>SUM('ABP Future Assumptions'!G77:G87)</f>
        <v>0</v>
      </c>
      <c r="C7" s="78">
        <f>B7*0.995</f>
        <v>0</v>
      </c>
      <c r="D7" s="78">
        <f t="shared" si="1"/>
        <v>0</v>
      </c>
      <c r="E7" s="78">
        <f t="shared" si="1"/>
        <v>0</v>
      </c>
      <c r="F7" s="78">
        <f t="shared" si="1"/>
        <v>0</v>
      </c>
      <c r="G7" s="78">
        <f t="shared" si="1"/>
        <v>0</v>
      </c>
      <c r="H7" s="78">
        <f t="shared" si="1"/>
        <v>0</v>
      </c>
      <c r="I7" s="78">
        <f t="shared" si="1"/>
        <v>0</v>
      </c>
      <c r="J7" s="78">
        <f t="shared" si="1"/>
        <v>0</v>
      </c>
      <c r="K7" s="78">
        <f t="shared" si="1"/>
        <v>0</v>
      </c>
      <c r="L7" s="78">
        <f t="shared" si="1"/>
        <v>0</v>
      </c>
      <c r="M7" s="78">
        <f t="shared" si="1"/>
        <v>0</v>
      </c>
      <c r="N7" s="78">
        <f t="shared" si="1"/>
        <v>0</v>
      </c>
      <c r="O7" s="78">
        <f t="shared" si="1"/>
        <v>0</v>
      </c>
      <c r="P7" s="78">
        <f t="shared" si="1"/>
        <v>0</v>
      </c>
      <c r="Q7" s="78"/>
      <c r="R7" s="78"/>
      <c r="S7" s="78"/>
      <c r="T7" s="78"/>
      <c r="U7" s="78"/>
    </row>
    <row r="8" spans="1:21" x14ac:dyDescent="0.25">
      <c r="A8" s="14" t="s">
        <v>93</v>
      </c>
      <c r="B8" s="14"/>
      <c r="C8" s="79">
        <f>SUM(B2:B7)</f>
        <v>0</v>
      </c>
      <c r="D8" s="79">
        <f>SUM(C2:C7)</f>
        <v>0</v>
      </c>
      <c r="E8" s="79">
        <f t="shared" ref="E8:U8" si="2">SUM(D2:D7)</f>
        <v>0</v>
      </c>
      <c r="F8" s="79">
        <f t="shared" si="2"/>
        <v>0</v>
      </c>
      <c r="G8" s="79">
        <f t="shared" si="2"/>
        <v>0</v>
      </c>
      <c r="H8" s="79">
        <f t="shared" si="2"/>
        <v>0</v>
      </c>
      <c r="I8" s="79">
        <f t="shared" si="2"/>
        <v>0</v>
      </c>
      <c r="J8" s="79">
        <f t="shared" si="2"/>
        <v>0</v>
      </c>
      <c r="K8" s="79">
        <f t="shared" si="2"/>
        <v>0</v>
      </c>
      <c r="L8" s="79">
        <f t="shared" si="2"/>
        <v>0</v>
      </c>
      <c r="M8" s="79">
        <f t="shared" si="2"/>
        <v>0</v>
      </c>
      <c r="N8" s="79">
        <f t="shared" si="2"/>
        <v>0</v>
      </c>
      <c r="O8" s="79">
        <f t="shared" si="2"/>
        <v>0</v>
      </c>
      <c r="P8" s="79">
        <f t="shared" si="2"/>
        <v>0</v>
      </c>
      <c r="Q8" s="79">
        <f t="shared" si="2"/>
        <v>0</v>
      </c>
      <c r="R8" s="79">
        <f t="shared" si="2"/>
        <v>0</v>
      </c>
      <c r="S8" s="79">
        <f t="shared" si="2"/>
        <v>0</v>
      </c>
      <c r="T8" s="79">
        <f t="shared" si="2"/>
        <v>0</v>
      </c>
      <c r="U8" s="79">
        <f t="shared" si="2"/>
        <v>0</v>
      </c>
    </row>
    <row r="9" spans="1:21" x14ac:dyDescent="0.25">
      <c r="A9" s="14"/>
      <c r="B9" s="14"/>
      <c r="C9" s="79"/>
      <c r="D9" s="79"/>
      <c r="E9" s="79"/>
      <c r="F9" s="79"/>
      <c r="G9" s="79"/>
      <c r="H9" s="79"/>
      <c r="I9" s="79"/>
      <c r="J9" s="79"/>
      <c r="K9" s="79"/>
      <c r="L9" s="79"/>
      <c r="M9" s="79"/>
      <c r="N9" s="79"/>
      <c r="O9" s="79"/>
      <c r="P9" s="79"/>
      <c r="Q9" s="79"/>
      <c r="R9" s="79"/>
      <c r="S9" s="79"/>
      <c r="T9" s="79"/>
      <c r="U9" s="79"/>
    </row>
    <row r="10" spans="1:21" ht="15.75" x14ac:dyDescent="0.25">
      <c r="A10" s="77">
        <v>2024</v>
      </c>
      <c r="B10" s="218">
        <v>2024</v>
      </c>
      <c r="C10" s="218">
        <v>2025</v>
      </c>
      <c r="D10" s="218">
        <v>2026</v>
      </c>
      <c r="E10" s="218">
        <v>2027</v>
      </c>
      <c r="F10" s="218">
        <v>2028</v>
      </c>
      <c r="G10" s="218">
        <v>2029</v>
      </c>
      <c r="H10" s="218">
        <v>2030</v>
      </c>
      <c r="I10" s="218">
        <v>2031</v>
      </c>
      <c r="J10" s="218">
        <v>2032</v>
      </c>
      <c r="K10" s="218">
        <v>2033</v>
      </c>
      <c r="L10" s="218">
        <v>2034</v>
      </c>
      <c r="M10" s="218">
        <v>2035</v>
      </c>
      <c r="N10" s="218">
        <v>2036</v>
      </c>
      <c r="O10" s="218">
        <v>2037</v>
      </c>
      <c r="P10" s="218">
        <v>2038</v>
      </c>
      <c r="Q10" s="218">
        <v>2039</v>
      </c>
      <c r="R10" s="218">
        <v>2040</v>
      </c>
      <c r="S10" s="218">
        <v>2041</v>
      </c>
      <c r="T10" s="218">
        <v>2042</v>
      </c>
      <c r="U10" s="218">
        <v>2043</v>
      </c>
    </row>
    <row r="11" spans="1:21" x14ac:dyDescent="0.25">
      <c r="A11" s="184" t="s">
        <v>138</v>
      </c>
      <c r="B11" s="184"/>
      <c r="C11" s="78">
        <f>'24-25 ABP Summary'!B2</f>
        <v>145906.86007555202</v>
      </c>
      <c r="D11" s="78">
        <f>'24-25 ABP Summary'!C2</f>
        <v>145177.32577517425</v>
      </c>
      <c r="E11" s="78">
        <f>'24-25 ABP Summary'!D2</f>
        <v>144451.43914629839</v>
      </c>
      <c r="F11" s="78">
        <f>'24-25 ABP Summary'!E2</f>
        <v>143729.18195056688</v>
      </c>
      <c r="G11" s="78">
        <f>'24-25 ABP Summary'!F2</f>
        <v>143010.53604081407</v>
      </c>
      <c r="H11" s="78">
        <f>'24-25 ABP Summary'!G2</f>
        <v>142295.48336060997</v>
      </c>
      <c r="I11" s="78">
        <f>'24-25 ABP Summary'!H2</f>
        <v>141584.00594380693</v>
      </c>
      <c r="J11" s="78">
        <f>'24-25 ABP Summary'!I2</f>
        <v>140876.08591408789</v>
      </c>
      <c r="K11" s="78">
        <f>'24-25 ABP Summary'!J2</f>
        <v>140171.70548451744</v>
      </c>
      <c r="L11" s="78">
        <f>'24-25 ABP Summary'!K2</f>
        <v>139470.84695709485</v>
      </c>
      <c r="M11" s="78">
        <f>'24-25 ABP Summary'!L2</f>
        <v>138773.49272230937</v>
      </c>
      <c r="N11" s="78">
        <f>'24-25 ABP Summary'!M2</f>
        <v>138079.62525869784</v>
      </c>
      <c r="O11" s="78">
        <f>'24-25 ABP Summary'!N2</f>
        <v>137389.22713240434</v>
      </c>
      <c r="P11" s="78">
        <f>'24-25 ABP Summary'!O2</f>
        <v>136702.28099674231</v>
      </c>
      <c r="Q11" s="78">
        <f>'24-25 ABP Summary'!P2</f>
        <v>136018.76959175861</v>
      </c>
      <c r="R11" s="78">
        <f>'24-25 ABP Summary'!Q2</f>
        <v>0</v>
      </c>
      <c r="S11" s="78">
        <f>'24-25 ABP Summary'!R2</f>
        <v>0</v>
      </c>
      <c r="T11" s="78">
        <f>'24-25 ABP Summary'!S2</f>
        <v>0</v>
      </c>
      <c r="U11" s="78">
        <f>'24-25 ABP Summary'!T2</f>
        <v>0</v>
      </c>
    </row>
    <row r="12" spans="1:21" x14ac:dyDescent="0.25">
      <c r="A12" s="184" t="s">
        <v>144</v>
      </c>
      <c r="B12" s="184"/>
      <c r="C12" s="78">
        <f>'24-25 ABP Summary'!B3</f>
        <v>155342.33973121329</v>
      </c>
      <c r="D12" s="78">
        <f>'24-25 ABP Summary'!C3</f>
        <v>154565.6280325572</v>
      </c>
      <c r="E12" s="78">
        <f>'24-25 ABP Summary'!D3</f>
        <v>153792.79989239443</v>
      </c>
      <c r="F12" s="78">
        <f>'24-25 ABP Summary'!E3</f>
        <v>153023.83589293246</v>
      </c>
      <c r="G12" s="78">
        <f>'24-25 ABP Summary'!F3</f>
        <v>152258.71671346779</v>
      </c>
      <c r="H12" s="78">
        <f>'24-25 ABP Summary'!G3</f>
        <v>151497.42312990045</v>
      </c>
      <c r="I12" s="78">
        <f>'24-25 ABP Summary'!H3</f>
        <v>150739.93601425094</v>
      </c>
      <c r="J12" s="78">
        <f>'24-25 ABP Summary'!I3</f>
        <v>149986.2363341797</v>
      </c>
      <c r="K12" s="78">
        <f>'24-25 ABP Summary'!J3</f>
        <v>149236.30515250878</v>
      </c>
      <c r="L12" s="78">
        <f>'24-25 ABP Summary'!K3</f>
        <v>148490.12362674624</v>
      </c>
      <c r="M12" s="78">
        <f>'24-25 ABP Summary'!L3</f>
        <v>147747.6730086125</v>
      </c>
      <c r="N12" s="78">
        <f>'24-25 ABP Summary'!M3</f>
        <v>147008.93464356946</v>
      </c>
      <c r="O12" s="78">
        <f>'24-25 ABP Summary'!N3</f>
        <v>146273.88997035159</v>
      </c>
      <c r="P12" s="78">
        <f>'24-25 ABP Summary'!O3</f>
        <v>145542.52052049985</v>
      </c>
      <c r="Q12" s="78">
        <f>'24-25 ABP Summary'!P3</f>
        <v>144814.80791789736</v>
      </c>
      <c r="R12" s="78">
        <f>'24-25 ABP Summary'!Q3</f>
        <v>0</v>
      </c>
      <c r="S12" s="78">
        <f>'24-25 ABP Summary'!R3</f>
        <v>0</v>
      </c>
      <c r="T12" s="78">
        <f>'24-25 ABP Summary'!S3</f>
        <v>0</v>
      </c>
      <c r="U12" s="78">
        <f>'24-25 ABP Summary'!T3</f>
        <v>0</v>
      </c>
    </row>
    <row r="13" spans="1:21" x14ac:dyDescent="0.25">
      <c r="A13" s="184" t="s">
        <v>153</v>
      </c>
      <c r="B13" s="184"/>
      <c r="C13" s="78">
        <f>'24-25 ABP Summary'!B4</f>
        <v>0</v>
      </c>
      <c r="D13" s="78">
        <f>'24-25 ABP Summary'!C4</f>
        <v>266722.870788</v>
      </c>
      <c r="E13" s="78">
        <f>'24-25 ABP Summary'!D4</f>
        <v>265389.25643405999</v>
      </c>
      <c r="F13" s="78">
        <f>'24-25 ABP Summary'!E4</f>
        <v>264062.31015188969</v>
      </c>
      <c r="G13" s="78">
        <f>'24-25 ABP Summary'!F4</f>
        <v>262741.99860113027</v>
      </c>
      <c r="H13" s="78">
        <f>'24-25 ABP Summary'!G4</f>
        <v>261428.2886081246</v>
      </c>
      <c r="I13" s="78">
        <f>'24-25 ABP Summary'!H4</f>
        <v>260121.14716508397</v>
      </c>
      <c r="J13" s="78">
        <f>'24-25 ABP Summary'!I4</f>
        <v>258820.54142925856</v>
      </c>
      <c r="K13" s="78">
        <f>'24-25 ABP Summary'!J4</f>
        <v>257526.43872211227</v>
      </c>
      <c r="L13" s="78">
        <f>'24-25 ABP Summary'!K4</f>
        <v>256238.80652850171</v>
      </c>
      <c r="M13" s="78">
        <f>'24-25 ABP Summary'!L4</f>
        <v>254957.61249585918</v>
      </c>
      <c r="N13" s="78">
        <f>'24-25 ABP Summary'!M4</f>
        <v>253682.82443337986</v>
      </c>
      <c r="O13" s="78">
        <f>'24-25 ABP Summary'!N4</f>
        <v>252414.41031121297</v>
      </c>
      <c r="P13" s="78">
        <f>'24-25 ABP Summary'!O4</f>
        <v>251152.33825965691</v>
      </c>
      <c r="Q13" s="78">
        <f>'24-25 ABP Summary'!P4</f>
        <v>249896.57656835864</v>
      </c>
      <c r="R13" s="78">
        <f>'24-25 ABP Summary'!Q4</f>
        <v>248647.09368551683</v>
      </c>
      <c r="S13" s="78">
        <f>'24-25 ABP Summary'!R4</f>
        <v>247403.85821708923</v>
      </c>
      <c r="T13" s="78">
        <f>'24-25 ABP Summary'!S4</f>
        <v>246166.83892600378</v>
      </c>
      <c r="U13" s="78">
        <f>'24-25 ABP Summary'!T4</f>
        <v>244936.00473137377</v>
      </c>
    </row>
    <row r="14" spans="1:21" x14ac:dyDescent="0.25">
      <c r="A14" s="184" t="s">
        <v>158</v>
      </c>
      <c r="B14" s="184"/>
      <c r="C14" s="78">
        <f>'24-25 ABP Summary'!B5</f>
        <v>128422.12297199998</v>
      </c>
      <c r="D14" s="78">
        <f>'24-25 ABP Summary'!C5</f>
        <v>127780.01235713999</v>
      </c>
      <c r="E14" s="78">
        <f>'24-25 ABP Summary'!D5</f>
        <v>127141.11229535428</v>
      </c>
      <c r="F14" s="78">
        <f>'24-25 ABP Summary'!E5</f>
        <v>126505.40673387751</v>
      </c>
      <c r="G14" s="78">
        <f>'24-25 ABP Summary'!F5</f>
        <v>125872.87970020811</v>
      </c>
      <c r="H14" s="78">
        <f>'24-25 ABP Summary'!G5</f>
        <v>125243.51530170708</v>
      </c>
      <c r="I14" s="78">
        <f>'24-25 ABP Summary'!H5</f>
        <v>124617.29772519854</v>
      </c>
      <c r="J14" s="78">
        <f>'24-25 ABP Summary'!I5</f>
        <v>123994.21123657255</v>
      </c>
      <c r="K14" s="78">
        <f>'24-25 ABP Summary'!J5</f>
        <v>123374.24018038969</v>
      </c>
      <c r="L14" s="78">
        <f>'24-25 ABP Summary'!K5</f>
        <v>122757.36897948774</v>
      </c>
      <c r="M14" s="78">
        <f>'24-25 ABP Summary'!L5</f>
        <v>122143.58213459028</v>
      </c>
      <c r="N14" s="78">
        <f>'24-25 ABP Summary'!M5</f>
        <v>121532.86422391734</v>
      </c>
      <c r="O14" s="78">
        <f>'24-25 ABP Summary'!N5</f>
        <v>120925.19990279774</v>
      </c>
      <c r="P14" s="78">
        <f>'24-25 ABP Summary'!O5</f>
        <v>120320.57390328377</v>
      </c>
      <c r="Q14" s="78">
        <f>'24-25 ABP Summary'!P5</f>
        <v>119718.97103376733</v>
      </c>
      <c r="R14" s="78">
        <f>'24-25 ABP Summary'!Q5</f>
        <v>119120.3761785985</v>
      </c>
      <c r="S14" s="78">
        <f>'24-25 ABP Summary'!R5</f>
        <v>118524.77429770552</v>
      </c>
      <c r="T14" s="78">
        <f>'24-25 ABP Summary'!S5</f>
        <v>117932.15042621699</v>
      </c>
      <c r="U14" s="78">
        <f>'24-25 ABP Summary'!T5</f>
        <v>117342.4896740859</v>
      </c>
    </row>
    <row r="15" spans="1:21" x14ac:dyDescent="0.25">
      <c r="A15" s="184" t="s">
        <v>162</v>
      </c>
      <c r="B15" s="184"/>
      <c r="C15" s="78">
        <f>'24-25 ABP Summary'!B6</f>
        <v>0</v>
      </c>
      <c r="D15" s="78">
        <f>'24-25 ABP Summary'!C6</f>
        <v>39514.499376</v>
      </c>
      <c r="E15" s="78">
        <f>'24-25 ABP Summary'!D6</f>
        <v>39316.926879120001</v>
      </c>
      <c r="F15" s="78">
        <f>'24-25 ABP Summary'!E6</f>
        <v>39120.342244724401</v>
      </c>
      <c r="G15" s="78">
        <f>'24-25 ABP Summary'!F6</f>
        <v>38924.740533500779</v>
      </c>
      <c r="H15" s="78">
        <f>'24-25 ABP Summary'!G6</f>
        <v>38730.116830833278</v>
      </c>
      <c r="I15" s="78">
        <f>'24-25 ABP Summary'!H6</f>
        <v>38536.466246679112</v>
      </c>
      <c r="J15" s="78">
        <f>'24-25 ABP Summary'!I6</f>
        <v>38343.783915445718</v>
      </c>
      <c r="K15" s="78">
        <f>'24-25 ABP Summary'!J6</f>
        <v>38152.064995868488</v>
      </c>
      <c r="L15" s="78">
        <f>'24-25 ABP Summary'!K6</f>
        <v>37961.304670889149</v>
      </c>
      <c r="M15" s="78">
        <f>'24-25 ABP Summary'!L6</f>
        <v>37771.498147534701</v>
      </c>
      <c r="N15" s="78">
        <f>'24-25 ABP Summary'!M6</f>
        <v>37582.640656797026</v>
      </c>
      <c r="O15" s="78">
        <f>'24-25 ABP Summary'!N6</f>
        <v>37394.727453513042</v>
      </c>
      <c r="P15" s="78">
        <f>'24-25 ABP Summary'!O6</f>
        <v>37207.753816245473</v>
      </c>
      <c r="Q15" s="78">
        <f>'24-25 ABP Summary'!P6</f>
        <v>37021.715047164245</v>
      </c>
      <c r="R15" s="78">
        <f>'24-25 ABP Summary'!Q6</f>
        <v>36836.606471928426</v>
      </c>
      <c r="S15" s="78">
        <f>'24-25 ABP Summary'!R6</f>
        <v>0</v>
      </c>
      <c r="T15" s="78">
        <f>'24-25 ABP Summary'!S6</f>
        <v>0</v>
      </c>
      <c r="U15" s="78">
        <f>'24-25 ABP Summary'!T6</f>
        <v>0</v>
      </c>
    </row>
    <row r="16" spans="1:21" x14ac:dyDescent="0.25">
      <c r="A16" s="12" t="s">
        <v>165</v>
      </c>
      <c r="B16" s="12"/>
      <c r="C16" s="78">
        <f>'24-25 ABP Summary'!B7</f>
        <v>172602.59970134808</v>
      </c>
      <c r="D16" s="78">
        <f>'24-25 ABP Summary'!C7</f>
        <v>171739.58670284133</v>
      </c>
      <c r="E16" s="78">
        <f>'24-25 ABP Summary'!D7</f>
        <v>170880.88876932714</v>
      </c>
      <c r="F16" s="78">
        <f>'24-25 ABP Summary'!E7</f>
        <v>170026.4843254805</v>
      </c>
      <c r="G16" s="78">
        <f>'24-25 ABP Summary'!F7</f>
        <v>169176.35190385312</v>
      </c>
      <c r="H16" s="78">
        <f>'24-25 ABP Summary'!G7</f>
        <v>168330.47014433384</v>
      </c>
      <c r="I16" s="78">
        <f>'24-25 ABP Summary'!H7</f>
        <v>167488.81779361214</v>
      </c>
      <c r="J16" s="78">
        <f>'24-25 ABP Summary'!I7</f>
        <v>166651.37370464409</v>
      </c>
      <c r="K16" s="78">
        <f>'24-25 ABP Summary'!J7</f>
        <v>165818.11683612087</v>
      </c>
      <c r="L16" s="78">
        <f>'24-25 ABP Summary'!K7</f>
        <v>164989.02625194026</v>
      </c>
      <c r="M16" s="78">
        <f>'24-25 ABP Summary'!L7</f>
        <v>164164.08112068055</v>
      </c>
      <c r="N16" s="78">
        <f>'24-25 ABP Summary'!M7</f>
        <v>163343.26071507717</v>
      </c>
      <c r="O16" s="78">
        <f>'24-25 ABP Summary'!N7</f>
        <v>162526.54441150179</v>
      </c>
      <c r="P16" s="78">
        <f>'24-25 ABP Summary'!O7</f>
        <v>161713.91168944424</v>
      </c>
      <c r="Q16" s="78">
        <f>'24-25 ABP Summary'!P7</f>
        <v>160905.34213099704</v>
      </c>
      <c r="R16" s="78">
        <f>'24-25 ABP Summary'!Q7</f>
        <v>0</v>
      </c>
      <c r="S16" s="78">
        <f>'24-25 ABP Summary'!R7</f>
        <v>0</v>
      </c>
      <c r="T16" s="78">
        <f>'24-25 ABP Summary'!S7</f>
        <v>0</v>
      </c>
      <c r="U16" s="78">
        <f>'24-25 ABP Summary'!T7</f>
        <v>0</v>
      </c>
    </row>
    <row r="17" spans="1:21" x14ac:dyDescent="0.25">
      <c r="A17" s="14" t="s">
        <v>93</v>
      </c>
      <c r="B17" s="14"/>
      <c r="C17" s="79">
        <f t="shared" ref="C17:U17" si="3">SUM(C11:C16)</f>
        <v>602273.92248011334</v>
      </c>
      <c r="D17" s="79">
        <f>SUM(D11:D16)</f>
        <v>905499.92303171277</v>
      </c>
      <c r="E17" s="79">
        <f t="shared" si="3"/>
        <v>900972.42341655423</v>
      </c>
      <c r="F17" s="79">
        <f t="shared" si="3"/>
        <v>896467.56129947142</v>
      </c>
      <c r="G17" s="79">
        <f t="shared" si="3"/>
        <v>891985.22349297418</v>
      </c>
      <c r="H17" s="79">
        <f t="shared" si="3"/>
        <v>887525.29737550928</v>
      </c>
      <c r="I17" s="79">
        <f t="shared" si="3"/>
        <v>883087.6708886316</v>
      </c>
      <c r="J17" s="79">
        <f t="shared" si="3"/>
        <v>878672.23253418854</v>
      </c>
      <c r="K17" s="79">
        <f t="shared" si="3"/>
        <v>874278.87137151754</v>
      </c>
      <c r="L17" s="79">
        <f t="shared" si="3"/>
        <v>869907.4770146599</v>
      </c>
      <c r="M17" s="79">
        <f t="shared" si="3"/>
        <v>865557.93962958653</v>
      </c>
      <c r="N17" s="79">
        <f t="shared" si="3"/>
        <v>861230.14993143862</v>
      </c>
      <c r="O17" s="79">
        <f t="shared" si="3"/>
        <v>856923.99918178143</v>
      </c>
      <c r="P17" s="79">
        <f t="shared" si="3"/>
        <v>852639.3791858725</v>
      </c>
      <c r="Q17" s="79">
        <f t="shared" si="3"/>
        <v>848376.18228994333</v>
      </c>
      <c r="R17" s="79">
        <f t="shared" si="3"/>
        <v>404604.07633604377</v>
      </c>
      <c r="S17" s="79">
        <f t="shared" si="3"/>
        <v>365928.63251479476</v>
      </c>
      <c r="T17" s="79">
        <f t="shared" si="3"/>
        <v>364098.98935222079</v>
      </c>
      <c r="U17" s="79">
        <f t="shared" si="3"/>
        <v>362278.49440545967</v>
      </c>
    </row>
    <row r="19" spans="1:21" ht="15.75" x14ac:dyDescent="0.25">
      <c r="A19" s="77">
        <v>2025</v>
      </c>
      <c r="B19" s="218">
        <v>2024</v>
      </c>
      <c r="C19" s="218">
        <f>C10</f>
        <v>2025</v>
      </c>
      <c r="D19" s="218">
        <f t="shared" ref="D19:U19" si="4">D10</f>
        <v>2026</v>
      </c>
      <c r="E19" s="218">
        <f t="shared" si="4"/>
        <v>2027</v>
      </c>
      <c r="F19" s="218">
        <f t="shared" si="4"/>
        <v>2028</v>
      </c>
      <c r="G19" s="218">
        <f t="shared" si="4"/>
        <v>2029</v>
      </c>
      <c r="H19" s="218">
        <f t="shared" si="4"/>
        <v>2030</v>
      </c>
      <c r="I19" s="218">
        <f t="shared" si="4"/>
        <v>2031</v>
      </c>
      <c r="J19" s="218">
        <f t="shared" si="4"/>
        <v>2032</v>
      </c>
      <c r="K19" s="218">
        <f t="shared" si="4"/>
        <v>2033</v>
      </c>
      <c r="L19" s="218">
        <f t="shared" si="4"/>
        <v>2034</v>
      </c>
      <c r="M19" s="218">
        <f t="shared" si="4"/>
        <v>2035</v>
      </c>
      <c r="N19" s="218">
        <f t="shared" si="4"/>
        <v>2036</v>
      </c>
      <c r="O19" s="218">
        <f t="shared" si="4"/>
        <v>2037</v>
      </c>
      <c r="P19" s="218">
        <f t="shared" si="4"/>
        <v>2038</v>
      </c>
      <c r="Q19" s="218">
        <f t="shared" si="4"/>
        <v>2039</v>
      </c>
      <c r="R19" s="218">
        <f t="shared" si="4"/>
        <v>2040</v>
      </c>
      <c r="S19" s="218">
        <f t="shared" si="4"/>
        <v>2041</v>
      </c>
      <c r="T19" s="218">
        <f t="shared" si="4"/>
        <v>2042</v>
      </c>
      <c r="U19" s="218">
        <f t="shared" si="4"/>
        <v>2043</v>
      </c>
    </row>
    <row r="20" spans="1:21" x14ac:dyDescent="0.25">
      <c r="A20" s="184" t="s">
        <v>138</v>
      </c>
      <c r="B20" s="184"/>
      <c r="C20" s="78"/>
      <c r="D20" s="78">
        <f>C11</f>
        <v>145906.86007555202</v>
      </c>
      <c r="E20" s="78">
        <f>D11</f>
        <v>145177.32577517425</v>
      </c>
      <c r="F20" s="78">
        <f>E11</f>
        <v>144451.43914629839</v>
      </c>
      <c r="G20" s="78">
        <f>F11</f>
        <v>143729.18195056688</v>
      </c>
      <c r="H20" s="78">
        <f t="shared" ref="H20:U20" si="5">G11</f>
        <v>143010.53604081407</v>
      </c>
      <c r="I20" s="78">
        <f t="shared" si="5"/>
        <v>142295.48336060997</v>
      </c>
      <c r="J20" s="78">
        <f t="shared" si="5"/>
        <v>141584.00594380693</v>
      </c>
      <c r="K20" s="78">
        <f t="shared" si="5"/>
        <v>140876.08591408789</v>
      </c>
      <c r="L20" s="78">
        <f t="shared" si="5"/>
        <v>140171.70548451744</v>
      </c>
      <c r="M20" s="78">
        <f t="shared" si="5"/>
        <v>139470.84695709485</v>
      </c>
      <c r="N20" s="78">
        <f t="shared" si="5"/>
        <v>138773.49272230937</v>
      </c>
      <c r="O20" s="78">
        <f t="shared" si="5"/>
        <v>138079.62525869784</v>
      </c>
      <c r="P20" s="78">
        <f t="shared" si="5"/>
        <v>137389.22713240434</v>
      </c>
      <c r="Q20" s="78">
        <f t="shared" si="5"/>
        <v>136702.28099674231</v>
      </c>
      <c r="R20" s="78">
        <f t="shared" si="5"/>
        <v>136018.76959175861</v>
      </c>
      <c r="S20" s="78">
        <f t="shared" si="5"/>
        <v>0</v>
      </c>
      <c r="T20" s="78">
        <f t="shared" si="5"/>
        <v>0</v>
      </c>
      <c r="U20" s="78">
        <f t="shared" si="5"/>
        <v>0</v>
      </c>
    </row>
    <row r="21" spans="1:21" x14ac:dyDescent="0.25">
      <c r="A21" s="184" t="s">
        <v>144</v>
      </c>
      <c r="B21" s="184"/>
      <c r="C21" s="78"/>
      <c r="D21" s="78">
        <f t="shared" ref="D21:U21" si="6">C12</f>
        <v>155342.33973121329</v>
      </c>
      <c r="E21" s="78">
        <f t="shared" si="6"/>
        <v>154565.6280325572</v>
      </c>
      <c r="F21" s="78">
        <f t="shared" si="6"/>
        <v>153792.79989239443</v>
      </c>
      <c r="G21" s="78">
        <f t="shared" si="6"/>
        <v>153023.83589293246</v>
      </c>
      <c r="H21" s="78">
        <f t="shared" si="6"/>
        <v>152258.71671346779</v>
      </c>
      <c r="I21" s="78">
        <f t="shared" si="6"/>
        <v>151497.42312990045</v>
      </c>
      <c r="J21" s="78">
        <f t="shared" si="6"/>
        <v>150739.93601425094</v>
      </c>
      <c r="K21" s="78">
        <f t="shared" si="6"/>
        <v>149986.2363341797</v>
      </c>
      <c r="L21" s="78">
        <f t="shared" si="6"/>
        <v>149236.30515250878</v>
      </c>
      <c r="M21" s="78">
        <f t="shared" si="6"/>
        <v>148490.12362674624</v>
      </c>
      <c r="N21" s="78">
        <f t="shared" si="6"/>
        <v>147747.6730086125</v>
      </c>
      <c r="O21" s="78">
        <f t="shared" si="6"/>
        <v>147008.93464356946</v>
      </c>
      <c r="P21" s="78">
        <f t="shared" si="6"/>
        <v>146273.88997035159</v>
      </c>
      <c r="Q21" s="78">
        <f t="shared" si="6"/>
        <v>145542.52052049985</v>
      </c>
      <c r="R21" s="78">
        <f t="shared" si="6"/>
        <v>144814.80791789736</v>
      </c>
      <c r="S21" s="78">
        <f t="shared" si="6"/>
        <v>0</v>
      </c>
      <c r="T21" s="78">
        <f t="shared" si="6"/>
        <v>0</v>
      </c>
      <c r="U21" s="78">
        <f t="shared" si="6"/>
        <v>0</v>
      </c>
    </row>
    <row r="22" spans="1:21" x14ac:dyDescent="0.25">
      <c r="A22" s="184" t="s">
        <v>153</v>
      </c>
      <c r="B22" s="184"/>
      <c r="C22" s="78"/>
      <c r="D22" s="78">
        <f t="shared" ref="D22:U22" si="7">C13</f>
        <v>0</v>
      </c>
      <c r="E22" s="78">
        <f t="shared" si="7"/>
        <v>266722.870788</v>
      </c>
      <c r="F22" s="78">
        <f t="shared" si="7"/>
        <v>265389.25643405999</v>
      </c>
      <c r="G22" s="78">
        <f t="shared" si="7"/>
        <v>264062.31015188969</v>
      </c>
      <c r="H22" s="78">
        <f t="shared" si="7"/>
        <v>262741.99860113027</v>
      </c>
      <c r="I22" s="78">
        <f t="shared" si="7"/>
        <v>261428.2886081246</v>
      </c>
      <c r="J22" s="78">
        <f t="shared" si="7"/>
        <v>260121.14716508397</v>
      </c>
      <c r="K22" s="78">
        <f t="shared" si="7"/>
        <v>258820.54142925856</v>
      </c>
      <c r="L22" s="78">
        <f t="shared" si="7"/>
        <v>257526.43872211227</v>
      </c>
      <c r="M22" s="78">
        <f t="shared" si="7"/>
        <v>256238.80652850171</v>
      </c>
      <c r="N22" s="78">
        <f t="shared" si="7"/>
        <v>254957.61249585918</v>
      </c>
      <c r="O22" s="78">
        <f t="shared" si="7"/>
        <v>253682.82443337986</v>
      </c>
      <c r="P22" s="78">
        <f t="shared" si="7"/>
        <v>252414.41031121297</v>
      </c>
      <c r="Q22" s="78">
        <f t="shared" si="7"/>
        <v>251152.33825965691</v>
      </c>
      <c r="R22" s="78">
        <f t="shared" si="7"/>
        <v>249896.57656835864</v>
      </c>
      <c r="S22" s="78">
        <f t="shared" si="7"/>
        <v>248647.09368551683</v>
      </c>
      <c r="T22" s="78">
        <f t="shared" si="7"/>
        <v>247403.85821708923</v>
      </c>
      <c r="U22" s="78">
        <f t="shared" si="7"/>
        <v>246166.83892600378</v>
      </c>
    </row>
    <row r="23" spans="1:21" x14ac:dyDescent="0.25">
      <c r="A23" s="184" t="s">
        <v>158</v>
      </c>
      <c r="B23" s="184"/>
      <c r="C23" s="78"/>
      <c r="D23" s="78">
        <f t="shared" ref="D23:U23" si="8">C14</f>
        <v>128422.12297199998</v>
      </c>
      <c r="E23" s="78">
        <f t="shared" si="8"/>
        <v>127780.01235713999</v>
      </c>
      <c r="F23" s="78">
        <f t="shared" si="8"/>
        <v>127141.11229535428</v>
      </c>
      <c r="G23" s="78">
        <f t="shared" si="8"/>
        <v>126505.40673387751</v>
      </c>
      <c r="H23" s="78">
        <f t="shared" si="8"/>
        <v>125872.87970020811</v>
      </c>
      <c r="I23" s="78">
        <f t="shared" si="8"/>
        <v>125243.51530170708</v>
      </c>
      <c r="J23" s="78">
        <f t="shared" si="8"/>
        <v>124617.29772519854</v>
      </c>
      <c r="K23" s="78">
        <f t="shared" si="8"/>
        <v>123994.21123657255</v>
      </c>
      <c r="L23" s="78">
        <f t="shared" si="8"/>
        <v>123374.24018038969</v>
      </c>
      <c r="M23" s="78">
        <f t="shared" si="8"/>
        <v>122757.36897948774</v>
      </c>
      <c r="N23" s="78">
        <f t="shared" si="8"/>
        <v>122143.58213459028</v>
      </c>
      <c r="O23" s="78">
        <f t="shared" si="8"/>
        <v>121532.86422391734</v>
      </c>
      <c r="P23" s="78">
        <f t="shared" si="8"/>
        <v>120925.19990279774</v>
      </c>
      <c r="Q23" s="78">
        <f t="shared" si="8"/>
        <v>120320.57390328377</v>
      </c>
      <c r="R23" s="78">
        <f t="shared" si="8"/>
        <v>119718.97103376733</v>
      </c>
      <c r="S23" s="78">
        <f t="shared" si="8"/>
        <v>119120.3761785985</v>
      </c>
      <c r="T23" s="78">
        <f t="shared" si="8"/>
        <v>118524.77429770552</v>
      </c>
      <c r="U23" s="78">
        <f t="shared" si="8"/>
        <v>117932.15042621699</v>
      </c>
    </row>
    <row r="24" spans="1:21" x14ac:dyDescent="0.25">
      <c r="A24" s="184" t="s">
        <v>162</v>
      </c>
      <c r="B24" s="184"/>
      <c r="C24" s="78"/>
      <c r="D24" s="78">
        <f t="shared" ref="D24:U24" si="9">C15</f>
        <v>0</v>
      </c>
      <c r="E24" s="78">
        <f t="shared" si="9"/>
        <v>39514.499376</v>
      </c>
      <c r="F24" s="78">
        <f t="shared" si="9"/>
        <v>39316.926879120001</v>
      </c>
      <c r="G24" s="78">
        <f t="shared" si="9"/>
        <v>39120.342244724401</v>
      </c>
      <c r="H24" s="78">
        <f t="shared" si="9"/>
        <v>38924.740533500779</v>
      </c>
      <c r="I24" s="78">
        <f t="shared" si="9"/>
        <v>38730.116830833278</v>
      </c>
      <c r="J24" s="78">
        <f t="shared" si="9"/>
        <v>38536.466246679112</v>
      </c>
      <c r="K24" s="78">
        <f t="shared" si="9"/>
        <v>38343.783915445718</v>
      </c>
      <c r="L24" s="78">
        <f t="shared" si="9"/>
        <v>38152.064995868488</v>
      </c>
      <c r="M24" s="78">
        <f t="shared" si="9"/>
        <v>37961.304670889149</v>
      </c>
      <c r="N24" s="78">
        <f t="shared" si="9"/>
        <v>37771.498147534701</v>
      </c>
      <c r="O24" s="78">
        <f t="shared" si="9"/>
        <v>37582.640656797026</v>
      </c>
      <c r="P24" s="78">
        <f t="shared" si="9"/>
        <v>37394.727453513042</v>
      </c>
      <c r="Q24" s="78">
        <f t="shared" si="9"/>
        <v>37207.753816245473</v>
      </c>
      <c r="R24" s="78">
        <f t="shared" si="9"/>
        <v>37021.715047164245</v>
      </c>
      <c r="S24" s="78">
        <f t="shared" si="9"/>
        <v>36836.606471928426</v>
      </c>
      <c r="T24" s="78">
        <f t="shared" si="9"/>
        <v>0</v>
      </c>
      <c r="U24" s="78">
        <f t="shared" si="9"/>
        <v>0</v>
      </c>
    </row>
    <row r="25" spans="1:21" x14ac:dyDescent="0.25">
      <c r="A25" s="12" t="s">
        <v>165</v>
      </c>
      <c r="B25" s="12"/>
      <c r="C25" s="78"/>
      <c r="D25" s="78">
        <f t="shared" ref="D25:U25" si="10">C16</f>
        <v>172602.59970134808</v>
      </c>
      <c r="E25" s="78">
        <f t="shared" si="10"/>
        <v>171739.58670284133</v>
      </c>
      <c r="F25" s="78">
        <f t="shared" si="10"/>
        <v>170880.88876932714</v>
      </c>
      <c r="G25" s="78">
        <f t="shared" si="10"/>
        <v>170026.4843254805</v>
      </c>
      <c r="H25" s="78">
        <f t="shared" si="10"/>
        <v>169176.35190385312</v>
      </c>
      <c r="I25" s="78">
        <f t="shared" si="10"/>
        <v>168330.47014433384</v>
      </c>
      <c r="J25" s="78">
        <f t="shared" si="10"/>
        <v>167488.81779361214</v>
      </c>
      <c r="K25" s="78">
        <f t="shared" si="10"/>
        <v>166651.37370464409</v>
      </c>
      <c r="L25" s="78">
        <f t="shared" si="10"/>
        <v>165818.11683612087</v>
      </c>
      <c r="M25" s="78">
        <f t="shared" si="10"/>
        <v>164989.02625194026</v>
      </c>
      <c r="N25" s="78">
        <f t="shared" si="10"/>
        <v>164164.08112068055</v>
      </c>
      <c r="O25" s="78">
        <f t="shared" si="10"/>
        <v>163343.26071507717</v>
      </c>
      <c r="P25" s="78">
        <f t="shared" si="10"/>
        <v>162526.54441150179</v>
      </c>
      <c r="Q25" s="78">
        <f t="shared" si="10"/>
        <v>161713.91168944424</v>
      </c>
      <c r="R25" s="78">
        <f t="shared" si="10"/>
        <v>160905.34213099704</v>
      </c>
      <c r="S25" s="78">
        <f t="shared" si="10"/>
        <v>0</v>
      </c>
      <c r="T25" s="78">
        <f t="shared" si="10"/>
        <v>0</v>
      </c>
      <c r="U25" s="78">
        <f t="shared" si="10"/>
        <v>0</v>
      </c>
    </row>
    <row r="26" spans="1:21" x14ac:dyDescent="0.25">
      <c r="A26" s="14" t="s">
        <v>93</v>
      </c>
      <c r="B26" s="14"/>
      <c r="C26" s="79">
        <f t="shared" ref="C26:U26" si="11">SUM(C20:C25)</f>
        <v>0</v>
      </c>
      <c r="D26" s="79">
        <f t="shared" si="11"/>
        <v>602273.92248011334</v>
      </c>
      <c r="E26" s="79">
        <f t="shared" si="11"/>
        <v>905499.92303171277</v>
      </c>
      <c r="F26" s="79">
        <f t="shared" si="11"/>
        <v>900972.42341655423</v>
      </c>
      <c r="G26" s="79">
        <f t="shared" si="11"/>
        <v>896467.56129947142</v>
      </c>
      <c r="H26" s="79">
        <f t="shared" si="11"/>
        <v>891985.22349297418</v>
      </c>
      <c r="I26" s="79">
        <f t="shared" si="11"/>
        <v>887525.29737550928</v>
      </c>
      <c r="J26" s="79">
        <f t="shared" si="11"/>
        <v>883087.6708886316</v>
      </c>
      <c r="K26" s="79">
        <f t="shared" si="11"/>
        <v>878672.23253418854</v>
      </c>
      <c r="L26" s="79">
        <f t="shared" si="11"/>
        <v>874278.87137151754</v>
      </c>
      <c r="M26" s="79">
        <f t="shared" si="11"/>
        <v>869907.4770146599</v>
      </c>
      <c r="N26" s="79">
        <f t="shared" si="11"/>
        <v>865557.93962958653</v>
      </c>
      <c r="O26" s="79">
        <f t="shared" si="11"/>
        <v>861230.14993143862</v>
      </c>
      <c r="P26" s="79">
        <f t="shared" si="11"/>
        <v>856923.99918178143</v>
      </c>
      <c r="Q26" s="79">
        <f t="shared" si="11"/>
        <v>852639.3791858725</v>
      </c>
      <c r="R26" s="79">
        <f t="shared" si="11"/>
        <v>848376.18228994333</v>
      </c>
      <c r="S26" s="79">
        <f t="shared" si="11"/>
        <v>404604.07633604377</v>
      </c>
      <c r="T26" s="79">
        <f t="shared" si="11"/>
        <v>365928.63251479476</v>
      </c>
      <c r="U26" s="79">
        <f t="shared" si="11"/>
        <v>364098.98935222079</v>
      </c>
    </row>
    <row r="28" spans="1:21" ht="15.75" x14ac:dyDescent="0.25">
      <c r="A28" s="77">
        <v>2026</v>
      </c>
      <c r="B28" s="218">
        <v>2024</v>
      </c>
      <c r="C28" s="218">
        <f>C19</f>
        <v>2025</v>
      </c>
      <c r="D28" s="218">
        <f t="shared" ref="D28:U28" si="12">D19</f>
        <v>2026</v>
      </c>
      <c r="E28" s="218">
        <f t="shared" si="12"/>
        <v>2027</v>
      </c>
      <c r="F28" s="218">
        <f t="shared" si="12"/>
        <v>2028</v>
      </c>
      <c r="G28" s="218">
        <f t="shared" si="12"/>
        <v>2029</v>
      </c>
      <c r="H28" s="218">
        <f t="shared" si="12"/>
        <v>2030</v>
      </c>
      <c r="I28" s="218">
        <f t="shared" si="12"/>
        <v>2031</v>
      </c>
      <c r="J28" s="218">
        <f t="shared" si="12"/>
        <v>2032</v>
      </c>
      <c r="K28" s="218">
        <f t="shared" si="12"/>
        <v>2033</v>
      </c>
      <c r="L28" s="218">
        <f t="shared" si="12"/>
        <v>2034</v>
      </c>
      <c r="M28" s="218">
        <f t="shared" si="12"/>
        <v>2035</v>
      </c>
      <c r="N28" s="218">
        <f t="shared" si="12"/>
        <v>2036</v>
      </c>
      <c r="O28" s="218">
        <f t="shared" si="12"/>
        <v>2037</v>
      </c>
      <c r="P28" s="218">
        <f t="shared" si="12"/>
        <v>2038</v>
      </c>
      <c r="Q28" s="218">
        <f t="shared" si="12"/>
        <v>2039</v>
      </c>
      <c r="R28" s="218">
        <f t="shared" si="12"/>
        <v>2040</v>
      </c>
      <c r="S28" s="218">
        <f t="shared" si="12"/>
        <v>2041</v>
      </c>
      <c r="T28" s="218">
        <f t="shared" si="12"/>
        <v>2042</v>
      </c>
      <c r="U28" s="218">
        <f t="shared" si="12"/>
        <v>2043</v>
      </c>
    </row>
    <row r="29" spans="1:21" x14ac:dyDescent="0.25">
      <c r="A29" s="184" t="s">
        <v>138</v>
      </c>
      <c r="B29" s="184"/>
      <c r="C29" s="78"/>
      <c r="D29" s="78"/>
      <c r="E29" s="78">
        <f>D20*(IF('Indexed REC Activities'!$A$86="Yes",0,1))</f>
        <v>145906.86007555202</v>
      </c>
      <c r="F29" s="78">
        <f>E20*(IF('Indexed REC Activities'!$A$86="Yes",0,1))</f>
        <v>145177.32577517425</v>
      </c>
      <c r="G29" s="78">
        <f>F20*(IF('Indexed REC Activities'!$A$86="Yes",0,1))</f>
        <v>144451.43914629839</v>
      </c>
      <c r="H29" s="78">
        <f>G20*(IF('Indexed REC Activities'!$A$86="Yes",0,1))</f>
        <v>143729.18195056688</v>
      </c>
      <c r="I29" s="78">
        <f>H20*(IF('Indexed REC Activities'!$A$86="Yes",0,1))</f>
        <v>143010.53604081407</v>
      </c>
      <c r="J29" s="78">
        <f>I20*(IF('Indexed REC Activities'!$A$86="Yes",0,1))</f>
        <v>142295.48336060997</v>
      </c>
      <c r="K29" s="78">
        <f>J20*(IF('Indexed REC Activities'!$A$86="Yes",0,1))</f>
        <v>141584.00594380693</v>
      </c>
      <c r="L29" s="78">
        <f>K20*(IF('Indexed REC Activities'!$A$86="Yes",0,1))</f>
        <v>140876.08591408789</v>
      </c>
      <c r="M29" s="78">
        <f>L20*(IF('Indexed REC Activities'!$A$86="Yes",0,1))</f>
        <v>140171.70548451744</v>
      </c>
      <c r="N29" s="78">
        <f>M20*(IF('Indexed REC Activities'!$A$86="Yes",0,1))</f>
        <v>139470.84695709485</v>
      </c>
      <c r="O29" s="78">
        <f>N20*(IF('Indexed REC Activities'!$A$86="Yes",0,1))</f>
        <v>138773.49272230937</v>
      </c>
      <c r="P29" s="78">
        <f>O20*(IF('Indexed REC Activities'!$A$86="Yes",0,1))</f>
        <v>138079.62525869784</v>
      </c>
      <c r="Q29" s="78">
        <f>P20*(IF('Indexed REC Activities'!$A$86="Yes",0,1))</f>
        <v>137389.22713240434</v>
      </c>
      <c r="R29" s="78">
        <f>Q20*(IF('Indexed REC Activities'!$A$86="Yes",0,1))</f>
        <v>136702.28099674231</v>
      </c>
      <c r="S29" s="78">
        <f>R20*(IF('Indexed REC Activities'!$A$86="Yes",0,1))</f>
        <v>136018.76959175861</v>
      </c>
      <c r="T29" s="78">
        <f>S20*(IF('Indexed REC Activities'!$A$86="Yes",0,1))</f>
        <v>0</v>
      </c>
      <c r="U29" s="78">
        <f>T20*(IF('Indexed REC Activities'!$A$86="Yes",0,1))</f>
        <v>0</v>
      </c>
    </row>
    <row r="30" spans="1:21" x14ac:dyDescent="0.25">
      <c r="A30" s="184" t="s">
        <v>144</v>
      </c>
      <c r="B30" s="184"/>
      <c r="C30" s="78"/>
      <c r="D30" s="78"/>
      <c r="E30" s="78">
        <f>D21*(IF('Indexed REC Activities'!$A$86="Yes",0,1))</f>
        <v>155342.33973121329</v>
      </c>
      <c r="F30" s="78">
        <f>E21*(IF('Indexed REC Activities'!$A$86="Yes",0,1))</f>
        <v>154565.6280325572</v>
      </c>
      <c r="G30" s="78">
        <f>F21*(IF('Indexed REC Activities'!$A$86="Yes",0,1))</f>
        <v>153792.79989239443</v>
      </c>
      <c r="H30" s="78">
        <f>G21*(IF('Indexed REC Activities'!$A$86="Yes",0,1))</f>
        <v>153023.83589293246</v>
      </c>
      <c r="I30" s="78">
        <f>H21*(IF('Indexed REC Activities'!$A$86="Yes",0,1))</f>
        <v>152258.71671346779</v>
      </c>
      <c r="J30" s="78">
        <f>I21*(IF('Indexed REC Activities'!$A$86="Yes",0,1))</f>
        <v>151497.42312990045</v>
      </c>
      <c r="K30" s="78">
        <f>J21*(IF('Indexed REC Activities'!$A$86="Yes",0,1))</f>
        <v>150739.93601425094</v>
      </c>
      <c r="L30" s="78">
        <f>K21*(IF('Indexed REC Activities'!$A$86="Yes",0,1))</f>
        <v>149986.2363341797</v>
      </c>
      <c r="M30" s="78">
        <f>L21*(IF('Indexed REC Activities'!$A$86="Yes",0,1))</f>
        <v>149236.30515250878</v>
      </c>
      <c r="N30" s="78">
        <f>M21*(IF('Indexed REC Activities'!$A$86="Yes",0,1))</f>
        <v>148490.12362674624</v>
      </c>
      <c r="O30" s="78">
        <f>N21*(IF('Indexed REC Activities'!$A$86="Yes",0,1))</f>
        <v>147747.6730086125</v>
      </c>
      <c r="P30" s="78">
        <f>O21*(IF('Indexed REC Activities'!$A$86="Yes",0,1))</f>
        <v>147008.93464356946</v>
      </c>
      <c r="Q30" s="78">
        <f>P21*(IF('Indexed REC Activities'!$A$86="Yes",0,1))</f>
        <v>146273.88997035159</v>
      </c>
      <c r="R30" s="78">
        <f>Q21*(IF('Indexed REC Activities'!$A$86="Yes",0,1))</f>
        <v>145542.52052049985</v>
      </c>
      <c r="S30" s="78">
        <f>R21*(IF('Indexed REC Activities'!$A$86="Yes",0,1))</f>
        <v>144814.80791789736</v>
      </c>
      <c r="T30" s="78">
        <f>S21*(IF('Indexed REC Activities'!$A$86="Yes",0,1))</f>
        <v>0</v>
      </c>
      <c r="U30" s="78">
        <f>T21*(IF('Indexed REC Activities'!$A$86="Yes",0,1))</f>
        <v>0</v>
      </c>
    </row>
    <row r="31" spans="1:21" x14ac:dyDescent="0.25">
      <c r="A31" s="184" t="s">
        <v>153</v>
      </c>
      <c r="B31" s="184"/>
      <c r="C31" s="78"/>
      <c r="D31" s="78"/>
      <c r="E31" s="78">
        <f>D22*(IF('Indexed REC Activities'!$A$86="Yes",0,1))</f>
        <v>0</v>
      </c>
      <c r="F31" s="78">
        <f>E22*(IF('Indexed REC Activities'!$A$86="Yes",0,1))</f>
        <v>266722.870788</v>
      </c>
      <c r="G31" s="78">
        <f>F22*(IF('Indexed REC Activities'!$A$86="Yes",0,1))</f>
        <v>265389.25643405999</v>
      </c>
      <c r="H31" s="78">
        <f>G22*(IF('Indexed REC Activities'!$A$86="Yes",0,1))</f>
        <v>264062.31015188969</v>
      </c>
      <c r="I31" s="78">
        <f>H22*(IF('Indexed REC Activities'!$A$86="Yes",0,1))</f>
        <v>262741.99860113027</v>
      </c>
      <c r="J31" s="78">
        <f>I22*(IF('Indexed REC Activities'!$A$86="Yes",0,1))</f>
        <v>261428.2886081246</v>
      </c>
      <c r="K31" s="78">
        <f>J22*(IF('Indexed REC Activities'!$A$86="Yes",0,1))</f>
        <v>260121.14716508397</v>
      </c>
      <c r="L31" s="78">
        <f>K22*(IF('Indexed REC Activities'!$A$86="Yes",0,1))</f>
        <v>258820.54142925856</v>
      </c>
      <c r="M31" s="78">
        <f>L22*(IF('Indexed REC Activities'!$A$86="Yes",0,1))</f>
        <v>257526.43872211227</v>
      </c>
      <c r="N31" s="78">
        <f>M22*(IF('Indexed REC Activities'!$A$86="Yes",0,1))</f>
        <v>256238.80652850171</v>
      </c>
      <c r="O31" s="78">
        <f>N22*(IF('Indexed REC Activities'!$A$86="Yes",0,1))</f>
        <v>254957.61249585918</v>
      </c>
      <c r="P31" s="78">
        <f>O22*(IF('Indexed REC Activities'!$A$86="Yes",0,1))</f>
        <v>253682.82443337986</v>
      </c>
      <c r="Q31" s="78">
        <f>P22*(IF('Indexed REC Activities'!$A$86="Yes",0,1))</f>
        <v>252414.41031121297</v>
      </c>
      <c r="R31" s="78">
        <f>Q22*(IF('Indexed REC Activities'!$A$86="Yes",0,1))</f>
        <v>251152.33825965691</v>
      </c>
      <c r="S31" s="78">
        <f>R22*(IF('Indexed REC Activities'!$A$86="Yes",0,1))</f>
        <v>249896.57656835864</v>
      </c>
      <c r="T31" s="78">
        <f>S22*(IF('Indexed REC Activities'!$A$86="Yes",0,1))</f>
        <v>248647.09368551683</v>
      </c>
      <c r="U31" s="78">
        <f>T22*(IF('Indexed REC Activities'!$A$86="Yes",0,1))</f>
        <v>247403.85821708923</v>
      </c>
    </row>
    <row r="32" spans="1:21" x14ac:dyDescent="0.25">
      <c r="A32" s="184" t="s">
        <v>158</v>
      </c>
      <c r="B32" s="184"/>
      <c r="C32" s="78"/>
      <c r="D32" s="78"/>
      <c r="E32" s="78">
        <f>D23*(IF('Indexed REC Activities'!$A$86="Yes",0,1))</f>
        <v>128422.12297199998</v>
      </c>
      <c r="F32" s="78">
        <f>E23*(IF('Indexed REC Activities'!$A$86="Yes",0,1))</f>
        <v>127780.01235713999</v>
      </c>
      <c r="G32" s="78">
        <f>F23*(IF('Indexed REC Activities'!$A$86="Yes",0,1))</f>
        <v>127141.11229535428</v>
      </c>
      <c r="H32" s="78">
        <f>G23*(IF('Indexed REC Activities'!$A$86="Yes",0,1))</f>
        <v>126505.40673387751</v>
      </c>
      <c r="I32" s="78">
        <f>H23*(IF('Indexed REC Activities'!$A$86="Yes",0,1))</f>
        <v>125872.87970020811</v>
      </c>
      <c r="J32" s="78">
        <f>I23*(IF('Indexed REC Activities'!$A$86="Yes",0,1))</f>
        <v>125243.51530170708</v>
      </c>
      <c r="K32" s="78">
        <f>J23*(IF('Indexed REC Activities'!$A$86="Yes",0,1))</f>
        <v>124617.29772519854</v>
      </c>
      <c r="L32" s="78">
        <f>K23*(IF('Indexed REC Activities'!$A$86="Yes",0,1))</f>
        <v>123994.21123657255</v>
      </c>
      <c r="M32" s="78">
        <f>L23*(IF('Indexed REC Activities'!$A$86="Yes",0,1))</f>
        <v>123374.24018038969</v>
      </c>
      <c r="N32" s="78">
        <f>M23*(IF('Indexed REC Activities'!$A$86="Yes",0,1))</f>
        <v>122757.36897948774</v>
      </c>
      <c r="O32" s="78">
        <f>N23*(IF('Indexed REC Activities'!$A$86="Yes",0,1))</f>
        <v>122143.58213459028</v>
      </c>
      <c r="P32" s="78">
        <f>O23*(IF('Indexed REC Activities'!$A$86="Yes",0,1))</f>
        <v>121532.86422391734</v>
      </c>
      <c r="Q32" s="78">
        <f>P23*(IF('Indexed REC Activities'!$A$86="Yes",0,1))</f>
        <v>120925.19990279774</v>
      </c>
      <c r="R32" s="78">
        <f>Q23*(IF('Indexed REC Activities'!$A$86="Yes",0,1))</f>
        <v>120320.57390328377</v>
      </c>
      <c r="S32" s="78">
        <f>R23*(IF('Indexed REC Activities'!$A$86="Yes",0,1))</f>
        <v>119718.97103376733</v>
      </c>
      <c r="T32" s="78">
        <f>S23*(IF('Indexed REC Activities'!$A$86="Yes",0,1))</f>
        <v>119120.3761785985</v>
      </c>
      <c r="U32" s="78">
        <f>T23*(IF('Indexed REC Activities'!$A$86="Yes",0,1))</f>
        <v>118524.77429770552</v>
      </c>
    </row>
    <row r="33" spans="1:21" x14ac:dyDescent="0.25">
      <c r="A33" s="184" t="s">
        <v>162</v>
      </c>
      <c r="B33" s="184"/>
      <c r="C33" s="78"/>
      <c r="D33" s="78"/>
      <c r="E33" s="78">
        <f>D24*(IF('Indexed REC Activities'!$A$86="Yes",0,1))</f>
        <v>0</v>
      </c>
      <c r="F33" s="78">
        <f>E24*(IF('Indexed REC Activities'!$A$86="Yes",0,1))</f>
        <v>39514.499376</v>
      </c>
      <c r="G33" s="78">
        <f>F24*(IF('Indexed REC Activities'!$A$86="Yes",0,1))</f>
        <v>39316.926879120001</v>
      </c>
      <c r="H33" s="78">
        <f>G24*(IF('Indexed REC Activities'!$A$86="Yes",0,1))</f>
        <v>39120.342244724401</v>
      </c>
      <c r="I33" s="78">
        <f>H24*(IF('Indexed REC Activities'!$A$86="Yes",0,1))</f>
        <v>38924.740533500779</v>
      </c>
      <c r="J33" s="78">
        <f>I24*(IF('Indexed REC Activities'!$A$86="Yes",0,1))</f>
        <v>38730.116830833278</v>
      </c>
      <c r="K33" s="78">
        <f>J24*(IF('Indexed REC Activities'!$A$86="Yes",0,1))</f>
        <v>38536.466246679112</v>
      </c>
      <c r="L33" s="78">
        <f>K24*(IF('Indexed REC Activities'!$A$86="Yes",0,1))</f>
        <v>38343.783915445718</v>
      </c>
      <c r="M33" s="78">
        <f>L24*(IF('Indexed REC Activities'!$A$86="Yes",0,1))</f>
        <v>38152.064995868488</v>
      </c>
      <c r="N33" s="78">
        <f>M24*(IF('Indexed REC Activities'!$A$86="Yes",0,1))</f>
        <v>37961.304670889149</v>
      </c>
      <c r="O33" s="78">
        <f>N24*(IF('Indexed REC Activities'!$A$86="Yes",0,1))</f>
        <v>37771.498147534701</v>
      </c>
      <c r="P33" s="78">
        <f>O24*(IF('Indexed REC Activities'!$A$86="Yes",0,1))</f>
        <v>37582.640656797026</v>
      </c>
      <c r="Q33" s="78">
        <f>P24*(IF('Indexed REC Activities'!$A$86="Yes",0,1))</f>
        <v>37394.727453513042</v>
      </c>
      <c r="R33" s="78">
        <f>Q24*(IF('Indexed REC Activities'!$A$86="Yes",0,1))</f>
        <v>37207.753816245473</v>
      </c>
      <c r="S33" s="78">
        <f>R24*(IF('Indexed REC Activities'!$A$86="Yes",0,1))</f>
        <v>37021.715047164245</v>
      </c>
      <c r="T33" s="78">
        <f>S24*(IF('Indexed REC Activities'!$A$86="Yes",0,1))</f>
        <v>36836.606471928426</v>
      </c>
      <c r="U33" s="78">
        <f>T24*(IF('Indexed REC Activities'!$A$86="Yes",0,1))</f>
        <v>0</v>
      </c>
    </row>
    <row r="34" spans="1:21" x14ac:dyDescent="0.25">
      <c r="A34" s="12" t="s">
        <v>165</v>
      </c>
      <c r="B34" s="12"/>
      <c r="C34" s="78"/>
      <c r="D34" s="78"/>
      <c r="E34" s="78">
        <f>D25*(IF('Indexed REC Activities'!$A$86="Yes",0,1))</f>
        <v>172602.59970134808</v>
      </c>
      <c r="F34" s="78">
        <f>E25*(IF('Indexed REC Activities'!$A$86="Yes",0,1))</f>
        <v>171739.58670284133</v>
      </c>
      <c r="G34" s="78">
        <f>F25*(IF('Indexed REC Activities'!$A$86="Yes",0,1))</f>
        <v>170880.88876932714</v>
      </c>
      <c r="H34" s="78">
        <f>G25*(IF('Indexed REC Activities'!$A$86="Yes",0,1))</f>
        <v>170026.4843254805</v>
      </c>
      <c r="I34" s="78">
        <f>H25*(IF('Indexed REC Activities'!$A$86="Yes",0,1))</f>
        <v>169176.35190385312</v>
      </c>
      <c r="J34" s="78">
        <f>I25*(IF('Indexed REC Activities'!$A$86="Yes",0,1))</f>
        <v>168330.47014433384</v>
      </c>
      <c r="K34" s="78">
        <f>J25*(IF('Indexed REC Activities'!$A$86="Yes",0,1))</f>
        <v>167488.81779361214</v>
      </c>
      <c r="L34" s="78">
        <f>K25*(IF('Indexed REC Activities'!$A$86="Yes",0,1))</f>
        <v>166651.37370464409</v>
      </c>
      <c r="M34" s="78">
        <f>L25*(IF('Indexed REC Activities'!$A$86="Yes",0,1))</f>
        <v>165818.11683612087</v>
      </c>
      <c r="N34" s="78">
        <f>M25*(IF('Indexed REC Activities'!$A$86="Yes",0,1))</f>
        <v>164989.02625194026</v>
      </c>
      <c r="O34" s="78">
        <f>N25*(IF('Indexed REC Activities'!$A$86="Yes",0,1))</f>
        <v>164164.08112068055</v>
      </c>
      <c r="P34" s="78">
        <f>O25*(IF('Indexed REC Activities'!$A$86="Yes",0,1))</f>
        <v>163343.26071507717</v>
      </c>
      <c r="Q34" s="78">
        <f>P25*(IF('Indexed REC Activities'!$A$86="Yes",0,1))</f>
        <v>162526.54441150179</v>
      </c>
      <c r="R34" s="78">
        <f>Q25*(IF('Indexed REC Activities'!$A$86="Yes",0,1))</f>
        <v>161713.91168944424</v>
      </c>
      <c r="S34" s="78">
        <f>R25*(IF('Indexed REC Activities'!$A$86="Yes",0,1))</f>
        <v>160905.34213099704</v>
      </c>
      <c r="T34" s="78">
        <f>S25*(IF('Indexed REC Activities'!$A$86="Yes",0,1))</f>
        <v>0</v>
      </c>
      <c r="U34" s="78">
        <f>T25*(IF('Indexed REC Activities'!$A$86="Yes",0,1))</f>
        <v>0</v>
      </c>
    </row>
    <row r="35" spans="1:21" x14ac:dyDescent="0.25">
      <c r="A35" s="14" t="s">
        <v>93</v>
      </c>
      <c r="B35" s="14"/>
      <c r="C35" s="79">
        <f t="shared" ref="C35:U35" si="13">SUM(C29:C34)</f>
        <v>0</v>
      </c>
      <c r="D35" s="79">
        <f t="shared" si="13"/>
        <v>0</v>
      </c>
      <c r="E35" s="79">
        <f t="shared" si="13"/>
        <v>602273.92248011334</v>
      </c>
      <c r="F35" s="79">
        <f t="shared" si="13"/>
        <v>905499.92303171277</v>
      </c>
      <c r="G35" s="79">
        <f t="shared" si="13"/>
        <v>900972.42341655423</v>
      </c>
      <c r="H35" s="79">
        <f t="shared" si="13"/>
        <v>896467.56129947142</v>
      </c>
      <c r="I35" s="79">
        <f t="shared" si="13"/>
        <v>891985.22349297418</v>
      </c>
      <c r="J35" s="79">
        <f t="shared" si="13"/>
        <v>887525.29737550928</v>
      </c>
      <c r="K35" s="79">
        <f t="shared" si="13"/>
        <v>883087.6708886316</v>
      </c>
      <c r="L35" s="79">
        <f t="shared" si="13"/>
        <v>878672.23253418854</v>
      </c>
      <c r="M35" s="79">
        <f t="shared" si="13"/>
        <v>874278.87137151754</v>
      </c>
      <c r="N35" s="79">
        <f t="shared" si="13"/>
        <v>869907.4770146599</v>
      </c>
      <c r="O35" s="79">
        <f t="shared" si="13"/>
        <v>865557.93962958653</v>
      </c>
      <c r="P35" s="79">
        <f t="shared" si="13"/>
        <v>861230.14993143862</v>
      </c>
      <c r="Q35" s="79">
        <f t="shared" si="13"/>
        <v>856923.99918178143</v>
      </c>
      <c r="R35" s="79">
        <f t="shared" si="13"/>
        <v>852639.3791858725</v>
      </c>
      <c r="S35" s="79">
        <f t="shared" si="13"/>
        <v>848376.18228994333</v>
      </c>
      <c r="T35" s="79">
        <f t="shared" si="13"/>
        <v>404604.07633604377</v>
      </c>
      <c r="U35" s="79">
        <f t="shared" si="13"/>
        <v>365928.63251479476</v>
      </c>
    </row>
    <row r="37" spans="1:21" ht="15.75" x14ac:dyDescent="0.25">
      <c r="A37" s="77">
        <v>2027</v>
      </c>
      <c r="B37" s="218">
        <v>2024</v>
      </c>
      <c r="C37" s="218">
        <f>C28</f>
        <v>2025</v>
      </c>
      <c r="D37" s="218">
        <f t="shared" ref="D37:U37" si="14">D28</f>
        <v>2026</v>
      </c>
      <c r="E37" s="218">
        <f t="shared" si="14"/>
        <v>2027</v>
      </c>
      <c r="F37" s="218">
        <f t="shared" si="14"/>
        <v>2028</v>
      </c>
      <c r="G37" s="218">
        <f t="shared" si="14"/>
        <v>2029</v>
      </c>
      <c r="H37" s="218">
        <f t="shared" si="14"/>
        <v>2030</v>
      </c>
      <c r="I37" s="218">
        <f t="shared" si="14"/>
        <v>2031</v>
      </c>
      <c r="J37" s="218">
        <f t="shared" si="14"/>
        <v>2032</v>
      </c>
      <c r="K37" s="218">
        <f t="shared" si="14"/>
        <v>2033</v>
      </c>
      <c r="L37" s="218">
        <f t="shared" si="14"/>
        <v>2034</v>
      </c>
      <c r="M37" s="218">
        <f t="shared" si="14"/>
        <v>2035</v>
      </c>
      <c r="N37" s="218">
        <f t="shared" si="14"/>
        <v>2036</v>
      </c>
      <c r="O37" s="218">
        <f t="shared" si="14"/>
        <v>2037</v>
      </c>
      <c r="P37" s="218">
        <f t="shared" si="14"/>
        <v>2038</v>
      </c>
      <c r="Q37" s="218">
        <f t="shared" si="14"/>
        <v>2039</v>
      </c>
      <c r="R37" s="218">
        <f t="shared" si="14"/>
        <v>2040</v>
      </c>
      <c r="S37" s="218">
        <f t="shared" si="14"/>
        <v>2041</v>
      </c>
      <c r="T37" s="218">
        <f t="shared" si="14"/>
        <v>2042</v>
      </c>
      <c r="U37" s="218">
        <f t="shared" si="14"/>
        <v>2043</v>
      </c>
    </row>
    <row r="38" spans="1:21" x14ac:dyDescent="0.25">
      <c r="A38" s="184" t="s">
        <v>138</v>
      </c>
      <c r="B38" s="184"/>
      <c r="C38" s="78"/>
      <c r="D38" s="78"/>
      <c r="E38" s="78"/>
      <c r="F38" s="78">
        <f>E29</f>
        <v>145906.86007555202</v>
      </c>
      <c r="G38" s="78">
        <f>F29</f>
        <v>145177.32577517425</v>
      </c>
      <c r="H38" s="78">
        <f t="shared" ref="H38:U38" si="15">G29</f>
        <v>144451.43914629839</v>
      </c>
      <c r="I38" s="78">
        <f t="shared" si="15"/>
        <v>143729.18195056688</v>
      </c>
      <c r="J38" s="78">
        <f t="shared" si="15"/>
        <v>143010.53604081407</v>
      </c>
      <c r="K38" s="78">
        <f t="shared" si="15"/>
        <v>142295.48336060997</v>
      </c>
      <c r="L38" s="78">
        <f t="shared" si="15"/>
        <v>141584.00594380693</v>
      </c>
      <c r="M38" s="78">
        <f t="shared" si="15"/>
        <v>140876.08591408789</v>
      </c>
      <c r="N38" s="78">
        <f t="shared" si="15"/>
        <v>140171.70548451744</v>
      </c>
      <c r="O38" s="78">
        <f t="shared" si="15"/>
        <v>139470.84695709485</v>
      </c>
      <c r="P38" s="78">
        <f t="shared" si="15"/>
        <v>138773.49272230937</v>
      </c>
      <c r="Q38" s="78">
        <f t="shared" si="15"/>
        <v>138079.62525869784</v>
      </c>
      <c r="R38" s="78">
        <f t="shared" si="15"/>
        <v>137389.22713240434</v>
      </c>
      <c r="S38" s="78">
        <f t="shared" si="15"/>
        <v>136702.28099674231</v>
      </c>
      <c r="T38" s="78">
        <f t="shared" si="15"/>
        <v>136018.76959175861</v>
      </c>
      <c r="U38" s="78">
        <f t="shared" si="15"/>
        <v>0</v>
      </c>
    </row>
    <row r="39" spans="1:21" x14ac:dyDescent="0.25">
      <c r="A39" s="184" t="s">
        <v>144</v>
      </c>
      <c r="B39" s="184"/>
      <c r="C39" s="78"/>
      <c r="D39" s="78"/>
      <c r="E39" s="78"/>
      <c r="F39" s="78">
        <f>E30</f>
        <v>155342.33973121329</v>
      </c>
      <c r="G39" s="78">
        <f t="shared" ref="G39:U39" si="16">F30</f>
        <v>154565.6280325572</v>
      </c>
      <c r="H39" s="78">
        <f t="shared" si="16"/>
        <v>153792.79989239443</v>
      </c>
      <c r="I39" s="78">
        <f t="shared" si="16"/>
        <v>153023.83589293246</v>
      </c>
      <c r="J39" s="78">
        <f t="shared" si="16"/>
        <v>152258.71671346779</v>
      </c>
      <c r="K39" s="78">
        <f t="shared" si="16"/>
        <v>151497.42312990045</v>
      </c>
      <c r="L39" s="78">
        <f t="shared" si="16"/>
        <v>150739.93601425094</v>
      </c>
      <c r="M39" s="78">
        <f t="shared" si="16"/>
        <v>149986.2363341797</v>
      </c>
      <c r="N39" s="78">
        <f t="shared" si="16"/>
        <v>149236.30515250878</v>
      </c>
      <c r="O39" s="78">
        <f t="shared" si="16"/>
        <v>148490.12362674624</v>
      </c>
      <c r="P39" s="78">
        <f t="shared" si="16"/>
        <v>147747.6730086125</v>
      </c>
      <c r="Q39" s="78">
        <f t="shared" si="16"/>
        <v>147008.93464356946</v>
      </c>
      <c r="R39" s="78">
        <f t="shared" si="16"/>
        <v>146273.88997035159</v>
      </c>
      <c r="S39" s="78">
        <f t="shared" si="16"/>
        <v>145542.52052049985</v>
      </c>
      <c r="T39" s="78">
        <f t="shared" si="16"/>
        <v>144814.80791789736</v>
      </c>
      <c r="U39" s="78">
        <f t="shared" si="16"/>
        <v>0</v>
      </c>
    </row>
    <row r="40" spans="1:21" x14ac:dyDescent="0.25">
      <c r="A40" s="184" t="s">
        <v>153</v>
      </c>
      <c r="B40" s="184"/>
      <c r="C40" s="78"/>
      <c r="D40" s="78"/>
      <c r="E40" s="78"/>
      <c r="F40" s="78">
        <f t="shared" ref="F40:U40" si="17">E31</f>
        <v>0</v>
      </c>
      <c r="G40" s="78">
        <f t="shared" si="17"/>
        <v>266722.870788</v>
      </c>
      <c r="H40" s="78">
        <f t="shared" si="17"/>
        <v>265389.25643405999</v>
      </c>
      <c r="I40" s="78">
        <f t="shared" si="17"/>
        <v>264062.31015188969</v>
      </c>
      <c r="J40" s="78">
        <f t="shared" si="17"/>
        <v>262741.99860113027</v>
      </c>
      <c r="K40" s="78">
        <f t="shared" si="17"/>
        <v>261428.2886081246</v>
      </c>
      <c r="L40" s="78">
        <f t="shared" si="17"/>
        <v>260121.14716508397</v>
      </c>
      <c r="M40" s="78">
        <f t="shared" si="17"/>
        <v>258820.54142925856</v>
      </c>
      <c r="N40" s="78">
        <f t="shared" si="17"/>
        <v>257526.43872211227</v>
      </c>
      <c r="O40" s="78">
        <f t="shared" si="17"/>
        <v>256238.80652850171</v>
      </c>
      <c r="P40" s="78">
        <f t="shared" si="17"/>
        <v>254957.61249585918</v>
      </c>
      <c r="Q40" s="78">
        <f t="shared" si="17"/>
        <v>253682.82443337986</v>
      </c>
      <c r="R40" s="78">
        <f t="shared" si="17"/>
        <v>252414.41031121297</v>
      </c>
      <c r="S40" s="78">
        <f t="shared" si="17"/>
        <v>251152.33825965691</v>
      </c>
      <c r="T40" s="78">
        <f t="shared" si="17"/>
        <v>249896.57656835864</v>
      </c>
      <c r="U40" s="78">
        <f t="shared" si="17"/>
        <v>248647.09368551683</v>
      </c>
    </row>
    <row r="41" spans="1:21" x14ac:dyDescent="0.25">
      <c r="A41" s="184" t="s">
        <v>158</v>
      </c>
      <c r="B41" s="184"/>
      <c r="C41" s="78"/>
      <c r="D41" s="78"/>
      <c r="E41" s="78"/>
      <c r="F41" s="78">
        <f t="shared" ref="F41:U41" si="18">E32</f>
        <v>128422.12297199998</v>
      </c>
      <c r="G41" s="78">
        <f t="shared" si="18"/>
        <v>127780.01235713999</v>
      </c>
      <c r="H41" s="78">
        <f t="shared" si="18"/>
        <v>127141.11229535428</v>
      </c>
      <c r="I41" s="78">
        <f t="shared" si="18"/>
        <v>126505.40673387751</v>
      </c>
      <c r="J41" s="78">
        <f t="shared" si="18"/>
        <v>125872.87970020811</v>
      </c>
      <c r="K41" s="78">
        <f t="shared" si="18"/>
        <v>125243.51530170708</v>
      </c>
      <c r="L41" s="78">
        <f t="shared" si="18"/>
        <v>124617.29772519854</v>
      </c>
      <c r="M41" s="78">
        <f t="shared" si="18"/>
        <v>123994.21123657255</v>
      </c>
      <c r="N41" s="78">
        <f t="shared" si="18"/>
        <v>123374.24018038969</v>
      </c>
      <c r="O41" s="78">
        <f t="shared" si="18"/>
        <v>122757.36897948774</v>
      </c>
      <c r="P41" s="78">
        <f t="shared" si="18"/>
        <v>122143.58213459028</v>
      </c>
      <c r="Q41" s="78">
        <f t="shared" si="18"/>
        <v>121532.86422391734</v>
      </c>
      <c r="R41" s="78">
        <f t="shared" si="18"/>
        <v>120925.19990279774</v>
      </c>
      <c r="S41" s="78">
        <f t="shared" si="18"/>
        <v>120320.57390328377</v>
      </c>
      <c r="T41" s="78">
        <f t="shared" si="18"/>
        <v>119718.97103376733</v>
      </c>
      <c r="U41" s="78">
        <f t="shared" si="18"/>
        <v>119120.3761785985</v>
      </c>
    </row>
    <row r="42" spans="1:21" x14ac:dyDescent="0.25">
      <c r="A42" s="184" t="s">
        <v>162</v>
      </c>
      <c r="B42" s="184"/>
      <c r="C42" s="78"/>
      <c r="D42" s="78"/>
      <c r="E42" s="78"/>
      <c r="F42" s="78">
        <f t="shared" ref="F42:U42" si="19">E33</f>
        <v>0</v>
      </c>
      <c r="G42" s="78">
        <f t="shared" si="19"/>
        <v>39514.499376</v>
      </c>
      <c r="H42" s="78">
        <f t="shared" si="19"/>
        <v>39316.926879120001</v>
      </c>
      <c r="I42" s="78">
        <f t="shared" si="19"/>
        <v>39120.342244724401</v>
      </c>
      <c r="J42" s="78">
        <f t="shared" si="19"/>
        <v>38924.740533500779</v>
      </c>
      <c r="K42" s="78">
        <f t="shared" si="19"/>
        <v>38730.116830833278</v>
      </c>
      <c r="L42" s="78">
        <f t="shared" si="19"/>
        <v>38536.466246679112</v>
      </c>
      <c r="M42" s="78">
        <f t="shared" si="19"/>
        <v>38343.783915445718</v>
      </c>
      <c r="N42" s="78">
        <f t="shared" si="19"/>
        <v>38152.064995868488</v>
      </c>
      <c r="O42" s="78">
        <f t="shared" si="19"/>
        <v>37961.304670889149</v>
      </c>
      <c r="P42" s="78">
        <f t="shared" si="19"/>
        <v>37771.498147534701</v>
      </c>
      <c r="Q42" s="78">
        <f t="shared" si="19"/>
        <v>37582.640656797026</v>
      </c>
      <c r="R42" s="78">
        <f t="shared" si="19"/>
        <v>37394.727453513042</v>
      </c>
      <c r="S42" s="78">
        <f t="shared" si="19"/>
        <v>37207.753816245473</v>
      </c>
      <c r="T42" s="78">
        <f t="shared" si="19"/>
        <v>37021.715047164245</v>
      </c>
      <c r="U42" s="78">
        <f t="shared" si="19"/>
        <v>36836.606471928426</v>
      </c>
    </row>
    <row r="43" spans="1:21" x14ac:dyDescent="0.25">
      <c r="A43" s="12" t="s">
        <v>165</v>
      </c>
      <c r="B43" s="12"/>
      <c r="C43" s="78"/>
      <c r="D43" s="78"/>
      <c r="E43" s="78"/>
      <c r="F43" s="78">
        <f t="shared" ref="F43:U43" si="20">E34</f>
        <v>172602.59970134808</v>
      </c>
      <c r="G43" s="78">
        <f t="shared" si="20"/>
        <v>171739.58670284133</v>
      </c>
      <c r="H43" s="78">
        <f t="shared" si="20"/>
        <v>170880.88876932714</v>
      </c>
      <c r="I43" s="78">
        <f t="shared" si="20"/>
        <v>170026.4843254805</v>
      </c>
      <c r="J43" s="78">
        <f t="shared" si="20"/>
        <v>169176.35190385312</v>
      </c>
      <c r="K43" s="78">
        <f t="shared" si="20"/>
        <v>168330.47014433384</v>
      </c>
      <c r="L43" s="78">
        <f t="shared" si="20"/>
        <v>167488.81779361214</v>
      </c>
      <c r="M43" s="78">
        <f t="shared" si="20"/>
        <v>166651.37370464409</v>
      </c>
      <c r="N43" s="78">
        <f t="shared" si="20"/>
        <v>165818.11683612087</v>
      </c>
      <c r="O43" s="78">
        <f t="shared" si="20"/>
        <v>164989.02625194026</v>
      </c>
      <c r="P43" s="78">
        <f t="shared" si="20"/>
        <v>164164.08112068055</v>
      </c>
      <c r="Q43" s="78">
        <f t="shared" si="20"/>
        <v>163343.26071507717</v>
      </c>
      <c r="R43" s="78">
        <f t="shared" si="20"/>
        <v>162526.54441150179</v>
      </c>
      <c r="S43" s="78">
        <f t="shared" si="20"/>
        <v>161713.91168944424</v>
      </c>
      <c r="T43" s="78">
        <f t="shared" si="20"/>
        <v>160905.34213099704</v>
      </c>
      <c r="U43" s="78">
        <f t="shared" si="20"/>
        <v>0</v>
      </c>
    </row>
    <row r="44" spans="1:21" x14ac:dyDescent="0.25">
      <c r="A44" s="14" t="s">
        <v>93</v>
      </c>
      <c r="B44" s="14"/>
      <c r="C44" s="79">
        <f t="shared" ref="C44:U44" si="21">SUM(C38:C43)</f>
        <v>0</v>
      </c>
      <c r="D44" s="79">
        <f t="shared" si="21"/>
        <v>0</v>
      </c>
      <c r="E44" s="79">
        <f t="shared" si="21"/>
        <v>0</v>
      </c>
      <c r="F44" s="79">
        <f t="shared" si="21"/>
        <v>602273.92248011334</v>
      </c>
      <c r="G44" s="79">
        <f t="shared" si="21"/>
        <v>905499.92303171277</v>
      </c>
      <c r="H44" s="79">
        <f t="shared" si="21"/>
        <v>900972.42341655423</v>
      </c>
      <c r="I44" s="79">
        <f t="shared" si="21"/>
        <v>896467.56129947142</v>
      </c>
      <c r="J44" s="79">
        <f t="shared" si="21"/>
        <v>891985.22349297418</v>
      </c>
      <c r="K44" s="79">
        <f t="shared" si="21"/>
        <v>887525.29737550928</v>
      </c>
      <c r="L44" s="79">
        <f t="shared" si="21"/>
        <v>883087.6708886316</v>
      </c>
      <c r="M44" s="79">
        <f t="shared" si="21"/>
        <v>878672.23253418854</v>
      </c>
      <c r="N44" s="79">
        <f t="shared" si="21"/>
        <v>874278.87137151754</v>
      </c>
      <c r="O44" s="79">
        <f t="shared" si="21"/>
        <v>869907.4770146599</v>
      </c>
      <c r="P44" s="79">
        <f t="shared" si="21"/>
        <v>865557.93962958653</v>
      </c>
      <c r="Q44" s="79">
        <f t="shared" si="21"/>
        <v>861230.14993143862</v>
      </c>
      <c r="R44" s="79">
        <f t="shared" si="21"/>
        <v>856923.99918178143</v>
      </c>
      <c r="S44" s="79">
        <f t="shared" si="21"/>
        <v>852639.3791858725</v>
      </c>
      <c r="T44" s="79">
        <f t="shared" si="21"/>
        <v>848376.18228994333</v>
      </c>
      <c r="U44" s="79">
        <f t="shared" si="21"/>
        <v>404604.07633604377</v>
      </c>
    </row>
    <row r="46" spans="1:21" ht="15.75" x14ac:dyDescent="0.25">
      <c r="A46" s="77">
        <v>2028</v>
      </c>
      <c r="B46" s="218">
        <v>2024</v>
      </c>
      <c r="C46" s="218">
        <f>C37</f>
        <v>2025</v>
      </c>
      <c r="D46" s="218">
        <f t="shared" ref="D46:U46" si="22">D37</f>
        <v>2026</v>
      </c>
      <c r="E46" s="218">
        <f t="shared" si="22"/>
        <v>2027</v>
      </c>
      <c r="F46" s="218">
        <f t="shared" si="22"/>
        <v>2028</v>
      </c>
      <c r="G46" s="218">
        <f t="shared" si="22"/>
        <v>2029</v>
      </c>
      <c r="H46" s="218">
        <f t="shared" si="22"/>
        <v>2030</v>
      </c>
      <c r="I46" s="218">
        <f t="shared" si="22"/>
        <v>2031</v>
      </c>
      <c r="J46" s="218">
        <f t="shared" si="22"/>
        <v>2032</v>
      </c>
      <c r="K46" s="218">
        <f t="shared" si="22"/>
        <v>2033</v>
      </c>
      <c r="L46" s="218">
        <f t="shared" si="22"/>
        <v>2034</v>
      </c>
      <c r="M46" s="218">
        <f t="shared" si="22"/>
        <v>2035</v>
      </c>
      <c r="N46" s="218">
        <f t="shared" si="22"/>
        <v>2036</v>
      </c>
      <c r="O46" s="218">
        <f t="shared" si="22"/>
        <v>2037</v>
      </c>
      <c r="P46" s="218">
        <f t="shared" si="22"/>
        <v>2038</v>
      </c>
      <c r="Q46" s="218">
        <f t="shared" si="22"/>
        <v>2039</v>
      </c>
      <c r="R46" s="218">
        <f t="shared" si="22"/>
        <v>2040</v>
      </c>
      <c r="S46" s="218">
        <f t="shared" si="22"/>
        <v>2041</v>
      </c>
      <c r="T46" s="218">
        <f t="shared" si="22"/>
        <v>2042</v>
      </c>
      <c r="U46" s="218">
        <f t="shared" si="22"/>
        <v>2043</v>
      </c>
    </row>
    <row r="47" spans="1:21" x14ac:dyDescent="0.25">
      <c r="A47" s="184" t="s">
        <v>138</v>
      </c>
      <c r="B47" s="184"/>
      <c r="C47" s="78"/>
      <c r="D47" s="78"/>
      <c r="E47" s="78"/>
      <c r="F47" s="78"/>
      <c r="G47" s="78">
        <f>F38</f>
        <v>145906.86007555202</v>
      </c>
      <c r="H47" s="78">
        <f t="shared" ref="H47:U47" si="23">G38</f>
        <v>145177.32577517425</v>
      </c>
      <c r="I47" s="78">
        <f t="shared" si="23"/>
        <v>144451.43914629839</v>
      </c>
      <c r="J47" s="78">
        <f t="shared" si="23"/>
        <v>143729.18195056688</v>
      </c>
      <c r="K47" s="78">
        <f t="shared" si="23"/>
        <v>143010.53604081407</v>
      </c>
      <c r="L47" s="78">
        <f t="shared" si="23"/>
        <v>142295.48336060997</v>
      </c>
      <c r="M47" s="78">
        <f t="shared" si="23"/>
        <v>141584.00594380693</v>
      </c>
      <c r="N47" s="78">
        <f t="shared" si="23"/>
        <v>140876.08591408789</v>
      </c>
      <c r="O47" s="78">
        <f t="shared" si="23"/>
        <v>140171.70548451744</v>
      </c>
      <c r="P47" s="78">
        <f t="shared" si="23"/>
        <v>139470.84695709485</v>
      </c>
      <c r="Q47" s="78">
        <f t="shared" si="23"/>
        <v>138773.49272230937</v>
      </c>
      <c r="R47" s="78">
        <f t="shared" si="23"/>
        <v>138079.62525869784</v>
      </c>
      <c r="S47" s="78">
        <f t="shared" si="23"/>
        <v>137389.22713240434</v>
      </c>
      <c r="T47" s="78">
        <f t="shared" si="23"/>
        <v>136702.28099674231</v>
      </c>
      <c r="U47" s="78">
        <f t="shared" si="23"/>
        <v>136018.76959175861</v>
      </c>
    </row>
    <row r="48" spans="1:21" x14ac:dyDescent="0.25">
      <c r="A48" s="184" t="s">
        <v>144</v>
      </c>
      <c r="B48" s="184"/>
      <c r="C48" s="78"/>
      <c r="D48" s="78"/>
      <c r="E48" s="78"/>
      <c r="F48" s="78"/>
      <c r="G48" s="78">
        <f t="shared" ref="G48:U48" si="24">F39</f>
        <v>155342.33973121329</v>
      </c>
      <c r="H48" s="78">
        <f t="shared" si="24"/>
        <v>154565.6280325572</v>
      </c>
      <c r="I48" s="78">
        <f t="shared" si="24"/>
        <v>153792.79989239443</v>
      </c>
      <c r="J48" s="78">
        <f t="shared" si="24"/>
        <v>153023.83589293246</v>
      </c>
      <c r="K48" s="78">
        <f t="shared" si="24"/>
        <v>152258.71671346779</v>
      </c>
      <c r="L48" s="78">
        <f t="shared" si="24"/>
        <v>151497.42312990045</v>
      </c>
      <c r="M48" s="78">
        <f t="shared" si="24"/>
        <v>150739.93601425094</v>
      </c>
      <c r="N48" s="78">
        <f t="shared" si="24"/>
        <v>149986.2363341797</v>
      </c>
      <c r="O48" s="78">
        <f t="shared" si="24"/>
        <v>149236.30515250878</v>
      </c>
      <c r="P48" s="78">
        <f t="shared" si="24"/>
        <v>148490.12362674624</v>
      </c>
      <c r="Q48" s="78">
        <f t="shared" si="24"/>
        <v>147747.6730086125</v>
      </c>
      <c r="R48" s="78">
        <f t="shared" si="24"/>
        <v>147008.93464356946</v>
      </c>
      <c r="S48" s="78">
        <f t="shared" si="24"/>
        <v>146273.88997035159</v>
      </c>
      <c r="T48" s="78">
        <f t="shared" si="24"/>
        <v>145542.52052049985</v>
      </c>
      <c r="U48" s="78">
        <f t="shared" si="24"/>
        <v>144814.80791789736</v>
      </c>
    </row>
    <row r="49" spans="1:21" x14ac:dyDescent="0.25">
      <c r="A49" s="184" t="s">
        <v>153</v>
      </c>
      <c r="B49" s="184"/>
      <c r="C49" s="78"/>
      <c r="D49" s="78"/>
      <c r="E49" s="78"/>
      <c r="F49" s="78"/>
      <c r="G49" s="78">
        <f t="shared" ref="G49:U49" si="25">F40</f>
        <v>0</v>
      </c>
      <c r="H49" s="78">
        <f t="shared" si="25"/>
        <v>266722.870788</v>
      </c>
      <c r="I49" s="78">
        <f t="shared" si="25"/>
        <v>265389.25643405999</v>
      </c>
      <c r="J49" s="78">
        <f t="shared" si="25"/>
        <v>264062.31015188969</v>
      </c>
      <c r="K49" s="78">
        <f t="shared" si="25"/>
        <v>262741.99860113027</v>
      </c>
      <c r="L49" s="78">
        <f t="shared" si="25"/>
        <v>261428.2886081246</v>
      </c>
      <c r="M49" s="78">
        <f t="shared" si="25"/>
        <v>260121.14716508397</v>
      </c>
      <c r="N49" s="78">
        <f t="shared" si="25"/>
        <v>258820.54142925856</v>
      </c>
      <c r="O49" s="78">
        <f t="shared" si="25"/>
        <v>257526.43872211227</v>
      </c>
      <c r="P49" s="78">
        <f t="shared" si="25"/>
        <v>256238.80652850171</v>
      </c>
      <c r="Q49" s="78">
        <f t="shared" si="25"/>
        <v>254957.61249585918</v>
      </c>
      <c r="R49" s="78">
        <f t="shared" si="25"/>
        <v>253682.82443337986</v>
      </c>
      <c r="S49" s="78">
        <f t="shared" si="25"/>
        <v>252414.41031121297</v>
      </c>
      <c r="T49" s="78">
        <f t="shared" si="25"/>
        <v>251152.33825965691</v>
      </c>
      <c r="U49" s="78">
        <f t="shared" si="25"/>
        <v>249896.57656835864</v>
      </c>
    </row>
    <row r="50" spans="1:21" x14ac:dyDescent="0.25">
      <c r="A50" s="184" t="s">
        <v>158</v>
      </c>
      <c r="B50" s="184"/>
      <c r="C50" s="78"/>
      <c r="D50" s="78"/>
      <c r="E50" s="78"/>
      <c r="F50" s="78"/>
      <c r="G50" s="78">
        <f t="shared" ref="G50:U50" si="26">F41</f>
        <v>128422.12297199998</v>
      </c>
      <c r="H50" s="78">
        <f t="shared" si="26"/>
        <v>127780.01235713999</v>
      </c>
      <c r="I50" s="78">
        <f t="shared" si="26"/>
        <v>127141.11229535428</v>
      </c>
      <c r="J50" s="78">
        <f t="shared" si="26"/>
        <v>126505.40673387751</v>
      </c>
      <c r="K50" s="78">
        <f t="shared" si="26"/>
        <v>125872.87970020811</v>
      </c>
      <c r="L50" s="78">
        <f t="shared" si="26"/>
        <v>125243.51530170708</v>
      </c>
      <c r="M50" s="78">
        <f t="shared" si="26"/>
        <v>124617.29772519854</v>
      </c>
      <c r="N50" s="78">
        <f t="shared" si="26"/>
        <v>123994.21123657255</v>
      </c>
      <c r="O50" s="78">
        <f t="shared" si="26"/>
        <v>123374.24018038969</v>
      </c>
      <c r="P50" s="78">
        <f t="shared" si="26"/>
        <v>122757.36897948774</v>
      </c>
      <c r="Q50" s="78">
        <f t="shared" si="26"/>
        <v>122143.58213459028</v>
      </c>
      <c r="R50" s="78">
        <f t="shared" si="26"/>
        <v>121532.86422391734</v>
      </c>
      <c r="S50" s="78">
        <f t="shared" si="26"/>
        <v>120925.19990279774</v>
      </c>
      <c r="T50" s="78">
        <f t="shared" si="26"/>
        <v>120320.57390328377</v>
      </c>
      <c r="U50" s="78">
        <f t="shared" si="26"/>
        <v>119718.97103376733</v>
      </c>
    </row>
    <row r="51" spans="1:21" x14ac:dyDescent="0.25">
      <c r="A51" s="184" t="s">
        <v>162</v>
      </c>
      <c r="B51" s="184"/>
      <c r="C51" s="78"/>
      <c r="D51" s="78"/>
      <c r="E51" s="78"/>
      <c r="F51" s="78"/>
      <c r="G51" s="78">
        <f t="shared" ref="G51:U51" si="27">F42</f>
        <v>0</v>
      </c>
      <c r="H51" s="78">
        <f t="shared" si="27"/>
        <v>39514.499376</v>
      </c>
      <c r="I51" s="78">
        <f t="shared" si="27"/>
        <v>39316.926879120001</v>
      </c>
      <c r="J51" s="78">
        <f t="shared" si="27"/>
        <v>39120.342244724401</v>
      </c>
      <c r="K51" s="78">
        <f t="shared" si="27"/>
        <v>38924.740533500779</v>
      </c>
      <c r="L51" s="78">
        <f t="shared" si="27"/>
        <v>38730.116830833278</v>
      </c>
      <c r="M51" s="78">
        <f t="shared" si="27"/>
        <v>38536.466246679112</v>
      </c>
      <c r="N51" s="78">
        <f t="shared" si="27"/>
        <v>38343.783915445718</v>
      </c>
      <c r="O51" s="78">
        <f t="shared" si="27"/>
        <v>38152.064995868488</v>
      </c>
      <c r="P51" s="78">
        <f t="shared" si="27"/>
        <v>37961.304670889149</v>
      </c>
      <c r="Q51" s="78">
        <f t="shared" si="27"/>
        <v>37771.498147534701</v>
      </c>
      <c r="R51" s="78">
        <f t="shared" si="27"/>
        <v>37582.640656797026</v>
      </c>
      <c r="S51" s="78">
        <f t="shared" si="27"/>
        <v>37394.727453513042</v>
      </c>
      <c r="T51" s="78">
        <f t="shared" si="27"/>
        <v>37207.753816245473</v>
      </c>
      <c r="U51" s="78">
        <f t="shared" si="27"/>
        <v>37021.715047164245</v>
      </c>
    </row>
    <row r="52" spans="1:21" x14ac:dyDescent="0.25">
      <c r="A52" s="12" t="s">
        <v>165</v>
      </c>
      <c r="B52" s="12"/>
      <c r="C52" s="78"/>
      <c r="D52" s="78"/>
      <c r="E52" s="78"/>
      <c r="F52" s="78"/>
      <c r="G52" s="78">
        <f t="shared" ref="G52:U52" si="28">F43</f>
        <v>172602.59970134808</v>
      </c>
      <c r="H52" s="78">
        <f t="shared" si="28"/>
        <v>171739.58670284133</v>
      </c>
      <c r="I52" s="78">
        <f t="shared" si="28"/>
        <v>170880.88876932714</v>
      </c>
      <c r="J52" s="78">
        <f t="shared" si="28"/>
        <v>170026.4843254805</v>
      </c>
      <c r="K52" s="78">
        <f t="shared" si="28"/>
        <v>169176.35190385312</v>
      </c>
      <c r="L52" s="78">
        <f t="shared" si="28"/>
        <v>168330.47014433384</v>
      </c>
      <c r="M52" s="78">
        <f t="shared" si="28"/>
        <v>167488.81779361214</v>
      </c>
      <c r="N52" s="78">
        <f t="shared" si="28"/>
        <v>166651.37370464409</v>
      </c>
      <c r="O52" s="78">
        <f t="shared" si="28"/>
        <v>165818.11683612087</v>
      </c>
      <c r="P52" s="78">
        <f t="shared" si="28"/>
        <v>164989.02625194026</v>
      </c>
      <c r="Q52" s="78">
        <f t="shared" si="28"/>
        <v>164164.08112068055</v>
      </c>
      <c r="R52" s="78">
        <f t="shared" si="28"/>
        <v>163343.26071507717</v>
      </c>
      <c r="S52" s="78">
        <f t="shared" si="28"/>
        <v>162526.54441150179</v>
      </c>
      <c r="T52" s="78">
        <f t="shared" si="28"/>
        <v>161713.91168944424</v>
      </c>
      <c r="U52" s="78">
        <f t="shared" si="28"/>
        <v>160905.34213099704</v>
      </c>
    </row>
    <row r="53" spans="1:21" x14ac:dyDescent="0.25">
      <c r="A53" s="14" t="s">
        <v>93</v>
      </c>
      <c r="B53" s="14"/>
      <c r="C53" s="79">
        <f t="shared" ref="C53:U53" si="29">SUM(C47:C52)</f>
        <v>0</v>
      </c>
      <c r="D53" s="79">
        <f t="shared" si="29"/>
        <v>0</v>
      </c>
      <c r="E53" s="79">
        <f t="shared" si="29"/>
        <v>0</v>
      </c>
      <c r="F53" s="79">
        <f t="shared" si="29"/>
        <v>0</v>
      </c>
      <c r="G53" s="79">
        <f t="shared" si="29"/>
        <v>602273.92248011334</v>
      </c>
      <c r="H53" s="79">
        <f t="shared" si="29"/>
        <v>905499.92303171277</v>
      </c>
      <c r="I53" s="79">
        <f t="shared" si="29"/>
        <v>900972.42341655423</v>
      </c>
      <c r="J53" s="79">
        <f t="shared" si="29"/>
        <v>896467.56129947142</v>
      </c>
      <c r="K53" s="79">
        <f t="shared" si="29"/>
        <v>891985.22349297418</v>
      </c>
      <c r="L53" s="79">
        <f t="shared" si="29"/>
        <v>887525.29737550928</v>
      </c>
      <c r="M53" s="79">
        <f t="shared" si="29"/>
        <v>883087.6708886316</v>
      </c>
      <c r="N53" s="79">
        <f t="shared" si="29"/>
        <v>878672.23253418854</v>
      </c>
      <c r="O53" s="79">
        <f t="shared" si="29"/>
        <v>874278.87137151754</v>
      </c>
      <c r="P53" s="79">
        <f t="shared" si="29"/>
        <v>869907.4770146599</v>
      </c>
      <c r="Q53" s="79">
        <f t="shared" si="29"/>
        <v>865557.93962958653</v>
      </c>
      <c r="R53" s="79">
        <f t="shared" si="29"/>
        <v>861230.14993143862</v>
      </c>
      <c r="S53" s="79">
        <f t="shared" si="29"/>
        <v>856923.99918178143</v>
      </c>
      <c r="T53" s="79">
        <f t="shared" si="29"/>
        <v>852639.3791858725</v>
      </c>
      <c r="U53" s="79">
        <f t="shared" si="29"/>
        <v>848376.18228994333</v>
      </c>
    </row>
    <row r="55" spans="1:21" ht="15.75" x14ac:dyDescent="0.25">
      <c r="A55" s="77">
        <v>2029</v>
      </c>
      <c r="B55" s="218">
        <v>2024</v>
      </c>
      <c r="C55" s="218">
        <f>C46</f>
        <v>2025</v>
      </c>
      <c r="D55" s="218">
        <f t="shared" ref="D55:U55" si="30">D46</f>
        <v>2026</v>
      </c>
      <c r="E55" s="218">
        <f t="shared" si="30"/>
        <v>2027</v>
      </c>
      <c r="F55" s="218">
        <f t="shared" si="30"/>
        <v>2028</v>
      </c>
      <c r="G55" s="218">
        <f t="shared" si="30"/>
        <v>2029</v>
      </c>
      <c r="H55" s="218">
        <f t="shared" si="30"/>
        <v>2030</v>
      </c>
      <c r="I55" s="218">
        <f t="shared" si="30"/>
        <v>2031</v>
      </c>
      <c r="J55" s="218">
        <f t="shared" si="30"/>
        <v>2032</v>
      </c>
      <c r="K55" s="218">
        <f t="shared" si="30"/>
        <v>2033</v>
      </c>
      <c r="L55" s="218">
        <f t="shared" si="30"/>
        <v>2034</v>
      </c>
      <c r="M55" s="218">
        <f t="shared" si="30"/>
        <v>2035</v>
      </c>
      <c r="N55" s="218">
        <f t="shared" si="30"/>
        <v>2036</v>
      </c>
      <c r="O55" s="218">
        <f t="shared" si="30"/>
        <v>2037</v>
      </c>
      <c r="P55" s="218">
        <f t="shared" si="30"/>
        <v>2038</v>
      </c>
      <c r="Q55" s="218">
        <f t="shared" si="30"/>
        <v>2039</v>
      </c>
      <c r="R55" s="218">
        <f t="shared" si="30"/>
        <v>2040</v>
      </c>
      <c r="S55" s="218">
        <f t="shared" si="30"/>
        <v>2041</v>
      </c>
      <c r="T55" s="218">
        <f t="shared" si="30"/>
        <v>2042</v>
      </c>
      <c r="U55" s="218">
        <f t="shared" si="30"/>
        <v>2043</v>
      </c>
    </row>
    <row r="56" spans="1:21" x14ac:dyDescent="0.25">
      <c r="A56" s="184" t="s">
        <v>138</v>
      </c>
      <c r="B56" s="184"/>
      <c r="C56" s="78"/>
      <c r="D56" s="78"/>
      <c r="E56" s="78"/>
      <c r="F56" s="78"/>
      <c r="G56" s="78"/>
      <c r="H56" s="78">
        <f>G47</f>
        <v>145906.86007555202</v>
      </c>
      <c r="I56" s="78">
        <f t="shared" ref="I56:U56" si="31">H47</f>
        <v>145177.32577517425</v>
      </c>
      <c r="J56" s="78">
        <f t="shared" si="31"/>
        <v>144451.43914629839</v>
      </c>
      <c r="K56" s="78">
        <f t="shared" si="31"/>
        <v>143729.18195056688</v>
      </c>
      <c r="L56" s="78">
        <f t="shared" si="31"/>
        <v>143010.53604081407</v>
      </c>
      <c r="M56" s="78">
        <f t="shared" si="31"/>
        <v>142295.48336060997</v>
      </c>
      <c r="N56" s="78">
        <f t="shared" si="31"/>
        <v>141584.00594380693</v>
      </c>
      <c r="O56" s="78">
        <f t="shared" si="31"/>
        <v>140876.08591408789</v>
      </c>
      <c r="P56" s="78">
        <f t="shared" si="31"/>
        <v>140171.70548451744</v>
      </c>
      <c r="Q56" s="78">
        <f t="shared" si="31"/>
        <v>139470.84695709485</v>
      </c>
      <c r="R56" s="78">
        <f t="shared" si="31"/>
        <v>138773.49272230937</v>
      </c>
      <c r="S56" s="78">
        <f t="shared" si="31"/>
        <v>138079.62525869784</v>
      </c>
      <c r="T56" s="78">
        <f t="shared" si="31"/>
        <v>137389.22713240434</v>
      </c>
      <c r="U56" s="78">
        <f t="shared" si="31"/>
        <v>136702.28099674231</v>
      </c>
    </row>
    <row r="57" spans="1:21" x14ac:dyDescent="0.25">
      <c r="A57" s="184" t="s">
        <v>144</v>
      </c>
      <c r="B57" s="184"/>
      <c r="C57" s="78"/>
      <c r="D57" s="78"/>
      <c r="E57" s="78"/>
      <c r="F57" s="78"/>
      <c r="G57" s="78"/>
      <c r="H57" s="78">
        <f t="shared" ref="H57:U57" si="32">G48</f>
        <v>155342.33973121329</v>
      </c>
      <c r="I57" s="78">
        <f t="shared" si="32"/>
        <v>154565.6280325572</v>
      </c>
      <c r="J57" s="78">
        <f t="shared" si="32"/>
        <v>153792.79989239443</v>
      </c>
      <c r="K57" s="78">
        <f t="shared" si="32"/>
        <v>153023.83589293246</v>
      </c>
      <c r="L57" s="78">
        <f t="shared" si="32"/>
        <v>152258.71671346779</v>
      </c>
      <c r="M57" s="78">
        <f t="shared" si="32"/>
        <v>151497.42312990045</v>
      </c>
      <c r="N57" s="78">
        <f t="shared" si="32"/>
        <v>150739.93601425094</v>
      </c>
      <c r="O57" s="78">
        <f t="shared" si="32"/>
        <v>149986.2363341797</v>
      </c>
      <c r="P57" s="78">
        <f t="shared" si="32"/>
        <v>149236.30515250878</v>
      </c>
      <c r="Q57" s="78">
        <f t="shared" si="32"/>
        <v>148490.12362674624</v>
      </c>
      <c r="R57" s="78">
        <f t="shared" si="32"/>
        <v>147747.6730086125</v>
      </c>
      <c r="S57" s="78">
        <f t="shared" si="32"/>
        <v>147008.93464356946</v>
      </c>
      <c r="T57" s="78">
        <f t="shared" si="32"/>
        <v>146273.88997035159</v>
      </c>
      <c r="U57" s="78">
        <f t="shared" si="32"/>
        <v>145542.52052049985</v>
      </c>
    </row>
    <row r="58" spans="1:21" x14ac:dyDescent="0.25">
      <c r="A58" s="184" t="s">
        <v>153</v>
      </c>
      <c r="B58" s="184"/>
      <c r="C58" s="78"/>
      <c r="D58" s="78"/>
      <c r="E58" s="78"/>
      <c r="F58" s="78"/>
      <c r="G58" s="78"/>
      <c r="H58" s="78">
        <f t="shared" ref="H58:U58" si="33">G49</f>
        <v>0</v>
      </c>
      <c r="I58" s="78">
        <f t="shared" si="33"/>
        <v>266722.870788</v>
      </c>
      <c r="J58" s="78">
        <f t="shared" si="33"/>
        <v>265389.25643405999</v>
      </c>
      <c r="K58" s="78">
        <f t="shared" si="33"/>
        <v>264062.31015188969</v>
      </c>
      <c r="L58" s="78">
        <f t="shared" si="33"/>
        <v>262741.99860113027</v>
      </c>
      <c r="M58" s="78">
        <f t="shared" si="33"/>
        <v>261428.2886081246</v>
      </c>
      <c r="N58" s="78">
        <f t="shared" si="33"/>
        <v>260121.14716508397</v>
      </c>
      <c r="O58" s="78">
        <f t="shared" si="33"/>
        <v>258820.54142925856</v>
      </c>
      <c r="P58" s="78">
        <f t="shared" si="33"/>
        <v>257526.43872211227</v>
      </c>
      <c r="Q58" s="78">
        <f t="shared" si="33"/>
        <v>256238.80652850171</v>
      </c>
      <c r="R58" s="78">
        <f t="shared" si="33"/>
        <v>254957.61249585918</v>
      </c>
      <c r="S58" s="78">
        <f t="shared" si="33"/>
        <v>253682.82443337986</v>
      </c>
      <c r="T58" s="78">
        <f t="shared" si="33"/>
        <v>252414.41031121297</v>
      </c>
      <c r="U58" s="78">
        <f t="shared" si="33"/>
        <v>251152.33825965691</v>
      </c>
    </row>
    <row r="59" spans="1:21" x14ac:dyDescent="0.25">
      <c r="A59" s="184" t="s">
        <v>158</v>
      </c>
      <c r="B59" s="184"/>
      <c r="C59" s="78"/>
      <c r="D59" s="78"/>
      <c r="E59" s="78"/>
      <c r="F59" s="78"/>
      <c r="G59" s="78"/>
      <c r="H59" s="78">
        <f t="shared" ref="H59:U59" si="34">G50</f>
        <v>128422.12297199998</v>
      </c>
      <c r="I59" s="78">
        <f t="shared" si="34"/>
        <v>127780.01235713999</v>
      </c>
      <c r="J59" s="78">
        <f t="shared" si="34"/>
        <v>127141.11229535428</v>
      </c>
      <c r="K59" s="78">
        <f t="shared" si="34"/>
        <v>126505.40673387751</v>
      </c>
      <c r="L59" s="78">
        <f t="shared" si="34"/>
        <v>125872.87970020811</v>
      </c>
      <c r="M59" s="78">
        <f t="shared" si="34"/>
        <v>125243.51530170708</v>
      </c>
      <c r="N59" s="78">
        <f t="shared" si="34"/>
        <v>124617.29772519854</v>
      </c>
      <c r="O59" s="78">
        <f t="shared" si="34"/>
        <v>123994.21123657255</v>
      </c>
      <c r="P59" s="78">
        <f t="shared" si="34"/>
        <v>123374.24018038969</v>
      </c>
      <c r="Q59" s="78">
        <f t="shared" si="34"/>
        <v>122757.36897948774</v>
      </c>
      <c r="R59" s="78">
        <f t="shared" si="34"/>
        <v>122143.58213459028</v>
      </c>
      <c r="S59" s="78">
        <f t="shared" si="34"/>
        <v>121532.86422391734</v>
      </c>
      <c r="T59" s="78">
        <f t="shared" si="34"/>
        <v>120925.19990279774</v>
      </c>
      <c r="U59" s="78">
        <f t="shared" si="34"/>
        <v>120320.57390328377</v>
      </c>
    </row>
    <row r="60" spans="1:21" x14ac:dyDescent="0.25">
      <c r="A60" s="184" t="s">
        <v>162</v>
      </c>
      <c r="B60" s="184"/>
      <c r="C60" s="78"/>
      <c r="D60" s="78"/>
      <c r="E60" s="78"/>
      <c r="F60" s="78"/>
      <c r="G60" s="78"/>
      <c r="H60" s="78">
        <f t="shared" ref="H60:U60" si="35">G51</f>
        <v>0</v>
      </c>
      <c r="I60" s="78">
        <f t="shared" si="35"/>
        <v>39514.499376</v>
      </c>
      <c r="J60" s="78">
        <f t="shared" si="35"/>
        <v>39316.926879120001</v>
      </c>
      <c r="K60" s="78">
        <f t="shared" si="35"/>
        <v>39120.342244724401</v>
      </c>
      <c r="L60" s="78">
        <f t="shared" si="35"/>
        <v>38924.740533500779</v>
      </c>
      <c r="M60" s="78">
        <f t="shared" si="35"/>
        <v>38730.116830833278</v>
      </c>
      <c r="N60" s="78">
        <f t="shared" si="35"/>
        <v>38536.466246679112</v>
      </c>
      <c r="O60" s="78">
        <f t="shared" si="35"/>
        <v>38343.783915445718</v>
      </c>
      <c r="P60" s="78">
        <f t="shared" si="35"/>
        <v>38152.064995868488</v>
      </c>
      <c r="Q60" s="78">
        <f t="shared" si="35"/>
        <v>37961.304670889149</v>
      </c>
      <c r="R60" s="78">
        <f t="shared" si="35"/>
        <v>37771.498147534701</v>
      </c>
      <c r="S60" s="78">
        <f t="shared" si="35"/>
        <v>37582.640656797026</v>
      </c>
      <c r="T60" s="78">
        <f t="shared" si="35"/>
        <v>37394.727453513042</v>
      </c>
      <c r="U60" s="78">
        <f t="shared" si="35"/>
        <v>37207.753816245473</v>
      </c>
    </row>
    <row r="61" spans="1:21" x14ac:dyDescent="0.25">
      <c r="A61" s="12" t="s">
        <v>165</v>
      </c>
      <c r="B61" s="12"/>
      <c r="C61" s="78"/>
      <c r="D61" s="78"/>
      <c r="E61" s="78"/>
      <c r="F61" s="78"/>
      <c r="G61" s="78"/>
      <c r="H61" s="78">
        <f t="shared" ref="H61:U61" si="36">G52</f>
        <v>172602.59970134808</v>
      </c>
      <c r="I61" s="78">
        <f t="shared" si="36"/>
        <v>171739.58670284133</v>
      </c>
      <c r="J61" s="78">
        <f t="shared" si="36"/>
        <v>170880.88876932714</v>
      </c>
      <c r="K61" s="78">
        <f t="shared" si="36"/>
        <v>170026.4843254805</v>
      </c>
      <c r="L61" s="78">
        <f t="shared" si="36"/>
        <v>169176.35190385312</v>
      </c>
      <c r="M61" s="78">
        <f t="shared" si="36"/>
        <v>168330.47014433384</v>
      </c>
      <c r="N61" s="78">
        <f t="shared" si="36"/>
        <v>167488.81779361214</v>
      </c>
      <c r="O61" s="78">
        <f t="shared" si="36"/>
        <v>166651.37370464409</v>
      </c>
      <c r="P61" s="78">
        <f t="shared" si="36"/>
        <v>165818.11683612087</v>
      </c>
      <c r="Q61" s="78">
        <f t="shared" si="36"/>
        <v>164989.02625194026</v>
      </c>
      <c r="R61" s="78">
        <f t="shared" si="36"/>
        <v>164164.08112068055</v>
      </c>
      <c r="S61" s="78">
        <f t="shared" si="36"/>
        <v>163343.26071507717</v>
      </c>
      <c r="T61" s="78">
        <f t="shared" si="36"/>
        <v>162526.54441150179</v>
      </c>
      <c r="U61" s="78">
        <f t="shared" si="36"/>
        <v>161713.91168944424</v>
      </c>
    </row>
    <row r="62" spans="1:21" x14ac:dyDescent="0.25">
      <c r="A62" s="14" t="s">
        <v>93</v>
      </c>
      <c r="B62" s="14"/>
      <c r="C62" s="79">
        <f t="shared" ref="C62:U62" si="37">SUM(C56:C61)</f>
        <v>0</v>
      </c>
      <c r="D62" s="79">
        <f t="shared" si="37"/>
        <v>0</v>
      </c>
      <c r="E62" s="79">
        <f t="shared" si="37"/>
        <v>0</v>
      </c>
      <c r="F62" s="79">
        <f t="shared" si="37"/>
        <v>0</v>
      </c>
      <c r="G62" s="79">
        <f t="shared" si="37"/>
        <v>0</v>
      </c>
      <c r="H62" s="79">
        <f t="shared" si="37"/>
        <v>602273.92248011334</v>
      </c>
      <c r="I62" s="79">
        <f t="shared" si="37"/>
        <v>905499.92303171277</v>
      </c>
      <c r="J62" s="79">
        <f t="shared" si="37"/>
        <v>900972.42341655423</v>
      </c>
      <c r="K62" s="79">
        <f t="shared" si="37"/>
        <v>896467.56129947142</v>
      </c>
      <c r="L62" s="79">
        <f t="shared" si="37"/>
        <v>891985.22349297418</v>
      </c>
      <c r="M62" s="79">
        <f t="shared" si="37"/>
        <v>887525.29737550928</v>
      </c>
      <c r="N62" s="79">
        <f t="shared" si="37"/>
        <v>883087.6708886316</v>
      </c>
      <c r="O62" s="79">
        <f t="shared" si="37"/>
        <v>878672.23253418854</v>
      </c>
      <c r="P62" s="79">
        <f t="shared" si="37"/>
        <v>874278.87137151754</v>
      </c>
      <c r="Q62" s="79">
        <f t="shared" si="37"/>
        <v>869907.4770146599</v>
      </c>
      <c r="R62" s="79">
        <f t="shared" si="37"/>
        <v>865557.93962958653</v>
      </c>
      <c r="S62" s="79">
        <f t="shared" si="37"/>
        <v>861230.14993143862</v>
      </c>
      <c r="T62" s="79">
        <f t="shared" si="37"/>
        <v>856923.99918178143</v>
      </c>
      <c r="U62" s="79">
        <f t="shared" si="37"/>
        <v>852639.3791858725</v>
      </c>
    </row>
    <row r="64" spans="1:21" ht="15.75" x14ac:dyDescent="0.25">
      <c r="A64" s="77">
        <v>2030</v>
      </c>
      <c r="B64" s="218">
        <v>2024</v>
      </c>
      <c r="C64" s="218">
        <f>C55</f>
        <v>2025</v>
      </c>
      <c r="D64" s="218">
        <f t="shared" ref="D64:U64" si="38">D55</f>
        <v>2026</v>
      </c>
      <c r="E64" s="218">
        <f t="shared" si="38"/>
        <v>2027</v>
      </c>
      <c r="F64" s="218">
        <f t="shared" si="38"/>
        <v>2028</v>
      </c>
      <c r="G64" s="218">
        <f t="shared" si="38"/>
        <v>2029</v>
      </c>
      <c r="H64" s="218">
        <f t="shared" si="38"/>
        <v>2030</v>
      </c>
      <c r="I64" s="218">
        <f t="shared" si="38"/>
        <v>2031</v>
      </c>
      <c r="J64" s="218">
        <f t="shared" si="38"/>
        <v>2032</v>
      </c>
      <c r="K64" s="218">
        <f t="shared" si="38"/>
        <v>2033</v>
      </c>
      <c r="L64" s="218">
        <f t="shared" si="38"/>
        <v>2034</v>
      </c>
      <c r="M64" s="218">
        <f t="shared" si="38"/>
        <v>2035</v>
      </c>
      <c r="N64" s="218">
        <f t="shared" si="38"/>
        <v>2036</v>
      </c>
      <c r="O64" s="218">
        <f t="shared" si="38"/>
        <v>2037</v>
      </c>
      <c r="P64" s="218">
        <f t="shared" si="38"/>
        <v>2038</v>
      </c>
      <c r="Q64" s="218">
        <f t="shared" si="38"/>
        <v>2039</v>
      </c>
      <c r="R64" s="218">
        <f t="shared" si="38"/>
        <v>2040</v>
      </c>
      <c r="S64" s="218">
        <f t="shared" si="38"/>
        <v>2041</v>
      </c>
      <c r="T64" s="218">
        <f t="shared" si="38"/>
        <v>2042</v>
      </c>
      <c r="U64" s="218">
        <f t="shared" si="38"/>
        <v>2043</v>
      </c>
    </row>
    <row r="65" spans="1:41" x14ac:dyDescent="0.25">
      <c r="A65" s="184" t="s">
        <v>138</v>
      </c>
      <c r="B65" s="184"/>
      <c r="C65" s="78"/>
      <c r="D65" s="78"/>
      <c r="E65" s="78"/>
      <c r="F65" s="78"/>
      <c r="G65" s="78"/>
      <c r="H65" s="78"/>
      <c r="I65" s="78">
        <f>H56</f>
        <v>145906.86007555202</v>
      </c>
      <c r="J65" s="78">
        <f t="shared" ref="J65:U65" si="39">I56</f>
        <v>145177.32577517425</v>
      </c>
      <c r="K65" s="78">
        <f t="shared" si="39"/>
        <v>144451.43914629839</v>
      </c>
      <c r="L65" s="78">
        <f t="shared" si="39"/>
        <v>143729.18195056688</v>
      </c>
      <c r="M65" s="78">
        <f t="shared" si="39"/>
        <v>143010.53604081407</v>
      </c>
      <c r="N65" s="78">
        <f t="shared" si="39"/>
        <v>142295.48336060997</v>
      </c>
      <c r="O65" s="78">
        <f t="shared" si="39"/>
        <v>141584.00594380693</v>
      </c>
      <c r="P65" s="78">
        <f t="shared" si="39"/>
        <v>140876.08591408789</v>
      </c>
      <c r="Q65" s="78">
        <f t="shared" si="39"/>
        <v>140171.70548451744</v>
      </c>
      <c r="R65" s="78">
        <f t="shared" si="39"/>
        <v>139470.84695709485</v>
      </c>
      <c r="S65" s="78">
        <f t="shared" si="39"/>
        <v>138773.49272230937</v>
      </c>
      <c r="T65" s="78">
        <f t="shared" si="39"/>
        <v>138079.62525869784</v>
      </c>
      <c r="U65" s="78">
        <f t="shared" si="39"/>
        <v>137389.22713240434</v>
      </c>
      <c r="W65" s="31"/>
      <c r="X65" s="31"/>
      <c r="Y65" s="31"/>
      <c r="Z65" s="31"/>
      <c r="AA65" s="31"/>
      <c r="AB65" s="31"/>
      <c r="AC65" s="31"/>
      <c r="AD65" s="31"/>
      <c r="AE65" s="31"/>
      <c r="AF65" s="31"/>
      <c r="AG65" s="31"/>
      <c r="AH65" s="31"/>
      <c r="AI65" s="31"/>
      <c r="AJ65" s="31"/>
      <c r="AK65" s="31"/>
      <c r="AL65" s="31"/>
      <c r="AM65" s="31"/>
      <c r="AN65" s="31"/>
      <c r="AO65" s="31"/>
    </row>
    <row r="66" spans="1:41" x14ac:dyDescent="0.25">
      <c r="A66" s="184" t="s">
        <v>144</v>
      </c>
      <c r="B66" s="184"/>
      <c r="C66" s="78"/>
      <c r="D66" s="78"/>
      <c r="E66" s="78"/>
      <c r="F66" s="78"/>
      <c r="G66" s="78"/>
      <c r="H66" s="78"/>
      <c r="I66" s="78">
        <f t="shared" ref="I66:U70" si="40">H57</f>
        <v>155342.33973121329</v>
      </c>
      <c r="J66" s="78">
        <f t="shared" si="40"/>
        <v>154565.6280325572</v>
      </c>
      <c r="K66" s="78">
        <f t="shared" si="40"/>
        <v>153792.79989239443</v>
      </c>
      <c r="L66" s="78">
        <f t="shared" si="40"/>
        <v>153023.83589293246</v>
      </c>
      <c r="M66" s="78">
        <f t="shared" si="40"/>
        <v>152258.71671346779</v>
      </c>
      <c r="N66" s="78">
        <f t="shared" si="40"/>
        <v>151497.42312990045</v>
      </c>
      <c r="O66" s="78">
        <f t="shared" si="40"/>
        <v>150739.93601425094</v>
      </c>
      <c r="P66" s="78">
        <f t="shared" si="40"/>
        <v>149986.2363341797</v>
      </c>
      <c r="Q66" s="78">
        <f t="shared" si="40"/>
        <v>149236.30515250878</v>
      </c>
      <c r="R66" s="78">
        <f t="shared" si="40"/>
        <v>148490.12362674624</v>
      </c>
      <c r="S66" s="78">
        <f t="shared" si="40"/>
        <v>147747.6730086125</v>
      </c>
      <c r="T66" s="78">
        <f t="shared" si="40"/>
        <v>147008.93464356946</v>
      </c>
      <c r="U66" s="78">
        <f t="shared" si="40"/>
        <v>146273.88997035159</v>
      </c>
      <c r="W66" s="31"/>
      <c r="X66" s="31"/>
      <c r="Y66" s="31"/>
      <c r="Z66" s="31"/>
      <c r="AA66" s="31"/>
      <c r="AB66" s="31"/>
      <c r="AC66" s="31"/>
      <c r="AD66" s="31"/>
      <c r="AE66" s="31"/>
      <c r="AF66" s="31"/>
      <c r="AG66" s="31"/>
      <c r="AH66" s="31"/>
      <c r="AI66" s="31"/>
      <c r="AJ66" s="31"/>
      <c r="AK66" s="31"/>
      <c r="AL66" s="31"/>
      <c r="AM66" s="31"/>
      <c r="AN66" s="31"/>
      <c r="AO66" s="31"/>
    </row>
    <row r="67" spans="1:41" x14ac:dyDescent="0.25">
      <c r="A67" s="184" t="s">
        <v>153</v>
      </c>
      <c r="B67" s="184"/>
      <c r="C67" s="78"/>
      <c r="D67" s="78"/>
      <c r="E67" s="78"/>
      <c r="F67" s="78"/>
      <c r="G67" s="78"/>
      <c r="H67" s="78"/>
      <c r="I67" s="78">
        <f t="shared" si="40"/>
        <v>0</v>
      </c>
      <c r="J67" s="78">
        <f t="shared" si="40"/>
        <v>266722.870788</v>
      </c>
      <c r="K67" s="78">
        <f t="shared" si="40"/>
        <v>265389.25643405999</v>
      </c>
      <c r="L67" s="78">
        <f t="shared" si="40"/>
        <v>264062.31015188969</v>
      </c>
      <c r="M67" s="78">
        <f t="shared" si="40"/>
        <v>262741.99860113027</v>
      </c>
      <c r="N67" s="78">
        <f t="shared" si="40"/>
        <v>261428.2886081246</v>
      </c>
      <c r="O67" s="78">
        <f t="shared" si="40"/>
        <v>260121.14716508397</v>
      </c>
      <c r="P67" s="78">
        <f t="shared" si="40"/>
        <v>258820.54142925856</v>
      </c>
      <c r="Q67" s="78">
        <f t="shared" si="40"/>
        <v>257526.43872211227</v>
      </c>
      <c r="R67" s="78">
        <f t="shared" si="40"/>
        <v>256238.80652850171</v>
      </c>
      <c r="S67" s="78">
        <f t="shared" si="40"/>
        <v>254957.61249585918</v>
      </c>
      <c r="T67" s="78">
        <f t="shared" si="40"/>
        <v>253682.82443337986</v>
      </c>
      <c r="U67" s="78">
        <f t="shared" si="40"/>
        <v>252414.41031121297</v>
      </c>
      <c r="W67" s="31"/>
      <c r="X67" s="31"/>
      <c r="Y67" s="31"/>
      <c r="Z67" s="31"/>
      <c r="AA67" s="31"/>
      <c r="AB67" s="31"/>
      <c r="AC67" s="31"/>
      <c r="AD67" s="31"/>
      <c r="AE67" s="31"/>
      <c r="AF67" s="31"/>
      <c r="AG67" s="31"/>
      <c r="AH67" s="31"/>
      <c r="AI67" s="31"/>
      <c r="AJ67" s="31"/>
      <c r="AK67" s="31"/>
      <c r="AL67" s="31"/>
      <c r="AM67" s="31"/>
      <c r="AN67" s="31"/>
      <c r="AO67" s="31"/>
    </row>
    <row r="68" spans="1:41" x14ac:dyDescent="0.25">
      <c r="A68" s="184" t="s">
        <v>158</v>
      </c>
      <c r="B68" s="184"/>
      <c r="C68" s="78"/>
      <c r="D68" s="78"/>
      <c r="E68" s="78"/>
      <c r="F68" s="78"/>
      <c r="G68" s="78"/>
      <c r="H68" s="78"/>
      <c r="I68" s="78">
        <f t="shared" si="40"/>
        <v>128422.12297199998</v>
      </c>
      <c r="J68" s="78">
        <f t="shared" si="40"/>
        <v>127780.01235713999</v>
      </c>
      <c r="K68" s="78">
        <f t="shared" si="40"/>
        <v>127141.11229535428</v>
      </c>
      <c r="L68" s="78">
        <f t="shared" si="40"/>
        <v>126505.40673387751</v>
      </c>
      <c r="M68" s="78">
        <f t="shared" si="40"/>
        <v>125872.87970020811</v>
      </c>
      <c r="N68" s="78">
        <f t="shared" si="40"/>
        <v>125243.51530170708</v>
      </c>
      <c r="O68" s="78">
        <f t="shared" si="40"/>
        <v>124617.29772519854</v>
      </c>
      <c r="P68" s="78">
        <f t="shared" si="40"/>
        <v>123994.21123657255</v>
      </c>
      <c r="Q68" s="78">
        <f t="shared" si="40"/>
        <v>123374.24018038969</v>
      </c>
      <c r="R68" s="78">
        <f t="shared" si="40"/>
        <v>122757.36897948774</v>
      </c>
      <c r="S68" s="78">
        <f t="shared" si="40"/>
        <v>122143.58213459028</v>
      </c>
      <c r="T68" s="78">
        <f t="shared" si="40"/>
        <v>121532.86422391734</v>
      </c>
      <c r="U68" s="78">
        <f t="shared" si="40"/>
        <v>120925.19990279774</v>
      </c>
      <c r="W68" s="31"/>
      <c r="X68" s="31"/>
      <c r="Y68" s="31"/>
      <c r="Z68" s="31"/>
      <c r="AA68" s="31"/>
      <c r="AB68" s="31"/>
      <c r="AC68" s="31"/>
      <c r="AD68" s="31"/>
      <c r="AE68" s="31"/>
      <c r="AF68" s="31"/>
      <c r="AG68" s="31"/>
      <c r="AH68" s="31"/>
      <c r="AI68" s="31"/>
      <c r="AJ68" s="31"/>
      <c r="AK68" s="31"/>
      <c r="AL68" s="31"/>
      <c r="AM68" s="31"/>
      <c r="AN68" s="31"/>
      <c r="AO68" s="31"/>
    </row>
    <row r="69" spans="1:41" x14ac:dyDescent="0.25">
      <c r="A69" s="184" t="s">
        <v>162</v>
      </c>
      <c r="B69" s="184"/>
      <c r="C69" s="78"/>
      <c r="D69" s="78"/>
      <c r="E69" s="78"/>
      <c r="F69" s="78"/>
      <c r="G69" s="78"/>
      <c r="H69" s="78"/>
      <c r="I69" s="78">
        <f t="shared" si="40"/>
        <v>0</v>
      </c>
      <c r="J69" s="78">
        <f t="shared" si="40"/>
        <v>39514.499376</v>
      </c>
      <c r="K69" s="78">
        <f t="shared" si="40"/>
        <v>39316.926879120001</v>
      </c>
      <c r="L69" s="78">
        <f t="shared" si="40"/>
        <v>39120.342244724401</v>
      </c>
      <c r="M69" s="78">
        <f t="shared" si="40"/>
        <v>38924.740533500779</v>
      </c>
      <c r="N69" s="78">
        <f t="shared" si="40"/>
        <v>38730.116830833278</v>
      </c>
      <c r="O69" s="78">
        <f t="shared" si="40"/>
        <v>38536.466246679112</v>
      </c>
      <c r="P69" s="78">
        <f t="shared" si="40"/>
        <v>38343.783915445718</v>
      </c>
      <c r="Q69" s="78">
        <f t="shared" si="40"/>
        <v>38152.064995868488</v>
      </c>
      <c r="R69" s="78">
        <f t="shared" si="40"/>
        <v>37961.304670889149</v>
      </c>
      <c r="S69" s="78">
        <f t="shared" si="40"/>
        <v>37771.498147534701</v>
      </c>
      <c r="T69" s="78">
        <f t="shared" si="40"/>
        <v>37582.640656797026</v>
      </c>
      <c r="U69" s="78">
        <f t="shared" si="40"/>
        <v>37394.727453513042</v>
      </c>
      <c r="W69" s="31"/>
      <c r="X69" s="31"/>
      <c r="Y69" s="31"/>
      <c r="Z69" s="31"/>
      <c r="AA69" s="31"/>
      <c r="AB69" s="31"/>
      <c r="AC69" s="31"/>
      <c r="AD69" s="31"/>
      <c r="AE69" s="31"/>
      <c r="AF69" s="31"/>
      <c r="AG69" s="31"/>
      <c r="AH69" s="31"/>
      <c r="AI69" s="31"/>
      <c r="AJ69" s="31"/>
      <c r="AK69" s="31"/>
      <c r="AL69" s="31"/>
      <c r="AM69" s="31"/>
      <c r="AN69" s="31"/>
      <c r="AO69" s="31"/>
    </row>
    <row r="70" spans="1:41" x14ac:dyDescent="0.25">
      <c r="A70" s="12" t="s">
        <v>165</v>
      </c>
      <c r="B70" s="12"/>
      <c r="C70" s="78"/>
      <c r="D70" s="78"/>
      <c r="E70" s="78"/>
      <c r="F70" s="78"/>
      <c r="G70" s="78"/>
      <c r="H70" s="78"/>
      <c r="I70" s="78">
        <f t="shared" si="40"/>
        <v>172602.59970134808</v>
      </c>
      <c r="J70" s="78">
        <f t="shared" si="40"/>
        <v>171739.58670284133</v>
      </c>
      <c r="K70" s="78">
        <f t="shared" si="40"/>
        <v>170880.88876932714</v>
      </c>
      <c r="L70" s="78">
        <f t="shared" si="40"/>
        <v>170026.4843254805</v>
      </c>
      <c r="M70" s="78">
        <f t="shared" si="40"/>
        <v>169176.35190385312</v>
      </c>
      <c r="N70" s="78">
        <f t="shared" si="40"/>
        <v>168330.47014433384</v>
      </c>
      <c r="O70" s="78">
        <f t="shared" si="40"/>
        <v>167488.81779361214</v>
      </c>
      <c r="P70" s="78">
        <f t="shared" si="40"/>
        <v>166651.37370464409</v>
      </c>
      <c r="Q70" s="78">
        <f t="shared" si="40"/>
        <v>165818.11683612087</v>
      </c>
      <c r="R70" s="78">
        <f t="shared" si="40"/>
        <v>164989.02625194026</v>
      </c>
      <c r="S70" s="78">
        <f t="shared" si="40"/>
        <v>164164.08112068055</v>
      </c>
      <c r="T70" s="78">
        <f t="shared" si="40"/>
        <v>163343.26071507717</v>
      </c>
      <c r="U70" s="78">
        <f t="shared" si="40"/>
        <v>162526.54441150179</v>
      </c>
      <c r="W70" s="31"/>
      <c r="X70" s="31"/>
      <c r="Y70" s="31"/>
      <c r="Z70" s="31"/>
      <c r="AA70" s="31"/>
      <c r="AB70" s="31"/>
      <c r="AC70" s="31"/>
      <c r="AD70" s="31"/>
      <c r="AE70" s="31"/>
      <c r="AF70" s="31"/>
      <c r="AG70" s="31"/>
      <c r="AH70" s="31"/>
      <c r="AI70" s="31"/>
      <c r="AJ70" s="31"/>
      <c r="AK70" s="31"/>
      <c r="AL70" s="31"/>
      <c r="AM70" s="31"/>
      <c r="AN70" s="31"/>
      <c r="AO70" s="31"/>
    </row>
    <row r="71" spans="1:41" x14ac:dyDescent="0.25">
      <c r="A71" s="14" t="s">
        <v>93</v>
      </c>
      <c r="B71" s="14"/>
      <c r="C71" s="79">
        <f t="shared" ref="C71:U71" si="41">SUM(C65:C70)</f>
        <v>0</v>
      </c>
      <c r="D71" s="79">
        <f t="shared" si="41"/>
        <v>0</v>
      </c>
      <c r="E71" s="79">
        <f t="shared" si="41"/>
        <v>0</v>
      </c>
      <c r="F71" s="79">
        <f t="shared" si="41"/>
        <v>0</v>
      </c>
      <c r="G71" s="79">
        <f t="shared" si="41"/>
        <v>0</v>
      </c>
      <c r="H71" s="79">
        <f t="shared" si="41"/>
        <v>0</v>
      </c>
      <c r="I71" s="79">
        <f t="shared" si="41"/>
        <v>602273.92248011334</v>
      </c>
      <c r="J71" s="79">
        <f t="shared" si="41"/>
        <v>905499.92303171277</v>
      </c>
      <c r="K71" s="79">
        <f t="shared" si="41"/>
        <v>900972.42341655423</v>
      </c>
      <c r="L71" s="79">
        <f t="shared" si="41"/>
        <v>896467.56129947142</v>
      </c>
      <c r="M71" s="79">
        <f t="shared" si="41"/>
        <v>891985.22349297418</v>
      </c>
      <c r="N71" s="79">
        <f t="shared" si="41"/>
        <v>887525.29737550928</v>
      </c>
      <c r="O71" s="79">
        <f t="shared" si="41"/>
        <v>883087.6708886316</v>
      </c>
      <c r="P71" s="79">
        <f t="shared" si="41"/>
        <v>878672.23253418854</v>
      </c>
      <c r="Q71" s="79">
        <f t="shared" si="41"/>
        <v>874278.87137151754</v>
      </c>
      <c r="R71" s="79">
        <f t="shared" si="41"/>
        <v>869907.4770146599</v>
      </c>
      <c r="S71" s="79">
        <f t="shared" si="41"/>
        <v>865557.93962958653</v>
      </c>
      <c r="T71" s="79">
        <f t="shared" si="41"/>
        <v>861230.14993143862</v>
      </c>
      <c r="U71" s="79">
        <f t="shared" si="41"/>
        <v>856923.99918178143</v>
      </c>
    </row>
    <row r="73" spans="1:41" ht="15.75" x14ac:dyDescent="0.25">
      <c r="A73" s="77">
        <v>2031</v>
      </c>
      <c r="B73" s="218">
        <v>2024</v>
      </c>
      <c r="C73" s="218">
        <f>C64</f>
        <v>2025</v>
      </c>
      <c r="D73" s="218">
        <f t="shared" ref="D73:U73" si="42">D64</f>
        <v>2026</v>
      </c>
      <c r="E73" s="218">
        <f t="shared" si="42"/>
        <v>2027</v>
      </c>
      <c r="F73" s="218">
        <f t="shared" si="42"/>
        <v>2028</v>
      </c>
      <c r="G73" s="218">
        <f t="shared" si="42"/>
        <v>2029</v>
      </c>
      <c r="H73" s="218">
        <f t="shared" si="42"/>
        <v>2030</v>
      </c>
      <c r="I73" s="218">
        <f t="shared" si="42"/>
        <v>2031</v>
      </c>
      <c r="J73" s="218">
        <f t="shared" si="42"/>
        <v>2032</v>
      </c>
      <c r="K73" s="218">
        <f t="shared" si="42"/>
        <v>2033</v>
      </c>
      <c r="L73" s="218">
        <f t="shared" si="42"/>
        <v>2034</v>
      </c>
      <c r="M73" s="218">
        <f t="shared" si="42"/>
        <v>2035</v>
      </c>
      <c r="N73" s="218">
        <f t="shared" si="42"/>
        <v>2036</v>
      </c>
      <c r="O73" s="218">
        <f t="shared" si="42"/>
        <v>2037</v>
      </c>
      <c r="P73" s="218">
        <f t="shared" si="42"/>
        <v>2038</v>
      </c>
      <c r="Q73" s="218">
        <f t="shared" si="42"/>
        <v>2039</v>
      </c>
      <c r="R73" s="218">
        <f t="shared" si="42"/>
        <v>2040</v>
      </c>
      <c r="S73" s="218">
        <f t="shared" si="42"/>
        <v>2041</v>
      </c>
      <c r="T73" s="218">
        <f t="shared" si="42"/>
        <v>2042</v>
      </c>
      <c r="U73" s="218">
        <f t="shared" si="42"/>
        <v>2043</v>
      </c>
    </row>
    <row r="74" spans="1:41" x14ac:dyDescent="0.25">
      <c r="A74" s="184" t="s">
        <v>138</v>
      </c>
      <c r="B74" s="184"/>
      <c r="C74" s="78"/>
      <c r="D74" s="78"/>
      <c r="E74" s="78"/>
      <c r="F74" s="78"/>
      <c r="G74" s="78"/>
      <c r="H74" s="78"/>
      <c r="I74" s="78"/>
      <c r="J74" s="78">
        <f>I65</f>
        <v>145906.86007555202</v>
      </c>
      <c r="K74" s="78">
        <f t="shared" ref="K74:U74" si="43">J65</f>
        <v>145177.32577517425</v>
      </c>
      <c r="L74" s="78">
        <f t="shared" si="43"/>
        <v>144451.43914629839</v>
      </c>
      <c r="M74" s="78">
        <f t="shared" si="43"/>
        <v>143729.18195056688</v>
      </c>
      <c r="N74" s="78">
        <f t="shared" si="43"/>
        <v>143010.53604081407</v>
      </c>
      <c r="O74" s="78">
        <f t="shared" si="43"/>
        <v>142295.48336060997</v>
      </c>
      <c r="P74" s="78">
        <f t="shared" si="43"/>
        <v>141584.00594380693</v>
      </c>
      <c r="Q74" s="78">
        <f t="shared" si="43"/>
        <v>140876.08591408789</v>
      </c>
      <c r="R74" s="78">
        <f t="shared" si="43"/>
        <v>140171.70548451744</v>
      </c>
      <c r="S74" s="78">
        <f t="shared" si="43"/>
        <v>139470.84695709485</v>
      </c>
      <c r="T74" s="78">
        <f t="shared" si="43"/>
        <v>138773.49272230937</v>
      </c>
      <c r="U74" s="78">
        <f t="shared" si="43"/>
        <v>138079.62525869784</v>
      </c>
    </row>
    <row r="75" spans="1:41" x14ac:dyDescent="0.25">
      <c r="A75" s="184" t="s">
        <v>144</v>
      </c>
      <c r="B75" s="184"/>
      <c r="C75" s="78"/>
      <c r="D75" s="78"/>
      <c r="E75" s="78"/>
      <c r="F75" s="78"/>
      <c r="G75" s="78"/>
      <c r="H75" s="78"/>
      <c r="I75" s="78"/>
      <c r="J75" s="78">
        <f t="shared" ref="J75:U75" si="44">I66</f>
        <v>155342.33973121329</v>
      </c>
      <c r="K75" s="78">
        <f t="shared" si="44"/>
        <v>154565.6280325572</v>
      </c>
      <c r="L75" s="78">
        <f t="shared" si="44"/>
        <v>153792.79989239443</v>
      </c>
      <c r="M75" s="78">
        <f t="shared" si="44"/>
        <v>153023.83589293246</v>
      </c>
      <c r="N75" s="78">
        <f t="shared" si="44"/>
        <v>152258.71671346779</v>
      </c>
      <c r="O75" s="78">
        <f t="shared" si="44"/>
        <v>151497.42312990045</v>
      </c>
      <c r="P75" s="78">
        <f t="shared" si="44"/>
        <v>150739.93601425094</v>
      </c>
      <c r="Q75" s="78">
        <f t="shared" si="44"/>
        <v>149986.2363341797</v>
      </c>
      <c r="R75" s="78">
        <f t="shared" si="44"/>
        <v>149236.30515250878</v>
      </c>
      <c r="S75" s="78">
        <f t="shared" si="44"/>
        <v>148490.12362674624</v>
      </c>
      <c r="T75" s="78">
        <f t="shared" si="44"/>
        <v>147747.6730086125</v>
      </c>
      <c r="U75" s="78">
        <f t="shared" si="44"/>
        <v>147008.93464356946</v>
      </c>
    </row>
    <row r="76" spans="1:41" x14ac:dyDescent="0.25">
      <c r="A76" s="184" t="s">
        <v>153</v>
      </c>
      <c r="B76" s="184"/>
      <c r="C76" s="78"/>
      <c r="D76" s="78"/>
      <c r="E76" s="78"/>
      <c r="F76" s="78"/>
      <c r="G76" s="78"/>
      <c r="H76" s="78"/>
      <c r="I76" s="78"/>
      <c r="J76" s="78">
        <f t="shared" ref="J76:U76" si="45">I67</f>
        <v>0</v>
      </c>
      <c r="K76" s="78">
        <f t="shared" si="45"/>
        <v>266722.870788</v>
      </c>
      <c r="L76" s="78">
        <f t="shared" si="45"/>
        <v>265389.25643405999</v>
      </c>
      <c r="M76" s="78">
        <f t="shared" si="45"/>
        <v>264062.31015188969</v>
      </c>
      <c r="N76" s="78">
        <f t="shared" si="45"/>
        <v>262741.99860113027</v>
      </c>
      <c r="O76" s="78">
        <f t="shared" si="45"/>
        <v>261428.2886081246</v>
      </c>
      <c r="P76" s="78">
        <f t="shared" si="45"/>
        <v>260121.14716508397</v>
      </c>
      <c r="Q76" s="78">
        <f t="shared" si="45"/>
        <v>258820.54142925856</v>
      </c>
      <c r="R76" s="78">
        <f t="shared" si="45"/>
        <v>257526.43872211227</v>
      </c>
      <c r="S76" s="78">
        <f t="shared" si="45"/>
        <v>256238.80652850171</v>
      </c>
      <c r="T76" s="78">
        <f t="shared" si="45"/>
        <v>254957.61249585918</v>
      </c>
      <c r="U76" s="78">
        <f t="shared" si="45"/>
        <v>253682.82443337986</v>
      </c>
    </row>
    <row r="77" spans="1:41" x14ac:dyDescent="0.25">
      <c r="A77" s="184" t="s">
        <v>158</v>
      </c>
      <c r="B77" s="184"/>
      <c r="C77" s="78"/>
      <c r="D77" s="78"/>
      <c r="E77" s="78"/>
      <c r="F77" s="78"/>
      <c r="G77" s="78"/>
      <c r="H77" s="78"/>
      <c r="I77" s="78"/>
      <c r="J77" s="78">
        <f t="shared" ref="J77:U77" si="46">I68</f>
        <v>128422.12297199998</v>
      </c>
      <c r="K77" s="78">
        <f t="shared" si="46"/>
        <v>127780.01235713999</v>
      </c>
      <c r="L77" s="78">
        <f t="shared" si="46"/>
        <v>127141.11229535428</v>
      </c>
      <c r="M77" s="78">
        <f t="shared" si="46"/>
        <v>126505.40673387751</v>
      </c>
      <c r="N77" s="78">
        <f t="shared" si="46"/>
        <v>125872.87970020811</v>
      </c>
      <c r="O77" s="78">
        <f t="shared" si="46"/>
        <v>125243.51530170708</v>
      </c>
      <c r="P77" s="78">
        <f t="shared" si="46"/>
        <v>124617.29772519854</v>
      </c>
      <c r="Q77" s="78">
        <f t="shared" si="46"/>
        <v>123994.21123657255</v>
      </c>
      <c r="R77" s="78">
        <f t="shared" si="46"/>
        <v>123374.24018038969</v>
      </c>
      <c r="S77" s="78">
        <f t="shared" si="46"/>
        <v>122757.36897948774</v>
      </c>
      <c r="T77" s="78">
        <f t="shared" si="46"/>
        <v>122143.58213459028</v>
      </c>
      <c r="U77" s="78">
        <f t="shared" si="46"/>
        <v>121532.86422391734</v>
      </c>
    </row>
    <row r="78" spans="1:41" x14ac:dyDescent="0.25">
      <c r="A78" s="184" t="s">
        <v>162</v>
      </c>
      <c r="B78" s="184"/>
      <c r="C78" s="78"/>
      <c r="D78" s="78"/>
      <c r="E78" s="78"/>
      <c r="F78" s="78"/>
      <c r="G78" s="78"/>
      <c r="H78" s="78"/>
      <c r="I78" s="78"/>
      <c r="J78" s="78">
        <f t="shared" ref="J78:U78" si="47">I69</f>
        <v>0</v>
      </c>
      <c r="K78" s="78">
        <f t="shared" si="47"/>
        <v>39514.499376</v>
      </c>
      <c r="L78" s="78">
        <f t="shared" si="47"/>
        <v>39316.926879120001</v>
      </c>
      <c r="M78" s="78">
        <f t="shared" si="47"/>
        <v>39120.342244724401</v>
      </c>
      <c r="N78" s="78">
        <f t="shared" si="47"/>
        <v>38924.740533500779</v>
      </c>
      <c r="O78" s="78">
        <f t="shared" si="47"/>
        <v>38730.116830833278</v>
      </c>
      <c r="P78" s="78">
        <f t="shared" si="47"/>
        <v>38536.466246679112</v>
      </c>
      <c r="Q78" s="78">
        <f t="shared" si="47"/>
        <v>38343.783915445718</v>
      </c>
      <c r="R78" s="78">
        <f t="shared" si="47"/>
        <v>38152.064995868488</v>
      </c>
      <c r="S78" s="78">
        <f t="shared" si="47"/>
        <v>37961.304670889149</v>
      </c>
      <c r="T78" s="78">
        <f t="shared" si="47"/>
        <v>37771.498147534701</v>
      </c>
      <c r="U78" s="78">
        <f t="shared" si="47"/>
        <v>37582.640656797026</v>
      </c>
    </row>
    <row r="79" spans="1:41" x14ac:dyDescent="0.25">
      <c r="A79" s="12" t="s">
        <v>165</v>
      </c>
      <c r="B79" s="12"/>
      <c r="C79" s="78"/>
      <c r="D79" s="78"/>
      <c r="E79" s="78"/>
      <c r="F79" s="78"/>
      <c r="G79" s="78"/>
      <c r="H79" s="78"/>
      <c r="I79" s="78"/>
      <c r="J79" s="78">
        <f t="shared" ref="J79:U79" si="48">I70</f>
        <v>172602.59970134808</v>
      </c>
      <c r="K79" s="78">
        <f t="shared" si="48"/>
        <v>171739.58670284133</v>
      </c>
      <c r="L79" s="78">
        <f t="shared" si="48"/>
        <v>170880.88876932714</v>
      </c>
      <c r="M79" s="78">
        <f t="shared" si="48"/>
        <v>170026.4843254805</v>
      </c>
      <c r="N79" s="78">
        <f t="shared" si="48"/>
        <v>169176.35190385312</v>
      </c>
      <c r="O79" s="78">
        <f t="shared" si="48"/>
        <v>168330.47014433384</v>
      </c>
      <c r="P79" s="78">
        <f t="shared" si="48"/>
        <v>167488.81779361214</v>
      </c>
      <c r="Q79" s="78">
        <f t="shared" si="48"/>
        <v>166651.37370464409</v>
      </c>
      <c r="R79" s="78">
        <f t="shared" si="48"/>
        <v>165818.11683612087</v>
      </c>
      <c r="S79" s="78">
        <f t="shared" si="48"/>
        <v>164989.02625194026</v>
      </c>
      <c r="T79" s="78">
        <f t="shared" si="48"/>
        <v>164164.08112068055</v>
      </c>
      <c r="U79" s="78">
        <f t="shared" si="48"/>
        <v>163343.26071507717</v>
      </c>
    </row>
    <row r="80" spans="1:41" x14ac:dyDescent="0.25">
      <c r="A80" s="14" t="s">
        <v>93</v>
      </c>
      <c r="B80" s="14"/>
      <c r="C80" s="79">
        <f t="shared" ref="C80:U80" si="49">SUM(C74:C79)</f>
        <v>0</v>
      </c>
      <c r="D80" s="79">
        <f t="shared" si="49"/>
        <v>0</v>
      </c>
      <c r="E80" s="79">
        <f t="shared" si="49"/>
        <v>0</v>
      </c>
      <c r="F80" s="79">
        <f t="shared" si="49"/>
        <v>0</v>
      </c>
      <c r="G80" s="79">
        <f t="shared" si="49"/>
        <v>0</v>
      </c>
      <c r="H80" s="79">
        <f t="shared" si="49"/>
        <v>0</v>
      </c>
      <c r="I80" s="79">
        <f t="shared" si="49"/>
        <v>0</v>
      </c>
      <c r="J80" s="79">
        <f t="shared" si="49"/>
        <v>602273.92248011334</v>
      </c>
      <c r="K80" s="79">
        <f t="shared" si="49"/>
        <v>905499.92303171277</v>
      </c>
      <c r="L80" s="79">
        <f t="shared" si="49"/>
        <v>900972.42341655423</v>
      </c>
      <c r="M80" s="79">
        <f t="shared" si="49"/>
        <v>896467.56129947142</v>
      </c>
      <c r="N80" s="79">
        <f t="shared" si="49"/>
        <v>891985.22349297418</v>
      </c>
      <c r="O80" s="79">
        <f t="shared" si="49"/>
        <v>887525.29737550928</v>
      </c>
      <c r="P80" s="79">
        <f t="shared" si="49"/>
        <v>883087.6708886316</v>
      </c>
      <c r="Q80" s="79">
        <f t="shared" si="49"/>
        <v>878672.23253418854</v>
      </c>
      <c r="R80" s="79">
        <f t="shared" si="49"/>
        <v>874278.87137151754</v>
      </c>
      <c r="S80" s="79">
        <f t="shared" si="49"/>
        <v>869907.4770146599</v>
      </c>
      <c r="T80" s="79">
        <f t="shared" si="49"/>
        <v>865557.93962958653</v>
      </c>
      <c r="U80" s="79">
        <f t="shared" si="49"/>
        <v>861230.14993143862</v>
      </c>
    </row>
    <row r="82" spans="1:21" ht="15.75" x14ac:dyDescent="0.25">
      <c r="A82" s="77">
        <v>2032</v>
      </c>
      <c r="B82" s="218">
        <v>2024</v>
      </c>
      <c r="C82" s="218">
        <f>C73</f>
        <v>2025</v>
      </c>
      <c r="D82" s="218">
        <f t="shared" ref="D82:U82" si="50">D73</f>
        <v>2026</v>
      </c>
      <c r="E82" s="218">
        <f t="shared" si="50"/>
        <v>2027</v>
      </c>
      <c r="F82" s="218">
        <f t="shared" si="50"/>
        <v>2028</v>
      </c>
      <c r="G82" s="218">
        <f t="shared" si="50"/>
        <v>2029</v>
      </c>
      <c r="H82" s="218">
        <f t="shared" si="50"/>
        <v>2030</v>
      </c>
      <c r="I82" s="218">
        <f t="shared" si="50"/>
        <v>2031</v>
      </c>
      <c r="J82" s="218">
        <f t="shared" si="50"/>
        <v>2032</v>
      </c>
      <c r="K82" s="218">
        <f t="shared" si="50"/>
        <v>2033</v>
      </c>
      <c r="L82" s="218">
        <f t="shared" si="50"/>
        <v>2034</v>
      </c>
      <c r="M82" s="218">
        <f t="shared" si="50"/>
        <v>2035</v>
      </c>
      <c r="N82" s="218">
        <f t="shared" si="50"/>
        <v>2036</v>
      </c>
      <c r="O82" s="218">
        <f t="shared" si="50"/>
        <v>2037</v>
      </c>
      <c r="P82" s="218">
        <f t="shared" si="50"/>
        <v>2038</v>
      </c>
      <c r="Q82" s="218">
        <f t="shared" si="50"/>
        <v>2039</v>
      </c>
      <c r="R82" s="218">
        <f t="shared" si="50"/>
        <v>2040</v>
      </c>
      <c r="S82" s="218">
        <f t="shared" si="50"/>
        <v>2041</v>
      </c>
      <c r="T82" s="218">
        <f t="shared" si="50"/>
        <v>2042</v>
      </c>
      <c r="U82" s="218">
        <f t="shared" si="50"/>
        <v>2043</v>
      </c>
    </row>
    <row r="83" spans="1:21" x14ac:dyDescent="0.25">
      <c r="A83" s="184" t="s">
        <v>138</v>
      </c>
      <c r="B83" s="184"/>
      <c r="C83" s="78"/>
      <c r="D83" s="78"/>
      <c r="E83" s="78"/>
      <c r="F83" s="78"/>
      <c r="G83" s="78"/>
      <c r="H83" s="78"/>
      <c r="I83" s="78"/>
      <c r="J83" s="78"/>
      <c r="K83" s="78">
        <f t="shared" ref="K83:U83" si="51">J74</f>
        <v>145906.86007555202</v>
      </c>
      <c r="L83" s="78">
        <f t="shared" si="51"/>
        <v>145177.32577517425</v>
      </c>
      <c r="M83" s="78">
        <f t="shared" si="51"/>
        <v>144451.43914629839</v>
      </c>
      <c r="N83" s="78">
        <f t="shared" si="51"/>
        <v>143729.18195056688</v>
      </c>
      <c r="O83" s="78">
        <f t="shared" si="51"/>
        <v>143010.53604081407</v>
      </c>
      <c r="P83" s="78">
        <f t="shared" si="51"/>
        <v>142295.48336060997</v>
      </c>
      <c r="Q83" s="78">
        <f t="shared" si="51"/>
        <v>141584.00594380693</v>
      </c>
      <c r="R83" s="78">
        <f t="shared" si="51"/>
        <v>140876.08591408789</v>
      </c>
      <c r="S83" s="78">
        <f t="shared" si="51"/>
        <v>140171.70548451744</v>
      </c>
      <c r="T83" s="78">
        <f t="shared" si="51"/>
        <v>139470.84695709485</v>
      </c>
      <c r="U83" s="78">
        <f t="shared" si="51"/>
        <v>138773.49272230937</v>
      </c>
    </row>
    <row r="84" spans="1:21" x14ac:dyDescent="0.25">
      <c r="A84" s="184" t="s">
        <v>144</v>
      </c>
      <c r="B84" s="184"/>
      <c r="C84" s="78"/>
      <c r="D84" s="78"/>
      <c r="E84" s="78"/>
      <c r="F84" s="78"/>
      <c r="G84" s="78"/>
      <c r="H84" s="78"/>
      <c r="I84" s="78"/>
      <c r="J84" s="78"/>
      <c r="K84" s="78">
        <f t="shared" ref="K84:U84" si="52">J75</f>
        <v>155342.33973121329</v>
      </c>
      <c r="L84" s="78">
        <f t="shared" si="52"/>
        <v>154565.6280325572</v>
      </c>
      <c r="M84" s="78">
        <f t="shared" si="52"/>
        <v>153792.79989239443</v>
      </c>
      <c r="N84" s="78">
        <f t="shared" si="52"/>
        <v>153023.83589293246</v>
      </c>
      <c r="O84" s="78">
        <f t="shared" si="52"/>
        <v>152258.71671346779</v>
      </c>
      <c r="P84" s="78">
        <f t="shared" si="52"/>
        <v>151497.42312990045</v>
      </c>
      <c r="Q84" s="78">
        <f t="shared" si="52"/>
        <v>150739.93601425094</v>
      </c>
      <c r="R84" s="78">
        <f t="shared" si="52"/>
        <v>149986.2363341797</v>
      </c>
      <c r="S84" s="78">
        <f t="shared" si="52"/>
        <v>149236.30515250878</v>
      </c>
      <c r="T84" s="78">
        <f t="shared" si="52"/>
        <v>148490.12362674624</v>
      </c>
      <c r="U84" s="78">
        <f t="shared" si="52"/>
        <v>147747.6730086125</v>
      </c>
    </row>
    <row r="85" spans="1:21" x14ac:dyDescent="0.25">
      <c r="A85" s="184" t="s">
        <v>153</v>
      </c>
      <c r="B85" s="184"/>
      <c r="C85" s="78"/>
      <c r="D85" s="78"/>
      <c r="E85" s="78"/>
      <c r="F85" s="78"/>
      <c r="G85" s="78"/>
      <c r="H85" s="78"/>
      <c r="I85" s="78"/>
      <c r="J85" s="78"/>
      <c r="K85" s="78">
        <f t="shared" ref="K85:U85" si="53">J76</f>
        <v>0</v>
      </c>
      <c r="L85" s="78">
        <f t="shared" si="53"/>
        <v>266722.870788</v>
      </c>
      <c r="M85" s="78">
        <f t="shared" si="53"/>
        <v>265389.25643405999</v>
      </c>
      <c r="N85" s="78">
        <f t="shared" si="53"/>
        <v>264062.31015188969</v>
      </c>
      <c r="O85" s="78">
        <f t="shared" si="53"/>
        <v>262741.99860113027</v>
      </c>
      <c r="P85" s="78">
        <f t="shared" si="53"/>
        <v>261428.2886081246</v>
      </c>
      <c r="Q85" s="78">
        <f t="shared" si="53"/>
        <v>260121.14716508397</v>
      </c>
      <c r="R85" s="78">
        <f t="shared" si="53"/>
        <v>258820.54142925856</v>
      </c>
      <c r="S85" s="78">
        <f t="shared" si="53"/>
        <v>257526.43872211227</v>
      </c>
      <c r="T85" s="78">
        <f t="shared" si="53"/>
        <v>256238.80652850171</v>
      </c>
      <c r="U85" s="78">
        <f t="shared" si="53"/>
        <v>254957.61249585918</v>
      </c>
    </row>
    <row r="86" spans="1:21" x14ac:dyDescent="0.25">
      <c r="A86" s="184" t="s">
        <v>158</v>
      </c>
      <c r="B86" s="184"/>
      <c r="C86" s="78"/>
      <c r="D86" s="78"/>
      <c r="E86" s="78"/>
      <c r="F86" s="78"/>
      <c r="G86" s="78"/>
      <c r="H86" s="78"/>
      <c r="I86" s="78"/>
      <c r="J86" s="78"/>
      <c r="K86" s="78">
        <f t="shared" ref="K86:U86" si="54">J77</f>
        <v>128422.12297199998</v>
      </c>
      <c r="L86" s="78">
        <f t="shared" si="54"/>
        <v>127780.01235713999</v>
      </c>
      <c r="M86" s="78">
        <f t="shared" si="54"/>
        <v>127141.11229535428</v>
      </c>
      <c r="N86" s="78">
        <f t="shared" si="54"/>
        <v>126505.40673387751</v>
      </c>
      <c r="O86" s="78">
        <f t="shared" si="54"/>
        <v>125872.87970020811</v>
      </c>
      <c r="P86" s="78">
        <f t="shared" si="54"/>
        <v>125243.51530170708</v>
      </c>
      <c r="Q86" s="78">
        <f t="shared" si="54"/>
        <v>124617.29772519854</v>
      </c>
      <c r="R86" s="78">
        <f t="shared" si="54"/>
        <v>123994.21123657255</v>
      </c>
      <c r="S86" s="78">
        <f t="shared" si="54"/>
        <v>123374.24018038969</v>
      </c>
      <c r="T86" s="78">
        <f t="shared" si="54"/>
        <v>122757.36897948774</v>
      </c>
      <c r="U86" s="78">
        <f t="shared" si="54"/>
        <v>122143.58213459028</v>
      </c>
    </row>
    <row r="87" spans="1:21" x14ac:dyDescent="0.25">
      <c r="A87" s="184" t="s">
        <v>162</v>
      </c>
      <c r="B87" s="184"/>
      <c r="C87" s="78"/>
      <c r="D87" s="78"/>
      <c r="E87" s="78"/>
      <c r="F87" s="78"/>
      <c r="G87" s="78"/>
      <c r="H87" s="78"/>
      <c r="I87" s="78"/>
      <c r="J87" s="78"/>
      <c r="K87" s="78">
        <f t="shared" ref="K87:U87" si="55">J78</f>
        <v>0</v>
      </c>
      <c r="L87" s="78">
        <f t="shared" si="55"/>
        <v>39514.499376</v>
      </c>
      <c r="M87" s="78">
        <f t="shared" si="55"/>
        <v>39316.926879120001</v>
      </c>
      <c r="N87" s="78">
        <f t="shared" si="55"/>
        <v>39120.342244724401</v>
      </c>
      <c r="O87" s="78">
        <f t="shared" si="55"/>
        <v>38924.740533500779</v>
      </c>
      <c r="P87" s="78">
        <f t="shared" si="55"/>
        <v>38730.116830833278</v>
      </c>
      <c r="Q87" s="78">
        <f t="shared" si="55"/>
        <v>38536.466246679112</v>
      </c>
      <c r="R87" s="78">
        <f t="shared" si="55"/>
        <v>38343.783915445718</v>
      </c>
      <c r="S87" s="78">
        <f t="shared" si="55"/>
        <v>38152.064995868488</v>
      </c>
      <c r="T87" s="78">
        <f t="shared" si="55"/>
        <v>37961.304670889149</v>
      </c>
      <c r="U87" s="78">
        <f t="shared" si="55"/>
        <v>37771.498147534701</v>
      </c>
    </row>
    <row r="88" spans="1:21" x14ac:dyDescent="0.25">
      <c r="A88" s="12" t="s">
        <v>165</v>
      </c>
      <c r="B88" s="12"/>
      <c r="C88" s="78"/>
      <c r="D88" s="78"/>
      <c r="E88" s="78"/>
      <c r="F88" s="78"/>
      <c r="G88" s="78"/>
      <c r="H88" s="78"/>
      <c r="I88" s="78"/>
      <c r="J88" s="78"/>
      <c r="K88" s="78">
        <f t="shared" ref="K88:U88" si="56">J79</f>
        <v>172602.59970134808</v>
      </c>
      <c r="L88" s="78">
        <f t="shared" si="56"/>
        <v>171739.58670284133</v>
      </c>
      <c r="M88" s="78">
        <f t="shared" si="56"/>
        <v>170880.88876932714</v>
      </c>
      <c r="N88" s="78">
        <f t="shared" si="56"/>
        <v>170026.4843254805</v>
      </c>
      <c r="O88" s="78">
        <f t="shared" si="56"/>
        <v>169176.35190385312</v>
      </c>
      <c r="P88" s="78">
        <f t="shared" si="56"/>
        <v>168330.47014433384</v>
      </c>
      <c r="Q88" s="78">
        <f t="shared" si="56"/>
        <v>167488.81779361214</v>
      </c>
      <c r="R88" s="78">
        <f t="shared" si="56"/>
        <v>166651.37370464409</v>
      </c>
      <c r="S88" s="78">
        <f t="shared" si="56"/>
        <v>165818.11683612087</v>
      </c>
      <c r="T88" s="78">
        <f t="shared" si="56"/>
        <v>164989.02625194026</v>
      </c>
      <c r="U88" s="78">
        <f t="shared" si="56"/>
        <v>164164.08112068055</v>
      </c>
    </row>
    <row r="89" spans="1:21" x14ac:dyDescent="0.25">
      <c r="A89" s="14" t="s">
        <v>93</v>
      </c>
      <c r="B89" s="14"/>
      <c r="C89" s="79">
        <f t="shared" ref="C89:U89" si="57">SUM(C83:C88)</f>
        <v>0</v>
      </c>
      <c r="D89" s="79">
        <f t="shared" si="57"/>
        <v>0</v>
      </c>
      <c r="E89" s="79">
        <f t="shared" si="57"/>
        <v>0</v>
      </c>
      <c r="F89" s="79">
        <f t="shared" si="57"/>
        <v>0</v>
      </c>
      <c r="G89" s="79">
        <f t="shared" si="57"/>
        <v>0</v>
      </c>
      <c r="H89" s="79">
        <f t="shared" si="57"/>
        <v>0</v>
      </c>
      <c r="I89" s="79">
        <f t="shared" si="57"/>
        <v>0</v>
      </c>
      <c r="J89" s="79">
        <f t="shared" si="57"/>
        <v>0</v>
      </c>
      <c r="K89" s="79">
        <f t="shared" si="57"/>
        <v>602273.92248011334</v>
      </c>
      <c r="L89" s="79">
        <f t="shared" si="57"/>
        <v>905499.92303171277</v>
      </c>
      <c r="M89" s="79">
        <f t="shared" si="57"/>
        <v>900972.42341655423</v>
      </c>
      <c r="N89" s="79">
        <f t="shared" si="57"/>
        <v>896467.56129947142</v>
      </c>
      <c r="O89" s="79">
        <f t="shared" si="57"/>
        <v>891985.22349297418</v>
      </c>
      <c r="P89" s="79">
        <f t="shared" si="57"/>
        <v>887525.29737550928</v>
      </c>
      <c r="Q89" s="79">
        <f t="shared" si="57"/>
        <v>883087.6708886316</v>
      </c>
      <c r="R89" s="79">
        <f t="shared" si="57"/>
        <v>878672.23253418854</v>
      </c>
      <c r="S89" s="79">
        <f t="shared" si="57"/>
        <v>874278.87137151754</v>
      </c>
      <c r="T89" s="79">
        <f t="shared" si="57"/>
        <v>869907.4770146599</v>
      </c>
      <c r="U89" s="79">
        <f t="shared" si="57"/>
        <v>865557.93962958653</v>
      </c>
    </row>
    <row r="91" spans="1:21" ht="15.75" x14ac:dyDescent="0.25">
      <c r="A91" s="77">
        <v>2033</v>
      </c>
      <c r="B91" s="218">
        <v>2024</v>
      </c>
      <c r="C91" s="218">
        <f>C82</f>
        <v>2025</v>
      </c>
      <c r="D91" s="218">
        <f t="shared" ref="D91:U91" si="58">D82</f>
        <v>2026</v>
      </c>
      <c r="E91" s="218">
        <f t="shared" si="58"/>
        <v>2027</v>
      </c>
      <c r="F91" s="218">
        <f t="shared" si="58"/>
        <v>2028</v>
      </c>
      <c r="G91" s="218">
        <f t="shared" si="58"/>
        <v>2029</v>
      </c>
      <c r="H91" s="218">
        <f t="shared" si="58"/>
        <v>2030</v>
      </c>
      <c r="I91" s="218">
        <f t="shared" si="58"/>
        <v>2031</v>
      </c>
      <c r="J91" s="218">
        <f t="shared" si="58"/>
        <v>2032</v>
      </c>
      <c r="K91" s="218">
        <f t="shared" si="58"/>
        <v>2033</v>
      </c>
      <c r="L91" s="218">
        <f t="shared" si="58"/>
        <v>2034</v>
      </c>
      <c r="M91" s="218">
        <f t="shared" si="58"/>
        <v>2035</v>
      </c>
      <c r="N91" s="218">
        <f t="shared" si="58"/>
        <v>2036</v>
      </c>
      <c r="O91" s="218">
        <f t="shared" si="58"/>
        <v>2037</v>
      </c>
      <c r="P91" s="218">
        <f t="shared" si="58"/>
        <v>2038</v>
      </c>
      <c r="Q91" s="218">
        <f t="shared" si="58"/>
        <v>2039</v>
      </c>
      <c r="R91" s="218">
        <f t="shared" si="58"/>
        <v>2040</v>
      </c>
      <c r="S91" s="218">
        <f t="shared" si="58"/>
        <v>2041</v>
      </c>
      <c r="T91" s="218">
        <f t="shared" si="58"/>
        <v>2042</v>
      </c>
      <c r="U91" s="218">
        <f t="shared" si="58"/>
        <v>2043</v>
      </c>
    </row>
    <row r="92" spans="1:21" x14ac:dyDescent="0.25">
      <c r="A92" s="184" t="s">
        <v>138</v>
      </c>
      <c r="B92" s="184"/>
      <c r="C92" s="78"/>
      <c r="D92" s="78"/>
      <c r="E92" s="78"/>
      <c r="F92" s="78"/>
      <c r="G92" s="78"/>
      <c r="H92" s="78"/>
      <c r="I92" s="78"/>
      <c r="J92" s="78"/>
      <c r="K92" s="78"/>
      <c r="L92" s="78">
        <f>K83/2</f>
        <v>72953.430037776008</v>
      </c>
      <c r="M92" s="78">
        <f t="shared" ref="M92:U92" si="59">L83/2</f>
        <v>72588.662887587125</v>
      </c>
      <c r="N92" s="78">
        <f t="shared" si="59"/>
        <v>72225.719573149196</v>
      </c>
      <c r="O92" s="78">
        <f t="shared" si="59"/>
        <v>71864.590975283441</v>
      </c>
      <c r="P92" s="78">
        <f t="shared" si="59"/>
        <v>71505.268020407035</v>
      </c>
      <c r="Q92" s="78">
        <f t="shared" si="59"/>
        <v>71147.741680304985</v>
      </c>
      <c r="R92" s="78">
        <f t="shared" si="59"/>
        <v>70792.002971903465</v>
      </c>
      <c r="S92" s="78">
        <f t="shared" si="59"/>
        <v>70438.042957043945</v>
      </c>
      <c r="T92" s="78">
        <f t="shared" si="59"/>
        <v>70085.852742258721</v>
      </c>
      <c r="U92" s="78">
        <f t="shared" si="59"/>
        <v>69735.423478547425</v>
      </c>
    </row>
    <row r="93" spans="1:21" x14ac:dyDescent="0.25">
      <c r="A93" s="184" t="s">
        <v>144</v>
      </c>
      <c r="B93" s="184"/>
      <c r="C93" s="78"/>
      <c r="D93" s="78"/>
      <c r="E93" s="78"/>
      <c r="F93" s="78"/>
      <c r="G93" s="78"/>
      <c r="H93" s="78"/>
      <c r="I93" s="78"/>
      <c r="J93" s="78"/>
      <c r="K93" s="78"/>
      <c r="L93" s="78">
        <f t="shared" ref="L93:U93" si="60">K84/2</f>
        <v>77671.169865606644</v>
      </c>
      <c r="M93" s="78">
        <f t="shared" si="60"/>
        <v>77282.8140162786</v>
      </c>
      <c r="N93" s="78">
        <f t="shared" si="60"/>
        <v>76896.399946197213</v>
      </c>
      <c r="O93" s="78">
        <f t="shared" si="60"/>
        <v>76511.91794646623</v>
      </c>
      <c r="P93" s="78">
        <f t="shared" si="60"/>
        <v>76129.358356733894</v>
      </c>
      <c r="Q93" s="78">
        <f t="shared" si="60"/>
        <v>75748.711564950223</v>
      </c>
      <c r="R93" s="78">
        <f t="shared" si="60"/>
        <v>75369.96800712547</v>
      </c>
      <c r="S93" s="78">
        <f t="shared" si="60"/>
        <v>74993.118167089851</v>
      </c>
      <c r="T93" s="78">
        <f t="shared" si="60"/>
        <v>74618.15257625439</v>
      </c>
      <c r="U93" s="78">
        <f t="shared" si="60"/>
        <v>74245.061813373119</v>
      </c>
    </row>
    <row r="94" spans="1:21" x14ac:dyDescent="0.25">
      <c r="A94" s="184" t="s">
        <v>153</v>
      </c>
      <c r="B94" s="184"/>
      <c r="C94" s="78"/>
      <c r="D94" s="78"/>
      <c r="E94" s="78"/>
      <c r="F94" s="78"/>
      <c r="G94" s="78"/>
      <c r="H94" s="78"/>
      <c r="I94" s="78"/>
      <c r="J94" s="78"/>
      <c r="K94" s="78"/>
      <c r="L94" s="78">
        <f t="shared" ref="L94:U94" si="61">K85/2</f>
        <v>0</v>
      </c>
      <c r="M94" s="78">
        <f t="shared" si="61"/>
        <v>133361.435394</v>
      </c>
      <c r="N94" s="78">
        <f t="shared" si="61"/>
        <v>132694.62821703</v>
      </c>
      <c r="O94" s="78">
        <f t="shared" si="61"/>
        <v>132031.15507594484</v>
      </c>
      <c r="P94" s="78">
        <f t="shared" si="61"/>
        <v>131370.99930056513</v>
      </c>
      <c r="Q94" s="78">
        <f t="shared" si="61"/>
        <v>130714.1443040623</v>
      </c>
      <c r="R94" s="78">
        <f t="shared" si="61"/>
        <v>130060.57358254198</v>
      </c>
      <c r="S94" s="78">
        <f t="shared" si="61"/>
        <v>129410.27071462928</v>
      </c>
      <c r="T94" s="78">
        <f t="shared" si="61"/>
        <v>128763.21936105614</v>
      </c>
      <c r="U94" s="78">
        <f t="shared" si="61"/>
        <v>128119.40326425085</v>
      </c>
    </row>
    <row r="95" spans="1:21" x14ac:dyDescent="0.25">
      <c r="A95" s="184" t="s">
        <v>158</v>
      </c>
      <c r="B95" s="184"/>
      <c r="C95" s="78"/>
      <c r="D95" s="78"/>
      <c r="E95" s="78"/>
      <c r="F95" s="78"/>
      <c r="G95" s="78"/>
      <c r="H95" s="78"/>
      <c r="I95" s="78"/>
      <c r="J95" s="78"/>
      <c r="K95" s="78"/>
      <c r="L95" s="78">
        <f>K86/2</f>
        <v>64211.061485999991</v>
      </c>
      <c r="M95" s="78">
        <f t="shared" ref="M95:U95" si="62">L86/2</f>
        <v>63890.006178569995</v>
      </c>
      <c r="N95" s="78">
        <f t="shared" si="62"/>
        <v>63570.55614767714</v>
      </c>
      <c r="O95" s="78">
        <f t="shared" si="62"/>
        <v>63252.703366938753</v>
      </c>
      <c r="P95" s="78">
        <f t="shared" si="62"/>
        <v>62936.439850104056</v>
      </c>
      <c r="Q95" s="78">
        <f t="shared" si="62"/>
        <v>62621.757650853542</v>
      </c>
      <c r="R95" s="78">
        <f t="shared" si="62"/>
        <v>62308.648862599272</v>
      </c>
      <c r="S95" s="78">
        <f t="shared" si="62"/>
        <v>61997.105618286274</v>
      </c>
      <c r="T95" s="78">
        <f t="shared" si="62"/>
        <v>61687.120090194847</v>
      </c>
      <c r="U95" s="78">
        <f t="shared" si="62"/>
        <v>61378.684489743871</v>
      </c>
    </row>
    <row r="96" spans="1:21" x14ac:dyDescent="0.25">
      <c r="A96" s="184" t="s">
        <v>162</v>
      </c>
      <c r="B96" s="184"/>
      <c r="C96" s="78"/>
      <c r="D96" s="78"/>
      <c r="E96" s="78"/>
      <c r="F96" s="78"/>
      <c r="G96" s="78"/>
      <c r="H96" s="78"/>
      <c r="I96" s="78"/>
      <c r="J96" s="78"/>
      <c r="K96" s="78"/>
      <c r="L96" s="78">
        <f t="shared" ref="L96:U96" si="63">K87/2</f>
        <v>0</v>
      </c>
      <c r="M96" s="78">
        <f t="shared" si="63"/>
        <v>19757.249688</v>
      </c>
      <c r="N96" s="78">
        <f t="shared" si="63"/>
        <v>19658.463439560001</v>
      </c>
      <c r="O96" s="78">
        <f t="shared" si="63"/>
        <v>19560.171122362201</v>
      </c>
      <c r="P96" s="78">
        <f t="shared" si="63"/>
        <v>19462.370266750389</v>
      </c>
      <c r="Q96" s="78">
        <f t="shared" si="63"/>
        <v>19365.058415416639</v>
      </c>
      <c r="R96" s="78">
        <f t="shared" si="63"/>
        <v>19268.233123339556</v>
      </c>
      <c r="S96" s="78">
        <f t="shared" si="63"/>
        <v>19171.891957722859</v>
      </c>
      <c r="T96" s="78">
        <f t="shared" si="63"/>
        <v>19076.032497934244</v>
      </c>
      <c r="U96" s="78">
        <f t="shared" si="63"/>
        <v>18980.652335444574</v>
      </c>
    </row>
    <row r="97" spans="1:21" x14ac:dyDescent="0.25">
      <c r="A97" s="12" t="s">
        <v>165</v>
      </c>
      <c r="B97" s="12"/>
      <c r="C97" s="78"/>
      <c r="D97" s="78"/>
      <c r="E97" s="78"/>
      <c r="F97" s="78"/>
      <c r="G97" s="78"/>
      <c r="H97" s="78"/>
      <c r="I97" s="78"/>
      <c r="J97" s="78"/>
      <c r="K97" s="78"/>
      <c r="L97" s="78">
        <f t="shared" ref="L97:U97" si="64">K88/2</f>
        <v>86301.29985067404</v>
      </c>
      <c r="M97" s="78">
        <f t="shared" si="64"/>
        <v>85869.793351420667</v>
      </c>
      <c r="N97" s="78">
        <f t="shared" si="64"/>
        <v>85440.44438466357</v>
      </c>
      <c r="O97" s="78">
        <f t="shared" si="64"/>
        <v>85013.242162740251</v>
      </c>
      <c r="P97" s="78">
        <f t="shared" si="64"/>
        <v>84588.175951926562</v>
      </c>
      <c r="Q97" s="78">
        <f t="shared" si="64"/>
        <v>84165.235072166921</v>
      </c>
      <c r="R97" s="78">
        <f t="shared" si="64"/>
        <v>83744.408896806068</v>
      </c>
      <c r="S97" s="78">
        <f t="shared" si="64"/>
        <v>83325.686852322047</v>
      </c>
      <c r="T97" s="78">
        <f t="shared" si="64"/>
        <v>82909.058418060435</v>
      </c>
      <c r="U97" s="78">
        <f t="shared" si="64"/>
        <v>82494.51312597013</v>
      </c>
    </row>
    <row r="98" spans="1:21" x14ac:dyDescent="0.25">
      <c r="A98" s="14" t="s">
        <v>93</v>
      </c>
      <c r="B98" s="14"/>
      <c r="C98" s="79">
        <f t="shared" ref="C98:U98" si="65">SUM(C92:C97)</f>
        <v>0</v>
      </c>
      <c r="D98" s="79">
        <f t="shared" si="65"/>
        <v>0</v>
      </c>
      <c r="E98" s="79">
        <f t="shared" si="65"/>
        <v>0</v>
      </c>
      <c r="F98" s="79">
        <f t="shared" si="65"/>
        <v>0</v>
      </c>
      <c r="G98" s="79">
        <f t="shared" si="65"/>
        <v>0</v>
      </c>
      <c r="H98" s="79">
        <f t="shared" si="65"/>
        <v>0</v>
      </c>
      <c r="I98" s="79">
        <f t="shared" si="65"/>
        <v>0</v>
      </c>
      <c r="J98" s="79">
        <f t="shared" si="65"/>
        <v>0</v>
      </c>
      <c r="K98" s="79">
        <f t="shared" si="65"/>
        <v>0</v>
      </c>
      <c r="L98" s="79">
        <f t="shared" si="65"/>
        <v>301136.96124005667</v>
      </c>
      <c r="M98" s="79">
        <f t="shared" si="65"/>
        <v>452749.96151585638</v>
      </c>
      <c r="N98" s="79">
        <f t="shared" si="65"/>
        <v>450486.21170827711</v>
      </c>
      <c r="O98" s="79">
        <f t="shared" si="65"/>
        <v>448233.78064973571</v>
      </c>
      <c r="P98" s="79">
        <f t="shared" si="65"/>
        <v>445992.61174648709</v>
      </c>
      <c r="Q98" s="79">
        <f t="shared" si="65"/>
        <v>443762.64868775464</v>
      </c>
      <c r="R98" s="79">
        <f t="shared" si="65"/>
        <v>441543.8354443158</v>
      </c>
      <c r="S98" s="79">
        <f t="shared" si="65"/>
        <v>439336.11626709427</v>
      </c>
      <c r="T98" s="79">
        <f t="shared" si="65"/>
        <v>437139.43568575877</v>
      </c>
      <c r="U98" s="79">
        <f t="shared" si="65"/>
        <v>434953.73850732995</v>
      </c>
    </row>
    <row r="100" spans="1:21" ht="15.75" x14ac:dyDescent="0.25">
      <c r="A100" s="77">
        <v>2034</v>
      </c>
      <c r="B100" s="218">
        <v>2024</v>
      </c>
      <c r="C100" s="218">
        <f>C91</f>
        <v>2025</v>
      </c>
      <c r="D100" s="218">
        <f t="shared" ref="D100:U100" si="66">D91</f>
        <v>2026</v>
      </c>
      <c r="E100" s="218">
        <f t="shared" si="66"/>
        <v>2027</v>
      </c>
      <c r="F100" s="218">
        <f t="shared" si="66"/>
        <v>2028</v>
      </c>
      <c r="G100" s="218">
        <f t="shared" si="66"/>
        <v>2029</v>
      </c>
      <c r="H100" s="218">
        <f t="shared" si="66"/>
        <v>2030</v>
      </c>
      <c r="I100" s="218">
        <f t="shared" si="66"/>
        <v>2031</v>
      </c>
      <c r="J100" s="218">
        <f t="shared" si="66"/>
        <v>2032</v>
      </c>
      <c r="K100" s="218">
        <f t="shared" si="66"/>
        <v>2033</v>
      </c>
      <c r="L100" s="218">
        <f t="shared" si="66"/>
        <v>2034</v>
      </c>
      <c r="M100" s="218">
        <f t="shared" si="66"/>
        <v>2035</v>
      </c>
      <c r="N100" s="218">
        <f t="shared" si="66"/>
        <v>2036</v>
      </c>
      <c r="O100" s="218">
        <f t="shared" si="66"/>
        <v>2037</v>
      </c>
      <c r="P100" s="218">
        <f t="shared" si="66"/>
        <v>2038</v>
      </c>
      <c r="Q100" s="218">
        <f t="shared" si="66"/>
        <v>2039</v>
      </c>
      <c r="R100" s="218">
        <f t="shared" si="66"/>
        <v>2040</v>
      </c>
      <c r="S100" s="218">
        <f t="shared" si="66"/>
        <v>2041</v>
      </c>
      <c r="T100" s="218">
        <f t="shared" si="66"/>
        <v>2042</v>
      </c>
      <c r="U100" s="218">
        <f t="shared" si="66"/>
        <v>2043</v>
      </c>
    </row>
    <row r="101" spans="1:21" x14ac:dyDescent="0.25">
      <c r="A101" s="184" t="s">
        <v>138</v>
      </c>
      <c r="B101" s="184"/>
      <c r="C101" s="78"/>
      <c r="D101" s="78"/>
      <c r="E101" s="78"/>
      <c r="F101" s="78"/>
      <c r="G101" s="78"/>
      <c r="H101" s="78"/>
      <c r="I101" s="78"/>
      <c r="J101" s="78"/>
      <c r="K101" s="78"/>
      <c r="L101" s="78"/>
      <c r="M101" s="78">
        <f t="shared" ref="M101:U101" si="67">L92</f>
        <v>72953.430037776008</v>
      </c>
      <c r="N101" s="78">
        <f t="shared" si="67"/>
        <v>72588.662887587125</v>
      </c>
      <c r="O101" s="78">
        <f t="shared" si="67"/>
        <v>72225.719573149196</v>
      </c>
      <c r="P101" s="78">
        <f t="shared" si="67"/>
        <v>71864.590975283441</v>
      </c>
      <c r="Q101" s="78">
        <f t="shared" si="67"/>
        <v>71505.268020407035</v>
      </c>
      <c r="R101" s="78">
        <f t="shared" si="67"/>
        <v>71147.741680304985</v>
      </c>
      <c r="S101" s="78">
        <f t="shared" si="67"/>
        <v>70792.002971903465</v>
      </c>
      <c r="T101" s="78">
        <f t="shared" si="67"/>
        <v>70438.042957043945</v>
      </c>
      <c r="U101" s="78">
        <f t="shared" si="67"/>
        <v>70085.852742258721</v>
      </c>
    </row>
    <row r="102" spans="1:21" x14ac:dyDescent="0.25">
      <c r="A102" s="184" t="s">
        <v>144</v>
      </c>
      <c r="B102" s="184"/>
      <c r="C102" s="78"/>
      <c r="D102" s="78"/>
      <c r="E102" s="78"/>
      <c r="F102" s="78"/>
      <c r="G102" s="78"/>
      <c r="H102" s="78"/>
      <c r="I102" s="78"/>
      <c r="J102" s="78"/>
      <c r="K102" s="78"/>
      <c r="L102" s="78"/>
      <c r="M102" s="78">
        <f t="shared" ref="M102:U102" si="68">L93</f>
        <v>77671.169865606644</v>
      </c>
      <c r="N102" s="78">
        <f t="shared" si="68"/>
        <v>77282.8140162786</v>
      </c>
      <c r="O102" s="78">
        <f t="shared" si="68"/>
        <v>76896.399946197213</v>
      </c>
      <c r="P102" s="78">
        <f t="shared" si="68"/>
        <v>76511.91794646623</v>
      </c>
      <c r="Q102" s="78">
        <f t="shared" si="68"/>
        <v>76129.358356733894</v>
      </c>
      <c r="R102" s="78">
        <f t="shared" si="68"/>
        <v>75748.711564950223</v>
      </c>
      <c r="S102" s="78">
        <f t="shared" si="68"/>
        <v>75369.96800712547</v>
      </c>
      <c r="T102" s="78">
        <f t="shared" si="68"/>
        <v>74993.118167089851</v>
      </c>
      <c r="U102" s="78">
        <f t="shared" si="68"/>
        <v>74618.15257625439</v>
      </c>
    </row>
    <row r="103" spans="1:21" x14ac:dyDescent="0.25">
      <c r="A103" s="184" t="s">
        <v>153</v>
      </c>
      <c r="B103" s="184"/>
      <c r="C103" s="78"/>
      <c r="D103" s="78"/>
      <c r="E103" s="78"/>
      <c r="F103" s="78"/>
      <c r="G103" s="78"/>
      <c r="H103" s="78"/>
      <c r="I103" s="78"/>
      <c r="J103" s="78"/>
      <c r="K103" s="78"/>
      <c r="L103" s="78"/>
      <c r="M103" s="78">
        <f t="shared" ref="M103:U103" si="69">L94</f>
        <v>0</v>
      </c>
      <c r="N103" s="78">
        <f t="shared" si="69"/>
        <v>133361.435394</v>
      </c>
      <c r="O103" s="78">
        <f t="shared" si="69"/>
        <v>132694.62821703</v>
      </c>
      <c r="P103" s="78">
        <f t="shared" si="69"/>
        <v>132031.15507594484</v>
      </c>
      <c r="Q103" s="78">
        <f t="shared" si="69"/>
        <v>131370.99930056513</v>
      </c>
      <c r="R103" s="78">
        <f t="shared" si="69"/>
        <v>130714.1443040623</v>
      </c>
      <c r="S103" s="78">
        <f t="shared" si="69"/>
        <v>130060.57358254198</v>
      </c>
      <c r="T103" s="78">
        <f t="shared" si="69"/>
        <v>129410.27071462928</v>
      </c>
      <c r="U103" s="78">
        <f t="shared" si="69"/>
        <v>128763.21936105614</v>
      </c>
    </row>
    <row r="104" spans="1:21" x14ac:dyDescent="0.25">
      <c r="A104" s="184" t="s">
        <v>158</v>
      </c>
      <c r="B104" s="184"/>
      <c r="C104" s="78"/>
      <c r="D104" s="78"/>
      <c r="E104" s="78"/>
      <c r="F104" s="78"/>
      <c r="G104" s="78"/>
      <c r="H104" s="78"/>
      <c r="I104" s="78"/>
      <c r="J104" s="78"/>
      <c r="K104" s="78"/>
      <c r="L104" s="78"/>
      <c r="M104" s="78">
        <f t="shared" ref="M104:U104" si="70">L95</f>
        <v>64211.061485999991</v>
      </c>
      <c r="N104" s="78">
        <f t="shared" si="70"/>
        <v>63890.006178569995</v>
      </c>
      <c r="O104" s="78">
        <f t="shared" si="70"/>
        <v>63570.55614767714</v>
      </c>
      <c r="P104" s="78">
        <f t="shared" si="70"/>
        <v>63252.703366938753</v>
      </c>
      <c r="Q104" s="78">
        <f t="shared" si="70"/>
        <v>62936.439850104056</v>
      </c>
      <c r="R104" s="78">
        <f t="shared" si="70"/>
        <v>62621.757650853542</v>
      </c>
      <c r="S104" s="78">
        <f t="shared" si="70"/>
        <v>62308.648862599272</v>
      </c>
      <c r="T104" s="78">
        <f t="shared" si="70"/>
        <v>61997.105618286274</v>
      </c>
      <c r="U104" s="78">
        <f t="shared" si="70"/>
        <v>61687.120090194847</v>
      </c>
    </row>
    <row r="105" spans="1:21" x14ac:dyDescent="0.25">
      <c r="A105" s="184" t="s">
        <v>162</v>
      </c>
      <c r="B105" s="184"/>
      <c r="C105" s="78"/>
      <c r="D105" s="78"/>
      <c r="E105" s="78"/>
      <c r="F105" s="78"/>
      <c r="G105" s="78"/>
      <c r="H105" s="78"/>
      <c r="I105" s="78"/>
      <c r="J105" s="78"/>
      <c r="K105" s="78"/>
      <c r="L105" s="78"/>
      <c r="M105" s="78">
        <f t="shared" ref="M105:U105" si="71">L96</f>
        <v>0</v>
      </c>
      <c r="N105" s="78">
        <f t="shared" si="71"/>
        <v>19757.249688</v>
      </c>
      <c r="O105" s="78">
        <f t="shared" si="71"/>
        <v>19658.463439560001</v>
      </c>
      <c r="P105" s="78">
        <f t="shared" si="71"/>
        <v>19560.171122362201</v>
      </c>
      <c r="Q105" s="78">
        <f t="shared" si="71"/>
        <v>19462.370266750389</v>
      </c>
      <c r="R105" s="78">
        <f t="shared" si="71"/>
        <v>19365.058415416639</v>
      </c>
      <c r="S105" s="78">
        <f t="shared" si="71"/>
        <v>19268.233123339556</v>
      </c>
      <c r="T105" s="78">
        <f t="shared" si="71"/>
        <v>19171.891957722859</v>
      </c>
      <c r="U105" s="78">
        <f t="shared" si="71"/>
        <v>19076.032497934244</v>
      </c>
    </row>
    <row r="106" spans="1:21" x14ac:dyDescent="0.25">
      <c r="A106" s="12" t="s">
        <v>165</v>
      </c>
      <c r="B106" s="12"/>
      <c r="C106" s="78"/>
      <c r="D106" s="78"/>
      <c r="E106" s="78"/>
      <c r="F106" s="78"/>
      <c r="G106" s="78"/>
      <c r="H106" s="78"/>
      <c r="I106" s="78"/>
      <c r="J106" s="78"/>
      <c r="K106" s="78"/>
      <c r="L106" s="78"/>
      <c r="M106" s="78">
        <f t="shared" ref="M106:U106" si="72">L97</f>
        <v>86301.29985067404</v>
      </c>
      <c r="N106" s="78">
        <f t="shared" si="72"/>
        <v>85869.793351420667</v>
      </c>
      <c r="O106" s="78">
        <f t="shared" si="72"/>
        <v>85440.44438466357</v>
      </c>
      <c r="P106" s="78">
        <f t="shared" si="72"/>
        <v>85013.242162740251</v>
      </c>
      <c r="Q106" s="78">
        <f t="shared" si="72"/>
        <v>84588.175951926562</v>
      </c>
      <c r="R106" s="78">
        <f t="shared" si="72"/>
        <v>84165.235072166921</v>
      </c>
      <c r="S106" s="78">
        <f t="shared" si="72"/>
        <v>83744.408896806068</v>
      </c>
      <c r="T106" s="78">
        <f t="shared" si="72"/>
        <v>83325.686852322047</v>
      </c>
      <c r="U106" s="78">
        <f t="shared" si="72"/>
        <v>82909.058418060435</v>
      </c>
    </row>
    <row r="107" spans="1:21" x14ac:dyDescent="0.25">
      <c r="A107" s="14" t="s">
        <v>93</v>
      </c>
      <c r="B107" s="14"/>
      <c r="C107" s="79">
        <f t="shared" ref="C107:U107" si="73">SUM(C101:C106)</f>
        <v>0</v>
      </c>
      <c r="D107" s="79">
        <f t="shared" si="73"/>
        <v>0</v>
      </c>
      <c r="E107" s="79">
        <f t="shared" si="73"/>
        <v>0</v>
      </c>
      <c r="F107" s="79">
        <f t="shared" si="73"/>
        <v>0</v>
      </c>
      <c r="G107" s="79">
        <f t="shared" si="73"/>
        <v>0</v>
      </c>
      <c r="H107" s="79">
        <f t="shared" si="73"/>
        <v>0</v>
      </c>
      <c r="I107" s="79">
        <f t="shared" si="73"/>
        <v>0</v>
      </c>
      <c r="J107" s="79">
        <f t="shared" si="73"/>
        <v>0</v>
      </c>
      <c r="K107" s="79">
        <f t="shared" si="73"/>
        <v>0</v>
      </c>
      <c r="L107" s="79">
        <f t="shared" si="73"/>
        <v>0</v>
      </c>
      <c r="M107" s="79">
        <f t="shared" si="73"/>
        <v>301136.96124005667</v>
      </c>
      <c r="N107" s="79">
        <f t="shared" si="73"/>
        <v>452749.96151585638</v>
      </c>
      <c r="O107" s="79">
        <f t="shared" si="73"/>
        <v>450486.21170827711</v>
      </c>
      <c r="P107" s="79">
        <f t="shared" si="73"/>
        <v>448233.78064973571</v>
      </c>
      <c r="Q107" s="79">
        <f t="shared" si="73"/>
        <v>445992.61174648709</v>
      </c>
      <c r="R107" s="79">
        <f t="shared" si="73"/>
        <v>443762.64868775464</v>
      </c>
      <c r="S107" s="79">
        <f t="shared" si="73"/>
        <v>441543.8354443158</v>
      </c>
      <c r="T107" s="79">
        <f t="shared" si="73"/>
        <v>439336.11626709427</v>
      </c>
      <c r="U107" s="79">
        <f t="shared" si="73"/>
        <v>437139.43568575877</v>
      </c>
    </row>
    <row r="109" spans="1:21" ht="15.75" x14ac:dyDescent="0.25">
      <c r="A109" s="77">
        <v>2035</v>
      </c>
      <c r="B109" s="218">
        <v>2024</v>
      </c>
      <c r="C109" s="218">
        <f>C100</f>
        <v>2025</v>
      </c>
      <c r="D109" s="218">
        <f t="shared" ref="D109:U109" si="74">D100</f>
        <v>2026</v>
      </c>
      <c r="E109" s="218">
        <f t="shared" si="74"/>
        <v>2027</v>
      </c>
      <c r="F109" s="218">
        <f t="shared" si="74"/>
        <v>2028</v>
      </c>
      <c r="G109" s="218">
        <f t="shared" si="74"/>
        <v>2029</v>
      </c>
      <c r="H109" s="218">
        <f t="shared" si="74"/>
        <v>2030</v>
      </c>
      <c r="I109" s="218">
        <f t="shared" si="74"/>
        <v>2031</v>
      </c>
      <c r="J109" s="218">
        <f t="shared" si="74"/>
        <v>2032</v>
      </c>
      <c r="K109" s="218">
        <f t="shared" si="74"/>
        <v>2033</v>
      </c>
      <c r="L109" s="218">
        <f t="shared" si="74"/>
        <v>2034</v>
      </c>
      <c r="M109" s="218">
        <f t="shared" si="74"/>
        <v>2035</v>
      </c>
      <c r="N109" s="218">
        <f t="shared" si="74"/>
        <v>2036</v>
      </c>
      <c r="O109" s="218">
        <f t="shared" si="74"/>
        <v>2037</v>
      </c>
      <c r="P109" s="218">
        <f t="shared" si="74"/>
        <v>2038</v>
      </c>
      <c r="Q109" s="218">
        <f t="shared" si="74"/>
        <v>2039</v>
      </c>
      <c r="R109" s="218">
        <f t="shared" si="74"/>
        <v>2040</v>
      </c>
      <c r="S109" s="218">
        <f t="shared" si="74"/>
        <v>2041</v>
      </c>
      <c r="T109" s="218">
        <f t="shared" si="74"/>
        <v>2042</v>
      </c>
      <c r="U109" s="218">
        <f t="shared" si="74"/>
        <v>2043</v>
      </c>
    </row>
    <row r="110" spans="1:21" x14ac:dyDescent="0.25">
      <c r="A110" s="184" t="s">
        <v>138</v>
      </c>
      <c r="B110" s="184"/>
      <c r="C110" s="78"/>
      <c r="D110" s="78"/>
      <c r="E110" s="78"/>
      <c r="F110" s="78"/>
      <c r="G110" s="78"/>
      <c r="H110" s="78"/>
      <c r="I110" s="78"/>
      <c r="J110" s="78"/>
      <c r="K110" s="78"/>
      <c r="L110" s="78"/>
      <c r="M110" s="78"/>
      <c r="N110" s="78">
        <f t="shared" ref="N110:U115" si="75">M101</f>
        <v>72953.430037776008</v>
      </c>
      <c r="O110" s="78">
        <f t="shared" si="75"/>
        <v>72588.662887587125</v>
      </c>
      <c r="P110" s="78">
        <f t="shared" si="75"/>
        <v>72225.719573149196</v>
      </c>
      <c r="Q110" s="78">
        <f t="shared" si="75"/>
        <v>71864.590975283441</v>
      </c>
      <c r="R110" s="78">
        <f t="shared" si="75"/>
        <v>71505.268020407035</v>
      </c>
      <c r="S110" s="78">
        <f t="shared" si="75"/>
        <v>71147.741680304985</v>
      </c>
      <c r="T110" s="78">
        <f t="shared" si="75"/>
        <v>70792.002971903465</v>
      </c>
      <c r="U110" s="78">
        <f t="shared" si="75"/>
        <v>70438.042957043945</v>
      </c>
    </row>
    <row r="111" spans="1:21" x14ac:dyDescent="0.25">
      <c r="A111" s="184" t="s">
        <v>144</v>
      </c>
      <c r="B111" s="184"/>
      <c r="C111" s="78"/>
      <c r="D111" s="78"/>
      <c r="E111" s="78"/>
      <c r="F111" s="78"/>
      <c r="G111" s="78"/>
      <c r="H111" s="78"/>
      <c r="I111" s="78"/>
      <c r="J111" s="78"/>
      <c r="K111" s="78"/>
      <c r="L111" s="78"/>
      <c r="M111" s="78"/>
      <c r="N111" s="78">
        <f t="shared" si="75"/>
        <v>77671.169865606644</v>
      </c>
      <c r="O111" s="78">
        <f t="shared" si="75"/>
        <v>77282.8140162786</v>
      </c>
      <c r="P111" s="78">
        <f t="shared" si="75"/>
        <v>76896.399946197213</v>
      </c>
      <c r="Q111" s="78">
        <f t="shared" si="75"/>
        <v>76511.91794646623</v>
      </c>
      <c r="R111" s="78">
        <f t="shared" si="75"/>
        <v>76129.358356733894</v>
      </c>
      <c r="S111" s="78">
        <f t="shared" si="75"/>
        <v>75748.711564950223</v>
      </c>
      <c r="T111" s="78">
        <f t="shared" si="75"/>
        <v>75369.96800712547</v>
      </c>
      <c r="U111" s="78">
        <f t="shared" si="75"/>
        <v>74993.118167089851</v>
      </c>
    </row>
    <row r="112" spans="1:21" x14ac:dyDescent="0.25">
      <c r="A112" s="184" t="s">
        <v>153</v>
      </c>
      <c r="B112" s="184"/>
      <c r="C112" s="78"/>
      <c r="D112" s="78"/>
      <c r="E112" s="78"/>
      <c r="F112" s="78"/>
      <c r="G112" s="78"/>
      <c r="H112" s="78"/>
      <c r="I112" s="78"/>
      <c r="J112" s="78"/>
      <c r="K112" s="78"/>
      <c r="L112" s="78"/>
      <c r="M112" s="78"/>
      <c r="N112" s="78">
        <f t="shared" si="75"/>
        <v>0</v>
      </c>
      <c r="O112" s="78">
        <f t="shared" si="75"/>
        <v>133361.435394</v>
      </c>
      <c r="P112" s="78">
        <f t="shared" si="75"/>
        <v>132694.62821703</v>
      </c>
      <c r="Q112" s="78">
        <f t="shared" si="75"/>
        <v>132031.15507594484</v>
      </c>
      <c r="R112" s="78">
        <f t="shared" si="75"/>
        <v>131370.99930056513</v>
      </c>
      <c r="S112" s="78">
        <f t="shared" si="75"/>
        <v>130714.1443040623</v>
      </c>
      <c r="T112" s="78">
        <f t="shared" si="75"/>
        <v>130060.57358254198</v>
      </c>
      <c r="U112" s="78">
        <f t="shared" si="75"/>
        <v>129410.27071462928</v>
      </c>
    </row>
    <row r="113" spans="1:21" x14ac:dyDescent="0.25">
      <c r="A113" s="184" t="s">
        <v>158</v>
      </c>
      <c r="B113" s="184"/>
      <c r="C113" s="78"/>
      <c r="D113" s="78"/>
      <c r="E113" s="78"/>
      <c r="F113" s="78"/>
      <c r="G113" s="78"/>
      <c r="H113" s="78"/>
      <c r="I113" s="78"/>
      <c r="J113" s="78"/>
      <c r="K113" s="78"/>
      <c r="L113" s="78"/>
      <c r="M113" s="78"/>
      <c r="N113" s="78">
        <f t="shared" si="75"/>
        <v>64211.061485999991</v>
      </c>
      <c r="O113" s="78">
        <f t="shared" si="75"/>
        <v>63890.006178569995</v>
      </c>
      <c r="P113" s="78">
        <f t="shared" si="75"/>
        <v>63570.55614767714</v>
      </c>
      <c r="Q113" s="78">
        <f t="shared" si="75"/>
        <v>63252.703366938753</v>
      </c>
      <c r="R113" s="78">
        <f t="shared" si="75"/>
        <v>62936.439850104056</v>
      </c>
      <c r="S113" s="78">
        <f t="shared" si="75"/>
        <v>62621.757650853542</v>
      </c>
      <c r="T113" s="78">
        <f t="shared" si="75"/>
        <v>62308.648862599272</v>
      </c>
      <c r="U113" s="78">
        <f t="shared" si="75"/>
        <v>61997.105618286274</v>
      </c>
    </row>
    <row r="114" spans="1:21" x14ac:dyDescent="0.25">
      <c r="A114" s="184" t="s">
        <v>162</v>
      </c>
      <c r="B114" s="184"/>
      <c r="C114" s="78"/>
      <c r="D114" s="78"/>
      <c r="E114" s="78"/>
      <c r="F114" s="78"/>
      <c r="G114" s="78"/>
      <c r="H114" s="78"/>
      <c r="I114" s="78"/>
      <c r="J114" s="78"/>
      <c r="K114" s="78"/>
      <c r="L114" s="78"/>
      <c r="M114" s="78"/>
      <c r="N114" s="78">
        <f t="shared" si="75"/>
        <v>0</v>
      </c>
      <c r="O114" s="78">
        <f t="shared" si="75"/>
        <v>19757.249688</v>
      </c>
      <c r="P114" s="78">
        <f t="shared" si="75"/>
        <v>19658.463439560001</v>
      </c>
      <c r="Q114" s="78">
        <f t="shared" si="75"/>
        <v>19560.171122362201</v>
      </c>
      <c r="R114" s="78">
        <f t="shared" si="75"/>
        <v>19462.370266750389</v>
      </c>
      <c r="S114" s="78">
        <f t="shared" si="75"/>
        <v>19365.058415416639</v>
      </c>
      <c r="T114" s="78">
        <f t="shared" si="75"/>
        <v>19268.233123339556</v>
      </c>
      <c r="U114" s="78">
        <f t="shared" si="75"/>
        <v>19171.891957722859</v>
      </c>
    </row>
    <row r="115" spans="1:21" x14ac:dyDescent="0.25">
      <c r="A115" s="12" t="s">
        <v>165</v>
      </c>
      <c r="B115" s="12"/>
      <c r="C115" s="78"/>
      <c r="D115" s="78"/>
      <c r="E115" s="78"/>
      <c r="F115" s="78"/>
      <c r="G115" s="78"/>
      <c r="H115" s="78"/>
      <c r="I115" s="78"/>
      <c r="J115" s="78"/>
      <c r="K115" s="78"/>
      <c r="L115" s="78"/>
      <c r="M115" s="78"/>
      <c r="N115" s="78">
        <f t="shared" si="75"/>
        <v>86301.29985067404</v>
      </c>
      <c r="O115" s="78">
        <f t="shared" si="75"/>
        <v>85869.793351420667</v>
      </c>
      <c r="P115" s="78">
        <f t="shared" si="75"/>
        <v>85440.44438466357</v>
      </c>
      <c r="Q115" s="78">
        <f t="shared" si="75"/>
        <v>85013.242162740251</v>
      </c>
      <c r="R115" s="78">
        <f t="shared" si="75"/>
        <v>84588.175951926562</v>
      </c>
      <c r="S115" s="78">
        <f t="shared" si="75"/>
        <v>84165.235072166921</v>
      </c>
      <c r="T115" s="78">
        <f t="shared" si="75"/>
        <v>83744.408896806068</v>
      </c>
      <c r="U115" s="78">
        <f t="shared" si="75"/>
        <v>83325.686852322047</v>
      </c>
    </row>
    <row r="116" spans="1:21" x14ac:dyDescent="0.25">
      <c r="A116" s="14" t="s">
        <v>93</v>
      </c>
      <c r="B116" s="14"/>
      <c r="C116" s="79">
        <f t="shared" ref="C116:U116" si="76">SUM(C110:C115)</f>
        <v>0</v>
      </c>
      <c r="D116" s="79">
        <f t="shared" si="76"/>
        <v>0</v>
      </c>
      <c r="E116" s="79">
        <f t="shared" si="76"/>
        <v>0</v>
      </c>
      <c r="F116" s="79">
        <f t="shared" si="76"/>
        <v>0</v>
      </c>
      <c r="G116" s="79">
        <f t="shared" si="76"/>
        <v>0</v>
      </c>
      <c r="H116" s="79">
        <f t="shared" si="76"/>
        <v>0</v>
      </c>
      <c r="I116" s="79">
        <f t="shared" si="76"/>
        <v>0</v>
      </c>
      <c r="J116" s="79">
        <f t="shared" si="76"/>
        <v>0</v>
      </c>
      <c r="K116" s="79">
        <f t="shared" si="76"/>
        <v>0</v>
      </c>
      <c r="L116" s="79">
        <f t="shared" si="76"/>
        <v>0</v>
      </c>
      <c r="M116" s="79">
        <f t="shared" si="76"/>
        <v>0</v>
      </c>
      <c r="N116" s="79">
        <f t="shared" si="76"/>
        <v>301136.96124005667</v>
      </c>
      <c r="O116" s="79">
        <f t="shared" si="76"/>
        <v>452749.96151585638</v>
      </c>
      <c r="P116" s="79">
        <f t="shared" si="76"/>
        <v>450486.21170827711</v>
      </c>
      <c r="Q116" s="79">
        <f t="shared" si="76"/>
        <v>448233.78064973571</v>
      </c>
      <c r="R116" s="79">
        <f t="shared" si="76"/>
        <v>445992.61174648709</v>
      </c>
      <c r="S116" s="79">
        <f t="shared" si="76"/>
        <v>443762.64868775464</v>
      </c>
      <c r="T116" s="79">
        <f t="shared" si="76"/>
        <v>441543.8354443158</v>
      </c>
      <c r="U116" s="79">
        <f t="shared" si="76"/>
        <v>439336.11626709427</v>
      </c>
    </row>
    <row r="118" spans="1:21" ht="15.75" x14ac:dyDescent="0.25">
      <c r="A118" s="77">
        <v>2036</v>
      </c>
      <c r="B118" s="218">
        <v>2024</v>
      </c>
      <c r="C118" s="218">
        <f>C109</f>
        <v>2025</v>
      </c>
      <c r="D118" s="218">
        <f t="shared" ref="D118:U118" si="77">D109</f>
        <v>2026</v>
      </c>
      <c r="E118" s="218">
        <f t="shared" si="77"/>
        <v>2027</v>
      </c>
      <c r="F118" s="218">
        <f t="shared" si="77"/>
        <v>2028</v>
      </c>
      <c r="G118" s="218">
        <f t="shared" si="77"/>
        <v>2029</v>
      </c>
      <c r="H118" s="218">
        <f t="shared" si="77"/>
        <v>2030</v>
      </c>
      <c r="I118" s="218">
        <f t="shared" si="77"/>
        <v>2031</v>
      </c>
      <c r="J118" s="218">
        <f t="shared" si="77"/>
        <v>2032</v>
      </c>
      <c r="K118" s="218">
        <f t="shared" si="77"/>
        <v>2033</v>
      </c>
      <c r="L118" s="218">
        <f t="shared" si="77"/>
        <v>2034</v>
      </c>
      <c r="M118" s="218">
        <f t="shared" si="77"/>
        <v>2035</v>
      </c>
      <c r="N118" s="218">
        <f t="shared" si="77"/>
        <v>2036</v>
      </c>
      <c r="O118" s="218">
        <f t="shared" si="77"/>
        <v>2037</v>
      </c>
      <c r="P118" s="218">
        <f t="shared" si="77"/>
        <v>2038</v>
      </c>
      <c r="Q118" s="218">
        <f t="shared" si="77"/>
        <v>2039</v>
      </c>
      <c r="R118" s="218">
        <f t="shared" si="77"/>
        <v>2040</v>
      </c>
      <c r="S118" s="218">
        <f t="shared" si="77"/>
        <v>2041</v>
      </c>
      <c r="T118" s="218">
        <f t="shared" si="77"/>
        <v>2042</v>
      </c>
      <c r="U118" s="218">
        <f t="shared" si="77"/>
        <v>2043</v>
      </c>
    </row>
    <row r="119" spans="1:21" x14ac:dyDescent="0.25">
      <c r="A119" s="184" t="s">
        <v>138</v>
      </c>
      <c r="C119" s="78"/>
      <c r="D119" s="78"/>
      <c r="E119" s="78"/>
      <c r="F119" s="78"/>
      <c r="G119" s="78"/>
      <c r="H119" s="78"/>
      <c r="I119" s="78"/>
      <c r="J119" s="78"/>
      <c r="K119" s="78"/>
      <c r="L119" s="78"/>
      <c r="M119" s="78"/>
      <c r="N119" s="78"/>
      <c r="O119" s="78">
        <f t="shared" ref="O119:U124" si="78">N110</f>
        <v>72953.430037776008</v>
      </c>
      <c r="P119" s="78">
        <f t="shared" si="78"/>
        <v>72588.662887587125</v>
      </c>
      <c r="Q119" s="78">
        <f t="shared" si="78"/>
        <v>72225.719573149196</v>
      </c>
      <c r="R119" s="78">
        <f t="shared" si="78"/>
        <v>71864.590975283441</v>
      </c>
      <c r="S119" s="78">
        <f t="shared" si="78"/>
        <v>71505.268020407035</v>
      </c>
      <c r="T119" s="78">
        <f t="shared" si="78"/>
        <v>71147.741680304985</v>
      </c>
      <c r="U119" s="78">
        <f t="shared" si="78"/>
        <v>70792.002971903465</v>
      </c>
    </row>
    <row r="120" spans="1:21" x14ac:dyDescent="0.25">
      <c r="A120" s="184" t="s">
        <v>144</v>
      </c>
      <c r="B120" s="184"/>
      <c r="C120" s="78"/>
      <c r="D120" s="78"/>
      <c r="E120" s="78"/>
      <c r="F120" s="78"/>
      <c r="G120" s="78"/>
      <c r="H120" s="78"/>
      <c r="I120" s="78"/>
      <c r="J120" s="78"/>
      <c r="K120" s="78"/>
      <c r="L120" s="78"/>
      <c r="M120" s="78"/>
      <c r="N120" s="78"/>
      <c r="O120" s="78">
        <f t="shared" si="78"/>
        <v>77671.169865606644</v>
      </c>
      <c r="P120" s="78">
        <f t="shared" si="78"/>
        <v>77282.8140162786</v>
      </c>
      <c r="Q120" s="78">
        <f t="shared" si="78"/>
        <v>76896.399946197213</v>
      </c>
      <c r="R120" s="78">
        <f t="shared" si="78"/>
        <v>76511.91794646623</v>
      </c>
      <c r="S120" s="78">
        <f t="shared" si="78"/>
        <v>76129.358356733894</v>
      </c>
      <c r="T120" s="78">
        <f t="shared" si="78"/>
        <v>75748.711564950223</v>
      </c>
      <c r="U120" s="78">
        <f t="shared" si="78"/>
        <v>75369.96800712547</v>
      </c>
    </row>
    <row r="121" spans="1:21" x14ac:dyDescent="0.25">
      <c r="A121" s="184" t="s">
        <v>153</v>
      </c>
      <c r="B121" s="184"/>
      <c r="C121" s="78"/>
      <c r="D121" s="78"/>
      <c r="E121" s="78"/>
      <c r="F121" s="78"/>
      <c r="G121" s="78"/>
      <c r="H121" s="78"/>
      <c r="I121" s="78"/>
      <c r="J121" s="78"/>
      <c r="K121" s="78"/>
      <c r="L121" s="78"/>
      <c r="M121" s="78"/>
      <c r="N121" s="78"/>
      <c r="O121" s="78">
        <f t="shared" si="78"/>
        <v>0</v>
      </c>
      <c r="P121" s="78">
        <f t="shared" si="78"/>
        <v>133361.435394</v>
      </c>
      <c r="Q121" s="78">
        <f t="shared" si="78"/>
        <v>132694.62821703</v>
      </c>
      <c r="R121" s="78">
        <f t="shared" si="78"/>
        <v>132031.15507594484</v>
      </c>
      <c r="S121" s="78">
        <f t="shared" si="78"/>
        <v>131370.99930056513</v>
      </c>
      <c r="T121" s="78">
        <f t="shared" si="78"/>
        <v>130714.1443040623</v>
      </c>
      <c r="U121" s="78">
        <f t="shared" si="78"/>
        <v>130060.57358254198</v>
      </c>
    </row>
    <row r="122" spans="1:21" x14ac:dyDescent="0.25">
      <c r="A122" s="184" t="s">
        <v>158</v>
      </c>
      <c r="B122" s="184"/>
      <c r="C122" s="78"/>
      <c r="D122" s="78"/>
      <c r="E122" s="78"/>
      <c r="F122" s="78"/>
      <c r="G122" s="78"/>
      <c r="H122" s="78"/>
      <c r="I122" s="78"/>
      <c r="J122" s="78"/>
      <c r="K122" s="78"/>
      <c r="L122" s="78"/>
      <c r="M122" s="78"/>
      <c r="N122" s="78"/>
      <c r="O122" s="78">
        <f t="shared" si="78"/>
        <v>64211.061485999991</v>
      </c>
      <c r="P122" s="78">
        <f t="shared" si="78"/>
        <v>63890.006178569995</v>
      </c>
      <c r="Q122" s="78">
        <f t="shared" si="78"/>
        <v>63570.55614767714</v>
      </c>
      <c r="R122" s="78">
        <f t="shared" si="78"/>
        <v>63252.703366938753</v>
      </c>
      <c r="S122" s="78">
        <f t="shared" si="78"/>
        <v>62936.439850104056</v>
      </c>
      <c r="T122" s="78">
        <f t="shared" si="78"/>
        <v>62621.757650853542</v>
      </c>
      <c r="U122" s="78">
        <f t="shared" si="78"/>
        <v>62308.648862599272</v>
      </c>
    </row>
    <row r="123" spans="1:21" x14ac:dyDescent="0.25">
      <c r="A123" s="184" t="s">
        <v>162</v>
      </c>
      <c r="B123" s="184"/>
      <c r="C123" s="78"/>
      <c r="D123" s="78"/>
      <c r="E123" s="78"/>
      <c r="F123" s="78"/>
      <c r="G123" s="78"/>
      <c r="H123" s="78"/>
      <c r="I123" s="78"/>
      <c r="J123" s="78"/>
      <c r="K123" s="78"/>
      <c r="L123" s="78"/>
      <c r="M123" s="78"/>
      <c r="N123" s="78"/>
      <c r="O123" s="78">
        <f t="shared" si="78"/>
        <v>0</v>
      </c>
      <c r="P123" s="78">
        <f t="shared" si="78"/>
        <v>19757.249688</v>
      </c>
      <c r="Q123" s="78">
        <f t="shared" si="78"/>
        <v>19658.463439560001</v>
      </c>
      <c r="R123" s="78">
        <f t="shared" si="78"/>
        <v>19560.171122362201</v>
      </c>
      <c r="S123" s="78">
        <f t="shared" si="78"/>
        <v>19462.370266750389</v>
      </c>
      <c r="T123" s="78">
        <f t="shared" si="78"/>
        <v>19365.058415416639</v>
      </c>
      <c r="U123" s="78">
        <f t="shared" si="78"/>
        <v>19268.233123339556</v>
      </c>
    </row>
    <row r="124" spans="1:21" x14ac:dyDescent="0.25">
      <c r="A124" s="12" t="s">
        <v>165</v>
      </c>
      <c r="B124" s="12"/>
      <c r="C124" s="78"/>
      <c r="D124" s="78"/>
      <c r="E124" s="78"/>
      <c r="F124" s="78"/>
      <c r="G124" s="78"/>
      <c r="H124" s="78"/>
      <c r="I124" s="78"/>
      <c r="J124" s="78"/>
      <c r="K124" s="78"/>
      <c r="L124" s="78"/>
      <c r="M124" s="78"/>
      <c r="N124" s="78"/>
      <c r="O124" s="78">
        <f t="shared" si="78"/>
        <v>86301.29985067404</v>
      </c>
      <c r="P124" s="78">
        <f t="shared" si="78"/>
        <v>85869.793351420667</v>
      </c>
      <c r="Q124" s="78">
        <f t="shared" si="78"/>
        <v>85440.44438466357</v>
      </c>
      <c r="R124" s="78">
        <f t="shared" si="78"/>
        <v>85013.242162740251</v>
      </c>
      <c r="S124" s="78">
        <f t="shared" si="78"/>
        <v>84588.175951926562</v>
      </c>
      <c r="T124" s="78">
        <f t="shared" si="78"/>
        <v>84165.235072166921</v>
      </c>
      <c r="U124" s="78">
        <f t="shared" si="78"/>
        <v>83744.408896806068</v>
      </c>
    </row>
    <row r="125" spans="1:21" x14ac:dyDescent="0.25">
      <c r="A125" s="14" t="s">
        <v>93</v>
      </c>
      <c r="B125" s="14"/>
      <c r="C125" s="79">
        <f t="shared" ref="C125:U125" si="79">SUM(C119:C124)</f>
        <v>0</v>
      </c>
      <c r="D125" s="79">
        <f t="shared" si="79"/>
        <v>0</v>
      </c>
      <c r="E125" s="79">
        <f t="shared" si="79"/>
        <v>0</v>
      </c>
      <c r="F125" s="79">
        <f t="shared" si="79"/>
        <v>0</v>
      </c>
      <c r="G125" s="79">
        <f t="shared" si="79"/>
        <v>0</v>
      </c>
      <c r="H125" s="79">
        <f t="shared" si="79"/>
        <v>0</v>
      </c>
      <c r="I125" s="79">
        <f t="shared" si="79"/>
        <v>0</v>
      </c>
      <c r="J125" s="79">
        <f t="shared" si="79"/>
        <v>0</v>
      </c>
      <c r="K125" s="79">
        <f t="shared" si="79"/>
        <v>0</v>
      </c>
      <c r="L125" s="79">
        <f t="shared" si="79"/>
        <v>0</v>
      </c>
      <c r="M125" s="79">
        <f t="shared" si="79"/>
        <v>0</v>
      </c>
      <c r="N125" s="79">
        <f t="shared" si="79"/>
        <v>0</v>
      </c>
      <c r="O125" s="79">
        <f t="shared" si="79"/>
        <v>301136.96124005667</v>
      </c>
      <c r="P125" s="79">
        <f t="shared" si="79"/>
        <v>452749.96151585638</v>
      </c>
      <c r="Q125" s="79">
        <f t="shared" si="79"/>
        <v>450486.21170827711</v>
      </c>
      <c r="R125" s="79">
        <f t="shared" si="79"/>
        <v>448233.78064973571</v>
      </c>
      <c r="S125" s="79">
        <f t="shared" si="79"/>
        <v>445992.61174648709</v>
      </c>
      <c r="T125" s="79">
        <f t="shared" si="79"/>
        <v>443762.64868775464</v>
      </c>
      <c r="U125" s="79">
        <f t="shared" si="79"/>
        <v>441543.8354443158</v>
      </c>
    </row>
    <row r="127" spans="1:21" ht="15.75" x14ac:dyDescent="0.25">
      <c r="A127" s="77">
        <v>2037</v>
      </c>
      <c r="B127" s="218">
        <v>2024</v>
      </c>
      <c r="C127" s="218">
        <f>C118</f>
        <v>2025</v>
      </c>
      <c r="D127" s="218">
        <f t="shared" ref="D127:U127" si="80">D118</f>
        <v>2026</v>
      </c>
      <c r="E127" s="218">
        <f t="shared" si="80"/>
        <v>2027</v>
      </c>
      <c r="F127" s="218">
        <f t="shared" si="80"/>
        <v>2028</v>
      </c>
      <c r="G127" s="218">
        <f t="shared" si="80"/>
        <v>2029</v>
      </c>
      <c r="H127" s="218">
        <f t="shared" si="80"/>
        <v>2030</v>
      </c>
      <c r="I127" s="218">
        <f t="shared" si="80"/>
        <v>2031</v>
      </c>
      <c r="J127" s="218">
        <f t="shared" si="80"/>
        <v>2032</v>
      </c>
      <c r="K127" s="218">
        <f t="shared" si="80"/>
        <v>2033</v>
      </c>
      <c r="L127" s="218">
        <f t="shared" si="80"/>
        <v>2034</v>
      </c>
      <c r="M127" s="218">
        <f t="shared" si="80"/>
        <v>2035</v>
      </c>
      <c r="N127" s="218">
        <f t="shared" si="80"/>
        <v>2036</v>
      </c>
      <c r="O127" s="218">
        <f t="shared" si="80"/>
        <v>2037</v>
      </c>
      <c r="P127" s="218">
        <f t="shared" si="80"/>
        <v>2038</v>
      </c>
      <c r="Q127" s="218">
        <f t="shared" si="80"/>
        <v>2039</v>
      </c>
      <c r="R127" s="218">
        <f t="shared" si="80"/>
        <v>2040</v>
      </c>
      <c r="S127" s="218">
        <f t="shared" si="80"/>
        <v>2041</v>
      </c>
      <c r="T127" s="218">
        <f t="shared" si="80"/>
        <v>2042</v>
      </c>
      <c r="U127" s="218">
        <f t="shared" si="80"/>
        <v>2043</v>
      </c>
    </row>
    <row r="128" spans="1:21" x14ac:dyDescent="0.25">
      <c r="A128" s="184" t="s">
        <v>138</v>
      </c>
      <c r="B128" s="184"/>
      <c r="C128" s="78"/>
      <c r="D128" s="78"/>
      <c r="E128" s="78"/>
      <c r="F128" s="78"/>
      <c r="G128" s="78"/>
      <c r="H128" s="78"/>
      <c r="I128" s="78"/>
      <c r="J128" s="78"/>
      <c r="K128" s="78"/>
      <c r="L128" s="78"/>
      <c r="M128" s="78"/>
      <c r="N128" s="78"/>
      <c r="O128" s="78"/>
      <c r="P128" s="78">
        <f t="shared" ref="P128:U133" si="81">O119</f>
        <v>72953.430037776008</v>
      </c>
      <c r="Q128" s="78">
        <f t="shared" si="81"/>
        <v>72588.662887587125</v>
      </c>
      <c r="R128" s="78">
        <f t="shared" si="81"/>
        <v>72225.719573149196</v>
      </c>
      <c r="S128" s="78">
        <f t="shared" si="81"/>
        <v>71864.590975283441</v>
      </c>
      <c r="T128" s="78">
        <f t="shared" si="81"/>
        <v>71505.268020407035</v>
      </c>
      <c r="U128" s="78">
        <f t="shared" si="81"/>
        <v>71147.741680304985</v>
      </c>
    </row>
    <row r="129" spans="1:21" x14ac:dyDescent="0.25">
      <c r="A129" s="184" t="s">
        <v>144</v>
      </c>
      <c r="B129" s="184"/>
      <c r="C129" s="78"/>
      <c r="D129" s="78"/>
      <c r="E129" s="78"/>
      <c r="F129" s="78"/>
      <c r="G129" s="78"/>
      <c r="H129" s="78"/>
      <c r="I129" s="78"/>
      <c r="J129" s="78"/>
      <c r="K129" s="78"/>
      <c r="L129" s="78"/>
      <c r="M129" s="78"/>
      <c r="N129" s="78"/>
      <c r="O129" s="78"/>
      <c r="P129" s="78">
        <f t="shared" si="81"/>
        <v>77671.169865606644</v>
      </c>
      <c r="Q129" s="78">
        <f t="shared" si="81"/>
        <v>77282.8140162786</v>
      </c>
      <c r="R129" s="78">
        <f t="shared" si="81"/>
        <v>76896.399946197213</v>
      </c>
      <c r="S129" s="78">
        <f t="shared" si="81"/>
        <v>76511.91794646623</v>
      </c>
      <c r="T129" s="78">
        <f t="shared" si="81"/>
        <v>76129.358356733894</v>
      </c>
      <c r="U129" s="78">
        <f t="shared" si="81"/>
        <v>75748.711564950223</v>
      </c>
    </row>
    <row r="130" spans="1:21" x14ac:dyDescent="0.25">
      <c r="A130" s="184" t="s">
        <v>153</v>
      </c>
      <c r="B130" s="184"/>
      <c r="C130" s="78"/>
      <c r="D130" s="78"/>
      <c r="E130" s="78"/>
      <c r="F130" s="78"/>
      <c r="G130" s="78"/>
      <c r="H130" s="78"/>
      <c r="I130" s="78"/>
      <c r="J130" s="78"/>
      <c r="K130" s="78"/>
      <c r="L130" s="78"/>
      <c r="M130" s="78"/>
      <c r="N130" s="78"/>
      <c r="O130" s="78"/>
      <c r="P130" s="78">
        <f t="shared" si="81"/>
        <v>0</v>
      </c>
      <c r="Q130" s="78">
        <f t="shared" si="81"/>
        <v>133361.435394</v>
      </c>
      <c r="R130" s="78">
        <f t="shared" si="81"/>
        <v>132694.62821703</v>
      </c>
      <c r="S130" s="78">
        <f t="shared" si="81"/>
        <v>132031.15507594484</v>
      </c>
      <c r="T130" s="78">
        <f t="shared" si="81"/>
        <v>131370.99930056513</v>
      </c>
      <c r="U130" s="78">
        <f t="shared" si="81"/>
        <v>130714.1443040623</v>
      </c>
    </row>
    <row r="131" spans="1:21" x14ac:dyDescent="0.25">
      <c r="A131" s="184" t="s">
        <v>158</v>
      </c>
      <c r="B131" s="184"/>
      <c r="C131" s="78"/>
      <c r="D131" s="78"/>
      <c r="E131" s="78"/>
      <c r="F131" s="78"/>
      <c r="G131" s="78"/>
      <c r="H131" s="78"/>
      <c r="I131" s="78"/>
      <c r="J131" s="78"/>
      <c r="K131" s="78"/>
      <c r="L131" s="78"/>
      <c r="M131" s="78"/>
      <c r="N131" s="78"/>
      <c r="O131" s="78"/>
      <c r="P131" s="78">
        <f t="shared" si="81"/>
        <v>64211.061485999991</v>
      </c>
      <c r="Q131" s="78">
        <f t="shared" si="81"/>
        <v>63890.006178569995</v>
      </c>
      <c r="R131" s="78">
        <f t="shared" si="81"/>
        <v>63570.55614767714</v>
      </c>
      <c r="S131" s="78">
        <f t="shared" si="81"/>
        <v>63252.703366938753</v>
      </c>
      <c r="T131" s="78">
        <f t="shared" si="81"/>
        <v>62936.439850104056</v>
      </c>
      <c r="U131" s="78">
        <f t="shared" si="81"/>
        <v>62621.757650853542</v>
      </c>
    </row>
    <row r="132" spans="1:21" x14ac:dyDescent="0.25">
      <c r="A132" s="184" t="s">
        <v>162</v>
      </c>
      <c r="B132" s="184"/>
      <c r="C132" s="78"/>
      <c r="D132" s="78"/>
      <c r="E132" s="78"/>
      <c r="F132" s="78"/>
      <c r="G132" s="78"/>
      <c r="H132" s="78"/>
      <c r="I132" s="78"/>
      <c r="J132" s="78"/>
      <c r="K132" s="78"/>
      <c r="L132" s="78"/>
      <c r="M132" s="78"/>
      <c r="N132" s="78"/>
      <c r="O132" s="78"/>
      <c r="P132" s="78">
        <f t="shared" si="81"/>
        <v>0</v>
      </c>
      <c r="Q132" s="78">
        <f t="shared" si="81"/>
        <v>19757.249688</v>
      </c>
      <c r="R132" s="78">
        <f t="shared" si="81"/>
        <v>19658.463439560001</v>
      </c>
      <c r="S132" s="78">
        <f t="shared" si="81"/>
        <v>19560.171122362201</v>
      </c>
      <c r="T132" s="78">
        <f t="shared" si="81"/>
        <v>19462.370266750389</v>
      </c>
      <c r="U132" s="78">
        <f t="shared" si="81"/>
        <v>19365.058415416639</v>
      </c>
    </row>
    <row r="133" spans="1:21" x14ac:dyDescent="0.25">
      <c r="A133" s="12" t="s">
        <v>165</v>
      </c>
      <c r="B133" s="12"/>
      <c r="C133" s="78"/>
      <c r="D133" s="78"/>
      <c r="E133" s="78"/>
      <c r="F133" s="78"/>
      <c r="G133" s="78"/>
      <c r="H133" s="78"/>
      <c r="I133" s="78"/>
      <c r="J133" s="78"/>
      <c r="K133" s="78"/>
      <c r="L133" s="78"/>
      <c r="M133" s="78"/>
      <c r="N133" s="78"/>
      <c r="O133" s="78"/>
      <c r="P133" s="78">
        <f t="shared" si="81"/>
        <v>86301.29985067404</v>
      </c>
      <c r="Q133" s="78">
        <f t="shared" si="81"/>
        <v>85869.793351420667</v>
      </c>
      <c r="R133" s="78">
        <f t="shared" si="81"/>
        <v>85440.44438466357</v>
      </c>
      <c r="S133" s="78">
        <f t="shared" si="81"/>
        <v>85013.242162740251</v>
      </c>
      <c r="T133" s="78">
        <f t="shared" si="81"/>
        <v>84588.175951926562</v>
      </c>
      <c r="U133" s="78">
        <f t="shared" si="81"/>
        <v>84165.235072166921</v>
      </c>
    </row>
    <row r="134" spans="1:21" x14ac:dyDescent="0.25">
      <c r="A134" s="14" t="s">
        <v>93</v>
      </c>
      <c r="B134" s="14"/>
      <c r="C134" s="79">
        <f t="shared" ref="C134:U134" si="82">SUM(C128:C133)</f>
        <v>0</v>
      </c>
      <c r="D134" s="79">
        <f t="shared" si="82"/>
        <v>0</v>
      </c>
      <c r="E134" s="79">
        <f t="shared" si="82"/>
        <v>0</v>
      </c>
      <c r="F134" s="79">
        <f t="shared" si="82"/>
        <v>0</v>
      </c>
      <c r="G134" s="79">
        <f t="shared" si="82"/>
        <v>0</v>
      </c>
      <c r="H134" s="79">
        <f t="shared" si="82"/>
        <v>0</v>
      </c>
      <c r="I134" s="79">
        <f t="shared" si="82"/>
        <v>0</v>
      </c>
      <c r="J134" s="79">
        <f t="shared" si="82"/>
        <v>0</v>
      </c>
      <c r="K134" s="79">
        <f t="shared" si="82"/>
        <v>0</v>
      </c>
      <c r="L134" s="79">
        <f t="shared" si="82"/>
        <v>0</v>
      </c>
      <c r="M134" s="79">
        <f t="shared" si="82"/>
        <v>0</v>
      </c>
      <c r="N134" s="79">
        <f t="shared" si="82"/>
        <v>0</v>
      </c>
      <c r="O134" s="79">
        <f t="shared" si="82"/>
        <v>0</v>
      </c>
      <c r="P134" s="79">
        <f t="shared" si="82"/>
        <v>301136.96124005667</v>
      </c>
      <c r="Q134" s="79">
        <f t="shared" si="82"/>
        <v>452749.96151585638</v>
      </c>
      <c r="R134" s="79">
        <f t="shared" si="82"/>
        <v>450486.21170827711</v>
      </c>
      <c r="S134" s="79">
        <f t="shared" si="82"/>
        <v>448233.78064973571</v>
      </c>
      <c r="T134" s="79">
        <f t="shared" si="82"/>
        <v>445992.61174648709</v>
      </c>
      <c r="U134" s="79">
        <f t="shared" si="82"/>
        <v>443762.64868775464</v>
      </c>
    </row>
    <row r="136" spans="1:21" ht="15.75" x14ac:dyDescent="0.25">
      <c r="A136" s="77">
        <v>2038</v>
      </c>
      <c r="B136" s="218">
        <v>2024</v>
      </c>
      <c r="C136" s="218">
        <f>C127</f>
        <v>2025</v>
      </c>
      <c r="D136" s="218">
        <f t="shared" ref="D136:U136" si="83">D127</f>
        <v>2026</v>
      </c>
      <c r="E136" s="218">
        <f t="shared" si="83"/>
        <v>2027</v>
      </c>
      <c r="F136" s="218">
        <f t="shared" si="83"/>
        <v>2028</v>
      </c>
      <c r="G136" s="218">
        <f t="shared" si="83"/>
        <v>2029</v>
      </c>
      <c r="H136" s="218">
        <f t="shared" si="83"/>
        <v>2030</v>
      </c>
      <c r="I136" s="218">
        <f t="shared" si="83"/>
        <v>2031</v>
      </c>
      <c r="J136" s="218">
        <f t="shared" si="83"/>
        <v>2032</v>
      </c>
      <c r="K136" s="218">
        <f t="shared" si="83"/>
        <v>2033</v>
      </c>
      <c r="L136" s="218">
        <f t="shared" si="83"/>
        <v>2034</v>
      </c>
      <c r="M136" s="218">
        <f t="shared" si="83"/>
        <v>2035</v>
      </c>
      <c r="N136" s="218">
        <f t="shared" si="83"/>
        <v>2036</v>
      </c>
      <c r="O136" s="218">
        <f t="shared" si="83"/>
        <v>2037</v>
      </c>
      <c r="P136" s="218">
        <f t="shared" si="83"/>
        <v>2038</v>
      </c>
      <c r="Q136" s="218">
        <f t="shared" si="83"/>
        <v>2039</v>
      </c>
      <c r="R136" s="218">
        <f t="shared" si="83"/>
        <v>2040</v>
      </c>
      <c r="S136" s="218">
        <f t="shared" si="83"/>
        <v>2041</v>
      </c>
      <c r="T136" s="218">
        <f t="shared" si="83"/>
        <v>2042</v>
      </c>
      <c r="U136" s="218">
        <f t="shared" si="83"/>
        <v>2043</v>
      </c>
    </row>
    <row r="137" spans="1:21" x14ac:dyDescent="0.25">
      <c r="A137" s="184" t="s">
        <v>138</v>
      </c>
      <c r="B137" s="184"/>
      <c r="C137" s="78"/>
      <c r="D137" s="78"/>
      <c r="E137" s="78"/>
      <c r="F137" s="78"/>
      <c r="G137" s="78"/>
      <c r="H137" s="78"/>
      <c r="I137" s="78"/>
      <c r="J137" s="78"/>
      <c r="K137" s="78"/>
      <c r="L137" s="78"/>
      <c r="M137" s="78"/>
      <c r="N137" s="78"/>
      <c r="O137" s="78"/>
      <c r="P137" s="78"/>
      <c r="Q137" s="78">
        <f t="shared" ref="Q137:U142" si="84">P128</f>
        <v>72953.430037776008</v>
      </c>
      <c r="R137" s="78">
        <f t="shared" si="84"/>
        <v>72588.662887587125</v>
      </c>
      <c r="S137" s="78">
        <f t="shared" si="84"/>
        <v>72225.719573149196</v>
      </c>
      <c r="T137" s="78">
        <f t="shared" si="84"/>
        <v>71864.590975283441</v>
      </c>
      <c r="U137" s="78">
        <f t="shared" si="84"/>
        <v>71505.268020407035</v>
      </c>
    </row>
    <row r="138" spans="1:21" x14ac:dyDescent="0.25">
      <c r="A138" s="184" t="s">
        <v>144</v>
      </c>
      <c r="B138" s="184"/>
      <c r="C138" s="78"/>
      <c r="D138" s="78"/>
      <c r="E138" s="78"/>
      <c r="F138" s="78"/>
      <c r="G138" s="78"/>
      <c r="H138" s="78"/>
      <c r="I138" s="78"/>
      <c r="J138" s="78"/>
      <c r="K138" s="78"/>
      <c r="L138" s="78"/>
      <c r="M138" s="78"/>
      <c r="N138" s="78"/>
      <c r="O138" s="78"/>
      <c r="P138" s="78"/>
      <c r="Q138" s="78">
        <f t="shared" si="84"/>
        <v>77671.169865606644</v>
      </c>
      <c r="R138" s="78">
        <f t="shared" si="84"/>
        <v>77282.8140162786</v>
      </c>
      <c r="S138" s="78">
        <f t="shared" si="84"/>
        <v>76896.399946197213</v>
      </c>
      <c r="T138" s="78">
        <f t="shared" si="84"/>
        <v>76511.91794646623</v>
      </c>
      <c r="U138" s="78">
        <f t="shared" si="84"/>
        <v>76129.358356733894</v>
      </c>
    </row>
    <row r="139" spans="1:21" x14ac:dyDescent="0.25">
      <c r="A139" s="184" t="s">
        <v>153</v>
      </c>
      <c r="B139" s="184"/>
      <c r="C139" s="78"/>
      <c r="D139" s="78"/>
      <c r="E139" s="78"/>
      <c r="F139" s="78"/>
      <c r="G139" s="78"/>
      <c r="H139" s="78"/>
      <c r="I139" s="78"/>
      <c r="J139" s="78"/>
      <c r="K139" s="78"/>
      <c r="L139" s="78"/>
      <c r="M139" s="78"/>
      <c r="N139" s="78"/>
      <c r="O139" s="78"/>
      <c r="P139" s="78"/>
      <c r="Q139" s="78">
        <f t="shared" si="84"/>
        <v>0</v>
      </c>
      <c r="R139" s="78">
        <f t="shared" si="84"/>
        <v>133361.435394</v>
      </c>
      <c r="S139" s="78">
        <f t="shared" si="84"/>
        <v>132694.62821703</v>
      </c>
      <c r="T139" s="78">
        <f t="shared" si="84"/>
        <v>132031.15507594484</v>
      </c>
      <c r="U139" s="78">
        <f t="shared" si="84"/>
        <v>131370.99930056513</v>
      </c>
    </row>
    <row r="140" spans="1:21" x14ac:dyDescent="0.25">
      <c r="A140" s="184" t="s">
        <v>158</v>
      </c>
      <c r="B140" s="184"/>
      <c r="C140" s="78"/>
      <c r="D140" s="78"/>
      <c r="E140" s="78"/>
      <c r="F140" s="78"/>
      <c r="G140" s="78"/>
      <c r="H140" s="78"/>
      <c r="I140" s="78"/>
      <c r="J140" s="78"/>
      <c r="K140" s="78"/>
      <c r="L140" s="78"/>
      <c r="M140" s="78"/>
      <c r="N140" s="78"/>
      <c r="O140" s="78"/>
      <c r="P140" s="78"/>
      <c r="Q140" s="78">
        <f t="shared" si="84"/>
        <v>64211.061485999991</v>
      </c>
      <c r="R140" s="78">
        <f t="shared" si="84"/>
        <v>63890.006178569995</v>
      </c>
      <c r="S140" s="78">
        <f t="shared" si="84"/>
        <v>63570.55614767714</v>
      </c>
      <c r="T140" s="78">
        <f t="shared" si="84"/>
        <v>63252.703366938753</v>
      </c>
      <c r="U140" s="78">
        <f t="shared" si="84"/>
        <v>62936.439850104056</v>
      </c>
    </row>
    <row r="141" spans="1:21" x14ac:dyDescent="0.25">
      <c r="A141" s="184" t="s">
        <v>162</v>
      </c>
      <c r="B141" s="184"/>
      <c r="C141" s="78"/>
      <c r="D141" s="78"/>
      <c r="E141" s="78"/>
      <c r="F141" s="78"/>
      <c r="G141" s="78"/>
      <c r="H141" s="78"/>
      <c r="I141" s="78"/>
      <c r="J141" s="78"/>
      <c r="K141" s="78"/>
      <c r="L141" s="78"/>
      <c r="M141" s="78"/>
      <c r="N141" s="78"/>
      <c r="O141" s="78"/>
      <c r="P141" s="78"/>
      <c r="Q141" s="78">
        <f t="shared" si="84"/>
        <v>0</v>
      </c>
      <c r="R141" s="78">
        <f t="shared" si="84"/>
        <v>19757.249688</v>
      </c>
      <c r="S141" s="78">
        <f t="shared" si="84"/>
        <v>19658.463439560001</v>
      </c>
      <c r="T141" s="78">
        <f t="shared" si="84"/>
        <v>19560.171122362201</v>
      </c>
      <c r="U141" s="78">
        <f t="shared" si="84"/>
        <v>19462.370266750389</v>
      </c>
    </row>
    <row r="142" spans="1:21" x14ac:dyDescent="0.25">
      <c r="A142" s="12" t="s">
        <v>165</v>
      </c>
      <c r="B142" s="12"/>
      <c r="C142" s="78"/>
      <c r="D142" s="78"/>
      <c r="E142" s="78"/>
      <c r="F142" s="78"/>
      <c r="G142" s="78"/>
      <c r="H142" s="78"/>
      <c r="I142" s="78"/>
      <c r="J142" s="78"/>
      <c r="K142" s="78"/>
      <c r="L142" s="78"/>
      <c r="M142" s="78"/>
      <c r="N142" s="78"/>
      <c r="O142" s="78"/>
      <c r="P142" s="78"/>
      <c r="Q142" s="78">
        <f t="shared" si="84"/>
        <v>86301.29985067404</v>
      </c>
      <c r="R142" s="78">
        <f t="shared" si="84"/>
        <v>85869.793351420667</v>
      </c>
      <c r="S142" s="78">
        <f t="shared" si="84"/>
        <v>85440.44438466357</v>
      </c>
      <c r="T142" s="78">
        <f t="shared" si="84"/>
        <v>85013.242162740251</v>
      </c>
      <c r="U142" s="78">
        <f t="shared" si="84"/>
        <v>84588.175951926562</v>
      </c>
    </row>
    <row r="143" spans="1:21" x14ac:dyDescent="0.25">
      <c r="A143" s="14" t="s">
        <v>93</v>
      </c>
      <c r="B143" s="14"/>
      <c r="C143" s="79">
        <f t="shared" ref="C143:U143" si="85">SUM(C137:C142)</f>
        <v>0</v>
      </c>
      <c r="D143" s="79">
        <f t="shared" si="85"/>
        <v>0</v>
      </c>
      <c r="E143" s="79">
        <f t="shared" si="85"/>
        <v>0</v>
      </c>
      <c r="F143" s="79">
        <f t="shared" si="85"/>
        <v>0</v>
      </c>
      <c r="G143" s="79">
        <f t="shared" si="85"/>
        <v>0</v>
      </c>
      <c r="H143" s="79">
        <f t="shared" si="85"/>
        <v>0</v>
      </c>
      <c r="I143" s="79">
        <f t="shared" si="85"/>
        <v>0</v>
      </c>
      <c r="J143" s="79">
        <f t="shared" si="85"/>
        <v>0</v>
      </c>
      <c r="K143" s="79">
        <f t="shared" si="85"/>
        <v>0</v>
      </c>
      <c r="L143" s="79">
        <f t="shared" si="85"/>
        <v>0</v>
      </c>
      <c r="M143" s="79">
        <f t="shared" si="85"/>
        <v>0</v>
      </c>
      <c r="N143" s="79">
        <f t="shared" si="85"/>
        <v>0</v>
      </c>
      <c r="O143" s="79">
        <f t="shared" si="85"/>
        <v>0</v>
      </c>
      <c r="P143" s="79">
        <f t="shared" si="85"/>
        <v>0</v>
      </c>
      <c r="Q143" s="79">
        <f t="shared" si="85"/>
        <v>301136.96124005667</v>
      </c>
      <c r="R143" s="79">
        <f t="shared" si="85"/>
        <v>452749.96151585638</v>
      </c>
      <c r="S143" s="79">
        <f t="shared" si="85"/>
        <v>450486.21170827711</v>
      </c>
      <c r="T143" s="79">
        <f t="shared" si="85"/>
        <v>448233.78064973571</v>
      </c>
      <c r="U143" s="79">
        <f t="shared" si="85"/>
        <v>445992.61174648709</v>
      </c>
    </row>
    <row r="145" spans="1:21" ht="15.75" x14ac:dyDescent="0.25">
      <c r="A145" s="77">
        <v>2039</v>
      </c>
      <c r="B145" s="218">
        <v>2024</v>
      </c>
      <c r="C145" s="218">
        <f>C136</f>
        <v>2025</v>
      </c>
      <c r="D145" s="218">
        <f t="shared" ref="D145:U145" si="86">D136</f>
        <v>2026</v>
      </c>
      <c r="E145" s="218">
        <f t="shared" si="86"/>
        <v>2027</v>
      </c>
      <c r="F145" s="218">
        <f t="shared" si="86"/>
        <v>2028</v>
      </c>
      <c r="G145" s="218">
        <f t="shared" si="86"/>
        <v>2029</v>
      </c>
      <c r="H145" s="218">
        <f t="shared" si="86"/>
        <v>2030</v>
      </c>
      <c r="I145" s="218">
        <f t="shared" si="86"/>
        <v>2031</v>
      </c>
      <c r="J145" s="218">
        <f t="shared" si="86"/>
        <v>2032</v>
      </c>
      <c r="K145" s="218">
        <f t="shared" si="86"/>
        <v>2033</v>
      </c>
      <c r="L145" s="218">
        <f t="shared" si="86"/>
        <v>2034</v>
      </c>
      <c r="M145" s="218">
        <f t="shared" si="86"/>
        <v>2035</v>
      </c>
      <c r="N145" s="218">
        <f t="shared" si="86"/>
        <v>2036</v>
      </c>
      <c r="O145" s="218">
        <f t="shared" si="86"/>
        <v>2037</v>
      </c>
      <c r="P145" s="218">
        <f t="shared" si="86"/>
        <v>2038</v>
      </c>
      <c r="Q145" s="218">
        <f t="shared" si="86"/>
        <v>2039</v>
      </c>
      <c r="R145" s="218">
        <f t="shared" si="86"/>
        <v>2040</v>
      </c>
      <c r="S145" s="218">
        <f t="shared" si="86"/>
        <v>2041</v>
      </c>
      <c r="T145" s="218">
        <f t="shared" si="86"/>
        <v>2042</v>
      </c>
      <c r="U145" s="218">
        <f t="shared" si="86"/>
        <v>2043</v>
      </c>
    </row>
    <row r="146" spans="1:21" x14ac:dyDescent="0.25">
      <c r="A146" s="184" t="s">
        <v>138</v>
      </c>
      <c r="B146" s="184"/>
      <c r="C146" s="78"/>
      <c r="D146" s="78"/>
      <c r="E146" s="78"/>
      <c r="F146" s="78"/>
      <c r="G146" s="78"/>
      <c r="H146" s="78"/>
      <c r="I146" s="78"/>
      <c r="J146" s="78"/>
      <c r="K146" s="78"/>
      <c r="L146" s="78"/>
      <c r="M146" s="78"/>
      <c r="N146" s="78"/>
      <c r="O146" s="78"/>
      <c r="P146" s="78"/>
      <c r="Q146" s="78"/>
      <c r="R146" s="78">
        <f t="shared" ref="R146:U151" si="87">Q137</f>
        <v>72953.430037776008</v>
      </c>
      <c r="S146" s="78">
        <f t="shared" si="87"/>
        <v>72588.662887587125</v>
      </c>
      <c r="T146" s="78">
        <f t="shared" si="87"/>
        <v>72225.719573149196</v>
      </c>
      <c r="U146" s="78">
        <f t="shared" si="87"/>
        <v>71864.590975283441</v>
      </c>
    </row>
    <row r="147" spans="1:21" x14ac:dyDescent="0.25">
      <c r="A147" s="184" t="s">
        <v>144</v>
      </c>
      <c r="B147" s="184"/>
      <c r="C147" s="78"/>
      <c r="D147" s="78"/>
      <c r="E147" s="78"/>
      <c r="F147" s="78"/>
      <c r="G147" s="78"/>
      <c r="H147" s="78"/>
      <c r="I147" s="78"/>
      <c r="J147" s="78"/>
      <c r="K147" s="78"/>
      <c r="L147" s="78"/>
      <c r="M147" s="78"/>
      <c r="N147" s="78"/>
      <c r="O147" s="78"/>
      <c r="P147" s="78"/>
      <c r="Q147" s="78"/>
      <c r="R147" s="78">
        <f t="shared" si="87"/>
        <v>77671.169865606644</v>
      </c>
      <c r="S147" s="78">
        <f t="shared" si="87"/>
        <v>77282.8140162786</v>
      </c>
      <c r="T147" s="78">
        <f t="shared" si="87"/>
        <v>76896.399946197213</v>
      </c>
      <c r="U147" s="78">
        <f t="shared" si="87"/>
        <v>76511.91794646623</v>
      </c>
    </row>
    <row r="148" spans="1:21" x14ac:dyDescent="0.25">
      <c r="A148" s="184" t="s">
        <v>153</v>
      </c>
      <c r="B148" s="184"/>
      <c r="C148" s="78"/>
      <c r="D148" s="78"/>
      <c r="E148" s="78"/>
      <c r="F148" s="78"/>
      <c r="G148" s="78"/>
      <c r="H148" s="78"/>
      <c r="I148" s="78"/>
      <c r="J148" s="78"/>
      <c r="K148" s="78"/>
      <c r="L148" s="78"/>
      <c r="M148" s="78"/>
      <c r="N148" s="78"/>
      <c r="O148" s="78"/>
      <c r="P148" s="78"/>
      <c r="Q148" s="78"/>
      <c r="R148" s="78">
        <f t="shared" si="87"/>
        <v>0</v>
      </c>
      <c r="S148" s="78">
        <f t="shared" si="87"/>
        <v>133361.435394</v>
      </c>
      <c r="T148" s="78">
        <f t="shared" si="87"/>
        <v>132694.62821703</v>
      </c>
      <c r="U148" s="78">
        <f t="shared" si="87"/>
        <v>132031.15507594484</v>
      </c>
    </row>
    <row r="149" spans="1:21" x14ac:dyDescent="0.25">
      <c r="A149" s="184" t="s">
        <v>158</v>
      </c>
      <c r="B149" s="184"/>
      <c r="C149" s="78"/>
      <c r="D149" s="78"/>
      <c r="E149" s="78"/>
      <c r="F149" s="78"/>
      <c r="G149" s="78"/>
      <c r="H149" s="78"/>
      <c r="I149" s="78"/>
      <c r="J149" s="78"/>
      <c r="K149" s="78"/>
      <c r="L149" s="78"/>
      <c r="M149" s="78"/>
      <c r="N149" s="78"/>
      <c r="O149" s="78"/>
      <c r="P149" s="78"/>
      <c r="Q149" s="78"/>
      <c r="R149" s="78">
        <f t="shared" si="87"/>
        <v>64211.061485999991</v>
      </c>
      <c r="S149" s="78">
        <f t="shared" si="87"/>
        <v>63890.006178569995</v>
      </c>
      <c r="T149" s="78">
        <f t="shared" si="87"/>
        <v>63570.55614767714</v>
      </c>
      <c r="U149" s="78">
        <f t="shared" si="87"/>
        <v>63252.703366938753</v>
      </c>
    </row>
    <row r="150" spans="1:21" x14ac:dyDescent="0.25">
      <c r="A150" s="184" t="s">
        <v>162</v>
      </c>
      <c r="B150" s="184"/>
      <c r="C150" s="78"/>
      <c r="D150" s="78"/>
      <c r="E150" s="78"/>
      <c r="F150" s="78"/>
      <c r="G150" s="78"/>
      <c r="H150" s="78"/>
      <c r="I150" s="78"/>
      <c r="J150" s="78"/>
      <c r="K150" s="78"/>
      <c r="L150" s="78"/>
      <c r="M150" s="78"/>
      <c r="N150" s="78"/>
      <c r="O150" s="78"/>
      <c r="P150" s="78"/>
      <c r="Q150" s="78"/>
      <c r="R150" s="78">
        <f t="shared" si="87"/>
        <v>0</v>
      </c>
      <c r="S150" s="78">
        <f t="shared" si="87"/>
        <v>19757.249688</v>
      </c>
      <c r="T150" s="78">
        <f t="shared" si="87"/>
        <v>19658.463439560001</v>
      </c>
      <c r="U150" s="78">
        <f t="shared" si="87"/>
        <v>19560.171122362201</v>
      </c>
    </row>
    <row r="151" spans="1:21" x14ac:dyDescent="0.25">
      <c r="A151" s="12" t="s">
        <v>165</v>
      </c>
      <c r="B151" s="12"/>
      <c r="C151" s="78"/>
      <c r="D151" s="78"/>
      <c r="E151" s="78"/>
      <c r="F151" s="78"/>
      <c r="G151" s="78"/>
      <c r="H151" s="78"/>
      <c r="I151" s="78"/>
      <c r="J151" s="78"/>
      <c r="K151" s="78"/>
      <c r="L151" s="78"/>
      <c r="M151" s="78"/>
      <c r="N151" s="78"/>
      <c r="O151" s="78"/>
      <c r="P151" s="78"/>
      <c r="Q151" s="78"/>
      <c r="R151" s="78">
        <f t="shared" si="87"/>
        <v>86301.29985067404</v>
      </c>
      <c r="S151" s="78">
        <f t="shared" si="87"/>
        <v>85869.793351420667</v>
      </c>
      <c r="T151" s="78">
        <f t="shared" si="87"/>
        <v>85440.44438466357</v>
      </c>
      <c r="U151" s="78">
        <f t="shared" si="87"/>
        <v>85013.242162740251</v>
      </c>
    </row>
    <row r="152" spans="1:21" x14ac:dyDescent="0.25">
      <c r="A152" s="14" t="s">
        <v>93</v>
      </c>
      <c r="B152" s="14"/>
      <c r="C152" s="79">
        <f t="shared" ref="C152:U152" si="88">SUM(C146:C151)</f>
        <v>0</v>
      </c>
      <c r="D152" s="79">
        <f t="shared" si="88"/>
        <v>0</v>
      </c>
      <c r="E152" s="79">
        <f t="shared" si="88"/>
        <v>0</v>
      </c>
      <c r="F152" s="79">
        <f t="shared" si="88"/>
        <v>0</v>
      </c>
      <c r="G152" s="79">
        <f t="shared" si="88"/>
        <v>0</v>
      </c>
      <c r="H152" s="79">
        <f t="shared" si="88"/>
        <v>0</v>
      </c>
      <c r="I152" s="79">
        <f t="shared" si="88"/>
        <v>0</v>
      </c>
      <c r="J152" s="79">
        <f t="shared" si="88"/>
        <v>0</v>
      </c>
      <c r="K152" s="79">
        <f t="shared" si="88"/>
        <v>0</v>
      </c>
      <c r="L152" s="79">
        <f t="shared" si="88"/>
        <v>0</v>
      </c>
      <c r="M152" s="79">
        <f t="shared" si="88"/>
        <v>0</v>
      </c>
      <c r="N152" s="79">
        <f t="shared" si="88"/>
        <v>0</v>
      </c>
      <c r="O152" s="79">
        <f t="shared" si="88"/>
        <v>0</v>
      </c>
      <c r="P152" s="79">
        <f t="shared" si="88"/>
        <v>0</v>
      </c>
      <c r="Q152" s="79">
        <f t="shared" si="88"/>
        <v>0</v>
      </c>
      <c r="R152" s="79">
        <f t="shared" si="88"/>
        <v>301136.96124005667</v>
      </c>
      <c r="S152" s="79">
        <f t="shared" si="88"/>
        <v>452749.96151585638</v>
      </c>
      <c r="T152" s="79">
        <f t="shared" si="88"/>
        <v>450486.21170827711</v>
      </c>
      <c r="U152" s="79">
        <f t="shared" si="88"/>
        <v>448233.78064973571</v>
      </c>
    </row>
    <row r="154" spans="1:21" ht="15.75" x14ac:dyDescent="0.25">
      <c r="A154" s="77">
        <v>2040</v>
      </c>
      <c r="B154" s="218">
        <v>2024</v>
      </c>
      <c r="C154" s="218">
        <f>C145</f>
        <v>2025</v>
      </c>
      <c r="D154" s="218">
        <f t="shared" ref="D154:U154" si="89">D145</f>
        <v>2026</v>
      </c>
      <c r="E154" s="218">
        <f t="shared" si="89"/>
        <v>2027</v>
      </c>
      <c r="F154" s="218">
        <f t="shared" si="89"/>
        <v>2028</v>
      </c>
      <c r="G154" s="218">
        <f t="shared" si="89"/>
        <v>2029</v>
      </c>
      <c r="H154" s="218">
        <f t="shared" si="89"/>
        <v>2030</v>
      </c>
      <c r="I154" s="218">
        <f t="shared" si="89"/>
        <v>2031</v>
      </c>
      <c r="J154" s="218">
        <f t="shared" si="89"/>
        <v>2032</v>
      </c>
      <c r="K154" s="218">
        <f t="shared" si="89"/>
        <v>2033</v>
      </c>
      <c r="L154" s="218">
        <f t="shared" si="89"/>
        <v>2034</v>
      </c>
      <c r="M154" s="218">
        <f t="shared" si="89"/>
        <v>2035</v>
      </c>
      <c r="N154" s="218">
        <f t="shared" si="89"/>
        <v>2036</v>
      </c>
      <c r="O154" s="218">
        <f t="shared" si="89"/>
        <v>2037</v>
      </c>
      <c r="P154" s="218">
        <f t="shared" si="89"/>
        <v>2038</v>
      </c>
      <c r="Q154" s="218">
        <f t="shared" si="89"/>
        <v>2039</v>
      </c>
      <c r="R154" s="218">
        <f t="shared" si="89"/>
        <v>2040</v>
      </c>
      <c r="S154" s="218">
        <f t="shared" si="89"/>
        <v>2041</v>
      </c>
      <c r="T154" s="218">
        <f t="shared" si="89"/>
        <v>2042</v>
      </c>
      <c r="U154" s="218">
        <f t="shared" si="89"/>
        <v>2043</v>
      </c>
    </row>
    <row r="155" spans="1:21" x14ac:dyDescent="0.25">
      <c r="A155" s="184" t="s">
        <v>138</v>
      </c>
      <c r="B155" s="184"/>
      <c r="C155" s="78"/>
      <c r="D155" s="78"/>
      <c r="E155" s="78"/>
      <c r="F155" s="78"/>
      <c r="G155" s="78"/>
      <c r="H155" s="78"/>
      <c r="I155" s="78"/>
      <c r="J155" s="78"/>
      <c r="K155" s="78"/>
      <c r="L155" s="78"/>
      <c r="M155" s="78"/>
      <c r="N155" s="78"/>
      <c r="O155" s="78"/>
      <c r="P155" s="78"/>
      <c r="Q155" s="78"/>
      <c r="R155" s="78"/>
      <c r="S155" s="78">
        <f t="shared" ref="S155:U160" si="90">R146</f>
        <v>72953.430037776008</v>
      </c>
      <c r="T155" s="78">
        <f t="shared" si="90"/>
        <v>72588.662887587125</v>
      </c>
      <c r="U155" s="78">
        <f t="shared" si="90"/>
        <v>72225.719573149196</v>
      </c>
    </row>
    <row r="156" spans="1:21" x14ac:dyDescent="0.25">
      <c r="A156" s="184" t="s">
        <v>144</v>
      </c>
      <c r="B156" s="184"/>
      <c r="C156" s="78"/>
      <c r="D156" s="78"/>
      <c r="E156" s="78"/>
      <c r="F156" s="78"/>
      <c r="G156" s="78"/>
      <c r="H156" s="78"/>
      <c r="I156" s="78"/>
      <c r="J156" s="78"/>
      <c r="K156" s="78"/>
      <c r="L156" s="78"/>
      <c r="M156" s="78"/>
      <c r="N156" s="78"/>
      <c r="O156" s="78"/>
      <c r="P156" s="78"/>
      <c r="Q156" s="78"/>
      <c r="R156" s="78"/>
      <c r="S156" s="78">
        <f t="shared" si="90"/>
        <v>77671.169865606644</v>
      </c>
      <c r="T156" s="78">
        <f t="shared" si="90"/>
        <v>77282.8140162786</v>
      </c>
      <c r="U156" s="78">
        <f t="shared" si="90"/>
        <v>76896.399946197213</v>
      </c>
    </row>
    <row r="157" spans="1:21" x14ac:dyDescent="0.25">
      <c r="A157" s="184" t="s">
        <v>153</v>
      </c>
      <c r="B157" s="184"/>
      <c r="C157" s="78"/>
      <c r="D157" s="78"/>
      <c r="E157" s="78"/>
      <c r="F157" s="78"/>
      <c r="G157" s="78"/>
      <c r="H157" s="78"/>
      <c r="I157" s="78"/>
      <c r="J157" s="78"/>
      <c r="K157" s="78"/>
      <c r="L157" s="78"/>
      <c r="M157" s="78"/>
      <c r="N157" s="78"/>
      <c r="O157" s="78"/>
      <c r="P157" s="78"/>
      <c r="Q157" s="78"/>
      <c r="R157" s="78"/>
      <c r="S157" s="78">
        <f t="shared" si="90"/>
        <v>0</v>
      </c>
      <c r="T157" s="78">
        <f t="shared" si="90"/>
        <v>133361.435394</v>
      </c>
      <c r="U157" s="78">
        <f t="shared" si="90"/>
        <v>132694.62821703</v>
      </c>
    </row>
    <row r="158" spans="1:21" x14ac:dyDescent="0.25">
      <c r="A158" s="184" t="s">
        <v>158</v>
      </c>
      <c r="B158" s="184"/>
      <c r="C158" s="78"/>
      <c r="D158" s="78"/>
      <c r="E158" s="78"/>
      <c r="F158" s="78"/>
      <c r="G158" s="78"/>
      <c r="H158" s="78"/>
      <c r="I158" s="78"/>
      <c r="J158" s="78"/>
      <c r="K158" s="78"/>
      <c r="L158" s="78"/>
      <c r="M158" s="78"/>
      <c r="N158" s="78"/>
      <c r="O158" s="78"/>
      <c r="P158" s="78"/>
      <c r="Q158" s="78"/>
      <c r="R158" s="78"/>
      <c r="S158" s="78">
        <f t="shared" si="90"/>
        <v>64211.061485999991</v>
      </c>
      <c r="T158" s="78">
        <f t="shared" si="90"/>
        <v>63890.006178569995</v>
      </c>
      <c r="U158" s="78">
        <f t="shared" si="90"/>
        <v>63570.55614767714</v>
      </c>
    </row>
    <row r="159" spans="1:21" x14ac:dyDescent="0.25">
      <c r="A159" s="184" t="s">
        <v>162</v>
      </c>
      <c r="B159" s="184"/>
      <c r="C159" s="78"/>
      <c r="D159" s="78"/>
      <c r="E159" s="78"/>
      <c r="F159" s="78"/>
      <c r="G159" s="78"/>
      <c r="H159" s="78"/>
      <c r="I159" s="78"/>
      <c r="J159" s="78"/>
      <c r="K159" s="78"/>
      <c r="L159" s="78"/>
      <c r="M159" s="78"/>
      <c r="N159" s="78"/>
      <c r="O159" s="78"/>
      <c r="P159" s="78"/>
      <c r="Q159" s="78"/>
      <c r="R159" s="78"/>
      <c r="S159" s="78">
        <f t="shared" si="90"/>
        <v>0</v>
      </c>
      <c r="T159" s="78">
        <f t="shared" si="90"/>
        <v>19757.249688</v>
      </c>
      <c r="U159" s="78">
        <f t="shared" si="90"/>
        <v>19658.463439560001</v>
      </c>
    </row>
    <row r="160" spans="1:21" x14ac:dyDescent="0.25">
      <c r="A160" s="12" t="s">
        <v>165</v>
      </c>
      <c r="B160" s="12"/>
      <c r="C160" s="78"/>
      <c r="D160" s="78"/>
      <c r="E160" s="78"/>
      <c r="F160" s="78"/>
      <c r="G160" s="78"/>
      <c r="H160" s="78"/>
      <c r="I160" s="78"/>
      <c r="J160" s="78"/>
      <c r="K160" s="78"/>
      <c r="L160" s="78"/>
      <c r="M160" s="78"/>
      <c r="N160" s="78"/>
      <c r="O160" s="78"/>
      <c r="P160" s="78"/>
      <c r="Q160" s="78"/>
      <c r="R160" s="78"/>
      <c r="S160" s="78">
        <f t="shared" si="90"/>
        <v>86301.29985067404</v>
      </c>
      <c r="T160" s="78">
        <f t="shared" si="90"/>
        <v>85869.793351420667</v>
      </c>
      <c r="U160" s="78">
        <f t="shared" si="90"/>
        <v>85440.44438466357</v>
      </c>
    </row>
    <row r="161" spans="1:21" x14ac:dyDescent="0.25">
      <c r="A161" s="14" t="s">
        <v>93</v>
      </c>
      <c r="B161" s="14"/>
      <c r="C161" s="79">
        <f t="shared" ref="C161:U161" si="91">SUM(C155:C160)</f>
        <v>0</v>
      </c>
      <c r="D161" s="79">
        <f t="shared" si="91"/>
        <v>0</v>
      </c>
      <c r="E161" s="79">
        <f t="shared" si="91"/>
        <v>0</v>
      </c>
      <c r="F161" s="79">
        <f t="shared" si="91"/>
        <v>0</v>
      </c>
      <c r="G161" s="79">
        <f t="shared" si="91"/>
        <v>0</v>
      </c>
      <c r="H161" s="79">
        <f t="shared" si="91"/>
        <v>0</v>
      </c>
      <c r="I161" s="79">
        <f t="shared" si="91"/>
        <v>0</v>
      </c>
      <c r="J161" s="79">
        <f t="shared" si="91"/>
        <v>0</v>
      </c>
      <c r="K161" s="79">
        <f t="shared" si="91"/>
        <v>0</v>
      </c>
      <c r="L161" s="79">
        <f t="shared" si="91"/>
        <v>0</v>
      </c>
      <c r="M161" s="79">
        <f t="shared" si="91"/>
        <v>0</v>
      </c>
      <c r="N161" s="79">
        <f t="shared" si="91"/>
        <v>0</v>
      </c>
      <c r="O161" s="79">
        <f t="shared" si="91"/>
        <v>0</v>
      </c>
      <c r="P161" s="79">
        <f t="shared" si="91"/>
        <v>0</v>
      </c>
      <c r="Q161" s="79">
        <f t="shared" si="91"/>
        <v>0</v>
      </c>
      <c r="R161" s="79">
        <f t="shared" si="91"/>
        <v>0</v>
      </c>
      <c r="S161" s="79">
        <f t="shared" si="91"/>
        <v>301136.96124005667</v>
      </c>
      <c r="T161" s="79">
        <f t="shared" si="91"/>
        <v>452749.96151585638</v>
      </c>
      <c r="U161" s="79">
        <f t="shared" si="91"/>
        <v>450486.21170827711</v>
      </c>
    </row>
    <row r="163" spans="1:21" ht="15.75" x14ac:dyDescent="0.25">
      <c r="A163" s="177" t="s">
        <v>182</v>
      </c>
      <c r="B163" s="177">
        <v>2024</v>
      </c>
      <c r="C163" s="218">
        <f>C154</f>
        <v>2025</v>
      </c>
      <c r="D163" s="218">
        <f t="shared" ref="D163:U163" si="92">D154</f>
        <v>2026</v>
      </c>
      <c r="E163" s="218">
        <f t="shared" si="92"/>
        <v>2027</v>
      </c>
      <c r="F163" s="218">
        <f t="shared" si="92"/>
        <v>2028</v>
      </c>
      <c r="G163" s="218">
        <f t="shared" si="92"/>
        <v>2029</v>
      </c>
      <c r="H163" s="218">
        <f t="shared" si="92"/>
        <v>2030</v>
      </c>
      <c r="I163" s="218">
        <f t="shared" si="92"/>
        <v>2031</v>
      </c>
      <c r="J163" s="218">
        <f t="shared" si="92"/>
        <v>2032</v>
      </c>
      <c r="K163" s="218">
        <f t="shared" si="92"/>
        <v>2033</v>
      </c>
      <c r="L163" s="218">
        <f t="shared" si="92"/>
        <v>2034</v>
      </c>
      <c r="M163" s="218">
        <f t="shared" si="92"/>
        <v>2035</v>
      </c>
      <c r="N163" s="218">
        <f t="shared" si="92"/>
        <v>2036</v>
      </c>
      <c r="O163" s="218">
        <f t="shared" si="92"/>
        <v>2037</v>
      </c>
      <c r="P163" s="218">
        <f t="shared" si="92"/>
        <v>2038</v>
      </c>
      <c r="Q163" s="218">
        <f t="shared" si="92"/>
        <v>2039</v>
      </c>
      <c r="R163" s="218">
        <f t="shared" si="92"/>
        <v>2040</v>
      </c>
      <c r="S163" s="218">
        <f t="shared" si="92"/>
        <v>2041</v>
      </c>
      <c r="T163" s="218">
        <f t="shared" si="92"/>
        <v>2042</v>
      </c>
      <c r="U163" s="218">
        <f t="shared" si="92"/>
        <v>2043</v>
      </c>
    </row>
    <row r="164" spans="1:21" x14ac:dyDescent="0.25">
      <c r="A164" s="184" t="s">
        <v>138</v>
      </c>
      <c r="B164" s="13">
        <f>SUMIFS(B2:B161, $A$2:$A$161, $A$164)</f>
        <v>0</v>
      </c>
      <c r="C164" s="13">
        <f>SUMIFS(C2:C161, $A$2:$A$161, $A$164)</f>
        <v>145906.86007555202</v>
      </c>
      <c r="D164" s="13">
        <f>SUMIFS(D2:D161, $A$2:$A$161, $A$164)</f>
        <v>291084.18585072627</v>
      </c>
      <c r="E164" s="13">
        <f t="shared" ref="E164:U164" si="93">SUMIFS(E2:E161, $A$2:$A$161, $A$164)</f>
        <v>435535.62499702466</v>
      </c>
      <c r="F164" s="13">
        <f t="shared" si="93"/>
        <v>579264.80694759148</v>
      </c>
      <c r="G164" s="13">
        <f t="shared" si="93"/>
        <v>722275.34298840561</v>
      </c>
      <c r="H164" s="13">
        <f t="shared" si="93"/>
        <v>864570.82634901558</v>
      </c>
      <c r="I164" s="13">
        <f t="shared" si="93"/>
        <v>1006154.8322928224</v>
      </c>
      <c r="J164" s="13">
        <f t="shared" si="93"/>
        <v>1147030.9182069104</v>
      </c>
      <c r="K164" s="13">
        <f t="shared" si="93"/>
        <v>1287202.6236914278</v>
      </c>
      <c r="L164" s="13">
        <f t="shared" si="93"/>
        <v>1353720.0406107467</v>
      </c>
      <c r="M164" s="13">
        <f t="shared" si="93"/>
        <v>1419904.8704454689</v>
      </c>
      <c r="N164" s="13">
        <f t="shared" si="93"/>
        <v>1485758.7761310176</v>
      </c>
      <c r="O164" s="13">
        <f t="shared" si="93"/>
        <v>1551283.4122881386</v>
      </c>
      <c r="P164" s="13">
        <f t="shared" si="93"/>
        <v>1616480.4252644738</v>
      </c>
      <c r="Q164" s="13">
        <f t="shared" si="93"/>
        <v>1681351.4531759275</v>
      </c>
      <c r="R164" s="13">
        <f t="shared" si="93"/>
        <v>1610559.4502040241</v>
      </c>
      <c r="S164" s="13">
        <f t="shared" si="93"/>
        <v>1540121.4072469801</v>
      </c>
      <c r="T164" s="13">
        <f t="shared" si="93"/>
        <v>1397082.1244669452</v>
      </c>
      <c r="U164" s="13">
        <f t="shared" si="93"/>
        <v>1254758.0381008107</v>
      </c>
    </row>
    <row r="165" spans="1:21" x14ac:dyDescent="0.25">
      <c r="A165" s="184" t="s">
        <v>144</v>
      </c>
      <c r="B165" s="13">
        <f>SUMIFS(B2:B161, $A$2:$A$161, $A$165)</f>
        <v>0</v>
      </c>
      <c r="C165" s="13">
        <f t="shared" ref="C165:U165" si="94">SUMIFS(C2:C161, $A$2:$A$161, $A$165)</f>
        <v>155342.33973121329</v>
      </c>
      <c r="D165" s="13">
        <f t="shared" si="94"/>
        <v>309907.96776377049</v>
      </c>
      <c r="E165" s="13">
        <f t="shared" si="94"/>
        <v>463700.76765616494</v>
      </c>
      <c r="F165" s="13">
        <f t="shared" si="94"/>
        <v>616724.60354909743</v>
      </c>
      <c r="G165" s="13">
        <f t="shared" si="94"/>
        <v>768983.32026256516</v>
      </c>
      <c r="H165" s="13">
        <f t="shared" si="94"/>
        <v>920480.74339246564</v>
      </c>
      <c r="I165" s="13">
        <f t="shared" si="94"/>
        <v>1071220.6794067165</v>
      </c>
      <c r="J165" s="13">
        <f t="shared" si="94"/>
        <v>1221206.915740896</v>
      </c>
      <c r="K165" s="13">
        <f t="shared" si="94"/>
        <v>1370443.2208934049</v>
      </c>
      <c r="L165" s="13">
        <f t="shared" si="94"/>
        <v>1441262.1746545446</v>
      </c>
      <c r="M165" s="13">
        <f t="shared" si="94"/>
        <v>1511727.0336468786</v>
      </c>
      <c r="N165" s="13">
        <f t="shared" si="94"/>
        <v>1581839.5683442508</v>
      </c>
      <c r="O165" s="13">
        <f t="shared" si="94"/>
        <v>1651601.5403681363</v>
      </c>
      <c r="P165" s="13">
        <f t="shared" si="94"/>
        <v>1721014.7025319017</v>
      </c>
      <c r="Q165" s="13">
        <f t="shared" si="94"/>
        <v>1790080.7988848488</v>
      </c>
      <c r="R165" s="13">
        <f t="shared" si="94"/>
        <v>1714710.8308777234</v>
      </c>
      <c r="S165" s="13">
        <f t="shared" si="94"/>
        <v>1639717.7127106336</v>
      </c>
      <c r="T165" s="13">
        <f t="shared" si="94"/>
        <v>1487428.3902687728</v>
      </c>
      <c r="U165" s="13">
        <f t="shared" si="94"/>
        <v>1335900.5144391211</v>
      </c>
    </row>
    <row r="166" spans="1:21" x14ac:dyDescent="0.25">
      <c r="A166" s="184" t="s">
        <v>153</v>
      </c>
      <c r="B166" s="13">
        <f>SUMIFS(B2:B161, $A$2:$A$161, $A$166)</f>
        <v>0</v>
      </c>
      <c r="C166" s="13">
        <f t="shared" ref="C166:U166" si="95">SUMIFS(C2:C161, $A$2:$A$161, $A$166)</f>
        <v>0</v>
      </c>
      <c r="D166" s="13">
        <f t="shared" si="95"/>
        <v>266722.870788</v>
      </c>
      <c r="E166" s="13">
        <f t="shared" si="95"/>
        <v>532112.12722205999</v>
      </c>
      <c r="F166" s="13">
        <f t="shared" si="95"/>
        <v>796174.43737394968</v>
      </c>
      <c r="G166" s="13">
        <f t="shared" si="95"/>
        <v>1058916.4359750799</v>
      </c>
      <c r="H166" s="13">
        <f t="shared" si="95"/>
        <v>1320344.7245832046</v>
      </c>
      <c r="I166" s="13">
        <f t="shared" si="95"/>
        <v>1580465.8717482886</v>
      </c>
      <c r="J166" s="13">
        <f t="shared" si="95"/>
        <v>1839286.413177547</v>
      </c>
      <c r="K166" s="13">
        <f t="shared" si="95"/>
        <v>2096812.8518996595</v>
      </c>
      <c r="L166" s="13">
        <f t="shared" si="95"/>
        <v>2353051.6584281609</v>
      </c>
      <c r="M166" s="13">
        <f t="shared" si="95"/>
        <v>2474647.8355300198</v>
      </c>
      <c r="N166" s="13">
        <f t="shared" si="95"/>
        <v>2595636.0317463698</v>
      </c>
      <c r="O166" s="13">
        <f t="shared" si="95"/>
        <v>2716019.2869816381</v>
      </c>
      <c r="P166" s="13">
        <f t="shared" si="95"/>
        <v>2835800.6259407299</v>
      </c>
      <c r="Q166" s="13">
        <f t="shared" si="95"/>
        <v>2954983.0582050257</v>
      </c>
      <c r="R166" s="13">
        <f t="shared" si="95"/>
        <v>3073569.5783080007</v>
      </c>
      <c r="S166" s="13">
        <f t="shared" si="95"/>
        <v>3191563.1658104612</v>
      </c>
      <c r="T166" s="13">
        <f t="shared" si="95"/>
        <v>3308966.7853754088</v>
      </c>
      <c r="U166" s="13">
        <f t="shared" si="95"/>
        <v>3292421.9514485323</v>
      </c>
    </row>
    <row r="167" spans="1:21" x14ac:dyDescent="0.25">
      <c r="A167" s="184" t="s">
        <v>158</v>
      </c>
      <c r="B167" s="13">
        <f>SUMIFS(B2:B161, $A$2:$A$161, $A$167)</f>
        <v>0</v>
      </c>
      <c r="C167" s="13">
        <f t="shared" ref="C167:U167" si="96">SUMIFS(C2:C161, $A$2:$A$161, $A$167)</f>
        <v>128422.12297199998</v>
      </c>
      <c r="D167" s="13">
        <f t="shared" si="96"/>
        <v>256202.13532913997</v>
      </c>
      <c r="E167" s="13">
        <f t="shared" si="96"/>
        <v>383343.24762449425</v>
      </c>
      <c r="F167" s="13">
        <f t="shared" si="96"/>
        <v>509848.6543583718</v>
      </c>
      <c r="G167" s="13">
        <f t="shared" si="96"/>
        <v>635721.53405857994</v>
      </c>
      <c r="H167" s="13">
        <f t="shared" si="96"/>
        <v>760965.04936028691</v>
      </c>
      <c r="I167" s="13">
        <f t="shared" si="96"/>
        <v>885582.34708548547</v>
      </c>
      <c r="J167" s="13">
        <f t="shared" si="96"/>
        <v>1009576.5583220581</v>
      </c>
      <c r="K167" s="13">
        <f t="shared" si="96"/>
        <v>1132950.7985024478</v>
      </c>
      <c r="L167" s="13">
        <f t="shared" si="96"/>
        <v>1191497.1059959354</v>
      </c>
      <c r="M167" s="13">
        <f t="shared" si="96"/>
        <v>1249750.6819519557</v>
      </c>
      <c r="N167" s="13">
        <f t="shared" si="96"/>
        <v>1307712.990028196</v>
      </c>
      <c r="O167" s="13">
        <f t="shared" si="96"/>
        <v>1365385.4865640549</v>
      </c>
      <c r="P167" s="13">
        <f t="shared" si="96"/>
        <v>1422769.6206172348</v>
      </c>
      <c r="Q167" s="13">
        <f t="shared" si="96"/>
        <v>1479866.8340001486</v>
      </c>
      <c r="R167" s="13">
        <f t="shared" si="96"/>
        <v>1536678.5613161477</v>
      </c>
      <c r="S167" s="13">
        <f t="shared" si="96"/>
        <v>1593206.2299955667</v>
      </c>
      <c r="T167" s="13">
        <f t="shared" si="96"/>
        <v>1585240.1988455888</v>
      </c>
      <c r="U167" s="13">
        <f t="shared" si="96"/>
        <v>1577313.9978513608</v>
      </c>
    </row>
    <row r="168" spans="1:21" x14ac:dyDescent="0.25">
      <c r="A168" s="184" t="s">
        <v>162</v>
      </c>
      <c r="B168" s="13">
        <f>SUMIFS(B2:B161, $A$2:$A$161, $A$168)</f>
        <v>0</v>
      </c>
      <c r="C168" s="13">
        <f t="shared" ref="C168:U168" si="97">SUMIFS(C2:C161, $A$2:$A$161, $A$168)</f>
        <v>0</v>
      </c>
      <c r="D168" s="13">
        <f t="shared" si="97"/>
        <v>39514.499376</v>
      </c>
      <c r="E168" s="13">
        <f t="shared" si="97"/>
        <v>78831.426255119994</v>
      </c>
      <c r="F168" s="13">
        <f t="shared" si="97"/>
        <v>117951.76849984439</v>
      </c>
      <c r="G168" s="13">
        <f t="shared" si="97"/>
        <v>156876.50903334518</v>
      </c>
      <c r="H168" s="13">
        <f t="shared" si="97"/>
        <v>195606.62586417844</v>
      </c>
      <c r="I168" s="13">
        <f t="shared" si="97"/>
        <v>234143.09211085757</v>
      </c>
      <c r="J168" s="13">
        <f t="shared" si="97"/>
        <v>272486.87602630333</v>
      </c>
      <c r="K168" s="13">
        <f t="shared" si="97"/>
        <v>310638.94102217181</v>
      </c>
      <c r="L168" s="13">
        <f t="shared" si="97"/>
        <v>348600.24569306098</v>
      </c>
      <c r="M168" s="13">
        <f t="shared" si="97"/>
        <v>366614.49415259564</v>
      </c>
      <c r="N168" s="13">
        <f t="shared" si="97"/>
        <v>384538.67136983265</v>
      </c>
      <c r="O168" s="13">
        <f t="shared" si="97"/>
        <v>402373.22770098347</v>
      </c>
      <c r="P168" s="13">
        <f t="shared" si="97"/>
        <v>420118.6112504786</v>
      </c>
      <c r="Q168" s="13">
        <f t="shared" si="97"/>
        <v>437775.26788222621</v>
      </c>
      <c r="R168" s="13">
        <f t="shared" si="97"/>
        <v>455343.64123081503</v>
      </c>
      <c r="S168" s="13">
        <f t="shared" si="97"/>
        <v>436171.74927309219</v>
      </c>
      <c r="T168" s="13">
        <f t="shared" si="97"/>
        <v>417095.7167751579</v>
      </c>
      <c r="U168" s="13">
        <f t="shared" si="97"/>
        <v>378357.81475171342</v>
      </c>
    </row>
    <row r="169" spans="1:21" x14ac:dyDescent="0.25">
      <c r="A169" s="12" t="s">
        <v>165</v>
      </c>
      <c r="B169" s="13">
        <f>SUMIFS(B2:B161, $A$2:$A$161, $A$169)</f>
        <v>0</v>
      </c>
      <c r="C169" s="13">
        <f t="shared" ref="C169:U169" si="98">SUMIFS(C2:C161, $A$2:$A$161, $A$169)</f>
        <v>172602.59970134808</v>
      </c>
      <c r="D169" s="13">
        <f t="shared" si="98"/>
        <v>344342.18640418944</v>
      </c>
      <c r="E169" s="13">
        <f t="shared" si="98"/>
        <v>515223.07517351652</v>
      </c>
      <c r="F169" s="13">
        <f t="shared" si="98"/>
        <v>685249.55949899706</v>
      </c>
      <c r="G169" s="13">
        <f t="shared" si="98"/>
        <v>854425.9114028503</v>
      </c>
      <c r="H169" s="13">
        <f t="shared" si="98"/>
        <v>1022756.3815471841</v>
      </c>
      <c r="I169" s="13">
        <f t="shared" si="98"/>
        <v>1190245.1993407961</v>
      </c>
      <c r="J169" s="13">
        <f t="shared" si="98"/>
        <v>1356896.5730454403</v>
      </c>
      <c r="K169" s="13">
        <f t="shared" si="98"/>
        <v>1522714.6898815611</v>
      </c>
      <c r="L169" s="13">
        <f t="shared" si="98"/>
        <v>1601402.4162828275</v>
      </c>
      <c r="M169" s="13">
        <f t="shared" si="98"/>
        <v>1679696.7040520874</v>
      </c>
      <c r="N169" s="13">
        <f t="shared" si="98"/>
        <v>1757599.520382501</v>
      </c>
      <c r="O169" s="13">
        <f t="shared" si="98"/>
        <v>1835112.8226312622</v>
      </c>
      <c r="P169" s="13">
        <f t="shared" si="98"/>
        <v>1912238.5583687802</v>
      </c>
      <c r="Q169" s="13">
        <f t="shared" si="98"/>
        <v>1988978.6654276103</v>
      </c>
      <c r="R169" s="13">
        <f t="shared" si="98"/>
        <v>1905234.2565308043</v>
      </c>
      <c r="S169" s="13">
        <f t="shared" si="98"/>
        <v>1821908.5696784819</v>
      </c>
      <c r="T169" s="13">
        <f t="shared" si="98"/>
        <v>1652698.2114097476</v>
      </c>
      <c r="U169" s="13">
        <f t="shared" si="98"/>
        <v>1484333.9049323569</v>
      </c>
    </row>
    <row r="170" spans="1:21" x14ac:dyDescent="0.25">
      <c r="A170" s="14" t="s">
        <v>93</v>
      </c>
      <c r="B170" s="13">
        <f>SUM(B164:B169)</f>
        <v>0</v>
      </c>
      <c r="C170" s="13">
        <f t="shared" ref="C170:U170" si="99">SUM(C164:C169)</f>
        <v>602273.92248011334</v>
      </c>
      <c r="D170" s="13">
        <f>SUM(D164:D169)</f>
        <v>1507773.8455118262</v>
      </c>
      <c r="E170" s="13">
        <f t="shared" si="99"/>
        <v>2408746.2689283807</v>
      </c>
      <c r="F170" s="13">
        <f t="shared" si="99"/>
        <v>3305213.8302278514</v>
      </c>
      <c r="G170" s="13">
        <f t="shared" si="99"/>
        <v>4197199.0537208254</v>
      </c>
      <c r="H170" s="13">
        <f t="shared" si="99"/>
        <v>5084724.3510963349</v>
      </c>
      <c r="I170" s="13">
        <f t="shared" si="99"/>
        <v>5967812.0219849665</v>
      </c>
      <c r="J170" s="13">
        <f t="shared" si="99"/>
        <v>6846484.2545191552</v>
      </c>
      <c r="K170" s="13">
        <f t="shared" si="99"/>
        <v>7720763.1258906731</v>
      </c>
      <c r="L170" s="13">
        <f t="shared" si="99"/>
        <v>8289533.6416652761</v>
      </c>
      <c r="M170" s="13">
        <f t="shared" si="99"/>
        <v>8702341.6197790056</v>
      </c>
      <c r="N170" s="13">
        <f t="shared" si="99"/>
        <v>9113085.5580021683</v>
      </c>
      <c r="O170" s="13">
        <f t="shared" si="99"/>
        <v>9521775.7765342146</v>
      </c>
      <c r="P170" s="13">
        <f t="shared" si="99"/>
        <v>9928422.5439735986</v>
      </c>
      <c r="Q170" s="13">
        <f t="shared" si="99"/>
        <v>10333036.077575788</v>
      </c>
      <c r="R170" s="13">
        <f t="shared" si="99"/>
        <v>10296096.318467515</v>
      </c>
      <c r="S170" s="13">
        <f t="shared" si="99"/>
        <v>10222688.834715215</v>
      </c>
      <c r="T170" s="13">
        <f t="shared" si="99"/>
        <v>9848511.4271416217</v>
      </c>
      <c r="U170" s="13">
        <f t="shared" si="99"/>
        <v>9323086.221523894</v>
      </c>
    </row>
    <row r="173" spans="1:21" x14ac:dyDescent="0.25">
      <c r="A173" s="177"/>
      <c r="B173" s="177">
        <v>2024</v>
      </c>
      <c r="C173" s="177">
        <f>C163</f>
        <v>2025</v>
      </c>
      <c r="D173" s="177">
        <f t="shared" ref="D173:U173" si="100">D163</f>
        <v>2026</v>
      </c>
      <c r="E173" s="177">
        <f t="shared" si="100"/>
        <v>2027</v>
      </c>
      <c r="F173" s="177">
        <f t="shared" si="100"/>
        <v>2028</v>
      </c>
      <c r="G173" s="177">
        <f t="shared" si="100"/>
        <v>2029</v>
      </c>
      <c r="H173" s="177">
        <f t="shared" si="100"/>
        <v>2030</v>
      </c>
      <c r="I173" s="177">
        <f t="shared" si="100"/>
        <v>2031</v>
      </c>
      <c r="J173" s="177">
        <f t="shared" si="100"/>
        <v>2032</v>
      </c>
      <c r="K173" s="177">
        <f t="shared" si="100"/>
        <v>2033</v>
      </c>
      <c r="L173" s="177">
        <f t="shared" si="100"/>
        <v>2034</v>
      </c>
      <c r="M173" s="177">
        <f t="shared" si="100"/>
        <v>2035</v>
      </c>
      <c r="N173" s="177">
        <f t="shared" si="100"/>
        <v>2036</v>
      </c>
      <c r="O173" s="177">
        <f t="shared" si="100"/>
        <v>2037</v>
      </c>
      <c r="P173" s="177">
        <f t="shared" si="100"/>
        <v>2038</v>
      </c>
      <c r="Q173" s="177">
        <f t="shared" si="100"/>
        <v>2039</v>
      </c>
      <c r="R173" s="177">
        <f t="shared" si="100"/>
        <v>2040</v>
      </c>
      <c r="S173" s="177">
        <f t="shared" si="100"/>
        <v>2041</v>
      </c>
      <c r="T173" s="177">
        <f t="shared" si="100"/>
        <v>2042</v>
      </c>
      <c r="U173" s="177">
        <f t="shared" si="100"/>
        <v>2043</v>
      </c>
    </row>
    <row r="174" spans="1:21" x14ac:dyDescent="0.25">
      <c r="A174" s="177" t="s">
        <v>181</v>
      </c>
      <c r="B174" s="287">
        <f>B170</f>
        <v>0</v>
      </c>
      <c r="C174" s="287">
        <f>C$8</f>
        <v>0</v>
      </c>
      <c r="D174" s="287">
        <f t="shared" ref="D174:U174" si="101">D$8</f>
        <v>0</v>
      </c>
      <c r="E174" s="287">
        <f t="shared" si="101"/>
        <v>0</v>
      </c>
      <c r="F174" s="287">
        <f t="shared" si="101"/>
        <v>0</v>
      </c>
      <c r="G174" s="287">
        <f t="shared" si="101"/>
        <v>0</v>
      </c>
      <c r="H174" s="287">
        <f t="shared" si="101"/>
        <v>0</v>
      </c>
      <c r="I174" s="287">
        <f t="shared" si="101"/>
        <v>0</v>
      </c>
      <c r="J174" s="287">
        <f t="shared" si="101"/>
        <v>0</v>
      </c>
      <c r="K174" s="287">
        <f t="shared" si="101"/>
        <v>0</v>
      </c>
      <c r="L174" s="287">
        <f t="shared" si="101"/>
        <v>0</v>
      </c>
      <c r="M174" s="287">
        <f t="shared" si="101"/>
        <v>0</v>
      </c>
      <c r="N174" s="287">
        <f t="shared" si="101"/>
        <v>0</v>
      </c>
      <c r="O174" s="287">
        <f t="shared" si="101"/>
        <v>0</v>
      </c>
      <c r="P174" s="287">
        <f t="shared" si="101"/>
        <v>0</v>
      </c>
      <c r="Q174" s="287">
        <f t="shared" si="101"/>
        <v>0</v>
      </c>
      <c r="R174" s="287">
        <f t="shared" si="101"/>
        <v>0</v>
      </c>
      <c r="S174" s="287">
        <f t="shared" si="101"/>
        <v>0</v>
      </c>
      <c r="T174" s="287">
        <f t="shared" si="101"/>
        <v>0</v>
      </c>
      <c r="U174" s="287">
        <f t="shared" si="101"/>
        <v>0</v>
      </c>
    </row>
    <row r="175" spans="1:21" x14ac:dyDescent="0.25">
      <c r="A175" s="177" t="s">
        <v>99</v>
      </c>
      <c r="B175" s="287">
        <f>B17+B26</f>
        <v>0</v>
      </c>
      <c r="C175" s="287">
        <f>C17+C26</f>
        <v>602273.92248011334</v>
      </c>
      <c r="D175" s="287">
        <f>D17+D26</f>
        <v>1507773.8455118262</v>
      </c>
      <c r="E175" s="287">
        <f t="shared" ref="E175:U175" si="102">E17+E26</f>
        <v>1806472.3464482669</v>
      </c>
      <c r="F175" s="287">
        <f t="shared" si="102"/>
        <v>1797439.9847160256</v>
      </c>
      <c r="G175" s="287">
        <f t="shared" si="102"/>
        <v>1788452.7847924456</v>
      </c>
      <c r="H175" s="287">
        <f t="shared" si="102"/>
        <v>1779510.5208684835</v>
      </c>
      <c r="I175" s="287">
        <f t="shared" si="102"/>
        <v>1770612.9682641409</v>
      </c>
      <c r="J175" s="287">
        <f t="shared" si="102"/>
        <v>1761759.9034228201</v>
      </c>
      <c r="K175" s="287">
        <f t="shared" si="102"/>
        <v>1752951.1039057062</v>
      </c>
      <c r="L175" s="287">
        <f t="shared" si="102"/>
        <v>1744186.3483861773</v>
      </c>
      <c r="M175" s="287">
        <f t="shared" si="102"/>
        <v>1735465.4166442463</v>
      </c>
      <c r="N175" s="287">
        <f t="shared" si="102"/>
        <v>1726788.0895610251</v>
      </c>
      <c r="O175" s="287">
        <f t="shared" si="102"/>
        <v>1718154.1491132202</v>
      </c>
      <c r="P175" s="287">
        <f t="shared" si="102"/>
        <v>1709563.378367654</v>
      </c>
      <c r="Q175" s="287">
        <f t="shared" si="102"/>
        <v>1701015.5614758157</v>
      </c>
      <c r="R175" s="287">
        <f t="shared" si="102"/>
        <v>1252980.258625987</v>
      </c>
      <c r="S175" s="287">
        <f t="shared" si="102"/>
        <v>770532.70885083848</v>
      </c>
      <c r="T175" s="287">
        <f t="shared" si="102"/>
        <v>730027.62186701549</v>
      </c>
      <c r="U175" s="287">
        <f t="shared" si="102"/>
        <v>726377.48375768051</v>
      </c>
    </row>
    <row r="176" spans="1:21" x14ac:dyDescent="0.25">
      <c r="A176" s="177" t="s">
        <v>100</v>
      </c>
      <c r="B176" s="287">
        <f>B35+B44</f>
        <v>0</v>
      </c>
      <c r="C176" s="287">
        <f>C35+C44</f>
        <v>0</v>
      </c>
      <c r="D176" s="287">
        <f t="shared" ref="D176:U176" si="103">D35+D44</f>
        <v>0</v>
      </c>
      <c r="E176" s="287">
        <f t="shared" si="103"/>
        <v>602273.92248011334</v>
      </c>
      <c r="F176" s="287">
        <f t="shared" si="103"/>
        <v>1507773.8455118262</v>
      </c>
      <c r="G176" s="287">
        <f t="shared" si="103"/>
        <v>1806472.3464482669</v>
      </c>
      <c r="H176" s="287">
        <f t="shared" si="103"/>
        <v>1797439.9847160256</v>
      </c>
      <c r="I176" s="287">
        <f t="shared" si="103"/>
        <v>1788452.7847924456</v>
      </c>
      <c r="J176" s="287">
        <f t="shared" si="103"/>
        <v>1779510.5208684835</v>
      </c>
      <c r="K176" s="287">
        <f t="shared" si="103"/>
        <v>1770612.9682641409</v>
      </c>
      <c r="L176" s="287">
        <f t="shared" si="103"/>
        <v>1761759.9034228201</v>
      </c>
      <c r="M176" s="287">
        <f t="shared" si="103"/>
        <v>1752951.1039057062</v>
      </c>
      <c r="N176" s="287">
        <f t="shared" si="103"/>
        <v>1744186.3483861773</v>
      </c>
      <c r="O176" s="287">
        <f t="shared" si="103"/>
        <v>1735465.4166442463</v>
      </c>
      <c r="P176" s="287">
        <f t="shared" si="103"/>
        <v>1726788.0895610251</v>
      </c>
      <c r="Q176" s="287">
        <f t="shared" si="103"/>
        <v>1718154.1491132202</v>
      </c>
      <c r="R176" s="287">
        <f t="shared" si="103"/>
        <v>1709563.378367654</v>
      </c>
      <c r="S176" s="287">
        <f t="shared" si="103"/>
        <v>1701015.5614758157</v>
      </c>
      <c r="T176" s="287">
        <f t="shared" si="103"/>
        <v>1252980.258625987</v>
      </c>
      <c r="U176" s="287">
        <f t="shared" si="103"/>
        <v>770532.70885083848</v>
      </c>
    </row>
    <row r="177" spans="1:21" x14ac:dyDescent="0.25">
      <c r="A177" s="177" t="s">
        <v>101</v>
      </c>
      <c r="B177" s="287">
        <f>B53+B62</f>
        <v>0</v>
      </c>
      <c r="C177" s="287">
        <f>C53+C62</f>
        <v>0</v>
      </c>
      <c r="D177" s="287">
        <f t="shared" ref="D177:U177" si="104">D53+D62</f>
        <v>0</v>
      </c>
      <c r="E177" s="287">
        <f t="shared" si="104"/>
        <v>0</v>
      </c>
      <c r="F177" s="287">
        <f t="shared" si="104"/>
        <v>0</v>
      </c>
      <c r="G177" s="287">
        <f t="shared" si="104"/>
        <v>602273.92248011334</v>
      </c>
      <c r="H177" s="287">
        <f t="shared" si="104"/>
        <v>1507773.8455118262</v>
      </c>
      <c r="I177" s="287">
        <f t="shared" si="104"/>
        <v>1806472.3464482669</v>
      </c>
      <c r="J177" s="287">
        <f t="shared" si="104"/>
        <v>1797439.9847160256</v>
      </c>
      <c r="K177" s="287">
        <f t="shared" si="104"/>
        <v>1788452.7847924456</v>
      </c>
      <c r="L177" s="287">
        <f t="shared" si="104"/>
        <v>1779510.5208684835</v>
      </c>
      <c r="M177" s="287">
        <f t="shared" si="104"/>
        <v>1770612.9682641409</v>
      </c>
      <c r="N177" s="287">
        <f t="shared" si="104"/>
        <v>1761759.9034228201</v>
      </c>
      <c r="O177" s="287">
        <f t="shared" si="104"/>
        <v>1752951.1039057062</v>
      </c>
      <c r="P177" s="287">
        <f t="shared" si="104"/>
        <v>1744186.3483861773</v>
      </c>
      <c r="Q177" s="287">
        <f t="shared" si="104"/>
        <v>1735465.4166442463</v>
      </c>
      <c r="R177" s="287">
        <f t="shared" si="104"/>
        <v>1726788.0895610251</v>
      </c>
      <c r="S177" s="287">
        <f t="shared" si="104"/>
        <v>1718154.1491132202</v>
      </c>
      <c r="T177" s="287">
        <f t="shared" si="104"/>
        <v>1709563.378367654</v>
      </c>
      <c r="U177" s="287">
        <f t="shared" si="104"/>
        <v>1701015.5614758157</v>
      </c>
    </row>
    <row r="178" spans="1:21" x14ac:dyDescent="0.25">
      <c r="A178" s="177" t="s">
        <v>102</v>
      </c>
      <c r="B178" s="287">
        <f>B71+B80</f>
        <v>0</v>
      </c>
      <c r="C178" s="287">
        <f>C71+C80</f>
        <v>0</v>
      </c>
      <c r="D178" s="287">
        <f t="shared" ref="D178:U178" si="105">D71+D80</f>
        <v>0</v>
      </c>
      <c r="E178" s="287">
        <f t="shared" si="105"/>
        <v>0</v>
      </c>
      <c r="F178" s="287">
        <f t="shared" si="105"/>
        <v>0</v>
      </c>
      <c r="G178" s="287">
        <f t="shared" si="105"/>
        <v>0</v>
      </c>
      <c r="H178" s="287">
        <f t="shared" si="105"/>
        <v>0</v>
      </c>
      <c r="I178" s="287">
        <f t="shared" si="105"/>
        <v>602273.92248011334</v>
      </c>
      <c r="J178" s="287">
        <f t="shared" si="105"/>
        <v>1507773.8455118262</v>
      </c>
      <c r="K178" s="287">
        <f t="shared" si="105"/>
        <v>1806472.3464482669</v>
      </c>
      <c r="L178" s="287">
        <f t="shared" si="105"/>
        <v>1797439.9847160256</v>
      </c>
      <c r="M178" s="287">
        <f t="shared" si="105"/>
        <v>1788452.7847924456</v>
      </c>
      <c r="N178" s="287">
        <f t="shared" si="105"/>
        <v>1779510.5208684835</v>
      </c>
      <c r="O178" s="287">
        <f t="shared" si="105"/>
        <v>1770612.9682641409</v>
      </c>
      <c r="P178" s="287">
        <f t="shared" si="105"/>
        <v>1761759.9034228201</v>
      </c>
      <c r="Q178" s="287">
        <f t="shared" si="105"/>
        <v>1752951.1039057062</v>
      </c>
      <c r="R178" s="287">
        <f t="shared" si="105"/>
        <v>1744186.3483861773</v>
      </c>
      <c r="S178" s="287">
        <f t="shared" si="105"/>
        <v>1735465.4166442463</v>
      </c>
      <c r="T178" s="287">
        <f t="shared" si="105"/>
        <v>1726788.0895610251</v>
      </c>
      <c r="U178" s="287">
        <f t="shared" si="105"/>
        <v>1718154.1491132202</v>
      </c>
    </row>
    <row r="179" spans="1:21" x14ac:dyDescent="0.25">
      <c r="A179" s="177" t="s">
        <v>103</v>
      </c>
      <c r="B179" s="287">
        <f>B89+B98</f>
        <v>0</v>
      </c>
      <c r="C179" s="287">
        <f>C89+C98</f>
        <v>0</v>
      </c>
      <c r="D179" s="287">
        <f t="shared" ref="D179:U179" si="106">D89+D98</f>
        <v>0</v>
      </c>
      <c r="E179" s="287">
        <f t="shared" si="106"/>
        <v>0</v>
      </c>
      <c r="F179" s="287">
        <f t="shared" si="106"/>
        <v>0</v>
      </c>
      <c r="G179" s="287">
        <f t="shared" si="106"/>
        <v>0</v>
      </c>
      <c r="H179" s="287">
        <f t="shared" si="106"/>
        <v>0</v>
      </c>
      <c r="I179" s="287">
        <f t="shared" si="106"/>
        <v>0</v>
      </c>
      <c r="J179" s="287">
        <f t="shared" si="106"/>
        <v>0</v>
      </c>
      <c r="K179" s="287">
        <f t="shared" si="106"/>
        <v>602273.92248011334</v>
      </c>
      <c r="L179" s="287">
        <f t="shared" si="106"/>
        <v>1206636.8842717693</v>
      </c>
      <c r="M179" s="287">
        <f t="shared" si="106"/>
        <v>1353722.3849324107</v>
      </c>
      <c r="N179" s="287">
        <f t="shared" si="106"/>
        <v>1346953.7730077486</v>
      </c>
      <c r="O179" s="287">
        <f t="shared" si="106"/>
        <v>1340219.00414271</v>
      </c>
      <c r="P179" s="287">
        <f t="shared" si="106"/>
        <v>1333517.9091219963</v>
      </c>
      <c r="Q179" s="287">
        <f t="shared" si="106"/>
        <v>1326850.3195763864</v>
      </c>
      <c r="R179" s="287">
        <f t="shared" si="106"/>
        <v>1320216.0679785043</v>
      </c>
      <c r="S179" s="287">
        <f t="shared" si="106"/>
        <v>1313614.9876386118</v>
      </c>
      <c r="T179" s="287">
        <f t="shared" si="106"/>
        <v>1307046.9127004186</v>
      </c>
      <c r="U179" s="287">
        <f t="shared" si="106"/>
        <v>1300511.6781369164</v>
      </c>
    </row>
    <row r="180" spans="1:21" x14ac:dyDescent="0.25">
      <c r="A180" s="177" t="s">
        <v>104</v>
      </c>
      <c r="B180" s="287">
        <f>B107+B116</f>
        <v>0</v>
      </c>
      <c r="C180" s="287">
        <f>C107+C116</f>
        <v>0</v>
      </c>
      <c r="D180" s="287">
        <f t="shared" ref="D180:U180" si="107">D107+D116</f>
        <v>0</v>
      </c>
      <c r="E180" s="287">
        <f t="shared" si="107"/>
        <v>0</v>
      </c>
      <c r="F180" s="287">
        <f t="shared" si="107"/>
        <v>0</v>
      </c>
      <c r="G180" s="287">
        <f t="shared" si="107"/>
        <v>0</v>
      </c>
      <c r="H180" s="287">
        <f t="shared" si="107"/>
        <v>0</v>
      </c>
      <c r="I180" s="287">
        <f t="shared" si="107"/>
        <v>0</v>
      </c>
      <c r="J180" s="287">
        <f t="shared" si="107"/>
        <v>0</v>
      </c>
      <c r="K180" s="287">
        <f t="shared" si="107"/>
        <v>0</v>
      </c>
      <c r="L180" s="287">
        <f t="shared" si="107"/>
        <v>0</v>
      </c>
      <c r="M180" s="287">
        <f t="shared" si="107"/>
        <v>301136.96124005667</v>
      </c>
      <c r="N180" s="287">
        <f t="shared" si="107"/>
        <v>753886.92275591311</v>
      </c>
      <c r="O180" s="287">
        <f t="shared" si="107"/>
        <v>903236.17322413344</v>
      </c>
      <c r="P180" s="287">
        <f t="shared" si="107"/>
        <v>898719.99235801282</v>
      </c>
      <c r="Q180" s="287">
        <f t="shared" si="107"/>
        <v>894226.3923962228</v>
      </c>
      <c r="R180" s="287">
        <f t="shared" si="107"/>
        <v>889755.26043424173</v>
      </c>
      <c r="S180" s="287">
        <f t="shared" si="107"/>
        <v>885306.48413207044</v>
      </c>
      <c r="T180" s="287">
        <f t="shared" si="107"/>
        <v>880879.95171141007</v>
      </c>
      <c r="U180" s="287">
        <f t="shared" si="107"/>
        <v>876475.5519528531</v>
      </c>
    </row>
    <row r="181" spans="1:21" x14ac:dyDescent="0.25">
      <c r="A181" s="177" t="s">
        <v>105</v>
      </c>
      <c r="B181" s="287">
        <f t="shared" ref="B181:U181" si="108">B125+B134</f>
        <v>0</v>
      </c>
      <c r="C181" s="287">
        <f t="shared" si="108"/>
        <v>0</v>
      </c>
      <c r="D181" s="287">
        <f t="shared" si="108"/>
        <v>0</v>
      </c>
      <c r="E181" s="287">
        <f t="shared" si="108"/>
        <v>0</v>
      </c>
      <c r="F181" s="287">
        <f t="shared" si="108"/>
        <v>0</v>
      </c>
      <c r="G181" s="287">
        <f t="shared" si="108"/>
        <v>0</v>
      </c>
      <c r="H181" s="287">
        <f t="shared" si="108"/>
        <v>0</v>
      </c>
      <c r="I181" s="287">
        <f t="shared" si="108"/>
        <v>0</v>
      </c>
      <c r="J181" s="287">
        <f t="shared" si="108"/>
        <v>0</v>
      </c>
      <c r="K181" s="287">
        <f t="shared" si="108"/>
        <v>0</v>
      </c>
      <c r="L181" s="287">
        <f t="shared" si="108"/>
        <v>0</v>
      </c>
      <c r="M181" s="287">
        <f t="shared" si="108"/>
        <v>0</v>
      </c>
      <c r="N181" s="287">
        <f t="shared" si="108"/>
        <v>0</v>
      </c>
      <c r="O181" s="287">
        <f t="shared" si="108"/>
        <v>301136.96124005667</v>
      </c>
      <c r="P181" s="287">
        <f t="shared" si="108"/>
        <v>753886.92275591311</v>
      </c>
      <c r="Q181" s="287">
        <f t="shared" si="108"/>
        <v>903236.17322413344</v>
      </c>
      <c r="R181" s="287">
        <f t="shared" si="108"/>
        <v>898719.99235801282</v>
      </c>
      <c r="S181" s="287">
        <f t="shared" si="108"/>
        <v>894226.3923962228</v>
      </c>
      <c r="T181" s="287">
        <f t="shared" si="108"/>
        <v>889755.26043424173</v>
      </c>
      <c r="U181" s="287">
        <f t="shared" si="108"/>
        <v>885306.48413207044</v>
      </c>
    </row>
    <row r="182" spans="1:21" x14ac:dyDescent="0.25">
      <c r="A182" s="177" t="s">
        <v>106</v>
      </c>
      <c r="B182" s="287">
        <f>B143+B152</f>
        <v>0</v>
      </c>
      <c r="C182" s="287">
        <f>C143+C152</f>
        <v>0</v>
      </c>
      <c r="D182" s="287">
        <f t="shared" ref="D182:U182" si="109">D143+D152</f>
        <v>0</v>
      </c>
      <c r="E182" s="287">
        <f t="shared" si="109"/>
        <v>0</v>
      </c>
      <c r="F182" s="287">
        <f t="shared" si="109"/>
        <v>0</v>
      </c>
      <c r="G182" s="287">
        <f t="shared" si="109"/>
        <v>0</v>
      </c>
      <c r="H182" s="287">
        <f t="shared" si="109"/>
        <v>0</v>
      </c>
      <c r="I182" s="287">
        <f t="shared" si="109"/>
        <v>0</v>
      </c>
      <c r="J182" s="287">
        <f t="shared" si="109"/>
        <v>0</v>
      </c>
      <c r="K182" s="287">
        <f t="shared" si="109"/>
        <v>0</v>
      </c>
      <c r="L182" s="287">
        <f t="shared" si="109"/>
        <v>0</v>
      </c>
      <c r="M182" s="287">
        <f t="shared" si="109"/>
        <v>0</v>
      </c>
      <c r="N182" s="287">
        <f t="shared" si="109"/>
        <v>0</v>
      </c>
      <c r="O182" s="287">
        <f t="shared" si="109"/>
        <v>0</v>
      </c>
      <c r="P182" s="287">
        <f t="shared" si="109"/>
        <v>0</v>
      </c>
      <c r="Q182" s="287">
        <f t="shared" si="109"/>
        <v>301136.96124005667</v>
      </c>
      <c r="R182" s="287">
        <f t="shared" si="109"/>
        <v>753886.92275591311</v>
      </c>
      <c r="S182" s="287">
        <f t="shared" si="109"/>
        <v>903236.17322413344</v>
      </c>
      <c r="T182" s="287">
        <f t="shared" si="109"/>
        <v>898719.99235801282</v>
      </c>
      <c r="U182" s="287">
        <f t="shared" si="109"/>
        <v>894226.3923962228</v>
      </c>
    </row>
    <row r="183" spans="1:21" x14ac:dyDescent="0.25">
      <c r="A183" s="177" t="s">
        <v>107</v>
      </c>
      <c r="B183" s="287">
        <f>B161*2</f>
        <v>0</v>
      </c>
      <c r="C183" s="287">
        <f>C161*2</f>
        <v>0</v>
      </c>
      <c r="D183" s="287">
        <f t="shared" ref="D183:U183" si="110">D161*2</f>
        <v>0</v>
      </c>
      <c r="E183" s="287">
        <f t="shared" si="110"/>
        <v>0</v>
      </c>
      <c r="F183" s="287">
        <f t="shared" si="110"/>
        <v>0</v>
      </c>
      <c r="G183" s="287">
        <f t="shared" si="110"/>
        <v>0</v>
      </c>
      <c r="H183" s="287">
        <f t="shared" si="110"/>
        <v>0</v>
      </c>
      <c r="I183" s="287">
        <f t="shared" si="110"/>
        <v>0</v>
      </c>
      <c r="J183" s="287">
        <f t="shared" si="110"/>
        <v>0</v>
      </c>
      <c r="K183" s="287">
        <f t="shared" si="110"/>
        <v>0</v>
      </c>
      <c r="L183" s="287">
        <f t="shared" si="110"/>
        <v>0</v>
      </c>
      <c r="M183" s="287">
        <f t="shared" si="110"/>
        <v>0</v>
      </c>
      <c r="N183" s="287">
        <f t="shared" si="110"/>
        <v>0</v>
      </c>
      <c r="O183" s="287">
        <f t="shared" si="110"/>
        <v>0</v>
      </c>
      <c r="P183" s="287">
        <f t="shared" si="110"/>
        <v>0</v>
      </c>
      <c r="Q183" s="287">
        <f t="shared" si="110"/>
        <v>0</v>
      </c>
      <c r="R183" s="287">
        <f t="shared" si="110"/>
        <v>0</v>
      </c>
      <c r="S183" s="287">
        <f t="shared" si="110"/>
        <v>602273.92248011334</v>
      </c>
      <c r="T183" s="287">
        <f t="shared" si="110"/>
        <v>905499.92303171277</v>
      </c>
      <c r="U183" s="287">
        <f t="shared" si="110"/>
        <v>900972.42341655423</v>
      </c>
    </row>
  </sheetData>
  <printOptions horizontalCentered="1" verticalCentered="1"/>
  <pageMargins left="0.7" right="0.7" top="0.75" bottom="0.75" header="0.3" footer="0.3"/>
  <pageSetup scale="42" fitToHeight="3" orientation="landscape" r:id="rId1"/>
  <headerFooter>
    <oddHeader>&amp;A</oddHeader>
  </headerFooter>
  <rowBreaks count="1" manualBreakCount="1">
    <brk id="44" max="16383" man="1"/>
  </rowBreaks>
  <customProperties>
    <customPr name="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49d9eb7-b7cc-4e27-879b-01b4831586a2" xsi:nil="true"/>
    <lcf76f155ced4ddcb4097134ff3c332f xmlns="07eb0168-e38f-4593-8bb7-e13af032c594">
      <Terms xmlns="http://schemas.microsoft.com/office/infopath/2007/PartnerControls"/>
    </lcf76f155ced4ddcb4097134ff3c332f>
    <SharedWithUsers xmlns="449d9eb7-b7cc-4e27-879b-01b4831586a2">
      <UserInfo>
        <DisplayName>Amos, Marcus</DisplayName>
        <AccountId>129</AccountId>
        <AccountType/>
      </UserInfo>
    </SharedWithUsers>
    <Goaldatetocompletereview_x003a_ xmlns="07eb0168-e38f-4593-8bb7-e13af032c594" xsi:nil="true"/>
    <ManagerApproval xmlns="07eb0168-e38f-4593-8bb7-e13af032c594">
      <UserInfo>
        <DisplayName/>
        <AccountId xsi:nil="true"/>
        <AccountType/>
      </UserInfo>
    </ManagerApproval>
    <Notes_x0020_to_x0020_consider_x0020_before_x0020_reviewing_x003a_ xmlns="07eb0168-e38f-4593-8bb7-e13af032c594" xsi:nil="true"/>
    <_ip_UnifiedCompliancePolicyUIAction xmlns="http://schemas.microsoft.com/sharepoint/v3" xsi:nil="true"/>
    <Status xmlns="07eb0168-e38f-4593-8bb7-e13af032c594" xsi:nil="true"/>
    <TeamStatus xmlns="07eb0168-e38f-4593-8bb7-e13af032c594" xsi:nil="true"/>
    <_ip_UnifiedCompliancePolicyProperties xmlns="http://schemas.microsoft.com/sharepoint/v3" xsi:nil="true"/>
    <Notes xmlns="07eb0168-e38f-4593-8bb7-e13af032c594" xsi:nil="true"/>
    <Finished xmlns="07eb0168-e38f-4593-8bb7-e13af032c594">2022-08-30T00:00:00+00:00</Finished>
    <Completed xmlns="07eb0168-e38f-4593-8bb7-e13af032c594">true</Completed>
    <legal xmlns="07eb0168-e38f-4593-8bb7-e13af032c594">
      <UserInfo>
        <DisplayName/>
        <AccountId xsi:nil="true"/>
        <AccountType/>
      </UserInfo>
    </legal>
    <Roll_x002d_Call xmlns="07eb0168-e38f-4593-8bb7-e13af032c594">
      <UserInfo>
        <DisplayName/>
        <AccountId xsi:nil="true"/>
        <AccountType/>
      </UserInfo>
    </Roll_x002d_Cal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7D9C6DF2CFA2344B8438EA57D1C19B2" ma:contentTypeVersion="38" ma:contentTypeDescription="Create a new document." ma:contentTypeScope="" ma:versionID="be79e58952322c68e1262490a8baca4b">
  <xsd:schema xmlns:xsd="http://www.w3.org/2001/XMLSchema" xmlns:xs="http://www.w3.org/2001/XMLSchema" xmlns:p="http://schemas.microsoft.com/office/2006/metadata/properties" xmlns:ns1="http://schemas.microsoft.com/sharepoint/v3" xmlns:ns2="07eb0168-e38f-4593-8bb7-e13af032c594" xmlns:ns3="449d9eb7-b7cc-4e27-879b-01b4831586a2" targetNamespace="http://schemas.microsoft.com/office/2006/metadata/properties" ma:root="true" ma:fieldsID="b29dddca1f498f04e63b02cd92c8f757" ns1:_="" ns2:_="" ns3:_="">
    <xsd:import namespace="http://schemas.microsoft.com/sharepoint/v3"/>
    <xsd:import namespace="07eb0168-e38f-4593-8bb7-e13af032c594"/>
    <xsd:import namespace="449d9eb7-b7cc-4e27-879b-01b4831586a2"/>
    <xsd:element name="properties">
      <xsd:complexType>
        <xsd:sequence>
          <xsd:element name="documentManagement">
            <xsd:complexType>
              <xsd:all>
                <xsd:element ref="ns2:Notes_x0020_to_x0020_consider_x0020_before_x0020_reviewing_x003a_" minOccurs="0"/>
                <xsd:element ref="ns2:MediaServiceMetadata" minOccurs="0"/>
                <xsd:element ref="ns2:MediaServiceFastMetadata" minOccurs="0"/>
                <xsd:element ref="ns2:legal" minOccurs="0"/>
                <xsd:element ref="ns3:SharedWithUsers" minOccurs="0"/>
                <xsd:element ref="ns3:SharedWithDetails" minOccurs="0"/>
                <xsd:element ref="ns2:Finished"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TeamStatus" minOccurs="0"/>
                <xsd:element ref="ns2:Goaldatetocompletereview_x003a_" minOccurs="0"/>
                <xsd:element ref="ns1:_ip_UnifiedCompliancePolicyProperties" minOccurs="0"/>
                <xsd:element ref="ns1:_ip_UnifiedCompliancePolicyUIAction" minOccurs="0"/>
                <xsd:element ref="ns2:MediaServiceLocation" minOccurs="0"/>
                <xsd:element ref="ns2:Status" minOccurs="0"/>
                <xsd:element ref="ns2:Roll_x002d_Call" minOccurs="0"/>
                <xsd:element ref="ns2:Completed" minOccurs="0"/>
                <xsd:element ref="ns2:Notes" minOccurs="0"/>
                <xsd:element ref="ns2:ManagerApprova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ma:readOnly="false">
      <xsd:simpleType>
        <xsd:restriction base="dms:Note"/>
      </xsd:simpleType>
    </xsd:element>
    <xsd:element name="_ip_UnifiedCompliancePolicyUIAction" ma:index="26"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eb0168-e38f-4593-8bb7-e13af032c594" elementFormDefault="qualified">
    <xsd:import namespace="http://schemas.microsoft.com/office/2006/documentManagement/types"/>
    <xsd:import namespace="http://schemas.microsoft.com/office/infopath/2007/PartnerControls"/>
    <xsd:element name="Notes_x0020_to_x0020_consider_x0020_before_x0020_reviewing_x003a_" ma:index="1" nillable="true" ma:displayName="Notes to consider before reviewing:" ma:internalName="Notes_x0020_to_x0020_consider_x0020_before_x0020_reviewing_x003a_" ma:readOnly="false">
      <xsd:simpleType>
        <xsd:restriction base="dms:Note">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egal" ma:index="10" nillable="true" ma:displayName="legal" ma:format="Dropdown" ma:hidden="true" ma:list="UserInfo" ma:SharePointGroup="0" ma:internalName="legal"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Finished" ma:index="13" nillable="true" ma:displayName="Finished" ma:default="2022-08-30T00:00:00Z" ma:format="DateOnly" ma:hidden="true" ma:internalName="Finished" ma:readOnly="false">
      <xsd:simpleType>
        <xsd:restriction base="dms:DateTime"/>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4bd80cb-b55d-4a01-be99-577b45a2ddc1"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eamStatus" ma:index="22" nillable="true" ma:displayName="Currently Assigned for review to:" ma:description="This column specifies who is currently assigned to review of the document. This is helpful for reviewers to know what documents they should look at." ma:format="Dropdown" ma:hidden="true" ma:internalName="TeamStatus" ma:readOnly="false">
      <xsd:simpleType>
        <xsd:union memberTypes="dms:Text">
          <xsd:simpleType>
            <xsd:restriction base="dms:Choice">
              <xsd:enumeration value="Sarah"/>
              <xsd:enumeration value="Rachael"/>
              <xsd:enumeration value="Rachel"/>
              <xsd:enumeration value="Zoe"/>
              <xsd:enumeration value="Sharon"/>
            </xsd:restriction>
          </xsd:simpleType>
        </xsd:union>
      </xsd:simpleType>
    </xsd:element>
    <xsd:element name="Goaldatetocompletereview_x003a_" ma:index="23" nillable="true" ma:displayName="Goal date to complete review:" ma:format="DateOnly" ma:hidden="true" ma:internalName="Goaldatetocompletereview_x003a_" ma:readOnly="false">
      <xsd:simpleType>
        <xsd:restriction base="dms:DateTime"/>
      </xsd:simpleType>
    </xsd:element>
    <xsd:element name="MediaServiceLocation" ma:index="27" nillable="true" ma:displayName="Location" ma:hidden="true" ma:indexed="true" ma:internalName="MediaServiceLocation" ma:readOnly="true">
      <xsd:simpleType>
        <xsd:restriction base="dms:Text"/>
      </xsd:simpleType>
    </xsd:element>
    <xsd:element name="Status" ma:index="28" nillable="true" ma:displayName="Status" ma:format="Dropdown" ma:internalName="Status">
      <xsd:simpleType>
        <xsd:restriction base="dms:Choice">
          <xsd:enumeration value="in-progress"/>
          <xsd:enumeration value="draft"/>
          <xsd:enumeration value="check for final"/>
          <xsd:enumeration value="complete"/>
          <xsd:enumeration value="Sent for Signatures"/>
          <xsd:enumeration value="Need Signature"/>
        </xsd:restriction>
      </xsd:simpleType>
    </xsd:element>
    <xsd:element name="Roll_x002d_Call" ma:index="29" nillable="true" ma:displayName="Roll-Call" ma:description="when done making edits put your name here" ma:format="Dropdown" ma:list="UserInfo" ma:SharePointGroup="0" ma:internalName="Roll_x002d_Call">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pleted" ma:index="30" nillable="true" ma:displayName="Completed " ma:default="1" ma:format="Dropdown" ma:internalName="Completed">
      <xsd:simpleType>
        <xsd:restriction base="dms:Boolean"/>
      </xsd:simpleType>
    </xsd:element>
    <xsd:element name="Notes" ma:index="31" nillable="true" ma:displayName="Notes" ma:format="Dropdown" ma:internalName="Notes">
      <xsd:simpleType>
        <xsd:restriction base="dms:Note">
          <xsd:maxLength value="255"/>
        </xsd:restriction>
      </xsd:simpleType>
    </xsd:element>
    <xsd:element name="ManagerApproval" ma:index="32" nillable="true" ma:displayName="Manager Approval" ma:description="Please type name of manager who approved the final version of this document" ma:format="Dropdown" ma:list="UserInfo" ma:SharePointGroup="0" ma:internalName="ManagerApproval">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9d9eb7-b7cc-4e27-879b-01b4831586a2" elementFormDefault="qualified">
    <xsd:import namespace="http://schemas.microsoft.com/office/2006/documentManagement/types"/>
    <xsd:import namespace="http://schemas.microsoft.com/office/infopath/2007/PartnerControls"/>
    <xsd:element name="SharedWithUsers" ma:index="11"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hidden="true" ma:internalName="SharedWithDetails" ma:readOnly="true">
      <xsd:simpleType>
        <xsd:restriction base="dms:Note"/>
      </xsd:simpleType>
    </xsd:element>
    <xsd:element name="TaxCatchAll" ma:index="14" nillable="true" ma:displayName="Taxonomy Catch All Column" ma:hidden="true" ma:list="{d32c7c3e-39b0-4ad2-86af-70b8daaeb2b9}" ma:internalName="TaxCatchAll" ma:readOnly="false" ma:showField="CatchAllData" ma:web="449d9eb7-b7cc-4e27-879b-01b4831586a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09B3CD-2671-435C-AED0-E31C0C2591DC}">
  <ds:schemaRefs>
    <ds:schemaRef ds:uri="http://schemas.microsoft.com/office/2006/metadata/properties"/>
    <ds:schemaRef ds:uri="http://schemas.microsoft.com/office/infopath/2007/PartnerControls"/>
    <ds:schemaRef ds:uri="449d9eb7-b7cc-4e27-879b-01b4831586a2"/>
    <ds:schemaRef ds:uri="07eb0168-e38f-4593-8bb7-e13af032c594"/>
    <ds:schemaRef ds:uri="http://schemas.microsoft.com/sharepoint/v3"/>
  </ds:schemaRefs>
</ds:datastoreItem>
</file>

<file path=customXml/itemProps2.xml><?xml version="1.0" encoding="utf-8"?>
<ds:datastoreItem xmlns:ds="http://schemas.openxmlformats.org/officeDocument/2006/customXml" ds:itemID="{FA32BBC2-DC34-4FCA-A846-3BCA7F31EBF3}">
  <ds:schemaRefs>
    <ds:schemaRef ds:uri="http://schemas.microsoft.com/sharepoint/v3/contenttype/forms"/>
  </ds:schemaRefs>
</ds:datastoreItem>
</file>

<file path=customXml/itemProps3.xml><?xml version="1.0" encoding="utf-8"?>
<ds:datastoreItem xmlns:ds="http://schemas.openxmlformats.org/officeDocument/2006/customXml" ds:itemID="{DE22C217-612F-437E-9A80-D16DBD118F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eb0168-e38f-4593-8bb7-e13af032c594"/>
    <ds:schemaRef ds:uri="449d9eb7-b7cc-4e27-879b-01b4831586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Appendix B Annotations</vt:lpstr>
      <vt:lpstr>Collections and ACP</vt:lpstr>
      <vt:lpstr>Indexed REC Calculator</vt:lpstr>
      <vt:lpstr>Indexed REC Activities</vt:lpstr>
      <vt:lpstr>Indexed REC Spend</vt:lpstr>
      <vt:lpstr>ABP Future Assumptions</vt:lpstr>
      <vt:lpstr>24-25 ABP Activities</vt:lpstr>
      <vt:lpstr>24-25 ABP Summary</vt:lpstr>
      <vt:lpstr>Projected ABP RECs</vt:lpstr>
      <vt:lpstr>Projected ABP Spend</vt:lpstr>
      <vt:lpstr>ABP Under Contract</vt:lpstr>
      <vt:lpstr>Total REC Deliveries</vt:lpstr>
      <vt:lpstr>REC Spend projected</vt:lpstr>
      <vt:lpstr>Ch. 3 Tables and Graphs</vt:lpstr>
      <vt:lpstr>$ Tables and Graphs</vt:lpstr>
      <vt:lpstr>'Ch. 3 Tables and Graphs'!_ftnref1</vt:lpstr>
      <vt:lpstr>'Ch. 3 Tables and Graphs'!_ftnref2</vt:lpstr>
      <vt:lpstr>'Ch. 3 Tables and Graphs'!_ftnref3</vt:lpstr>
      <vt:lpstr>'Ch. 3 Tables and Graphs'!_ftnref4</vt:lpstr>
      <vt:lpstr>'$ Tables and Graphs'!Print_Area</vt:lpstr>
      <vt:lpstr>'24-25 ABP Activities'!Print_Area</vt:lpstr>
      <vt:lpstr>'ABP Future Assumptions'!Print_Area</vt:lpstr>
      <vt:lpstr>'Appendix B Annotations'!Print_Area</vt:lpstr>
      <vt:lpstr>'Projected ABP Spend'!Print_Area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Groner, Adam</dc:creator>
  <cp:keywords/>
  <dc:description/>
  <cp:lastModifiedBy>Star, Anthony</cp:lastModifiedBy>
  <cp:revision/>
  <dcterms:created xsi:type="dcterms:W3CDTF">2023-07-17T18:43:01Z</dcterms:created>
  <dcterms:modified xsi:type="dcterms:W3CDTF">2024-10-17T17:13:14Z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0x010100A7D9C6DF2CFA2344B8438EA57D1C19B2</vt:lpwstr>
  </property>
  <property fmtid="{D5CDD505-2E9C-101B-9397-08002B2CF9AE}" pid="3" name="MediaServiceImageTags">
    <vt:lpwstr/>
  </property>
  <property fmtid="{D5CDD505-2E9C-101B-9397-08002B2CF9AE}" pid="4" name="Non-responsive">
    <vt:bool>true</vt:bool>
  </property>
  <property fmtid="{D5CDD505-2E9C-101B-9397-08002B2CF9AE}" pid="5" name="reviewed">
    <vt:bool>false</vt:bool>
  </property>
</Properties>
</file>