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anthony.star\Downloads\"/>
    </mc:Choice>
  </mc:AlternateContent>
  <xr:revisionPtr revIDLastSave="0" documentId="13_ncr:1_{D20CABA7-77A4-4D7F-A64C-713871DB0CD8}" xr6:coauthVersionLast="47" xr6:coauthVersionMax="47" xr10:uidLastSave="{00000000-0000-0000-0000-000000000000}"/>
  <bookViews>
    <workbookView xWindow="-120" yWindow="-120" windowWidth="29040" windowHeight="15990" tabRatio="885" xr2:uid="{6C0EBFE8-1822-4E2F-A198-6EDB0EEBC29E}"/>
  </bookViews>
  <sheets>
    <sheet name="Appendix B Annotations" sheetId="36" r:id="rId1"/>
    <sheet name="Ch. 3 Tables and Graphs" sheetId="35" r:id="rId2"/>
    <sheet name="Tables 3-11, 3-12 &amp; Figure 3-3" sheetId="33" r:id="rId3"/>
    <sheet name="$ Tables and Graphs" sheetId="26" r:id="rId4"/>
    <sheet name="RPS Spend Model" sheetId="9" r:id="rId5"/>
    <sheet name="REC Delivery Model" sheetId="12" r:id="rId6"/>
    <sheet name="Indexed REC Price Calculator" sheetId="39" r:id="rId7"/>
    <sheet name="Legacy Wind-Solar REC Splits" sheetId="40" r:id="rId8"/>
    <sheet name="Total REC Spend Activities" sheetId="7" r:id="rId9"/>
    <sheet name="Total REC Delivery Activities" sheetId="8" r:id="rId10"/>
    <sheet name="Reopening Assumptions" sheetId="10" r:id="rId11"/>
    <sheet name="Reopening Activities" sheetId="3" r:id="rId12"/>
    <sheet name="DY 22 &amp; DY 23 Assumptions" sheetId="14" r:id="rId13"/>
    <sheet name="DY 2022 Activities" sheetId="13" r:id="rId14"/>
    <sheet name="DY 2023 Activities" sheetId="21" r:id="rId15"/>
    <sheet name="Future Plan Assumptions" sheetId="18" r:id="rId16"/>
    <sheet name="Collections and ACP" sheetId="15" r:id="rId17"/>
    <sheet name="Appendix" sheetId="34" r:id="rId18"/>
    <sheet name="Delivery Tables and Graphs" sheetId="32" r:id="rId19"/>
    <sheet name="Reopening Summary" sheetId="6" r:id="rId20"/>
    <sheet name="DY 2022 Summary" sheetId="17" r:id="rId21"/>
    <sheet name="DY 2023 Summary" sheetId="22" r:id="rId22"/>
    <sheet name="DY 2024 Activities" sheetId="24" r:id="rId23"/>
    <sheet name="DY 2024 Summary" sheetId="20" r:id="rId24"/>
    <sheet name="Graph Pre-Plan In Progrss $" sheetId="29" r:id="rId25"/>
    <sheet name="Graph Proposed $" sheetId="30" r:id="rId26"/>
    <sheet name="Graph Future $" sheetId="31" r:id="rId27"/>
    <sheet name="Reopening REC Delivery Model" sheetId="38" r:id="rId28"/>
    <sheet name="Fall 2022 Procurement" sheetId="41" r:id="rId29"/>
  </sheets>
  <definedNames>
    <definedName name="_xlnm.Print_Area" localSheetId="3">'$ Tables and Graphs'!$A$1:$AL$121</definedName>
    <definedName name="_xlnm.Print_Area" localSheetId="0">'Appendix B Annotations'!$A$1:$J$118</definedName>
    <definedName name="_xlnm.Print_Area" localSheetId="13">'DY 2022 Activities'!$A$4:$Y$129</definedName>
    <definedName name="_xlnm.Print_Area" localSheetId="14">'DY 2023 Activities'!$B$3:$Z$129</definedName>
    <definedName name="_xlnm.Print_Area" localSheetId="22">'DY 2024 Activities'!$B$3:$Z$129</definedName>
    <definedName name="_xlnm.Print_Area" localSheetId="12">'DY 22 &amp; DY 23 Assumptions'!$A$3:$I$105</definedName>
    <definedName name="_xlnm.Print_Area" localSheetId="15">'Future Plan Assumptions'!$A$1:$M$102</definedName>
    <definedName name="_xlnm.Print_Area" localSheetId="11">'Reopening Activities'!$B$3:$Z$119</definedName>
    <definedName name="_xlnm.Print_Area" localSheetId="10">'Reopening Assumptions'!$A$3:$F$124</definedName>
    <definedName name="_xlnm.Print_Area" localSheetId="8">'Total REC Spend Activities'!$A$1:$V$309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0" i="41" l="1"/>
  <c r="H109" i="41"/>
  <c r="H108" i="41"/>
  <c r="H107" i="41"/>
  <c r="H106" i="41"/>
  <c r="H105" i="41"/>
  <c r="H104" i="41"/>
  <c r="H103" i="41"/>
  <c r="H102" i="41"/>
  <c r="H101" i="41"/>
  <c r="H100" i="41"/>
  <c r="H99" i="41"/>
  <c r="H98" i="41"/>
  <c r="H97" i="41"/>
  <c r="H96" i="41"/>
  <c r="H95" i="41"/>
  <c r="H94" i="41"/>
  <c r="H93" i="41"/>
  <c r="H92" i="41"/>
  <c r="H91" i="41"/>
  <c r="H90" i="41"/>
  <c r="H89" i="41"/>
  <c r="H88" i="41"/>
  <c r="H54" i="41"/>
  <c r="H53" i="41"/>
  <c r="H52" i="41"/>
  <c r="H51" i="41"/>
  <c r="H50" i="41"/>
  <c r="H49" i="41"/>
  <c r="H48" i="41"/>
  <c r="H47" i="41"/>
  <c r="H46" i="41"/>
  <c r="H45" i="41"/>
  <c r="H44" i="41"/>
  <c r="H43" i="41"/>
  <c r="H42" i="41"/>
  <c r="H41" i="41"/>
  <c r="H40" i="41"/>
  <c r="H39" i="41"/>
  <c r="H38" i="41"/>
  <c r="H37" i="41"/>
  <c r="H36" i="41"/>
  <c r="H35" i="41"/>
  <c r="H34" i="41"/>
  <c r="H33" i="41"/>
  <c r="H32" i="41"/>
  <c r="H5" i="41"/>
  <c r="H6" i="41"/>
  <c r="H7" i="41"/>
  <c r="H8" i="41"/>
  <c r="H9" i="41"/>
  <c r="H10" i="41"/>
  <c r="H11" i="41"/>
  <c r="H12" i="41"/>
  <c r="H13" i="41"/>
  <c r="H14" i="41"/>
  <c r="H15" i="41"/>
  <c r="H16" i="41"/>
  <c r="H17" i="41"/>
  <c r="H18" i="41"/>
  <c r="H19" i="41"/>
  <c r="H20" i="41"/>
  <c r="H21" i="41"/>
  <c r="H22" i="41"/>
  <c r="H23" i="41"/>
  <c r="H24" i="41"/>
  <c r="H25" i="41"/>
  <c r="H26" i="41"/>
  <c r="H4" i="41"/>
  <c r="H90" i="14"/>
  <c r="H127" i="13" s="1"/>
  <c r="H93" i="14"/>
  <c r="H91" i="14" s="1"/>
  <c r="I93" i="14"/>
  <c r="J93" i="14" s="1"/>
  <c r="C127" i="13"/>
  <c r="E89" i="41"/>
  <c r="E90" i="41"/>
  <c r="E91" i="41"/>
  <c r="E92" i="41"/>
  <c r="D89" i="41"/>
  <c r="Z61" i="35" s="1"/>
  <c r="D90" i="41"/>
  <c r="Z62" i="35" s="1"/>
  <c r="D91" i="41"/>
  <c r="Z63" i="35" s="1"/>
  <c r="D92" i="41"/>
  <c r="Z64" i="35" s="1"/>
  <c r="E61" i="41"/>
  <c r="E62" i="41"/>
  <c r="E63" i="41"/>
  <c r="E64" i="41"/>
  <c r="D61" i="41"/>
  <c r="X61" i="35" s="1"/>
  <c r="D62" i="41"/>
  <c r="X62" i="35" s="1"/>
  <c r="D63" i="41"/>
  <c r="X63" i="35" s="1"/>
  <c r="D64" i="41"/>
  <c r="X64" i="35" s="1"/>
  <c r="E33" i="41"/>
  <c r="E34" i="41"/>
  <c r="E35" i="41"/>
  <c r="E36" i="41"/>
  <c r="D33" i="41"/>
  <c r="V61" i="35" s="1"/>
  <c r="D34" i="41"/>
  <c r="V62" i="35" s="1"/>
  <c r="D35" i="41"/>
  <c r="V63" i="35" s="1"/>
  <c r="D36" i="41"/>
  <c r="V64" i="35" s="1"/>
  <c r="U62" i="35"/>
  <c r="U60" i="35"/>
  <c r="E26" i="41"/>
  <c r="E82" i="41" s="1"/>
  <c r="D26" i="41"/>
  <c r="C23" i="41"/>
  <c r="C107" i="41" s="1"/>
  <c r="E25" i="41"/>
  <c r="E81" i="41" s="1"/>
  <c r="D25" i="41"/>
  <c r="D81" i="41" s="1"/>
  <c r="C22" i="41"/>
  <c r="C78" i="41" s="1"/>
  <c r="E24" i="41"/>
  <c r="E80" i="41" s="1"/>
  <c r="D24" i="41"/>
  <c r="D108" i="41" s="1"/>
  <c r="C21" i="41"/>
  <c r="E23" i="41"/>
  <c r="E79" i="41" s="1"/>
  <c r="D23" i="41"/>
  <c r="D107" i="41" s="1"/>
  <c r="C20" i="41"/>
  <c r="C48" i="41" s="1"/>
  <c r="E22" i="41"/>
  <c r="E106" i="41" s="1"/>
  <c r="D22" i="41"/>
  <c r="D106" i="41" s="1"/>
  <c r="C19" i="41"/>
  <c r="E21" i="41"/>
  <c r="E105" i="41" s="1"/>
  <c r="D21" i="41"/>
  <c r="D105" i="41" s="1"/>
  <c r="C18" i="41"/>
  <c r="E20" i="41"/>
  <c r="E104" i="41" s="1"/>
  <c r="D20" i="41"/>
  <c r="C17" i="41"/>
  <c r="E19" i="41"/>
  <c r="E103" i="41" s="1"/>
  <c r="D19" i="41"/>
  <c r="C16" i="41"/>
  <c r="E18" i="41"/>
  <c r="E74" i="41" s="1"/>
  <c r="D18" i="41"/>
  <c r="C15" i="41"/>
  <c r="C99" i="41" s="1"/>
  <c r="E17" i="41"/>
  <c r="E73" i="41" s="1"/>
  <c r="D17" i="41"/>
  <c r="D73" i="41" s="1"/>
  <c r="C14" i="41"/>
  <c r="C98" i="41" s="1"/>
  <c r="E16" i="41"/>
  <c r="E72" i="41" s="1"/>
  <c r="D16" i="41"/>
  <c r="D100" i="41" s="1"/>
  <c r="C13" i="41"/>
  <c r="C41" i="41" s="1"/>
  <c r="E15" i="41"/>
  <c r="E71" i="41" s="1"/>
  <c r="D15" i="41"/>
  <c r="D99" i="41" s="1"/>
  <c r="C12" i="41"/>
  <c r="C40" i="41" s="1"/>
  <c r="E14" i="41"/>
  <c r="D14" i="41"/>
  <c r="D98" i="41" s="1"/>
  <c r="C11" i="41"/>
  <c r="C39" i="41" s="1"/>
  <c r="E13" i="41"/>
  <c r="E97" i="41" s="1"/>
  <c r="D13" i="41"/>
  <c r="D97" i="41" s="1"/>
  <c r="C10" i="41"/>
  <c r="E12" i="41"/>
  <c r="E96" i="41" s="1"/>
  <c r="D12" i="41"/>
  <c r="C9" i="41"/>
  <c r="E11" i="41"/>
  <c r="E95" i="41" s="1"/>
  <c r="D11" i="41"/>
  <c r="D39" i="41" s="1"/>
  <c r="C8" i="41"/>
  <c r="C64" i="41" s="1"/>
  <c r="E10" i="41"/>
  <c r="E66" i="41" s="1"/>
  <c r="D10" i="41"/>
  <c r="C7" i="41"/>
  <c r="C35" i="41" s="1"/>
  <c r="E9" i="41"/>
  <c r="E65" i="41" s="1"/>
  <c r="D9" i="41"/>
  <c r="D65" i="41" s="1"/>
  <c r="C6" i="41"/>
  <c r="C34" i="41" s="1"/>
  <c r="G34" i="41" s="1"/>
  <c r="V26" i="8"/>
  <c r="U26" i="8"/>
  <c r="T26" i="8"/>
  <c r="S26" i="8"/>
  <c r="R26" i="8"/>
  <c r="Q26" i="8"/>
  <c r="P26" i="8"/>
  <c r="O26" i="8"/>
  <c r="N26" i="8"/>
  <c r="M26" i="8"/>
  <c r="L26" i="8"/>
  <c r="K26" i="8"/>
  <c r="J26" i="8"/>
  <c r="I26" i="8"/>
  <c r="H26" i="8"/>
  <c r="G26" i="8"/>
  <c r="F26" i="8"/>
  <c r="E26" i="8"/>
  <c r="V25" i="8"/>
  <c r="U25" i="8"/>
  <c r="T25" i="8"/>
  <c r="S25" i="8"/>
  <c r="R25" i="8"/>
  <c r="Q25" i="8"/>
  <c r="P25" i="8"/>
  <c r="O25" i="8"/>
  <c r="N25" i="8"/>
  <c r="M25" i="8"/>
  <c r="L25" i="8"/>
  <c r="K25" i="8"/>
  <c r="J25" i="8"/>
  <c r="I25" i="8"/>
  <c r="H25" i="8"/>
  <c r="G25" i="8"/>
  <c r="F25" i="8"/>
  <c r="E25" i="8"/>
  <c r="V24" i="8"/>
  <c r="U24" i="8"/>
  <c r="T24" i="8"/>
  <c r="S24" i="8"/>
  <c r="R24" i="8"/>
  <c r="Q24" i="8"/>
  <c r="P24" i="8"/>
  <c r="O24" i="8"/>
  <c r="N24" i="8"/>
  <c r="M24" i="8"/>
  <c r="L24" i="8"/>
  <c r="K24" i="8"/>
  <c r="J24" i="8"/>
  <c r="I24" i="8"/>
  <c r="H24" i="8"/>
  <c r="G24" i="8"/>
  <c r="F24" i="8"/>
  <c r="E24" i="8"/>
  <c r="F110" i="41"/>
  <c r="F109" i="41"/>
  <c r="F108" i="41"/>
  <c r="F107" i="41"/>
  <c r="F106" i="41"/>
  <c r="F105" i="41"/>
  <c r="F104" i="41"/>
  <c r="F103" i="41"/>
  <c r="F102" i="41"/>
  <c r="F101" i="41"/>
  <c r="F100" i="41"/>
  <c r="F99" i="41"/>
  <c r="F98" i="41"/>
  <c r="F97" i="41"/>
  <c r="F96" i="41"/>
  <c r="F95" i="41"/>
  <c r="F94" i="41"/>
  <c r="F93" i="41"/>
  <c r="F92" i="41"/>
  <c r="F91" i="41"/>
  <c r="F90" i="41"/>
  <c r="F89" i="41"/>
  <c r="C89" i="41"/>
  <c r="F88" i="41"/>
  <c r="E88" i="41"/>
  <c r="D88" i="41"/>
  <c r="Z60" i="35" s="1"/>
  <c r="C88" i="41"/>
  <c r="F82" i="41"/>
  <c r="F81" i="41"/>
  <c r="F80" i="41"/>
  <c r="F79" i="41"/>
  <c r="F78" i="41"/>
  <c r="F77" i="41"/>
  <c r="F76" i="41"/>
  <c r="F75" i="41"/>
  <c r="F74" i="41"/>
  <c r="F73" i="41"/>
  <c r="F72" i="41"/>
  <c r="F71" i="41"/>
  <c r="F70" i="41"/>
  <c r="F69" i="41"/>
  <c r="F68" i="41"/>
  <c r="F67" i="41"/>
  <c r="F66" i="41"/>
  <c r="F65" i="41"/>
  <c r="F64" i="41"/>
  <c r="F63" i="41"/>
  <c r="F62" i="41"/>
  <c r="F61" i="41"/>
  <c r="C61" i="41"/>
  <c r="F60" i="41"/>
  <c r="E60" i="41"/>
  <c r="D60" i="41"/>
  <c r="X60" i="35" s="1"/>
  <c r="C60" i="41"/>
  <c r="F54" i="41"/>
  <c r="F53" i="41"/>
  <c r="F52" i="41"/>
  <c r="F51" i="41"/>
  <c r="F50" i="41"/>
  <c r="F49" i="41"/>
  <c r="C49" i="41"/>
  <c r="F48" i="41"/>
  <c r="F47" i="41"/>
  <c r="F46" i="41"/>
  <c r="F45" i="41"/>
  <c r="F44" i="41"/>
  <c r="F43" i="41"/>
  <c r="F42" i="41"/>
  <c r="F41" i="41"/>
  <c r="F40" i="41"/>
  <c r="F39" i="41"/>
  <c r="F38" i="41"/>
  <c r="F37" i="41"/>
  <c r="F36" i="41"/>
  <c r="F35" i="41"/>
  <c r="F34" i="41"/>
  <c r="F33" i="41"/>
  <c r="C33" i="41"/>
  <c r="F32" i="41"/>
  <c r="E32" i="41"/>
  <c r="D32" i="41"/>
  <c r="V60" i="35" s="1"/>
  <c r="C32" i="41"/>
  <c r="G5" i="41"/>
  <c r="G4" i="41"/>
  <c r="K48" i="33"/>
  <c r="K49" i="33"/>
  <c r="K50" i="33"/>
  <c r="K51" i="33"/>
  <c r="K52" i="33"/>
  <c r="K53" i="33"/>
  <c r="K54" i="33"/>
  <c r="K55" i="33"/>
  <c r="K56" i="33"/>
  <c r="K57" i="33"/>
  <c r="K58" i="33"/>
  <c r="K59" i="33"/>
  <c r="D48" i="33"/>
  <c r="D49" i="33"/>
  <c r="D50" i="33"/>
  <c r="D51" i="33"/>
  <c r="D52" i="33"/>
  <c r="D53" i="33"/>
  <c r="D54" i="33"/>
  <c r="D55" i="33"/>
  <c r="D56" i="33"/>
  <c r="D57" i="33"/>
  <c r="D58" i="33"/>
  <c r="D59" i="33"/>
  <c r="P17" i="33"/>
  <c r="Q17" i="33"/>
  <c r="R17" i="33"/>
  <c r="S17" i="33"/>
  <c r="U17" i="33"/>
  <c r="W17" i="33"/>
  <c r="Y17" i="33"/>
  <c r="P18" i="33"/>
  <c r="Q18" i="33"/>
  <c r="R18" i="33"/>
  <c r="S18" i="33"/>
  <c r="U18" i="33"/>
  <c r="W18" i="33"/>
  <c r="Y18" i="33"/>
  <c r="P19" i="33"/>
  <c r="Q19" i="33"/>
  <c r="R19" i="33"/>
  <c r="S19" i="33"/>
  <c r="U19" i="33"/>
  <c r="W19" i="33"/>
  <c r="X19" i="33"/>
  <c r="Y19" i="33"/>
  <c r="P20" i="33"/>
  <c r="Q20" i="33"/>
  <c r="R20" i="33"/>
  <c r="S20" i="33"/>
  <c r="U20" i="33"/>
  <c r="W20" i="33"/>
  <c r="X20" i="33"/>
  <c r="Y20" i="33"/>
  <c r="P21" i="33"/>
  <c r="Q21" i="33"/>
  <c r="R21" i="33"/>
  <c r="S21" i="33"/>
  <c r="U21" i="33"/>
  <c r="W21" i="33"/>
  <c r="X21" i="33"/>
  <c r="Y21" i="33"/>
  <c r="P22" i="33"/>
  <c r="Q22" i="33"/>
  <c r="R22" i="33"/>
  <c r="S22" i="33"/>
  <c r="U22" i="33"/>
  <c r="W22" i="33"/>
  <c r="X22" i="33"/>
  <c r="Y22" i="33"/>
  <c r="P23" i="33"/>
  <c r="Q23" i="33"/>
  <c r="R23" i="33"/>
  <c r="S23" i="33"/>
  <c r="U23" i="33"/>
  <c r="W23" i="33"/>
  <c r="X23" i="33"/>
  <c r="Y23" i="33"/>
  <c r="P24" i="33"/>
  <c r="Q24" i="33"/>
  <c r="R24" i="33"/>
  <c r="S24" i="33"/>
  <c r="U24" i="33"/>
  <c r="W24" i="33"/>
  <c r="X24" i="33"/>
  <c r="Y24" i="33"/>
  <c r="P25" i="33"/>
  <c r="Q25" i="33"/>
  <c r="R25" i="33"/>
  <c r="S25" i="33"/>
  <c r="U25" i="33"/>
  <c r="W25" i="33"/>
  <c r="X25" i="33"/>
  <c r="Y25" i="33"/>
  <c r="P26" i="33"/>
  <c r="Q26" i="33"/>
  <c r="R26" i="33"/>
  <c r="S26" i="33"/>
  <c r="U26" i="33"/>
  <c r="W26" i="33"/>
  <c r="X26" i="33"/>
  <c r="Y26" i="33"/>
  <c r="P27" i="33"/>
  <c r="Q27" i="33"/>
  <c r="R27" i="33"/>
  <c r="S27" i="33"/>
  <c r="U27" i="33"/>
  <c r="W27" i="33"/>
  <c r="X27" i="33"/>
  <c r="Y27" i="33"/>
  <c r="P28" i="33"/>
  <c r="Q28" i="33"/>
  <c r="R28" i="33"/>
  <c r="S28" i="33"/>
  <c r="U28" i="33"/>
  <c r="W28" i="33"/>
  <c r="X28" i="33"/>
  <c r="Y28" i="33"/>
  <c r="C17" i="33"/>
  <c r="D17" i="33"/>
  <c r="E17" i="33"/>
  <c r="F17" i="33"/>
  <c r="H17" i="33"/>
  <c r="J17" i="33"/>
  <c r="L17" i="33"/>
  <c r="C18" i="33"/>
  <c r="D18" i="33"/>
  <c r="E18" i="33"/>
  <c r="F18" i="33"/>
  <c r="H18" i="33"/>
  <c r="J18" i="33"/>
  <c r="L18" i="33"/>
  <c r="C19" i="33"/>
  <c r="D19" i="33"/>
  <c r="E19" i="33"/>
  <c r="F19" i="33"/>
  <c r="H19" i="33"/>
  <c r="J19" i="33"/>
  <c r="K19" i="33"/>
  <c r="L19" i="33"/>
  <c r="C20" i="33"/>
  <c r="D20" i="33"/>
  <c r="E20" i="33"/>
  <c r="F20" i="33"/>
  <c r="H20" i="33"/>
  <c r="J20" i="33"/>
  <c r="K20" i="33"/>
  <c r="L20" i="33"/>
  <c r="C21" i="33"/>
  <c r="D21" i="33"/>
  <c r="E21" i="33"/>
  <c r="F21" i="33"/>
  <c r="H21" i="33"/>
  <c r="J21" i="33"/>
  <c r="K21" i="33"/>
  <c r="L21" i="33"/>
  <c r="C22" i="33"/>
  <c r="D22" i="33"/>
  <c r="E22" i="33"/>
  <c r="F22" i="33"/>
  <c r="H22" i="33"/>
  <c r="J22" i="33"/>
  <c r="K22" i="33"/>
  <c r="L22" i="33"/>
  <c r="C23" i="33"/>
  <c r="D23" i="33"/>
  <c r="E23" i="33"/>
  <c r="F23" i="33"/>
  <c r="H23" i="33"/>
  <c r="J23" i="33"/>
  <c r="K23" i="33"/>
  <c r="L23" i="33"/>
  <c r="C24" i="33"/>
  <c r="D24" i="33"/>
  <c r="E24" i="33"/>
  <c r="F24" i="33"/>
  <c r="H24" i="33"/>
  <c r="J24" i="33"/>
  <c r="K24" i="33"/>
  <c r="L24" i="33"/>
  <c r="C25" i="33"/>
  <c r="D25" i="33"/>
  <c r="E25" i="33"/>
  <c r="F25" i="33"/>
  <c r="H25" i="33"/>
  <c r="J25" i="33"/>
  <c r="K25" i="33"/>
  <c r="L25" i="33"/>
  <c r="C26" i="33"/>
  <c r="D26" i="33"/>
  <c r="E26" i="33"/>
  <c r="F26" i="33"/>
  <c r="H26" i="33"/>
  <c r="J26" i="33"/>
  <c r="K26" i="33"/>
  <c r="L26" i="33"/>
  <c r="C27" i="33"/>
  <c r="D27" i="33"/>
  <c r="E27" i="33"/>
  <c r="F27" i="33"/>
  <c r="H27" i="33"/>
  <c r="J27" i="33"/>
  <c r="K27" i="33"/>
  <c r="L27" i="33"/>
  <c r="C28" i="33"/>
  <c r="D28" i="33"/>
  <c r="E28" i="33"/>
  <c r="F28" i="33"/>
  <c r="H28" i="33"/>
  <c r="J28" i="33"/>
  <c r="K28" i="33"/>
  <c r="L28" i="33"/>
  <c r="C166" i="26"/>
  <c r="D166" i="26"/>
  <c r="E166" i="26"/>
  <c r="F166" i="26"/>
  <c r="H166" i="26"/>
  <c r="J166" i="26"/>
  <c r="L166" i="26"/>
  <c r="C167" i="26"/>
  <c r="D167" i="26"/>
  <c r="E167" i="26"/>
  <c r="F167" i="26"/>
  <c r="H167" i="26"/>
  <c r="J167" i="26"/>
  <c r="L167" i="26"/>
  <c r="C168" i="26"/>
  <c r="D168" i="26"/>
  <c r="E168" i="26"/>
  <c r="F168" i="26"/>
  <c r="H168" i="26"/>
  <c r="J168" i="26"/>
  <c r="K168" i="26"/>
  <c r="L168" i="26"/>
  <c r="C169" i="26"/>
  <c r="D169" i="26"/>
  <c r="E169" i="26"/>
  <c r="F169" i="26"/>
  <c r="H169" i="26"/>
  <c r="J169" i="26"/>
  <c r="K169" i="26"/>
  <c r="L169" i="26"/>
  <c r="C170" i="26"/>
  <c r="D170" i="26"/>
  <c r="E170" i="26"/>
  <c r="F170" i="26"/>
  <c r="H170" i="26"/>
  <c r="J170" i="26"/>
  <c r="K170" i="26"/>
  <c r="L170" i="26"/>
  <c r="C171" i="26"/>
  <c r="D171" i="26"/>
  <c r="E171" i="26"/>
  <c r="F171" i="26"/>
  <c r="H171" i="26"/>
  <c r="J171" i="26"/>
  <c r="K171" i="26"/>
  <c r="L171" i="26"/>
  <c r="C172" i="26"/>
  <c r="D172" i="26"/>
  <c r="E172" i="26"/>
  <c r="F172" i="26"/>
  <c r="H172" i="26"/>
  <c r="J172" i="26"/>
  <c r="K172" i="26"/>
  <c r="L172" i="26"/>
  <c r="C173" i="26"/>
  <c r="D173" i="26"/>
  <c r="E173" i="26"/>
  <c r="F173" i="26"/>
  <c r="H173" i="26"/>
  <c r="J173" i="26"/>
  <c r="K173" i="26"/>
  <c r="L173" i="26"/>
  <c r="C174" i="26"/>
  <c r="D174" i="26"/>
  <c r="E174" i="26"/>
  <c r="F174" i="26"/>
  <c r="H174" i="26"/>
  <c r="J174" i="26"/>
  <c r="K174" i="26"/>
  <c r="L174" i="26"/>
  <c r="C175" i="26"/>
  <c r="D175" i="26"/>
  <c r="E175" i="26"/>
  <c r="F175" i="26"/>
  <c r="H175" i="26"/>
  <c r="J175" i="26"/>
  <c r="K175" i="26"/>
  <c r="L175" i="26"/>
  <c r="C176" i="26"/>
  <c r="D176" i="26"/>
  <c r="E176" i="26"/>
  <c r="F176" i="26"/>
  <c r="H176" i="26"/>
  <c r="J176" i="26"/>
  <c r="K176" i="26"/>
  <c r="L176" i="26"/>
  <c r="C177" i="26"/>
  <c r="D177" i="26"/>
  <c r="E177" i="26"/>
  <c r="F177" i="26"/>
  <c r="H177" i="26"/>
  <c r="J177" i="26"/>
  <c r="K177" i="26"/>
  <c r="L177" i="26"/>
  <c r="E63" i="26"/>
  <c r="E64" i="26"/>
  <c r="E65" i="26"/>
  <c r="E66" i="26"/>
  <c r="E67" i="26"/>
  <c r="E68" i="26"/>
  <c r="E69" i="26"/>
  <c r="E70" i="26"/>
  <c r="E71" i="26"/>
  <c r="E72" i="26"/>
  <c r="E73" i="26"/>
  <c r="E136" i="26" s="1"/>
  <c r="E74" i="26"/>
  <c r="E75" i="26"/>
  <c r="E138" i="26" s="1"/>
  <c r="E76" i="26"/>
  <c r="R76" i="26" s="1"/>
  <c r="E77" i="26"/>
  <c r="E78" i="26"/>
  <c r="E141" i="26" s="1"/>
  <c r="E79" i="26"/>
  <c r="R79" i="26" s="1"/>
  <c r="E80" i="26"/>
  <c r="E81" i="26"/>
  <c r="E144" i="26" s="1"/>
  <c r="E82" i="26"/>
  <c r="E83" i="26"/>
  <c r="E146" i="26" s="1"/>
  <c r="E84" i="26"/>
  <c r="R84" i="26" s="1"/>
  <c r="E62" i="26"/>
  <c r="C136" i="26"/>
  <c r="D136" i="26"/>
  <c r="F136" i="26"/>
  <c r="H136" i="26"/>
  <c r="J136" i="26"/>
  <c r="L136" i="26"/>
  <c r="C137" i="26"/>
  <c r="D137" i="26"/>
  <c r="E137" i="26"/>
  <c r="F137" i="26"/>
  <c r="H137" i="26"/>
  <c r="J137" i="26"/>
  <c r="L137" i="26"/>
  <c r="C138" i="26"/>
  <c r="D138" i="26"/>
  <c r="F138" i="26"/>
  <c r="H138" i="26"/>
  <c r="J138" i="26"/>
  <c r="K138" i="26"/>
  <c r="L138" i="26"/>
  <c r="C139" i="26"/>
  <c r="D139" i="26"/>
  <c r="E139" i="26"/>
  <c r="F139" i="26"/>
  <c r="H139" i="26"/>
  <c r="J139" i="26"/>
  <c r="K139" i="26"/>
  <c r="L139" i="26"/>
  <c r="C140" i="26"/>
  <c r="D140" i="26"/>
  <c r="E140" i="26"/>
  <c r="F140" i="26"/>
  <c r="H140" i="26"/>
  <c r="J140" i="26"/>
  <c r="K140" i="26"/>
  <c r="L140" i="26"/>
  <c r="C141" i="26"/>
  <c r="D141" i="26"/>
  <c r="F141" i="26"/>
  <c r="H141" i="26"/>
  <c r="J141" i="26"/>
  <c r="K141" i="26"/>
  <c r="L141" i="26"/>
  <c r="C142" i="26"/>
  <c r="D142" i="26"/>
  <c r="E142" i="26"/>
  <c r="F142" i="26"/>
  <c r="H142" i="26"/>
  <c r="J142" i="26"/>
  <c r="K142" i="26"/>
  <c r="L142" i="26"/>
  <c r="C143" i="26"/>
  <c r="D143" i="26"/>
  <c r="E143" i="26"/>
  <c r="F143" i="26"/>
  <c r="H143" i="26"/>
  <c r="J143" i="26"/>
  <c r="K143" i="26"/>
  <c r="L143" i="26"/>
  <c r="C144" i="26"/>
  <c r="D144" i="26"/>
  <c r="F144" i="26"/>
  <c r="H144" i="26"/>
  <c r="J144" i="26"/>
  <c r="K144" i="26"/>
  <c r="L144" i="26"/>
  <c r="C145" i="26"/>
  <c r="D145" i="26"/>
  <c r="E145" i="26"/>
  <c r="F145" i="26"/>
  <c r="H145" i="26"/>
  <c r="J145" i="26"/>
  <c r="K145" i="26"/>
  <c r="L145" i="26"/>
  <c r="C146" i="26"/>
  <c r="D146" i="26"/>
  <c r="F146" i="26"/>
  <c r="H146" i="26"/>
  <c r="J146" i="26"/>
  <c r="K146" i="26"/>
  <c r="L146" i="26"/>
  <c r="C147" i="26"/>
  <c r="D147" i="26"/>
  <c r="E147" i="26"/>
  <c r="F147" i="26"/>
  <c r="H147" i="26"/>
  <c r="J147" i="26"/>
  <c r="K147" i="26"/>
  <c r="L147" i="26"/>
  <c r="R101" i="26"/>
  <c r="S101" i="26"/>
  <c r="V101" i="26"/>
  <c r="R102" i="26"/>
  <c r="S102" i="26"/>
  <c r="V102" i="26"/>
  <c r="R103" i="26"/>
  <c r="S103" i="26"/>
  <c r="U103" i="26"/>
  <c r="V103" i="26"/>
  <c r="R104" i="26"/>
  <c r="S104" i="26"/>
  <c r="U104" i="26"/>
  <c r="V104" i="26"/>
  <c r="R105" i="26"/>
  <c r="S105" i="26"/>
  <c r="U105" i="26"/>
  <c r="V105" i="26"/>
  <c r="R106" i="26"/>
  <c r="S106" i="26"/>
  <c r="U106" i="26"/>
  <c r="V106" i="26"/>
  <c r="R107" i="26"/>
  <c r="S107" i="26"/>
  <c r="U107" i="26"/>
  <c r="V107" i="26"/>
  <c r="R108" i="26"/>
  <c r="S108" i="26"/>
  <c r="U108" i="26"/>
  <c r="V108" i="26"/>
  <c r="R109" i="26"/>
  <c r="S109" i="26"/>
  <c r="U109" i="26"/>
  <c r="V109" i="26"/>
  <c r="R110" i="26"/>
  <c r="S110" i="26"/>
  <c r="U110" i="26"/>
  <c r="V110" i="26"/>
  <c r="R111" i="26"/>
  <c r="S111" i="26"/>
  <c r="U111" i="26"/>
  <c r="V111" i="26"/>
  <c r="R112" i="26"/>
  <c r="S112" i="26"/>
  <c r="U112" i="26"/>
  <c r="V112" i="26"/>
  <c r="C101" i="26"/>
  <c r="D101" i="26"/>
  <c r="E101" i="26"/>
  <c r="F101" i="26"/>
  <c r="G101" i="26"/>
  <c r="H101" i="26"/>
  <c r="J101" i="26"/>
  <c r="L101" i="26"/>
  <c r="C102" i="26"/>
  <c r="D102" i="26"/>
  <c r="E102" i="26"/>
  <c r="F102" i="26"/>
  <c r="G102" i="26"/>
  <c r="H102" i="26"/>
  <c r="J102" i="26"/>
  <c r="L102" i="26"/>
  <c r="C103" i="26"/>
  <c r="D103" i="26"/>
  <c r="E103" i="26"/>
  <c r="F103" i="26"/>
  <c r="G103" i="26"/>
  <c r="H103" i="26"/>
  <c r="J103" i="26"/>
  <c r="K103" i="26"/>
  <c r="L103" i="26"/>
  <c r="C104" i="26"/>
  <c r="D104" i="26"/>
  <c r="E104" i="26"/>
  <c r="F104" i="26"/>
  <c r="G104" i="26"/>
  <c r="H104" i="26"/>
  <c r="J104" i="26"/>
  <c r="K104" i="26"/>
  <c r="L104" i="26"/>
  <c r="C105" i="26"/>
  <c r="D105" i="26"/>
  <c r="E105" i="26"/>
  <c r="F105" i="26"/>
  <c r="G105" i="26"/>
  <c r="H105" i="26"/>
  <c r="J105" i="26"/>
  <c r="K105" i="26"/>
  <c r="L105" i="26"/>
  <c r="C106" i="26"/>
  <c r="D106" i="26"/>
  <c r="E106" i="26"/>
  <c r="F106" i="26"/>
  <c r="G106" i="26"/>
  <c r="H106" i="26"/>
  <c r="J106" i="26"/>
  <c r="K106" i="26"/>
  <c r="L106" i="26"/>
  <c r="C107" i="26"/>
  <c r="D107" i="26"/>
  <c r="E107" i="26"/>
  <c r="F107" i="26"/>
  <c r="G107" i="26"/>
  <c r="H107" i="26"/>
  <c r="J107" i="26"/>
  <c r="K107" i="26"/>
  <c r="L107" i="26"/>
  <c r="C108" i="26"/>
  <c r="D108" i="26"/>
  <c r="E108" i="26"/>
  <c r="F108" i="26"/>
  <c r="G108" i="26"/>
  <c r="H108" i="26"/>
  <c r="J108" i="26"/>
  <c r="K108" i="26"/>
  <c r="L108" i="26"/>
  <c r="C109" i="26"/>
  <c r="D109" i="26"/>
  <c r="E109" i="26"/>
  <c r="F109" i="26"/>
  <c r="G109" i="26"/>
  <c r="H109" i="26"/>
  <c r="J109" i="26"/>
  <c r="K109" i="26"/>
  <c r="L109" i="26"/>
  <c r="C110" i="26"/>
  <c r="D110" i="26"/>
  <c r="E110" i="26"/>
  <c r="F110" i="26"/>
  <c r="G110" i="26"/>
  <c r="H110" i="26"/>
  <c r="J110" i="26"/>
  <c r="K110" i="26"/>
  <c r="L110" i="26"/>
  <c r="C111" i="26"/>
  <c r="D111" i="26"/>
  <c r="E111" i="26"/>
  <c r="F111" i="26"/>
  <c r="G111" i="26"/>
  <c r="H111" i="26"/>
  <c r="J111" i="26"/>
  <c r="K111" i="26"/>
  <c r="L111" i="26"/>
  <c r="C112" i="26"/>
  <c r="D112" i="26"/>
  <c r="E112" i="26"/>
  <c r="F112" i="26"/>
  <c r="G112" i="26"/>
  <c r="H112" i="26"/>
  <c r="J112" i="26"/>
  <c r="K112" i="26"/>
  <c r="L112" i="26"/>
  <c r="R73" i="26"/>
  <c r="S73" i="26"/>
  <c r="V73" i="26"/>
  <c r="R74" i="26"/>
  <c r="S74" i="26"/>
  <c r="V74" i="26"/>
  <c r="S75" i="26"/>
  <c r="U75" i="26"/>
  <c r="V75" i="26"/>
  <c r="S76" i="26"/>
  <c r="U76" i="26"/>
  <c r="V76" i="26"/>
  <c r="R77" i="26"/>
  <c r="S77" i="26"/>
  <c r="U77" i="26"/>
  <c r="V77" i="26"/>
  <c r="S78" i="26"/>
  <c r="U78" i="26"/>
  <c r="V78" i="26"/>
  <c r="S79" i="26"/>
  <c r="U79" i="26"/>
  <c r="V79" i="26"/>
  <c r="R80" i="26"/>
  <c r="S80" i="26"/>
  <c r="U80" i="26"/>
  <c r="V80" i="26"/>
  <c r="R81" i="26"/>
  <c r="S81" i="26"/>
  <c r="U81" i="26"/>
  <c r="V81" i="26"/>
  <c r="R82" i="26"/>
  <c r="S82" i="26"/>
  <c r="U82" i="26"/>
  <c r="V82" i="26"/>
  <c r="S83" i="26"/>
  <c r="U83" i="26"/>
  <c r="V83" i="26"/>
  <c r="S84" i="26"/>
  <c r="U84" i="26"/>
  <c r="V84" i="26"/>
  <c r="C73" i="26"/>
  <c r="D73" i="26"/>
  <c r="F73" i="26"/>
  <c r="G73" i="26"/>
  <c r="H73" i="26"/>
  <c r="J73" i="26"/>
  <c r="L73" i="26"/>
  <c r="C74" i="26"/>
  <c r="D74" i="26"/>
  <c r="F74" i="26"/>
  <c r="G74" i="26"/>
  <c r="H74" i="26"/>
  <c r="J74" i="26"/>
  <c r="L74" i="26"/>
  <c r="C75" i="26"/>
  <c r="D75" i="26"/>
  <c r="F75" i="26"/>
  <c r="G75" i="26"/>
  <c r="H75" i="26"/>
  <c r="J75" i="26"/>
  <c r="K75" i="26"/>
  <c r="L75" i="26"/>
  <c r="C76" i="26"/>
  <c r="D76" i="26"/>
  <c r="F76" i="26"/>
  <c r="G76" i="26"/>
  <c r="H76" i="26"/>
  <c r="J76" i="26"/>
  <c r="K76" i="26"/>
  <c r="L76" i="26"/>
  <c r="C77" i="26"/>
  <c r="D77" i="26"/>
  <c r="F77" i="26"/>
  <c r="G77" i="26"/>
  <c r="H77" i="26"/>
  <c r="J77" i="26"/>
  <c r="K77" i="26"/>
  <c r="L77" i="26"/>
  <c r="C78" i="26"/>
  <c r="D78" i="26"/>
  <c r="F78" i="26"/>
  <c r="G78" i="26"/>
  <c r="H78" i="26"/>
  <c r="J78" i="26"/>
  <c r="K78" i="26"/>
  <c r="L78" i="26"/>
  <c r="C79" i="26"/>
  <c r="D79" i="26"/>
  <c r="F79" i="26"/>
  <c r="G79" i="26"/>
  <c r="H79" i="26"/>
  <c r="J79" i="26"/>
  <c r="K79" i="26"/>
  <c r="L79" i="26"/>
  <c r="C80" i="26"/>
  <c r="D80" i="26"/>
  <c r="F80" i="26"/>
  <c r="G80" i="26"/>
  <c r="H80" i="26"/>
  <c r="J80" i="26"/>
  <c r="K80" i="26"/>
  <c r="L80" i="26"/>
  <c r="C81" i="26"/>
  <c r="D81" i="26"/>
  <c r="F81" i="26"/>
  <c r="G81" i="26"/>
  <c r="H81" i="26"/>
  <c r="J81" i="26"/>
  <c r="K81" i="26"/>
  <c r="L81" i="26"/>
  <c r="C82" i="26"/>
  <c r="D82" i="26"/>
  <c r="F82" i="26"/>
  <c r="G82" i="26"/>
  <c r="H82" i="26"/>
  <c r="J82" i="26"/>
  <c r="K82" i="26"/>
  <c r="L82" i="26"/>
  <c r="C83" i="26"/>
  <c r="D83" i="26"/>
  <c r="F83" i="26"/>
  <c r="G83" i="26"/>
  <c r="H83" i="26"/>
  <c r="J83" i="26"/>
  <c r="K83" i="26"/>
  <c r="L83" i="26"/>
  <c r="C84" i="26"/>
  <c r="D84" i="26"/>
  <c r="F84" i="26"/>
  <c r="G84" i="26"/>
  <c r="H84" i="26"/>
  <c r="J84" i="26"/>
  <c r="K84" i="26"/>
  <c r="L84" i="26"/>
  <c r="C45" i="26"/>
  <c r="D45" i="26"/>
  <c r="E45" i="26"/>
  <c r="F45" i="26"/>
  <c r="H45" i="26"/>
  <c r="J45" i="26"/>
  <c r="L45" i="26"/>
  <c r="C46" i="26"/>
  <c r="D46" i="26"/>
  <c r="E46" i="26"/>
  <c r="R46" i="26" s="1"/>
  <c r="F46" i="26"/>
  <c r="H46" i="26"/>
  <c r="J46" i="26"/>
  <c r="L46" i="26"/>
  <c r="C47" i="26"/>
  <c r="D47" i="26"/>
  <c r="E47" i="26"/>
  <c r="F47" i="26"/>
  <c r="H47" i="26"/>
  <c r="J47" i="26"/>
  <c r="K47" i="26"/>
  <c r="L47" i="26"/>
  <c r="C48" i="26"/>
  <c r="R48" i="26" s="1"/>
  <c r="D48" i="26"/>
  <c r="E48" i="26"/>
  <c r="F48" i="26"/>
  <c r="H48" i="26"/>
  <c r="J48" i="26"/>
  <c r="K48" i="26"/>
  <c r="U48" i="26" s="1"/>
  <c r="L48" i="26"/>
  <c r="C49" i="26"/>
  <c r="D49" i="26"/>
  <c r="E49" i="26"/>
  <c r="F49" i="26"/>
  <c r="H49" i="26"/>
  <c r="J49" i="26"/>
  <c r="K49" i="26"/>
  <c r="L49" i="26"/>
  <c r="C50" i="26"/>
  <c r="D50" i="26"/>
  <c r="E50" i="26"/>
  <c r="F50" i="26"/>
  <c r="H50" i="26"/>
  <c r="J50" i="26"/>
  <c r="K50" i="26"/>
  <c r="L50" i="26"/>
  <c r="C51" i="26"/>
  <c r="D51" i="26"/>
  <c r="R51" i="26" s="1"/>
  <c r="E51" i="26"/>
  <c r="F51" i="26"/>
  <c r="H51" i="26"/>
  <c r="J51" i="26"/>
  <c r="K51" i="26"/>
  <c r="L51" i="26"/>
  <c r="V51" i="26" s="1"/>
  <c r="C52" i="26"/>
  <c r="D52" i="26"/>
  <c r="E52" i="26"/>
  <c r="F52" i="26"/>
  <c r="H52" i="26"/>
  <c r="J52" i="26"/>
  <c r="K52" i="26"/>
  <c r="L52" i="26"/>
  <c r="C53" i="26"/>
  <c r="D53" i="26"/>
  <c r="E53" i="26"/>
  <c r="F53" i="26"/>
  <c r="H53" i="26"/>
  <c r="J53" i="26"/>
  <c r="K53" i="26"/>
  <c r="L53" i="26"/>
  <c r="C54" i="26"/>
  <c r="D54" i="26"/>
  <c r="E54" i="26"/>
  <c r="R54" i="26" s="1"/>
  <c r="F54" i="26"/>
  <c r="H54" i="26"/>
  <c r="J54" i="26"/>
  <c r="K54" i="26"/>
  <c r="L54" i="26"/>
  <c r="C55" i="26"/>
  <c r="D55" i="26"/>
  <c r="E55" i="26"/>
  <c r="F55" i="26"/>
  <c r="H55" i="26"/>
  <c r="J55" i="26"/>
  <c r="K55" i="26"/>
  <c r="L55" i="26"/>
  <c r="C56" i="26"/>
  <c r="R56" i="26" s="1"/>
  <c r="D56" i="26"/>
  <c r="E56" i="26"/>
  <c r="F56" i="26"/>
  <c r="H56" i="26"/>
  <c r="J56" i="26"/>
  <c r="K56" i="26"/>
  <c r="U56" i="26" s="1"/>
  <c r="L56" i="26"/>
  <c r="R45" i="26"/>
  <c r="V45" i="26"/>
  <c r="V46" i="26"/>
  <c r="R47" i="26"/>
  <c r="U47" i="26"/>
  <c r="V47" i="26"/>
  <c r="V48" i="26"/>
  <c r="R49" i="26"/>
  <c r="U49" i="26"/>
  <c r="V49" i="26"/>
  <c r="R50" i="26"/>
  <c r="U50" i="26"/>
  <c r="V50" i="26"/>
  <c r="U51" i="26"/>
  <c r="R52" i="26"/>
  <c r="U52" i="26"/>
  <c r="V52" i="26"/>
  <c r="R53" i="26"/>
  <c r="U53" i="26"/>
  <c r="V53" i="26"/>
  <c r="U54" i="26"/>
  <c r="V54" i="26"/>
  <c r="R55" i="26"/>
  <c r="U55" i="26"/>
  <c r="V55" i="26"/>
  <c r="V56" i="26"/>
  <c r="R15" i="26"/>
  <c r="V15" i="26"/>
  <c r="R16" i="26"/>
  <c r="V16" i="26"/>
  <c r="R17" i="26"/>
  <c r="U17" i="26"/>
  <c r="V17" i="26"/>
  <c r="R18" i="26"/>
  <c r="U18" i="26"/>
  <c r="V18" i="26"/>
  <c r="R19" i="26"/>
  <c r="U19" i="26"/>
  <c r="V19" i="26"/>
  <c r="R20" i="26"/>
  <c r="U20" i="26"/>
  <c r="V20" i="26"/>
  <c r="R21" i="26"/>
  <c r="U21" i="26"/>
  <c r="V21" i="26"/>
  <c r="R22" i="26"/>
  <c r="U22" i="26"/>
  <c r="V22" i="26"/>
  <c r="R23" i="26"/>
  <c r="U23" i="26"/>
  <c r="V23" i="26"/>
  <c r="R24" i="26"/>
  <c r="U24" i="26"/>
  <c r="V24" i="26"/>
  <c r="R25" i="26"/>
  <c r="U25" i="26"/>
  <c r="V25" i="26"/>
  <c r="R26" i="26"/>
  <c r="U26" i="26"/>
  <c r="V26" i="26"/>
  <c r="L15" i="26"/>
  <c r="L16" i="26"/>
  <c r="L17" i="26"/>
  <c r="L18" i="26"/>
  <c r="L19" i="26"/>
  <c r="L20" i="26"/>
  <c r="L21" i="26"/>
  <c r="L22" i="26"/>
  <c r="L23" i="26"/>
  <c r="L24" i="26"/>
  <c r="L25" i="26"/>
  <c r="L26" i="26"/>
  <c r="K17" i="26"/>
  <c r="K18" i="26"/>
  <c r="K19" i="26"/>
  <c r="K20" i="26"/>
  <c r="K21" i="26"/>
  <c r="K22" i="26"/>
  <c r="K23" i="26"/>
  <c r="K24" i="26"/>
  <c r="K25" i="26"/>
  <c r="K26" i="26"/>
  <c r="J15" i="26"/>
  <c r="J16" i="26"/>
  <c r="J17" i="26"/>
  <c r="J18" i="26"/>
  <c r="J19" i="26"/>
  <c r="J20" i="26"/>
  <c r="J21" i="26"/>
  <c r="J22" i="26"/>
  <c r="J23" i="26"/>
  <c r="J24" i="26"/>
  <c r="J25" i="26"/>
  <c r="J26" i="26"/>
  <c r="H15" i="26"/>
  <c r="H16" i="26"/>
  <c r="H17" i="26"/>
  <c r="H18" i="26"/>
  <c r="H19" i="26"/>
  <c r="H20" i="26"/>
  <c r="H21" i="26"/>
  <c r="H22" i="26"/>
  <c r="H23" i="26"/>
  <c r="H24" i="26"/>
  <c r="H25" i="26"/>
  <c r="H26" i="26"/>
  <c r="F15" i="26"/>
  <c r="F16" i="26"/>
  <c r="F17" i="26"/>
  <c r="F18" i="26"/>
  <c r="F19" i="26"/>
  <c r="F20" i="26"/>
  <c r="F21" i="26"/>
  <c r="F22" i="26"/>
  <c r="F23" i="26"/>
  <c r="F24" i="26"/>
  <c r="F25" i="26"/>
  <c r="F26" i="26"/>
  <c r="E15" i="26"/>
  <c r="E16" i="26"/>
  <c r="E17" i="26"/>
  <c r="E18" i="26"/>
  <c r="E19" i="26"/>
  <c r="E20" i="26"/>
  <c r="E21" i="26"/>
  <c r="E22" i="26"/>
  <c r="E23" i="26"/>
  <c r="E24" i="26"/>
  <c r="E25" i="26"/>
  <c r="E26" i="26"/>
  <c r="D15" i="26"/>
  <c r="D16" i="26"/>
  <c r="D17" i="26"/>
  <c r="D18" i="26"/>
  <c r="D19" i="26"/>
  <c r="D20" i="26"/>
  <c r="D21" i="26"/>
  <c r="D22" i="26"/>
  <c r="D23" i="26"/>
  <c r="D24" i="26"/>
  <c r="D25" i="26"/>
  <c r="D26" i="26"/>
  <c r="C15" i="26"/>
  <c r="C16" i="26"/>
  <c r="C17" i="26"/>
  <c r="C18" i="26"/>
  <c r="C19" i="26"/>
  <c r="C20" i="26"/>
  <c r="C21" i="26"/>
  <c r="C22" i="26"/>
  <c r="C23" i="26"/>
  <c r="C24" i="26"/>
  <c r="C25" i="26"/>
  <c r="C26" i="26"/>
  <c r="G31" i="35"/>
  <c r="F31" i="35"/>
  <c r="I88" i="35"/>
  <c r="I89" i="35"/>
  <c r="I90" i="35"/>
  <c r="I91" i="35"/>
  <c r="K109" i="35"/>
  <c r="G109" i="35"/>
  <c r="F136" i="35" s="1"/>
  <c r="F109" i="35"/>
  <c r="E109" i="35"/>
  <c r="D109" i="35"/>
  <c r="K115" i="35"/>
  <c r="K116" i="35"/>
  <c r="K117" i="35"/>
  <c r="K118" i="35"/>
  <c r="K119" i="35"/>
  <c r="K120" i="35"/>
  <c r="K121" i="35"/>
  <c r="K122" i="35"/>
  <c r="K123" i="35"/>
  <c r="K124" i="35"/>
  <c r="K125" i="35"/>
  <c r="K126" i="35"/>
  <c r="K127" i="35"/>
  <c r="K128" i="35"/>
  <c r="K129" i="35"/>
  <c r="K130" i="35"/>
  <c r="K131" i="35"/>
  <c r="K132" i="35"/>
  <c r="K133" i="35"/>
  <c r="K134" i="35"/>
  <c r="K135" i="35"/>
  <c r="K136" i="35"/>
  <c r="K114" i="35"/>
  <c r="K88" i="35"/>
  <c r="K89" i="35"/>
  <c r="K90" i="35"/>
  <c r="K91" i="35"/>
  <c r="K92" i="35"/>
  <c r="K93" i="35"/>
  <c r="K94" i="35"/>
  <c r="K95" i="35"/>
  <c r="K96" i="35"/>
  <c r="K97" i="35"/>
  <c r="K98" i="35"/>
  <c r="K99" i="35"/>
  <c r="K100" i="35"/>
  <c r="K101" i="35"/>
  <c r="K102" i="35"/>
  <c r="K103" i="35"/>
  <c r="K104" i="35"/>
  <c r="K105" i="35"/>
  <c r="K106" i="35"/>
  <c r="K107" i="35"/>
  <c r="K108" i="35"/>
  <c r="K87" i="35"/>
  <c r="G133" i="35"/>
  <c r="G136" i="35"/>
  <c r="H109" i="35" s="1"/>
  <c r="G135" i="35"/>
  <c r="G134" i="35"/>
  <c r="G132" i="35"/>
  <c r="G131" i="35"/>
  <c r="G130" i="35"/>
  <c r="G129" i="35"/>
  <c r="G128" i="35"/>
  <c r="G127" i="35"/>
  <c r="G126" i="35"/>
  <c r="G125" i="35"/>
  <c r="G124" i="35"/>
  <c r="P13" i="6"/>
  <c r="Q13" i="6"/>
  <c r="R13" i="6"/>
  <c r="S13" i="6"/>
  <c r="T13" i="6"/>
  <c r="U13" i="6"/>
  <c r="V13" i="6"/>
  <c r="E136" i="35"/>
  <c r="I62" i="35"/>
  <c r="I68" i="35"/>
  <c r="I70" i="35"/>
  <c r="I76" i="35"/>
  <c r="I77" i="35"/>
  <c r="I78" i="35"/>
  <c r="I79" i="35"/>
  <c r="I80" i="35"/>
  <c r="I81" i="35"/>
  <c r="I82" i="35"/>
  <c r="H61" i="35"/>
  <c r="H62" i="35"/>
  <c r="H63" i="35"/>
  <c r="H64" i="35"/>
  <c r="H65" i="35"/>
  <c r="H66" i="35"/>
  <c r="H67" i="35"/>
  <c r="H68" i="35"/>
  <c r="H69" i="35"/>
  <c r="H70" i="35"/>
  <c r="H71" i="35"/>
  <c r="H72" i="35"/>
  <c r="H73" i="35"/>
  <c r="H74" i="35"/>
  <c r="H75" i="35"/>
  <c r="H76" i="35"/>
  <c r="H77" i="35"/>
  <c r="H78" i="35"/>
  <c r="H79" i="35"/>
  <c r="H80" i="35"/>
  <c r="H81" i="35"/>
  <c r="H82" i="35"/>
  <c r="H60" i="35"/>
  <c r="G64" i="35"/>
  <c r="G72" i="35"/>
  <c r="G76" i="35"/>
  <c r="G77" i="35"/>
  <c r="G78" i="35"/>
  <c r="G79" i="35"/>
  <c r="G80" i="35"/>
  <c r="G81" i="35"/>
  <c r="G82" i="35"/>
  <c r="F61" i="35"/>
  <c r="F62" i="35"/>
  <c r="F63" i="35"/>
  <c r="F64" i="35"/>
  <c r="F65" i="35"/>
  <c r="F66" i="35"/>
  <c r="F67" i="35"/>
  <c r="F68" i="35"/>
  <c r="F69" i="35"/>
  <c r="F70" i="35"/>
  <c r="F71" i="35"/>
  <c r="F72" i="35"/>
  <c r="F73" i="35"/>
  <c r="F74" i="35"/>
  <c r="F75" i="35"/>
  <c r="F76" i="35"/>
  <c r="F77" i="35"/>
  <c r="F78" i="35"/>
  <c r="F79" i="35"/>
  <c r="F80" i="35"/>
  <c r="F81" i="35"/>
  <c r="F82" i="35"/>
  <c r="F60" i="35"/>
  <c r="E61" i="35"/>
  <c r="E66" i="35"/>
  <c r="E69" i="35"/>
  <c r="E74" i="35"/>
  <c r="E76" i="35"/>
  <c r="E77" i="35"/>
  <c r="E78" i="35"/>
  <c r="E79" i="35"/>
  <c r="E80" i="35"/>
  <c r="E81" i="35"/>
  <c r="E82" i="35"/>
  <c r="D73" i="35"/>
  <c r="D74" i="35"/>
  <c r="D76" i="35"/>
  <c r="D77" i="35"/>
  <c r="D78" i="35"/>
  <c r="D79" i="35"/>
  <c r="D80" i="35"/>
  <c r="D81" i="35"/>
  <c r="D82" i="35"/>
  <c r="J20" i="40"/>
  <c r="J21" i="40"/>
  <c r="J22" i="40"/>
  <c r="J23" i="40"/>
  <c r="J24" i="40"/>
  <c r="J25" i="40"/>
  <c r="J26" i="40"/>
  <c r="C4" i="40"/>
  <c r="D4" i="40"/>
  <c r="E4" i="40"/>
  <c r="F4" i="40"/>
  <c r="G4" i="40"/>
  <c r="C5" i="40"/>
  <c r="D5" i="40"/>
  <c r="E5" i="40"/>
  <c r="F5" i="40"/>
  <c r="G5" i="40"/>
  <c r="C6" i="40"/>
  <c r="D6" i="40"/>
  <c r="E6" i="40"/>
  <c r="F6" i="40"/>
  <c r="G6" i="40"/>
  <c r="C7" i="40"/>
  <c r="D7" i="40"/>
  <c r="E7" i="40"/>
  <c r="F7" i="40"/>
  <c r="G7" i="40"/>
  <c r="C8" i="40"/>
  <c r="D8" i="40"/>
  <c r="E8" i="40"/>
  <c r="F8" i="40"/>
  <c r="G8" i="40"/>
  <c r="I8" i="40"/>
  <c r="C9" i="40"/>
  <c r="D9" i="40"/>
  <c r="E9" i="40"/>
  <c r="F9" i="40"/>
  <c r="G9" i="40"/>
  <c r="I9" i="40"/>
  <c r="C10" i="40"/>
  <c r="D10" i="40"/>
  <c r="E10" i="40"/>
  <c r="F10" i="40"/>
  <c r="G10" i="40"/>
  <c r="C11" i="40"/>
  <c r="D11" i="40"/>
  <c r="E11" i="40"/>
  <c r="F11" i="40"/>
  <c r="G11" i="40"/>
  <c r="C12" i="40"/>
  <c r="D12" i="40"/>
  <c r="E12" i="40"/>
  <c r="F12" i="40"/>
  <c r="G12" i="40"/>
  <c r="C13" i="40"/>
  <c r="D13" i="40"/>
  <c r="E13" i="40"/>
  <c r="F13" i="40"/>
  <c r="G13" i="40"/>
  <c r="C14" i="40"/>
  <c r="D14" i="40"/>
  <c r="E14" i="40"/>
  <c r="F14" i="40"/>
  <c r="G14" i="40"/>
  <c r="C15" i="40"/>
  <c r="D15" i="40"/>
  <c r="E15" i="40"/>
  <c r="F15" i="40"/>
  <c r="G15" i="40"/>
  <c r="C16" i="40"/>
  <c r="D16" i="40"/>
  <c r="E16" i="40"/>
  <c r="F16" i="40"/>
  <c r="G16" i="40"/>
  <c r="C17" i="40"/>
  <c r="D17" i="40"/>
  <c r="E17" i="40"/>
  <c r="F17" i="40"/>
  <c r="G17" i="40"/>
  <c r="C18" i="40"/>
  <c r="D18" i="40"/>
  <c r="E18" i="40"/>
  <c r="F18" i="40"/>
  <c r="G18" i="40"/>
  <c r="C19" i="40"/>
  <c r="D19" i="40"/>
  <c r="E19" i="40"/>
  <c r="F19" i="40"/>
  <c r="G19" i="40"/>
  <c r="C20" i="40"/>
  <c r="D20" i="40"/>
  <c r="E20" i="40"/>
  <c r="F20" i="40"/>
  <c r="G20" i="40"/>
  <c r="H20" i="40"/>
  <c r="I20" i="40"/>
  <c r="C21" i="40"/>
  <c r="D21" i="40"/>
  <c r="E21" i="40"/>
  <c r="F21" i="40"/>
  <c r="G21" i="40"/>
  <c r="H21" i="40"/>
  <c r="I21" i="40"/>
  <c r="C22" i="40"/>
  <c r="D22" i="40"/>
  <c r="E22" i="40"/>
  <c r="F22" i="40"/>
  <c r="G22" i="40"/>
  <c r="H22" i="40"/>
  <c r="I22" i="40"/>
  <c r="C23" i="40"/>
  <c r="D23" i="40"/>
  <c r="E23" i="40"/>
  <c r="F23" i="40"/>
  <c r="G23" i="40"/>
  <c r="H23" i="40"/>
  <c r="I23" i="40"/>
  <c r="C24" i="40"/>
  <c r="D24" i="40"/>
  <c r="E24" i="40"/>
  <c r="F24" i="40"/>
  <c r="G24" i="40"/>
  <c r="H24" i="40"/>
  <c r="I24" i="40"/>
  <c r="C25" i="40"/>
  <c r="D25" i="40"/>
  <c r="E25" i="40"/>
  <c r="F25" i="40"/>
  <c r="G25" i="40"/>
  <c r="H25" i="40"/>
  <c r="I25" i="40"/>
  <c r="C26" i="40"/>
  <c r="D26" i="40"/>
  <c r="E26" i="40"/>
  <c r="F26" i="40"/>
  <c r="G26" i="40"/>
  <c r="H26" i="40"/>
  <c r="I26" i="40"/>
  <c r="B5" i="40"/>
  <c r="B6" i="40"/>
  <c r="B7" i="40"/>
  <c r="B8" i="40"/>
  <c r="B9" i="40"/>
  <c r="B10" i="40"/>
  <c r="B11" i="40"/>
  <c r="B12" i="40"/>
  <c r="B13" i="40"/>
  <c r="B14" i="40"/>
  <c r="B15" i="40"/>
  <c r="B16" i="40"/>
  <c r="B17" i="40"/>
  <c r="B18" i="40"/>
  <c r="B19" i="40"/>
  <c r="B20" i="40"/>
  <c r="B21" i="40"/>
  <c r="B22" i="40"/>
  <c r="B23" i="40"/>
  <c r="B24" i="40"/>
  <c r="B25" i="40"/>
  <c r="B26" i="40"/>
  <c r="B4" i="40"/>
  <c r="I92" i="40"/>
  <c r="I93" i="40"/>
  <c r="I94" i="40"/>
  <c r="I95" i="40"/>
  <c r="I96" i="40"/>
  <c r="I97" i="40"/>
  <c r="I98" i="40"/>
  <c r="I99" i="40"/>
  <c r="I100" i="40"/>
  <c r="I101" i="40"/>
  <c r="I102" i="40"/>
  <c r="I103" i="40"/>
  <c r="I104" i="40"/>
  <c r="I105" i="40"/>
  <c r="I106" i="40"/>
  <c r="I107" i="40"/>
  <c r="I108" i="40"/>
  <c r="I109" i="40"/>
  <c r="I110" i="40"/>
  <c r="I111" i="40"/>
  <c r="I112" i="40"/>
  <c r="I113" i="40"/>
  <c r="I91" i="40"/>
  <c r="H92" i="40"/>
  <c r="I61" i="35" s="1"/>
  <c r="H93" i="40"/>
  <c r="H94" i="40"/>
  <c r="I63" i="35" s="1"/>
  <c r="H95" i="40"/>
  <c r="I64" i="35" s="1"/>
  <c r="H96" i="40"/>
  <c r="I65" i="35" s="1"/>
  <c r="H97" i="40"/>
  <c r="I66" i="35" s="1"/>
  <c r="H98" i="40"/>
  <c r="I67" i="35" s="1"/>
  <c r="H99" i="40"/>
  <c r="H100" i="40"/>
  <c r="I69" i="35" s="1"/>
  <c r="H101" i="40"/>
  <c r="H102" i="40"/>
  <c r="I71" i="35" s="1"/>
  <c r="H103" i="40"/>
  <c r="I72" i="35" s="1"/>
  <c r="H104" i="40"/>
  <c r="I73" i="35" s="1"/>
  <c r="H105" i="40"/>
  <c r="I74" i="35" s="1"/>
  <c r="H106" i="40"/>
  <c r="I75" i="35" s="1"/>
  <c r="H107" i="40"/>
  <c r="H108" i="40"/>
  <c r="H109" i="40"/>
  <c r="H110" i="40"/>
  <c r="H111" i="40"/>
  <c r="H112" i="40"/>
  <c r="H113" i="40"/>
  <c r="H91" i="40"/>
  <c r="I60" i="35" s="1"/>
  <c r="G92" i="40"/>
  <c r="G93" i="40"/>
  <c r="G94" i="40"/>
  <c r="G95" i="40"/>
  <c r="G96" i="40"/>
  <c r="G97" i="40"/>
  <c r="G98" i="40"/>
  <c r="G99" i="40"/>
  <c r="G100" i="40"/>
  <c r="G101" i="40"/>
  <c r="G102" i="40"/>
  <c r="G103" i="40"/>
  <c r="G104" i="40"/>
  <c r="G105" i="40"/>
  <c r="G106" i="40"/>
  <c r="G107" i="40"/>
  <c r="G108" i="40"/>
  <c r="G109" i="40"/>
  <c r="G110" i="40"/>
  <c r="G111" i="40"/>
  <c r="G112" i="40"/>
  <c r="G113" i="40"/>
  <c r="G91" i="40"/>
  <c r="F92" i="40"/>
  <c r="F93" i="40"/>
  <c r="F94" i="40"/>
  <c r="F95" i="40"/>
  <c r="F96" i="40"/>
  <c r="F97" i="40"/>
  <c r="F98" i="40"/>
  <c r="F99" i="40"/>
  <c r="F100" i="40"/>
  <c r="F101" i="40"/>
  <c r="F102" i="40"/>
  <c r="F103" i="40"/>
  <c r="F104" i="40"/>
  <c r="F105" i="40"/>
  <c r="F106" i="40"/>
  <c r="F107" i="40"/>
  <c r="F108" i="40"/>
  <c r="F109" i="40"/>
  <c r="F110" i="40"/>
  <c r="F111" i="40"/>
  <c r="F112" i="40"/>
  <c r="F113" i="40"/>
  <c r="F91" i="40"/>
  <c r="E92" i="40"/>
  <c r="E93" i="40"/>
  <c r="E94" i="40"/>
  <c r="E95" i="40"/>
  <c r="E96" i="40"/>
  <c r="E97" i="40"/>
  <c r="E98" i="40"/>
  <c r="E99" i="40"/>
  <c r="E100" i="40"/>
  <c r="E101" i="40"/>
  <c r="E102" i="40"/>
  <c r="E103" i="40"/>
  <c r="E104" i="40"/>
  <c r="E105" i="40"/>
  <c r="E106" i="40"/>
  <c r="E107" i="40"/>
  <c r="E108" i="40"/>
  <c r="E109" i="40"/>
  <c r="E110" i="40"/>
  <c r="E111" i="40"/>
  <c r="E112" i="40"/>
  <c r="E113" i="40"/>
  <c r="E91" i="40"/>
  <c r="D92" i="40"/>
  <c r="D93" i="40"/>
  <c r="D94" i="40"/>
  <c r="D95" i="40"/>
  <c r="D96" i="40"/>
  <c r="D97" i="40"/>
  <c r="D98" i="40"/>
  <c r="D99" i="40"/>
  <c r="D100" i="40"/>
  <c r="D101" i="40"/>
  <c r="D102" i="40"/>
  <c r="D103" i="40"/>
  <c r="D104" i="40"/>
  <c r="D105" i="40"/>
  <c r="D106" i="40"/>
  <c r="D107" i="40"/>
  <c r="D108" i="40"/>
  <c r="D109" i="40"/>
  <c r="D110" i="40"/>
  <c r="D111" i="40"/>
  <c r="D112" i="40"/>
  <c r="D113" i="40"/>
  <c r="D91" i="40"/>
  <c r="I61" i="40"/>
  <c r="I62" i="40"/>
  <c r="I63" i="40"/>
  <c r="I64" i="40"/>
  <c r="I65" i="40"/>
  <c r="I66" i="40"/>
  <c r="I67" i="40"/>
  <c r="I68" i="40"/>
  <c r="I69" i="40"/>
  <c r="I70" i="40"/>
  <c r="I71" i="40"/>
  <c r="I72" i="40"/>
  <c r="I73" i="40"/>
  <c r="I74" i="40"/>
  <c r="I75" i="40"/>
  <c r="I76" i="40"/>
  <c r="I77" i="40"/>
  <c r="I78" i="40"/>
  <c r="I79" i="40"/>
  <c r="I80" i="40"/>
  <c r="I81" i="40"/>
  <c r="I82" i="40"/>
  <c r="I60" i="40"/>
  <c r="H61" i="40"/>
  <c r="G61" i="35" s="1"/>
  <c r="H62" i="40"/>
  <c r="G62" i="35" s="1"/>
  <c r="H63" i="40"/>
  <c r="G63" i="35" s="1"/>
  <c r="H64" i="40"/>
  <c r="H8" i="40" s="1"/>
  <c r="H65" i="40"/>
  <c r="G65" i="35" s="1"/>
  <c r="H66" i="40"/>
  <c r="G66" i="35" s="1"/>
  <c r="H67" i="40"/>
  <c r="G67" i="35" s="1"/>
  <c r="H68" i="40"/>
  <c r="G68" i="35" s="1"/>
  <c r="H69" i="40"/>
  <c r="H13" i="40" s="1"/>
  <c r="H70" i="40"/>
  <c r="H14" i="40" s="1"/>
  <c r="H71" i="40"/>
  <c r="G71" i="35" s="1"/>
  <c r="H72" i="40"/>
  <c r="H16" i="40" s="1"/>
  <c r="H73" i="40"/>
  <c r="G73" i="35" s="1"/>
  <c r="H74" i="40"/>
  <c r="G74" i="35" s="1"/>
  <c r="H75" i="40"/>
  <c r="G75" i="35" s="1"/>
  <c r="H76" i="40"/>
  <c r="H77" i="40"/>
  <c r="H78" i="40"/>
  <c r="H79" i="40"/>
  <c r="H80" i="40"/>
  <c r="H81" i="40"/>
  <c r="H82" i="40"/>
  <c r="H60" i="40"/>
  <c r="G60" i="35" s="1"/>
  <c r="G61" i="40"/>
  <c r="G62" i="40"/>
  <c r="G63" i="40"/>
  <c r="G64" i="40"/>
  <c r="G65" i="40"/>
  <c r="G66" i="40"/>
  <c r="G67" i="40"/>
  <c r="G68" i="40"/>
  <c r="G69" i="40"/>
  <c r="G70" i="40"/>
  <c r="G71" i="40"/>
  <c r="G72" i="40"/>
  <c r="G73" i="40"/>
  <c r="G74" i="40"/>
  <c r="G75" i="40"/>
  <c r="G76" i="40"/>
  <c r="G77" i="40"/>
  <c r="G78" i="40"/>
  <c r="G79" i="40"/>
  <c r="G80" i="40"/>
  <c r="G81" i="40"/>
  <c r="G82" i="40"/>
  <c r="G60" i="40"/>
  <c r="F61" i="40"/>
  <c r="F62" i="40"/>
  <c r="F63" i="40"/>
  <c r="F64" i="40"/>
  <c r="F65" i="40"/>
  <c r="F66" i="40"/>
  <c r="F67" i="40"/>
  <c r="F68" i="40"/>
  <c r="F69" i="40"/>
  <c r="F70" i="40"/>
  <c r="F71" i="40"/>
  <c r="F72" i="40"/>
  <c r="F73" i="40"/>
  <c r="F74" i="40"/>
  <c r="F75" i="40"/>
  <c r="F76" i="40"/>
  <c r="F77" i="40"/>
  <c r="F78" i="40"/>
  <c r="F79" i="40"/>
  <c r="F80" i="40"/>
  <c r="F81" i="40"/>
  <c r="F82" i="40"/>
  <c r="F60" i="40"/>
  <c r="E61" i="40"/>
  <c r="E62" i="40"/>
  <c r="E63" i="40"/>
  <c r="E64" i="40"/>
  <c r="E65" i="40"/>
  <c r="E66" i="40"/>
  <c r="E67" i="40"/>
  <c r="E68" i="40"/>
  <c r="E69" i="40"/>
  <c r="E70" i="40"/>
  <c r="E71" i="40"/>
  <c r="E72" i="40"/>
  <c r="E73" i="40"/>
  <c r="E74" i="40"/>
  <c r="E75" i="40"/>
  <c r="E76" i="40"/>
  <c r="E77" i="40"/>
  <c r="E78" i="40"/>
  <c r="E79" i="40"/>
  <c r="E80" i="40"/>
  <c r="E81" i="40"/>
  <c r="E82" i="40"/>
  <c r="E60" i="40"/>
  <c r="D61" i="40"/>
  <c r="D62" i="40"/>
  <c r="D63" i="40"/>
  <c r="D64" i="40"/>
  <c r="D65" i="40"/>
  <c r="D66" i="40"/>
  <c r="D67" i="40"/>
  <c r="D68" i="40"/>
  <c r="D69" i="40"/>
  <c r="D70" i="40"/>
  <c r="D71" i="40"/>
  <c r="D72" i="40"/>
  <c r="D73" i="40"/>
  <c r="D74" i="40"/>
  <c r="D75" i="40"/>
  <c r="D76" i="40"/>
  <c r="D77" i="40"/>
  <c r="D78" i="40"/>
  <c r="D79" i="40"/>
  <c r="D80" i="40"/>
  <c r="D81" i="40"/>
  <c r="D82" i="40"/>
  <c r="D60" i="40"/>
  <c r="I33" i="40"/>
  <c r="D61" i="35" s="1"/>
  <c r="I34" i="40"/>
  <c r="I6" i="40" s="1"/>
  <c r="I35" i="40"/>
  <c r="I7" i="40" s="1"/>
  <c r="I36" i="40"/>
  <c r="D64" i="35" s="1"/>
  <c r="I37" i="40"/>
  <c r="D65" i="35" s="1"/>
  <c r="I38" i="40"/>
  <c r="D66" i="35" s="1"/>
  <c r="I39" i="40"/>
  <c r="D67" i="35" s="1"/>
  <c r="I40" i="40"/>
  <c r="D68" i="35" s="1"/>
  <c r="I41" i="40"/>
  <c r="D69" i="35" s="1"/>
  <c r="I42" i="40"/>
  <c r="I14" i="40" s="1"/>
  <c r="I43" i="40"/>
  <c r="I15" i="40" s="1"/>
  <c r="I44" i="40"/>
  <c r="I16" i="40" s="1"/>
  <c r="I45" i="40"/>
  <c r="I17" i="40" s="1"/>
  <c r="I46" i="40"/>
  <c r="I18" i="40" s="1"/>
  <c r="I47" i="40"/>
  <c r="D75" i="35" s="1"/>
  <c r="I48" i="40"/>
  <c r="I49" i="40"/>
  <c r="I50" i="40"/>
  <c r="I51" i="40"/>
  <c r="I52" i="40"/>
  <c r="I53" i="40"/>
  <c r="I54" i="40"/>
  <c r="I32" i="40"/>
  <c r="I4" i="40" s="1"/>
  <c r="H33" i="40"/>
  <c r="H34" i="40"/>
  <c r="H6" i="40" s="1"/>
  <c r="H35" i="40"/>
  <c r="E63" i="35" s="1"/>
  <c r="H36" i="40"/>
  <c r="E64" i="35" s="1"/>
  <c r="H37" i="40"/>
  <c r="H9" i="40" s="1"/>
  <c r="H38" i="40"/>
  <c r="H39" i="40"/>
  <c r="E67" i="35" s="1"/>
  <c r="H40" i="40"/>
  <c r="E68" i="35" s="1"/>
  <c r="H41" i="40"/>
  <c r="H42" i="40"/>
  <c r="E70" i="35" s="1"/>
  <c r="H43" i="40"/>
  <c r="H15" i="40" s="1"/>
  <c r="H44" i="40"/>
  <c r="E72" i="35" s="1"/>
  <c r="H45" i="40"/>
  <c r="H17" i="40" s="1"/>
  <c r="H46" i="40"/>
  <c r="H47" i="40"/>
  <c r="E75" i="35" s="1"/>
  <c r="H48" i="40"/>
  <c r="H49" i="40"/>
  <c r="H50" i="40"/>
  <c r="H51" i="40"/>
  <c r="H52" i="40"/>
  <c r="H53" i="40"/>
  <c r="H54" i="40"/>
  <c r="H32" i="40"/>
  <c r="E60" i="35" s="1"/>
  <c r="G33" i="40"/>
  <c r="G34" i="40"/>
  <c r="G35" i="40"/>
  <c r="G36" i="40"/>
  <c r="G37" i="40"/>
  <c r="G38" i="40"/>
  <c r="G39" i="40"/>
  <c r="G40" i="40"/>
  <c r="G41" i="40"/>
  <c r="G42" i="40"/>
  <c r="G43" i="40"/>
  <c r="G44" i="40"/>
  <c r="G45" i="40"/>
  <c r="G46" i="40"/>
  <c r="G47" i="40"/>
  <c r="G48" i="40"/>
  <c r="G49" i="40"/>
  <c r="G50" i="40"/>
  <c r="G51" i="40"/>
  <c r="G52" i="40"/>
  <c r="G53" i="40"/>
  <c r="G54" i="40"/>
  <c r="G32" i="40"/>
  <c r="F33" i="40"/>
  <c r="F34" i="40"/>
  <c r="F35" i="40"/>
  <c r="F36" i="40"/>
  <c r="F37" i="40"/>
  <c r="F38" i="40"/>
  <c r="F39" i="40"/>
  <c r="F40" i="40"/>
  <c r="F41" i="40"/>
  <c r="F42" i="40"/>
  <c r="F43" i="40"/>
  <c r="F44" i="40"/>
  <c r="F45" i="40"/>
  <c r="F46" i="40"/>
  <c r="F47" i="40"/>
  <c r="F48" i="40"/>
  <c r="F49" i="40"/>
  <c r="F50" i="40"/>
  <c r="F51" i="40"/>
  <c r="F52" i="40"/>
  <c r="F53" i="40"/>
  <c r="F54" i="40"/>
  <c r="F32" i="40"/>
  <c r="E33" i="40"/>
  <c r="E34" i="40"/>
  <c r="E35" i="40"/>
  <c r="E36" i="40"/>
  <c r="E37" i="40"/>
  <c r="E38" i="40"/>
  <c r="E39" i="40"/>
  <c r="E40" i="40"/>
  <c r="E41" i="40"/>
  <c r="E42" i="40"/>
  <c r="E43" i="40"/>
  <c r="E44" i="40"/>
  <c r="E45" i="40"/>
  <c r="E46" i="40"/>
  <c r="E47" i="40"/>
  <c r="E48" i="40"/>
  <c r="E49" i="40"/>
  <c r="E50" i="40"/>
  <c r="E51" i="40"/>
  <c r="E52" i="40"/>
  <c r="E53" i="40"/>
  <c r="E54" i="40"/>
  <c r="E32" i="40"/>
  <c r="D33" i="40"/>
  <c r="D34" i="40"/>
  <c r="D35" i="40"/>
  <c r="D36" i="40"/>
  <c r="D37" i="40"/>
  <c r="D38" i="40"/>
  <c r="D39" i="40"/>
  <c r="D40" i="40"/>
  <c r="D41" i="40"/>
  <c r="D42" i="40"/>
  <c r="D43" i="40"/>
  <c r="D44" i="40"/>
  <c r="D45" i="40"/>
  <c r="D46" i="40"/>
  <c r="D47" i="40"/>
  <c r="D48" i="40"/>
  <c r="D49" i="40"/>
  <c r="D50" i="40"/>
  <c r="D51" i="40"/>
  <c r="D52" i="40"/>
  <c r="D53" i="40"/>
  <c r="D54" i="40"/>
  <c r="D32" i="40"/>
  <c r="D163" i="35"/>
  <c r="E163" i="35"/>
  <c r="F163" i="35"/>
  <c r="F101" i="35"/>
  <c r="E128" i="35" s="1"/>
  <c r="K82" i="35"/>
  <c r="K81" i="35"/>
  <c r="K80" i="35"/>
  <c r="K79" i="35"/>
  <c r="K78" i="35"/>
  <c r="K77" i="35"/>
  <c r="K76" i="35"/>
  <c r="K75" i="35"/>
  <c r="K74" i="35"/>
  <c r="K71" i="35"/>
  <c r="K72" i="35"/>
  <c r="K73" i="35"/>
  <c r="C63" i="41" l="1"/>
  <c r="C51" i="41"/>
  <c r="C71" i="41"/>
  <c r="G33" i="41"/>
  <c r="J11" i="41"/>
  <c r="L11" i="41" s="1"/>
  <c r="H121" i="35" s="1"/>
  <c r="J19" i="41"/>
  <c r="L19" i="41" s="1"/>
  <c r="H129" i="35" s="1"/>
  <c r="I102" i="35" s="1"/>
  <c r="J10" i="41"/>
  <c r="L10" i="41" s="1"/>
  <c r="H120" i="35" s="1"/>
  <c r="J18" i="41"/>
  <c r="L18" i="41" s="1"/>
  <c r="H128" i="35" s="1"/>
  <c r="I101" i="35" s="1"/>
  <c r="J26" i="41"/>
  <c r="L26" i="41" s="1"/>
  <c r="H136" i="35" s="1"/>
  <c r="I109" i="35" s="1"/>
  <c r="C43" i="41"/>
  <c r="C91" i="41"/>
  <c r="E75" i="41"/>
  <c r="E68" i="41"/>
  <c r="D71" i="41"/>
  <c r="J12" i="41"/>
  <c r="L12" i="41" s="1"/>
  <c r="H122" i="35" s="1"/>
  <c r="J20" i="41"/>
  <c r="L20" i="41" s="1"/>
  <c r="H130" i="35" s="1"/>
  <c r="I103" i="35" s="1"/>
  <c r="E53" i="41"/>
  <c r="J14" i="41"/>
  <c r="L14" i="41" s="1"/>
  <c r="H124" i="35" s="1"/>
  <c r="D54" i="41"/>
  <c r="E51" i="41"/>
  <c r="D79" i="41"/>
  <c r="E77" i="41"/>
  <c r="J23" i="41"/>
  <c r="L23" i="41" s="1"/>
  <c r="H133" i="35" s="1"/>
  <c r="I106" i="35" s="1"/>
  <c r="D46" i="41"/>
  <c r="E45" i="41"/>
  <c r="D77" i="41"/>
  <c r="E76" i="41"/>
  <c r="E109" i="41"/>
  <c r="J15" i="41"/>
  <c r="L15" i="41" s="1"/>
  <c r="H125" i="35" s="1"/>
  <c r="I98" i="35" s="1"/>
  <c r="D38" i="41"/>
  <c r="E43" i="41"/>
  <c r="D110" i="41"/>
  <c r="E107" i="41"/>
  <c r="E37" i="41"/>
  <c r="D69" i="41"/>
  <c r="E69" i="41"/>
  <c r="D102" i="41"/>
  <c r="E101" i="41"/>
  <c r="D94" i="41"/>
  <c r="E99" i="41"/>
  <c r="E67" i="41"/>
  <c r="E93" i="41"/>
  <c r="D45" i="41"/>
  <c r="D37" i="41"/>
  <c r="D109" i="41"/>
  <c r="J22" i="41"/>
  <c r="L22" i="41" s="1"/>
  <c r="H132" i="35" s="1"/>
  <c r="I105" i="35" s="1"/>
  <c r="C90" i="41"/>
  <c r="D48" i="41"/>
  <c r="D40" i="41"/>
  <c r="E54" i="41"/>
  <c r="E46" i="41"/>
  <c r="E38" i="41"/>
  <c r="D80" i="41"/>
  <c r="D72" i="41"/>
  <c r="E78" i="41"/>
  <c r="E70" i="41"/>
  <c r="D104" i="41"/>
  <c r="D96" i="41"/>
  <c r="E110" i="41"/>
  <c r="E102" i="41"/>
  <c r="E94" i="41"/>
  <c r="J25" i="41"/>
  <c r="L25" i="41" s="1"/>
  <c r="H135" i="35" s="1"/>
  <c r="I108" i="35" s="1"/>
  <c r="J17" i="41"/>
  <c r="L17" i="41" s="1"/>
  <c r="H127" i="35" s="1"/>
  <c r="I100" i="35" s="1"/>
  <c r="D47" i="41"/>
  <c r="D103" i="41"/>
  <c r="D95" i="41"/>
  <c r="J24" i="41"/>
  <c r="L24" i="41" s="1"/>
  <c r="H134" i="35" s="1"/>
  <c r="I107" i="35" s="1"/>
  <c r="J16" i="41"/>
  <c r="L16" i="41" s="1"/>
  <c r="H126" i="35" s="1"/>
  <c r="I99" i="35" s="1"/>
  <c r="E52" i="41"/>
  <c r="E44" i="41"/>
  <c r="D78" i="41"/>
  <c r="D70" i="41"/>
  <c r="E108" i="41"/>
  <c r="E100" i="41"/>
  <c r="D52" i="41"/>
  <c r="D44" i="41"/>
  <c r="E50" i="41"/>
  <c r="E42" i="41"/>
  <c r="D76" i="41"/>
  <c r="D68" i="41"/>
  <c r="E98" i="41"/>
  <c r="J21" i="41"/>
  <c r="L21" i="41" s="1"/>
  <c r="H131" i="35" s="1"/>
  <c r="I104" i="35" s="1"/>
  <c r="J13" i="41"/>
  <c r="L13" i="41" s="1"/>
  <c r="H123" i="35" s="1"/>
  <c r="D51" i="41"/>
  <c r="D43" i="41"/>
  <c r="E49" i="41"/>
  <c r="E41" i="41"/>
  <c r="D75" i="41"/>
  <c r="D67" i="41"/>
  <c r="D53" i="41"/>
  <c r="D101" i="41"/>
  <c r="D93" i="41"/>
  <c r="C106" i="41"/>
  <c r="C50" i="41"/>
  <c r="D50" i="41"/>
  <c r="D42" i="41"/>
  <c r="E48" i="41"/>
  <c r="E40" i="41"/>
  <c r="D82" i="41"/>
  <c r="D74" i="41"/>
  <c r="D66" i="41"/>
  <c r="J9" i="41"/>
  <c r="L9" i="41" s="1"/>
  <c r="H119" i="35" s="1"/>
  <c r="D49" i="41"/>
  <c r="D41" i="41"/>
  <c r="E47" i="41"/>
  <c r="E39" i="41"/>
  <c r="K93" i="14"/>
  <c r="J90" i="14"/>
  <c r="J127" i="13" s="1"/>
  <c r="J91" i="14"/>
  <c r="J128" i="13" s="1"/>
  <c r="J92" i="14"/>
  <c r="J129" i="13" s="1"/>
  <c r="C128" i="13"/>
  <c r="H128" i="13"/>
  <c r="I92" i="14"/>
  <c r="I129" i="13" s="1"/>
  <c r="H92" i="14"/>
  <c r="I91" i="14"/>
  <c r="I128" i="13" s="1"/>
  <c r="I90" i="14"/>
  <c r="I127" i="13" s="1"/>
  <c r="G88" i="41"/>
  <c r="G32" i="41"/>
  <c r="C93" i="41"/>
  <c r="C65" i="41"/>
  <c r="C94" i="41"/>
  <c r="C66" i="41"/>
  <c r="C95" i="41"/>
  <c r="C67" i="41"/>
  <c r="C68" i="41"/>
  <c r="C96" i="41"/>
  <c r="C97" i="41"/>
  <c r="C69" i="41"/>
  <c r="C72" i="41"/>
  <c r="C44" i="41"/>
  <c r="C101" i="41"/>
  <c r="C73" i="41"/>
  <c r="C45" i="41"/>
  <c r="C102" i="41"/>
  <c r="C74" i="41"/>
  <c r="C46" i="41"/>
  <c r="C47" i="41"/>
  <c r="C103" i="41"/>
  <c r="C75" i="41"/>
  <c r="C76" i="41"/>
  <c r="C104" i="41"/>
  <c r="C105" i="41"/>
  <c r="C77" i="41"/>
  <c r="C108" i="41"/>
  <c r="C80" i="41"/>
  <c r="C52" i="41"/>
  <c r="C109" i="41"/>
  <c r="C81" i="41"/>
  <c r="C53" i="41"/>
  <c r="C110" i="41"/>
  <c r="C82" i="41"/>
  <c r="C54" i="41"/>
  <c r="C38" i="41"/>
  <c r="C42" i="41"/>
  <c r="G61" i="41"/>
  <c r="H61" i="41" s="1"/>
  <c r="C70" i="41"/>
  <c r="C79" i="41"/>
  <c r="C92" i="41"/>
  <c r="C37" i="41"/>
  <c r="C100" i="41"/>
  <c r="C36" i="41"/>
  <c r="G89" i="41"/>
  <c r="G6" i="41"/>
  <c r="G7" i="41"/>
  <c r="G8" i="41"/>
  <c r="G9" i="41"/>
  <c r="G10" i="41"/>
  <c r="G11" i="41"/>
  <c r="G12" i="41"/>
  <c r="G13" i="41"/>
  <c r="G14" i="41"/>
  <c r="G15" i="41"/>
  <c r="G16" i="41"/>
  <c r="G17" i="41"/>
  <c r="G18" i="41"/>
  <c r="G19" i="41"/>
  <c r="G20" i="41"/>
  <c r="G21" i="41"/>
  <c r="G22" i="41"/>
  <c r="G23" i="41"/>
  <c r="G24" i="41"/>
  <c r="G25" i="41"/>
  <c r="G26" i="41"/>
  <c r="G60" i="41"/>
  <c r="H60" i="41" s="1"/>
  <c r="C62" i="41"/>
  <c r="R78" i="26"/>
  <c r="R83" i="26"/>
  <c r="R75" i="26"/>
  <c r="H18" i="40"/>
  <c r="J18" i="40" s="1"/>
  <c r="J14" i="40"/>
  <c r="H5" i="40"/>
  <c r="G70" i="35"/>
  <c r="J16" i="40"/>
  <c r="G69" i="35"/>
  <c r="H10" i="40"/>
  <c r="H12" i="40"/>
  <c r="H7" i="40"/>
  <c r="J7" i="40" s="1"/>
  <c r="E73" i="35"/>
  <c r="E65" i="35"/>
  <c r="J17" i="40"/>
  <c r="J8" i="40"/>
  <c r="J9" i="40"/>
  <c r="H4" i="40"/>
  <c r="J4" i="40" s="1"/>
  <c r="E71" i="35"/>
  <c r="J15" i="40"/>
  <c r="E62" i="35"/>
  <c r="J6" i="40"/>
  <c r="H19" i="40"/>
  <c r="H11" i="40"/>
  <c r="I10" i="40"/>
  <c r="D72" i="35"/>
  <c r="I11" i="40"/>
  <c r="I19" i="40"/>
  <c r="D60" i="35"/>
  <c r="I12" i="40"/>
  <c r="J12" i="40" s="1"/>
  <c r="D71" i="35"/>
  <c r="D63" i="35"/>
  <c r="I13" i="40"/>
  <c r="J13" i="40" s="1"/>
  <c r="I5" i="40"/>
  <c r="J5" i="40" s="1"/>
  <c r="D70" i="35"/>
  <c r="D62" i="35"/>
  <c r="J109" i="35"/>
  <c r="L109" i="35" s="1"/>
  <c r="G163" i="35"/>
  <c r="D136" i="35"/>
  <c r="I136" i="35" s="1"/>
  <c r="J136" i="35" s="1"/>
  <c r="H129" i="13" l="1"/>
  <c r="C129" i="13"/>
  <c r="K92" i="14"/>
  <c r="K129" i="13" s="1"/>
  <c r="L93" i="14"/>
  <c r="K90" i="14"/>
  <c r="K127" i="13" s="1"/>
  <c r="K91" i="14"/>
  <c r="K128" i="13" s="1"/>
  <c r="G42" i="41"/>
  <c r="G36" i="41"/>
  <c r="G101" i="41"/>
  <c r="G43" i="41"/>
  <c r="G90" i="41"/>
  <c r="G72" i="41"/>
  <c r="H72" i="41" s="1"/>
  <c r="G99" i="41"/>
  <c r="G97" i="41"/>
  <c r="G95" i="41"/>
  <c r="G37" i="41"/>
  <c r="G41" i="41"/>
  <c r="G105" i="41"/>
  <c r="G35" i="41"/>
  <c r="G93" i="41"/>
  <c r="G45" i="41"/>
  <c r="G80" i="41"/>
  <c r="H80" i="41" s="1"/>
  <c r="G108" i="41"/>
  <c r="G100" i="41"/>
  <c r="G40" i="41"/>
  <c r="G66" i="41"/>
  <c r="H66" i="41" s="1"/>
  <c r="G44" i="41"/>
  <c r="G39" i="41"/>
  <c r="G65" i="41"/>
  <c r="H65" i="41" s="1"/>
  <c r="G92" i="41"/>
  <c r="G53" i="41"/>
  <c r="G49" i="41"/>
  <c r="G46" i="41"/>
  <c r="G62" i="41"/>
  <c r="H62" i="41" s="1"/>
  <c r="G52" i="41"/>
  <c r="G109" i="41"/>
  <c r="G106" i="41"/>
  <c r="G74" i="41"/>
  <c r="H74" i="41" s="1"/>
  <c r="G64" i="41"/>
  <c r="H64" i="41" s="1"/>
  <c r="G94" i="41"/>
  <c r="G51" i="41"/>
  <c r="G78" i="41"/>
  <c r="H78" i="41" s="1"/>
  <c r="G47" i="41"/>
  <c r="G102" i="41"/>
  <c r="G98" i="41"/>
  <c r="G68" i="41"/>
  <c r="H68" i="41" s="1"/>
  <c r="G50" i="41"/>
  <c r="G38" i="41"/>
  <c r="G54" i="41"/>
  <c r="G75" i="41"/>
  <c r="H75" i="41" s="1"/>
  <c r="G70" i="41"/>
  <c r="H70" i="41" s="1"/>
  <c r="G96" i="41"/>
  <c r="G63" i="41"/>
  <c r="H63" i="41" s="1"/>
  <c r="G82" i="41"/>
  <c r="H82" i="41" s="1"/>
  <c r="G48" i="41"/>
  <c r="G103" i="41"/>
  <c r="G91" i="41"/>
  <c r="G73" i="41"/>
  <c r="H73" i="41" s="1"/>
  <c r="G110" i="41"/>
  <c r="G79" i="41"/>
  <c r="H79" i="41" s="1"/>
  <c r="G76" i="41"/>
  <c r="H76" i="41" s="1"/>
  <c r="G81" i="41"/>
  <c r="H81" i="41" s="1"/>
  <c r="G107" i="41"/>
  <c r="G77" i="41"/>
  <c r="H77" i="41" s="1"/>
  <c r="G104" i="41"/>
  <c r="G71" i="41"/>
  <c r="H71" i="41" s="1"/>
  <c r="G69" i="41"/>
  <c r="H69" i="41" s="1"/>
  <c r="G67" i="41"/>
  <c r="H67" i="41" s="1"/>
  <c r="J19" i="40"/>
  <c r="J11" i="40"/>
  <c r="J10" i="40"/>
  <c r="L92" i="14" l="1"/>
  <c r="L129" i="13" s="1"/>
  <c r="M93" i="14"/>
  <c r="L90" i="14"/>
  <c r="L127" i="13" s="1"/>
  <c r="L91" i="14"/>
  <c r="L128" i="13" s="1"/>
  <c r="F148" i="35"/>
  <c r="F149" i="35"/>
  <c r="F150" i="35"/>
  <c r="F151" i="35"/>
  <c r="F152" i="35"/>
  <c r="F153" i="35"/>
  <c r="F154" i="35"/>
  <c r="F155" i="35"/>
  <c r="F156" i="35"/>
  <c r="F157" i="35"/>
  <c r="F158" i="35"/>
  <c r="F159" i="35"/>
  <c r="F160" i="35"/>
  <c r="F161" i="35"/>
  <c r="F162" i="35"/>
  <c r="E148" i="35"/>
  <c r="E149" i="35"/>
  <c r="E150" i="35"/>
  <c r="E151" i="35"/>
  <c r="E152" i="35"/>
  <c r="E153" i="35"/>
  <c r="E154" i="35"/>
  <c r="E155" i="35"/>
  <c r="E156" i="35"/>
  <c r="E157" i="35"/>
  <c r="E158" i="35"/>
  <c r="E159" i="35"/>
  <c r="E160" i="35"/>
  <c r="E161" i="35"/>
  <c r="E162" i="35"/>
  <c r="D148" i="35"/>
  <c r="D149" i="35"/>
  <c r="D150" i="35"/>
  <c r="D151" i="35"/>
  <c r="D152" i="35"/>
  <c r="D153" i="35"/>
  <c r="D154" i="35"/>
  <c r="D155" i="35"/>
  <c r="D156" i="35"/>
  <c r="D157" i="35"/>
  <c r="D158" i="35"/>
  <c r="D159" i="35"/>
  <c r="D160" i="35"/>
  <c r="D161" i="35"/>
  <c r="D162" i="35"/>
  <c r="H98" i="35"/>
  <c r="H99" i="35"/>
  <c r="H100" i="35"/>
  <c r="H101" i="35"/>
  <c r="H102" i="35"/>
  <c r="H103" i="35"/>
  <c r="H104" i="35"/>
  <c r="H105" i="35"/>
  <c r="H106" i="35"/>
  <c r="H107" i="35"/>
  <c r="H108" i="35"/>
  <c r="G98" i="35"/>
  <c r="F125" i="35" s="1"/>
  <c r="G99" i="35"/>
  <c r="F126" i="35" s="1"/>
  <c r="G100" i="35"/>
  <c r="F127" i="35" s="1"/>
  <c r="G101" i="35"/>
  <c r="F128" i="35" s="1"/>
  <c r="G102" i="35"/>
  <c r="F129" i="35" s="1"/>
  <c r="G103" i="35"/>
  <c r="F130" i="35" s="1"/>
  <c r="G104" i="35"/>
  <c r="F131" i="35" s="1"/>
  <c r="G105" i="35"/>
  <c r="F132" i="35" s="1"/>
  <c r="G106" i="35"/>
  <c r="F133" i="35" s="1"/>
  <c r="G107" i="35"/>
  <c r="F134" i="35" s="1"/>
  <c r="G108" i="35"/>
  <c r="F135" i="35" s="1"/>
  <c r="F98" i="35"/>
  <c r="E125" i="35" s="1"/>
  <c r="F99" i="35"/>
  <c r="E126" i="35" s="1"/>
  <c r="F100" i="35"/>
  <c r="E127" i="35" s="1"/>
  <c r="F102" i="35"/>
  <c r="E129" i="35" s="1"/>
  <c r="F103" i="35"/>
  <c r="E130" i="35" s="1"/>
  <c r="F104" i="35"/>
  <c r="E131" i="35" s="1"/>
  <c r="F105" i="35"/>
  <c r="E132" i="35" s="1"/>
  <c r="F106" i="35"/>
  <c r="E133" i="35" s="1"/>
  <c r="F107" i="35"/>
  <c r="E134" i="35" s="1"/>
  <c r="F108" i="35"/>
  <c r="E135" i="35" s="1"/>
  <c r="E98" i="35"/>
  <c r="E99" i="35"/>
  <c r="E100" i="35"/>
  <c r="E101" i="35"/>
  <c r="E102" i="35"/>
  <c r="E103" i="35"/>
  <c r="E104" i="35"/>
  <c r="E105" i="35"/>
  <c r="E106" i="35"/>
  <c r="E107" i="35"/>
  <c r="E108" i="35"/>
  <c r="D98" i="35"/>
  <c r="D125" i="35" s="1"/>
  <c r="D99" i="35"/>
  <c r="D126" i="35" s="1"/>
  <c r="D100" i="35"/>
  <c r="D127" i="35" s="1"/>
  <c r="D101" i="35"/>
  <c r="D128" i="35" s="1"/>
  <c r="I128" i="35" s="1"/>
  <c r="J128" i="35" s="1"/>
  <c r="D102" i="35"/>
  <c r="D129" i="35" s="1"/>
  <c r="I129" i="35" s="1"/>
  <c r="J129" i="35" s="1"/>
  <c r="D103" i="35"/>
  <c r="D130" i="35" s="1"/>
  <c r="D104" i="35"/>
  <c r="D131" i="35" s="1"/>
  <c r="I131" i="35" s="1"/>
  <c r="J131" i="35" s="1"/>
  <c r="D105" i="35"/>
  <c r="D132" i="35" s="1"/>
  <c r="D106" i="35"/>
  <c r="D133" i="35" s="1"/>
  <c r="I133" i="35" s="1"/>
  <c r="J133" i="35" s="1"/>
  <c r="D107" i="35"/>
  <c r="D134" i="35" s="1"/>
  <c r="I134" i="35" s="1"/>
  <c r="J134" i="35" s="1"/>
  <c r="D108" i="35"/>
  <c r="D135" i="35" s="1"/>
  <c r="V238" i="7"/>
  <c r="V237" i="7"/>
  <c r="V236" i="7"/>
  <c r="V224" i="7"/>
  <c r="V225" i="7"/>
  <c r="V226" i="7"/>
  <c r="U226" i="7"/>
  <c r="U225" i="7"/>
  <c r="U224" i="7"/>
  <c r="U212" i="7"/>
  <c r="V212" i="7"/>
  <c r="U213" i="7"/>
  <c r="V213" i="7"/>
  <c r="U214" i="7"/>
  <c r="V214" i="7"/>
  <c r="T214" i="7"/>
  <c r="T213" i="7"/>
  <c r="T212" i="7"/>
  <c r="T200" i="7"/>
  <c r="U200" i="7"/>
  <c r="V200" i="7"/>
  <c r="T201" i="7"/>
  <c r="U201" i="7"/>
  <c r="V201" i="7"/>
  <c r="T202" i="7"/>
  <c r="U202" i="7"/>
  <c r="V202" i="7"/>
  <c r="S202" i="7"/>
  <c r="S201" i="7"/>
  <c r="S200" i="7"/>
  <c r="S188" i="7"/>
  <c r="T188" i="7"/>
  <c r="U188" i="7"/>
  <c r="V188" i="7"/>
  <c r="S189" i="7"/>
  <c r="T189" i="7"/>
  <c r="U189" i="7"/>
  <c r="V189" i="7"/>
  <c r="S190" i="7"/>
  <c r="T190" i="7"/>
  <c r="U190" i="7"/>
  <c r="V190" i="7"/>
  <c r="R190" i="7"/>
  <c r="R189" i="7"/>
  <c r="R188" i="7"/>
  <c r="R176" i="7"/>
  <c r="S176" i="7"/>
  <c r="T176" i="7"/>
  <c r="U176" i="7"/>
  <c r="V176" i="7"/>
  <c r="R177" i="7"/>
  <c r="S177" i="7"/>
  <c r="T177" i="7"/>
  <c r="U177" i="7"/>
  <c r="V177" i="7"/>
  <c r="R178" i="7"/>
  <c r="S178" i="7"/>
  <c r="T178" i="7"/>
  <c r="U178" i="7"/>
  <c r="V178" i="7"/>
  <c r="Q178" i="7"/>
  <c r="Q177" i="7"/>
  <c r="Q176" i="7"/>
  <c r="Q164" i="7"/>
  <c r="R164" i="7"/>
  <c r="S164" i="7"/>
  <c r="T164" i="7"/>
  <c r="U164" i="7"/>
  <c r="V164" i="7"/>
  <c r="Q165" i="7"/>
  <c r="R165" i="7"/>
  <c r="S165" i="7"/>
  <c r="T165" i="7"/>
  <c r="U165" i="7"/>
  <c r="V165" i="7"/>
  <c r="Q166" i="7"/>
  <c r="R166" i="7"/>
  <c r="S166" i="7"/>
  <c r="T166" i="7"/>
  <c r="U166" i="7"/>
  <c r="V166" i="7"/>
  <c r="P166" i="7"/>
  <c r="P165" i="7"/>
  <c r="P164" i="7"/>
  <c r="P150" i="7"/>
  <c r="Q150" i="7"/>
  <c r="R150" i="7"/>
  <c r="S150" i="7"/>
  <c r="T150" i="7"/>
  <c r="U150" i="7"/>
  <c r="V150" i="7"/>
  <c r="P151" i="7"/>
  <c r="Q151" i="7"/>
  <c r="R151" i="7"/>
  <c r="S151" i="7"/>
  <c r="T151" i="7"/>
  <c r="U151" i="7"/>
  <c r="V151" i="7"/>
  <c r="P152" i="7"/>
  <c r="Q152" i="7"/>
  <c r="R152" i="7"/>
  <c r="S152" i="7"/>
  <c r="T152" i="7"/>
  <c r="U152" i="7"/>
  <c r="V152" i="7"/>
  <c r="O152" i="7"/>
  <c r="O151" i="7"/>
  <c r="O150" i="7"/>
  <c r="O136" i="7"/>
  <c r="P136" i="7"/>
  <c r="Q136" i="7"/>
  <c r="R136" i="7"/>
  <c r="S136" i="7"/>
  <c r="T136" i="7"/>
  <c r="U136" i="7"/>
  <c r="V136" i="7"/>
  <c r="O137" i="7"/>
  <c r="P137" i="7"/>
  <c r="Q137" i="7"/>
  <c r="R137" i="7"/>
  <c r="S137" i="7"/>
  <c r="T137" i="7"/>
  <c r="U137" i="7"/>
  <c r="V137" i="7"/>
  <c r="O138" i="7"/>
  <c r="P138" i="7"/>
  <c r="Q138" i="7"/>
  <c r="R138" i="7"/>
  <c r="S138" i="7"/>
  <c r="T138" i="7"/>
  <c r="U138" i="7"/>
  <c r="V138" i="7"/>
  <c r="N138" i="7"/>
  <c r="N137" i="7"/>
  <c r="N136" i="7"/>
  <c r="W78" i="39"/>
  <c r="W77" i="39"/>
  <c r="V77" i="39"/>
  <c r="W76" i="39"/>
  <c r="V76" i="39"/>
  <c r="U76" i="39"/>
  <c r="W75" i="39"/>
  <c r="V75" i="39"/>
  <c r="U75" i="39"/>
  <c r="T75" i="39"/>
  <c r="W74" i="39"/>
  <c r="V74" i="39"/>
  <c r="U74" i="39"/>
  <c r="T74" i="39"/>
  <c r="S74" i="39"/>
  <c r="W73" i="39"/>
  <c r="V73" i="39"/>
  <c r="U73" i="39"/>
  <c r="T73" i="39"/>
  <c r="S73" i="39"/>
  <c r="R73" i="39"/>
  <c r="W72" i="39"/>
  <c r="V72" i="39"/>
  <c r="U72" i="39"/>
  <c r="T72" i="39"/>
  <c r="S72" i="39"/>
  <c r="R72" i="39"/>
  <c r="Q72" i="39"/>
  <c r="W71" i="39"/>
  <c r="V71" i="39"/>
  <c r="U71" i="39"/>
  <c r="T71" i="39"/>
  <c r="S71" i="39"/>
  <c r="R71" i="39"/>
  <c r="Q71" i="39"/>
  <c r="P71" i="39"/>
  <c r="W70" i="39"/>
  <c r="V70" i="39"/>
  <c r="U70" i="39"/>
  <c r="T70" i="39"/>
  <c r="S70" i="39"/>
  <c r="R70" i="39"/>
  <c r="Q70" i="39"/>
  <c r="P70" i="39"/>
  <c r="O70" i="39"/>
  <c r="W24" i="39"/>
  <c r="W23" i="39"/>
  <c r="V23" i="39"/>
  <c r="W22" i="39"/>
  <c r="V22" i="39"/>
  <c r="U22" i="39"/>
  <c r="W21" i="39"/>
  <c r="V21" i="39"/>
  <c r="U21" i="39"/>
  <c r="T21" i="39"/>
  <c r="W20" i="39"/>
  <c r="V20" i="39"/>
  <c r="U20" i="39"/>
  <c r="T20" i="39"/>
  <c r="S20" i="39"/>
  <c r="W19" i="39"/>
  <c r="V19" i="39"/>
  <c r="U19" i="39"/>
  <c r="T19" i="39"/>
  <c r="S19" i="39"/>
  <c r="R19" i="39"/>
  <c r="W18" i="39"/>
  <c r="V18" i="39"/>
  <c r="U18" i="39"/>
  <c r="T18" i="39"/>
  <c r="S18" i="39"/>
  <c r="R18" i="39"/>
  <c r="Q18" i="39"/>
  <c r="W17" i="39"/>
  <c r="V17" i="39"/>
  <c r="U17" i="39"/>
  <c r="T17" i="39"/>
  <c r="S17" i="39"/>
  <c r="R17" i="39"/>
  <c r="Q17" i="39"/>
  <c r="P17" i="39"/>
  <c r="W16" i="39"/>
  <c r="V16" i="39"/>
  <c r="U16" i="39"/>
  <c r="T16" i="39"/>
  <c r="S16" i="39"/>
  <c r="R16" i="39"/>
  <c r="Q16" i="39"/>
  <c r="P16" i="39"/>
  <c r="O16" i="39"/>
  <c r="W15" i="39"/>
  <c r="V15" i="39"/>
  <c r="U15" i="39"/>
  <c r="T15" i="39"/>
  <c r="S15" i="39"/>
  <c r="R15" i="39"/>
  <c r="Q15" i="39"/>
  <c r="P15" i="39"/>
  <c r="O15" i="39"/>
  <c r="N15" i="39"/>
  <c r="W14" i="39"/>
  <c r="V14" i="39"/>
  <c r="U14" i="39"/>
  <c r="T14" i="39"/>
  <c r="S14" i="39"/>
  <c r="R14" i="39"/>
  <c r="Q14" i="39"/>
  <c r="P14" i="39"/>
  <c r="O14" i="39"/>
  <c r="N14" i="39"/>
  <c r="M14" i="39"/>
  <c r="W13" i="39"/>
  <c r="V13" i="39"/>
  <c r="U13" i="39"/>
  <c r="T13" i="39"/>
  <c r="S13" i="39"/>
  <c r="R13" i="39"/>
  <c r="Q13" i="39"/>
  <c r="P13" i="39"/>
  <c r="O13" i="39"/>
  <c r="N13" i="39"/>
  <c r="M13" i="39"/>
  <c r="L13" i="39"/>
  <c r="W12" i="39"/>
  <c r="V12" i="39"/>
  <c r="U12" i="39"/>
  <c r="T12" i="39"/>
  <c r="S12" i="39"/>
  <c r="R12" i="39"/>
  <c r="Q12" i="39"/>
  <c r="P12" i="39"/>
  <c r="O12" i="39"/>
  <c r="N12" i="39"/>
  <c r="M12" i="39"/>
  <c r="L12" i="39"/>
  <c r="K12" i="39"/>
  <c r="W11" i="39"/>
  <c r="V11" i="39"/>
  <c r="U11" i="39"/>
  <c r="T11" i="39"/>
  <c r="S11" i="39"/>
  <c r="R11" i="39"/>
  <c r="Q11" i="39"/>
  <c r="P11" i="39"/>
  <c r="O11" i="39"/>
  <c r="N11" i="39"/>
  <c r="M11" i="39"/>
  <c r="L11" i="39"/>
  <c r="K11" i="39"/>
  <c r="J11" i="39"/>
  <c r="W10" i="39"/>
  <c r="V10" i="39"/>
  <c r="U10" i="39"/>
  <c r="T10" i="39"/>
  <c r="S10" i="39"/>
  <c r="R10" i="39"/>
  <c r="Q10" i="39"/>
  <c r="P10" i="39"/>
  <c r="O10" i="39"/>
  <c r="N10" i="39"/>
  <c r="M10" i="39"/>
  <c r="L10" i="39"/>
  <c r="K10" i="39"/>
  <c r="J10" i="39"/>
  <c r="I10" i="39"/>
  <c r="W9" i="39"/>
  <c r="V9" i="39"/>
  <c r="U9" i="39"/>
  <c r="T9" i="39"/>
  <c r="S9" i="39"/>
  <c r="R9" i="39"/>
  <c r="Q9" i="39"/>
  <c r="P9" i="39"/>
  <c r="O9" i="39"/>
  <c r="N9" i="39"/>
  <c r="M9" i="39"/>
  <c r="L9" i="39"/>
  <c r="K9" i="39"/>
  <c r="J9" i="39"/>
  <c r="I9" i="39"/>
  <c r="H9" i="39"/>
  <c r="W8" i="39"/>
  <c r="V8" i="39"/>
  <c r="U8" i="39"/>
  <c r="T8" i="39"/>
  <c r="S8" i="39"/>
  <c r="R8" i="39"/>
  <c r="Q8" i="39"/>
  <c r="P8" i="39"/>
  <c r="O8" i="39"/>
  <c r="N8" i="39"/>
  <c r="M8" i="39"/>
  <c r="L8" i="39"/>
  <c r="K8" i="39"/>
  <c r="J8" i="39"/>
  <c r="I8" i="39"/>
  <c r="H8" i="39"/>
  <c r="G8" i="39"/>
  <c r="O43" i="39"/>
  <c r="W51" i="39"/>
  <c r="W50" i="39"/>
  <c r="V50" i="39"/>
  <c r="W49" i="39"/>
  <c r="V49" i="39"/>
  <c r="U49" i="39"/>
  <c r="W48" i="39"/>
  <c r="V48" i="39"/>
  <c r="U48" i="39"/>
  <c r="T48" i="39"/>
  <c r="W47" i="39"/>
  <c r="V47" i="39"/>
  <c r="U47" i="39"/>
  <c r="T47" i="39"/>
  <c r="S47" i="39"/>
  <c r="W46" i="39"/>
  <c r="V46" i="39"/>
  <c r="U46" i="39"/>
  <c r="T46" i="39"/>
  <c r="S46" i="39"/>
  <c r="R46" i="39"/>
  <c r="W45" i="39"/>
  <c r="V45" i="39"/>
  <c r="U45" i="39"/>
  <c r="T45" i="39"/>
  <c r="S45" i="39"/>
  <c r="R45" i="39"/>
  <c r="Q45" i="39"/>
  <c r="W44" i="39"/>
  <c r="V44" i="39"/>
  <c r="U44" i="39"/>
  <c r="T44" i="39"/>
  <c r="S44" i="39"/>
  <c r="R44" i="39"/>
  <c r="Q44" i="39"/>
  <c r="P44" i="39"/>
  <c r="W43" i="39"/>
  <c r="V43" i="39"/>
  <c r="U43" i="39"/>
  <c r="T43" i="39"/>
  <c r="S43" i="39"/>
  <c r="R43" i="39"/>
  <c r="Q43" i="39"/>
  <c r="P43" i="39"/>
  <c r="C58" i="39"/>
  <c r="D58" i="39" s="1"/>
  <c r="E58" i="39" s="1"/>
  <c r="F58" i="39" s="1"/>
  <c r="F61" i="39" s="1"/>
  <c r="E26" i="7" s="1"/>
  <c r="C4" i="39"/>
  <c r="D4" i="39" s="1"/>
  <c r="E4" i="39" s="1"/>
  <c r="F4" i="39" s="1"/>
  <c r="F7" i="39" s="1"/>
  <c r="E24" i="7" s="1"/>
  <c r="C31" i="39"/>
  <c r="D31" i="39" s="1"/>
  <c r="E31" i="39" s="1"/>
  <c r="F31" i="39" s="1"/>
  <c r="I127" i="21"/>
  <c r="G96" i="18"/>
  <c r="Z127" i="21"/>
  <c r="Z128" i="21"/>
  <c r="Z129" i="21"/>
  <c r="G95" i="18"/>
  <c r="H95" i="18" s="1"/>
  <c r="G94" i="18"/>
  <c r="D117" i="3"/>
  <c r="D116" i="3"/>
  <c r="D115" i="3"/>
  <c r="F4" i="9"/>
  <c r="F5" i="9"/>
  <c r="F6" i="9"/>
  <c r="F7" i="9"/>
  <c r="F8" i="9"/>
  <c r="F9" i="9"/>
  <c r="F10" i="9"/>
  <c r="F11" i="9"/>
  <c r="F12" i="9"/>
  <c r="F13" i="9"/>
  <c r="F14" i="9"/>
  <c r="F15" i="9"/>
  <c r="F16" i="9"/>
  <c r="F17" i="9"/>
  <c r="F18" i="9"/>
  <c r="F19" i="9"/>
  <c r="F20" i="9"/>
  <c r="F21" i="9"/>
  <c r="F22" i="9"/>
  <c r="F23" i="9"/>
  <c r="F24" i="9"/>
  <c r="F25" i="9"/>
  <c r="F3" i="9"/>
  <c r="M92" i="14" l="1"/>
  <c r="M129" i="13" s="1"/>
  <c r="N93" i="14"/>
  <c r="M91" i="14"/>
  <c r="M128" i="13" s="1"/>
  <c r="M90" i="14"/>
  <c r="M127" i="13" s="1"/>
  <c r="G159" i="35"/>
  <c r="G158" i="35"/>
  <c r="I132" i="35"/>
  <c r="J132" i="35" s="1"/>
  <c r="G157" i="35"/>
  <c r="G149" i="35"/>
  <c r="G162" i="35"/>
  <c r="G154" i="35"/>
  <c r="I127" i="35"/>
  <c r="J127" i="35" s="1"/>
  <c r="G161" i="35"/>
  <c r="G153" i="35"/>
  <c r="I135" i="35"/>
  <c r="J135" i="35" s="1"/>
  <c r="I126" i="35"/>
  <c r="J126" i="35" s="1"/>
  <c r="G160" i="35"/>
  <c r="G152" i="35"/>
  <c r="I125" i="35"/>
  <c r="J125" i="35" s="1"/>
  <c r="G150" i="35"/>
  <c r="G156" i="35"/>
  <c r="G148" i="35"/>
  <c r="I130" i="35"/>
  <c r="J130" i="35" s="1"/>
  <c r="G155" i="35"/>
  <c r="G151" i="35"/>
  <c r="J107" i="35"/>
  <c r="L107" i="35" s="1"/>
  <c r="J99" i="35"/>
  <c r="L99" i="35" s="1"/>
  <c r="J108" i="35"/>
  <c r="L108" i="35" s="1"/>
  <c r="J100" i="35"/>
  <c r="L100" i="35" s="1"/>
  <c r="J106" i="35"/>
  <c r="L106" i="35" s="1"/>
  <c r="J98" i="35"/>
  <c r="L98" i="35" s="1"/>
  <c r="J105" i="35"/>
  <c r="L105" i="35" s="1"/>
  <c r="J104" i="35"/>
  <c r="L104" i="35" s="1"/>
  <c r="J103" i="35"/>
  <c r="L103" i="35" s="1"/>
  <c r="J102" i="35"/>
  <c r="L102" i="35" s="1"/>
  <c r="J101" i="35"/>
  <c r="L101" i="35" s="1"/>
  <c r="G58" i="39"/>
  <c r="G61" i="39" s="1"/>
  <c r="G4" i="39"/>
  <c r="G7" i="39" s="1"/>
  <c r="G31" i="39"/>
  <c r="F34" i="39"/>
  <c r="I128" i="21"/>
  <c r="I129" i="21"/>
  <c r="G93" i="18"/>
  <c r="H93" i="18" s="1"/>
  <c r="I93" i="18" s="1"/>
  <c r="J93" i="18" s="1"/>
  <c r="K93" i="18" s="1"/>
  <c r="L93" i="18" s="1"/>
  <c r="M93" i="18" s="1"/>
  <c r="N93" i="18" s="1"/>
  <c r="O93" i="18" s="1"/>
  <c r="P93" i="18" s="1"/>
  <c r="Q93" i="18" s="1"/>
  <c r="R93" i="18" s="1"/>
  <c r="S93" i="18" s="1"/>
  <c r="T93" i="18" s="1"/>
  <c r="U93" i="18" s="1"/>
  <c r="V93" i="18" s="1"/>
  <c r="W93" i="18" s="1"/>
  <c r="H96" i="18"/>
  <c r="I95" i="18"/>
  <c r="H94" i="18"/>
  <c r="D127" i="21"/>
  <c r="H47" i="15"/>
  <c r="E44" i="26"/>
  <c r="E36" i="26"/>
  <c r="N154" i="8"/>
  <c r="O154" i="8"/>
  <c r="P154" i="8"/>
  <c r="Q154" i="8"/>
  <c r="R154" i="8"/>
  <c r="S154" i="8"/>
  <c r="T154" i="8"/>
  <c r="U154" i="8"/>
  <c r="V154" i="8"/>
  <c r="N155" i="8"/>
  <c r="O155" i="8"/>
  <c r="P155" i="8"/>
  <c r="Q155" i="8"/>
  <c r="R155" i="8"/>
  <c r="S155" i="8"/>
  <c r="T155" i="8"/>
  <c r="U155" i="8"/>
  <c r="V155" i="8"/>
  <c r="N156" i="8"/>
  <c r="O156" i="8"/>
  <c r="P156" i="8"/>
  <c r="Q156" i="8"/>
  <c r="R156" i="8"/>
  <c r="S156" i="8"/>
  <c r="T156" i="8"/>
  <c r="U156" i="8"/>
  <c r="V156" i="8"/>
  <c r="N157" i="8"/>
  <c r="O157" i="8"/>
  <c r="P157" i="8"/>
  <c r="Q157" i="8"/>
  <c r="R157" i="8"/>
  <c r="S157" i="8"/>
  <c r="T157" i="8"/>
  <c r="U157" i="8"/>
  <c r="V157" i="8"/>
  <c r="N158" i="8"/>
  <c r="O158" i="8"/>
  <c r="P158" i="8"/>
  <c r="Q158" i="8"/>
  <c r="R158" i="8"/>
  <c r="S158" i="8"/>
  <c r="T158" i="8"/>
  <c r="U158" i="8"/>
  <c r="V158" i="8"/>
  <c r="N159" i="8"/>
  <c r="O159" i="8"/>
  <c r="P159" i="8"/>
  <c r="Q159" i="8"/>
  <c r="R159" i="8"/>
  <c r="S159" i="8"/>
  <c r="T159" i="8"/>
  <c r="U159" i="8"/>
  <c r="V159" i="8"/>
  <c r="M155" i="8"/>
  <c r="M156" i="8"/>
  <c r="M157" i="8"/>
  <c r="M158" i="8"/>
  <c r="M159" i="8"/>
  <c r="M154" i="8"/>
  <c r="S135" i="8"/>
  <c r="T147" i="8" s="1"/>
  <c r="V171" i="8" s="1"/>
  <c r="Q135" i="8"/>
  <c r="R147" i="8" s="1"/>
  <c r="T171" i="8" s="1"/>
  <c r="U183" i="8" s="1"/>
  <c r="V195" i="8" s="1"/>
  <c r="K135" i="8"/>
  <c r="L147" i="8" s="1"/>
  <c r="N171" i="8" s="1"/>
  <c r="O183" i="8" s="1"/>
  <c r="P195" i="8" s="1"/>
  <c r="Q207" i="8" s="1"/>
  <c r="R220" i="8" s="1"/>
  <c r="S233" i="8" s="1"/>
  <c r="T246" i="8" s="1"/>
  <c r="Q134" i="8"/>
  <c r="R146" i="8" s="1"/>
  <c r="T170" i="8" s="1"/>
  <c r="U182" i="8" s="1"/>
  <c r="V194" i="8" s="1"/>
  <c r="O134" i="8"/>
  <c r="P146" i="8" s="1"/>
  <c r="U133" i="8"/>
  <c r="V145" i="8" s="1"/>
  <c r="O133" i="8"/>
  <c r="P145" i="8" s="1"/>
  <c r="R169" i="8" s="1"/>
  <c r="S181" i="8" s="1"/>
  <c r="T193" i="8" s="1"/>
  <c r="U205" i="8" s="1"/>
  <c r="V218" i="8" s="1"/>
  <c r="M133" i="8"/>
  <c r="N145" i="8" s="1"/>
  <c r="P169" i="8" s="1"/>
  <c r="Q181" i="8" s="1"/>
  <c r="R193" i="8" s="1"/>
  <c r="S205" i="8" s="1"/>
  <c r="T218" i="8" s="1"/>
  <c r="U231" i="8" s="1"/>
  <c r="V244" i="8" s="1"/>
  <c r="U132" i="8"/>
  <c r="V144" i="8" s="1"/>
  <c r="S132" i="8"/>
  <c r="T144" i="8" s="1"/>
  <c r="V168" i="8" s="1"/>
  <c r="M132" i="8"/>
  <c r="N144" i="8" s="1"/>
  <c r="P168" i="8" s="1"/>
  <c r="Q180" i="8" s="1"/>
  <c r="R192" i="8" s="1"/>
  <c r="S204" i="8" s="1"/>
  <c r="T217" i="8" s="1"/>
  <c r="U230" i="8" s="1"/>
  <c r="V243" i="8" s="1"/>
  <c r="K132" i="8"/>
  <c r="L144" i="8" s="1"/>
  <c r="S131" i="8"/>
  <c r="T143" i="8" s="1"/>
  <c r="Q131" i="8"/>
  <c r="R143" i="8" s="1"/>
  <c r="T167" i="8" s="1"/>
  <c r="U179" i="8" s="1"/>
  <c r="V191" i="8" s="1"/>
  <c r="K131" i="8"/>
  <c r="L143" i="8" s="1"/>
  <c r="N167" i="8" s="1"/>
  <c r="O179" i="8" s="1"/>
  <c r="P191" i="8" s="1"/>
  <c r="Q203" i="8" s="1"/>
  <c r="R216" i="8" s="1"/>
  <c r="S229" i="8" s="1"/>
  <c r="T242" i="8" s="1"/>
  <c r="P126" i="8"/>
  <c r="O130" i="8"/>
  <c r="P142" i="8" s="1"/>
  <c r="R166" i="8" s="1"/>
  <c r="T61" i="7"/>
  <c r="S61" i="7"/>
  <c r="R61" i="7"/>
  <c r="Q61" i="7"/>
  <c r="P61" i="7"/>
  <c r="O61" i="7"/>
  <c r="N61" i="7"/>
  <c r="M61" i="7"/>
  <c r="L61" i="7"/>
  <c r="U60" i="7"/>
  <c r="T60" i="7"/>
  <c r="S60" i="7"/>
  <c r="R60" i="7"/>
  <c r="Q60" i="7"/>
  <c r="P60" i="7"/>
  <c r="O60" i="7"/>
  <c r="N60" i="7"/>
  <c r="M60" i="7"/>
  <c r="E60" i="7"/>
  <c r="E58" i="7"/>
  <c r="U57" i="7"/>
  <c r="T57" i="7"/>
  <c r="S57" i="7"/>
  <c r="R57" i="7"/>
  <c r="Q57" i="7"/>
  <c r="P57" i="7"/>
  <c r="O57" i="7"/>
  <c r="N57" i="7"/>
  <c r="M57" i="7"/>
  <c r="L57" i="7"/>
  <c r="U56" i="7"/>
  <c r="T56" i="7"/>
  <c r="S56" i="7"/>
  <c r="R56" i="7"/>
  <c r="Q56" i="7"/>
  <c r="P56" i="7"/>
  <c r="O56" i="7"/>
  <c r="N56" i="7"/>
  <c r="M56" i="7"/>
  <c r="L56" i="7"/>
  <c r="K56" i="7"/>
  <c r="J56" i="7"/>
  <c r="I56" i="7"/>
  <c r="H56" i="7"/>
  <c r="G56" i="7"/>
  <c r="F56" i="7"/>
  <c r="T110" i="38"/>
  <c r="I110" i="38"/>
  <c r="J110" i="38" s="1"/>
  <c r="E110" i="38"/>
  <c r="T109" i="38"/>
  <c r="I109" i="38"/>
  <c r="J109" i="38" s="1"/>
  <c r="E109" i="38"/>
  <c r="T108" i="38"/>
  <c r="I108" i="38"/>
  <c r="J108" i="38" s="1"/>
  <c r="E108" i="38"/>
  <c r="T107" i="38"/>
  <c r="I107" i="38"/>
  <c r="J107" i="38" s="1"/>
  <c r="E107" i="38"/>
  <c r="T106" i="38"/>
  <c r="I106" i="38"/>
  <c r="J106" i="38" s="1"/>
  <c r="E106" i="38"/>
  <c r="T105" i="38"/>
  <c r="J105" i="38"/>
  <c r="I105" i="38"/>
  <c r="E105" i="38"/>
  <c r="T104" i="38"/>
  <c r="I104" i="38"/>
  <c r="J104" i="38" s="1"/>
  <c r="E104" i="38"/>
  <c r="T103" i="38"/>
  <c r="J103" i="38"/>
  <c r="I103" i="38"/>
  <c r="E103" i="38"/>
  <c r="T102" i="38"/>
  <c r="I102" i="38"/>
  <c r="J102" i="38" s="1"/>
  <c r="E102" i="38"/>
  <c r="T101" i="38"/>
  <c r="I101" i="38"/>
  <c r="J101" i="38" s="1"/>
  <c r="E101" i="38"/>
  <c r="T100" i="38"/>
  <c r="I100" i="38"/>
  <c r="J100" i="38" s="1"/>
  <c r="E100" i="38"/>
  <c r="T99" i="38"/>
  <c r="I99" i="38"/>
  <c r="J99" i="38" s="1"/>
  <c r="E99" i="38"/>
  <c r="T98" i="38"/>
  <c r="J98" i="38"/>
  <c r="I98" i="38"/>
  <c r="E98" i="38"/>
  <c r="T97" i="38"/>
  <c r="I97" i="38"/>
  <c r="J97" i="38" s="1"/>
  <c r="E97" i="38"/>
  <c r="T96" i="38"/>
  <c r="I96" i="38"/>
  <c r="J96" i="38" s="1"/>
  <c r="E96" i="38"/>
  <c r="T95" i="38"/>
  <c r="J95" i="38"/>
  <c r="I95" i="38"/>
  <c r="E95" i="38"/>
  <c r="T94" i="38"/>
  <c r="I94" i="38"/>
  <c r="J94" i="38" s="1"/>
  <c r="E94" i="38"/>
  <c r="T93" i="38"/>
  <c r="I93" i="38"/>
  <c r="J93" i="38" s="1"/>
  <c r="E93" i="38"/>
  <c r="T92" i="38"/>
  <c r="J92" i="38"/>
  <c r="I92" i="38"/>
  <c r="E92" i="38"/>
  <c r="T91" i="38"/>
  <c r="I91" i="38"/>
  <c r="J91" i="38" s="1"/>
  <c r="E91" i="38"/>
  <c r="T90" i="38"/>
  <c r="I90" i="38"/>
  <c r="J90" i="38" s="1"/>
  <c r="E90" i="38"/>
  <c r="T89" i="38"/>
  <c r="S89" i="38"/>
  <c r="R89" i="38"/>
  <c r="Q89" i="38"/>
  <c r="P89" i="38"/>
  <c r="O89" i="38"/>
  <c r="N89" i="38"/>
  <c r="M89" i="38"/>
  <c r="L89" i="38"/>
  <c r="K89" i="38"/>
  <c r="I89" i="38"/>
  <c r="J89" i="38" s="1"/>
  <c r="E89" i="38"/>
  <c r="T88" i="38"/>
  <c r="S88" i="38"/>
  <c r="R88" i="38"/>
  <c r="Q88" i="38"/>
  <c r="P88" i="38"/>
  <c r="O88" i="38"/>
  <c r="N88" i="38"/>
  <c r="M88" i="38"/>
  <c r="L88" i="38"/>
  <c r="K88" i="38"/>
  <c r="U88" i="38" s="1"/>
  <c r="I88" i="38"/>
  <c r="J88" i="38" s="1"/>
  <c r="E88" i="38"/>
  <c r="T82" i="38"/>
  <c r="J82" i="38"/>
  <c r="I82" i="38"/>
  <c r="E82" i="38"/>
  <c r="T81" i="38"/>
  <c r="I81" i="38"/>
  <c r="J81" i="38" s="1"/>
  <c r="E81" i="38"/>
  <c r="T80" i="38"/>
  <c r="I80" i="38"/>
  <c r="J80" i="38" s="1"/>
  <c r="E80" i="38"/>
  <c r="T79" i="38"/>
  <c r="I79" i="38"/>
  <c r="J79" i="38" s="1"/>
  <c r="E79" i="38"/>
  <c r="T78" i="38"/>
  <c r="I78" i="38"/>
  <c r="J78" i="38" s="1"/>
  <c r="E78" i="38"/>
  <c r="T77" i="38"/>
  <c r="I77" i="38"/>
  <c r="J77" i="38" s="1"/>
  <c r="E77" i="38"/>
  <c r="T76" i="38"/>
  <c r="I76" i="38"/>
  <c r="J76" i="38" s="1"/>
  <c r="E76" i="38"/>
  <c r="T75" i="38"/>
  <c r="I75" i="38"/>
  <c r="J75" i="38" s="1"/>
  <c r="E75" i="38"/>
  <c r="T74" i="38"/>
  <c r="J74" i="38"/>
  <c r="I74" i="38"/>
  <c r="E74" i="38"/>
  <c r="T73" i="38"/>
  <c r="I73" i="38"/>
  <c r="J73" i="38" s="1"/>
  <c r="E73" i="38"/>
  <c r="T72" i="38"/>
  <c r="I72" i="38"/>
  <c r="J72" i="38" s="1"/>
  <c r="E72" i="38"/>
  <c r="T71" i="38"/>
  <c r="I71" i="38"/>
  <c r="J71" i="38" s="1"/>
  <c r="E71" i="38"/>
  <c r="T70" i="38"/>
  <c r="I70" i="38"/>
  <c r="J70" i="38" s="1"/>
  <c r="E70" i="38"/>
  <c r="T69" i="38"/>
  <c r="J69" i="38"/>
  <c r="I69" i="38"/>
  <c r="E69" i="38"/>
  <c r="T68" i="38"/>
  <c r="I68" i="38"/>
  <c r="J68" i="38" s="1"/>
  <c r="E68" i="38"/>
  <c r="T67" i="38"/>
  <c r="I67" i="38"/>
  <c r="J67" i="38" s="1"/>
  <c r="E67" i="38"/>
  <c r="T66" i="38"/>
  <c r="J66" i="38"/>
  <c r="I66" i="38"/>
  <c r="E66" i="38"/>
  <c r="T65" i="38"/>
  <c r="I65" i="38"/>
  <c r="J65" i="38" s="1"/>
  <c r="E65" i="38"/>
  <c r="T64" i="38"/>
  <c r="I64" i="38"/>
  <c r="J64" i="38" s="1"/>
  <c r="E64" i="38"/>
  <c r="T63" i="38"/>
  <c r="I63" i="38"/>
  <c r="J63" i="38" s="1"/>
  <c r="E63" i="38"/>
  <c r="T62" i="38"/>
  <c r="I62" i="38"/>
  <c r="J62" i="38" s="1"/>
  <c r="E62" i="38"/>
  <c r="T61" i="38"/>
  <c r="S61" i="38"/>
  <c r="R61" i="38"/>
  <c r="Q61" i="38"/>
  <c r="P61" i="38"/>
  <c r="O61" i="38"/>
  <c r="N61" i="38"/>
  <c r="M61" i="38"/>
  <c r="U61" i="38" s="1"/>
  <c r="L61" i="38"/>
  <c r="K61" i="38"/>
  <c r="J61" i="38"/>
  <c r="I61" i="38"/>
  <c r="E61" i="38"/>
  <c r="T60" i="38"/>
  <c r="S60" i="38"/>
  <c r="R60" i="38"/>
  <c r="Q60" i="38"/>
  <c r="P60" i="38"/>
  <c r="O60" i="38"/>
  <c r="N60" i="38"/>
  <c r="M60" i="38"/>
  <c r="L60" i="38"/>
  <c r="U60" i="38" s="1"/>
  <c r="K60" i="38"/>
  <c r="I60" i="38"/>
  <c r="J60" i="38" s="1"/>
  <c r="E60" i="38"/>
  <c r="T54" i="38"/>
  <c r="I54" i="38"/>
  <c r="J54" i="38" s="1"/>
  <c r="E54" i="38"/>
  <c r="T53" i="38"/>
  <c r="J53" i="38"/>
  <c r="I53" i="38"/>
  <c r="E53" i="38"/>
  <c r="T52" i="38"/>
  <c r="I52" i="38"/>
  <c r="J52" i="38" s="1"/>
  <c r="E52" i="38"/>
  <c r="T51" i="38"/>
  <c r="I51" i="38"/>
  <c r="J51" i="38" s="1"/>
  <c r="E51" i="38"/>
  <c r="T50" i="38"/>
  <c r="I50" i="38"/>
  <c r="J50" i="38" s="1"/>
  <c r="E50" i="38"/>
  <c r="T49" i="38"/>
  <c r="I49" i="38"/>
  <c r="J49" i="38" s="1"/>
  <c r="E49" i="38"/>
  <c r="T48" i="38"/>
  <c r="J48" i="38"/>
  <c r="I48" i="38"/>
  <c r="E48" i="38"/>
  <c r="T47" i="38"/>
  <c r="I47" i="38"/>
  <c r="J47" i="38" s="1"/>
  <c r="E47" i="38"/>
  <c r="T46" i="38"/>
  <c r="I46" i="38"/>
  <c r="J46" i="38" s="1"/>
  <c r="E46" i="38"/>
  <c r="T45" i="38"/>
  <c r="J45" i="38"/>
  <c r="I45" i="38"/>
  <c r="E45" i="38"/>
  <c r="T44" i="38"/>
  <c r="I44" i="38"/>
  <c r="J44" i="38" s="1"/>
  <c r="E44" i="38"/>
  <c r="T43" i="38"/>
  <c r="I43" i="38"/>
  <c r="J43" i="38" s="1"/>
  <c r="E43" i="38"/>
  <c r="T42" i="38"/>
  <c r="I42" i="38"/>
  <c r="J42" i="38" s="1"/>
  <c r="E42" i="38"/>
  <c r="T41" i="38"/>
  <c r="I41" i="38"/>
  <c r="J41" i="38" s="1"/>
  <c r="E41" i="38"/>
  <c r="T40" i="38"/>
  <c r="J40" i="38"/>
  <c r="I40" i="38"/>
  <c r="E40" i="38"/>
  <c r="T39" i="38"/>
  <c r="I39" i="38"/>
  <c r="J39" i="38" s="1"/>
  <c r="E39" i="38"/>
  <c r="T38" i="38"/>
  <c r="J38" i="38"/>
  <c r="I38" i="38"/>
  <c r="E38" i="38"/>
  <c r="T37" i="38"/>
  <c r="I37" i="38"/>
  <c r="J37" i="38" s="1"/>
  <c r="E37" i="38"/>
  <c r="T36" i="38"/>
  <c r="I36" i="38"/>
  <c r="J36" i="38" s="1"/>
  <c r="E36" i="38"/>
  <c r="T35" i="38"/>
  <c r="I35" i="38"/>
  <c r="J35" i="38" s="1"/>
  <c r="E35" i="38"/>
  <c r="T34" i="38"/>
  <c r="J34" i="38"/>
  <c r="I34" i="38"/>
  <c r="E34" i="38"/>
  <c r="T33" i="38"/>
  <c r="S33" i="38"/>
  <c r="R33" i="38"/>
  <c r="Q33" i="38"/>
  <c r="P33" i="38"/>
  <c r="O33" i="38"/>
  <c r="N33" i="38"/>
  <c r="M33" i="38"/>
  <c r="U33" i="38" s="1"/>
  <c r="V33" i="38" s="1"/>
  <c r="L33" i="38"/>
  <c r="K33" i="38"/>
  <c r="I33" i="38"/>
  <c r="J33" i="38" s="1"/>
  <c r="E33" i="38"/>
  <c r="T32" i="38"/>
  <c r="S32" i="38"/>
  <c r="R32" i="38"/>
  <c r="Q32" i="38"/>
  <c r="P32" i="38"/>
  <c r="O32" i="38"/>
  <c r="N32" i="38"/>
  <c r="M32" i="38"/>
  <c r="U32" i="38" s="1"/>
  <c r="L32" i="38"/>
  <c r="K32" i="38"/>
  <c r="J32" i="38"/>
  <c r="I32" i="38"/>
  <c r="J26" i="38"/>
  <c r="D26" i="38"/>
  <c r="C26" i="38"/>
  <c r="B26" i="38"/>
  <c r="E26" i="38" s="1"/>
  <c r="J25" i="38"/>
  <c r="D25" i="38"/>
  <c r="C25" i="38"/>
  <c r="B25" i="38"/>
  <c r="E25" i="38" s="1"/>
  <c r="J24" i="38"/>
  <c r="D24" i="38"/>
  <c r="C24" i="38"/>
  <c r="B24" i="38"/>
  <c r="E24" i="38" s="1"/>
  <c r="J23" i="38"/>
  <c r="D23" i="38"/>
  <c r="C23" i="38"/>
  <c r="B23" i="38"/>
  <c r="E23" i="38" s="1"/>
  <c r="J22" i="38"/>
  <c r="D22" i="38"/>
  <c r="C22" i="38"/>
  <c r="B22" i="38"/>
  <c r="E22" i="38" s="1"/>
  <c r="J21" i="38"/>
  <c r="D21" i="38"/>
  <c r="C21" i="38"/>
  <c r="B21" i="38"/>
  <c r="E21" i="38" s="1"/>
  <c r="J20" i="38"/>
  <c r="D20" i="38"/>
  <c r="C20" i="38"/>
  <c r="B20" i="38"/>
  <c r="E20" i="38" s="1"/>
  <c r="J19" i="38"/>
  <c r="D19" i="38"/>
  <c r="C19" i="38"/>
  <c r="B19" i="38"/>
  <c r="E19" i="38" s="1"/>
  <c r="J18" i="38"/>
  <c r="D18" i="38"/>
  <c r="C18" i="38"/>
  <c r="B18" i="38"/>
  <c r="E18" i="38" s="1"/>
  <c r="J17" i="38"/>
  <c r="D17" i="38"/>
  <c r="C17" i="38"/>
  <c r="B17" i="38"/>
  <c r="E17" i="38" s="1"/>
  <c r="J16" i="38"/>
  <c r="D16" i="38"/>
  <c r="C16" i="38"/>
  <c r="B16" i="38"/>
  <c r="E16" i="38" s="1"/>
  <c r="J15" i="38"/>
  <c r="D15" i="38"/>
  <c r="C15" i="38"/>
  <c r="B15" i="38"/>
  <c r="E15" i="38" s="1"/>
  <c r="J14" i="38"/>
  <c r="D14" i="38"/>
  <c r="C14" i="38"/>
  <c r="B14" i="38"/>
  <c r="E14" i="38" s="1"/>
  <c r="J13" i="38"/>
  <c r="D13" i="38"/>
  <c r="C13" i="38"/>
  <c r="B13" i="38"/>
  <c r="E13" i="38" s="1"/>
  <c r="J12" i="38"/>
  <c r="D12" i="38"/>
  <c r="C12" i="38"/>
  <c r="B12" i="38"/>
  <c r="E12" i="38" s="1"/>
  <c r="J11" i="38"/>
  <c r="D11" i="38"/>
  <c r="C11" i="38"/>
  <c r="B11" i="38"/>
  <c r="E11" i="38" s="1"/>
  <c r="J10" i="38"/>
  <c r="D10" i="38"/>
  <c r="C10" i="38"/>
  <c r="B10" i="38"/>
  <c r="E10" i="38" s="1"/>
  <c r="J9" i="38"/>
  <c r="D9" i="38"/>
  <c r="C9" i="38"/>
  <c r="B9" i="38"/>
  <c r="E9" i="38" s="1"/>
  <c r="J8" i="38"/>
  <c r="D8" i="38"/>
  <c r="C8" i="38"/>
  <c r="B8" i="38"/>
  <c r="E8" i="38" s="1"/>
  <c r="J7" i="38"/>
  <c r="D7" i="38"/>
  <c r="C7" i="38"/>
  <c r="B7" i="38"/>
  <c r="J6" i="38"/>
  <c r="D6" i="38"/>
  <c r="C6" i="38"/>
  <c r="B6" i="38"/>
  <c r="U5" i="38"/>
  <c r="J5" i="38"/>
  <c r="D5" i="38"/>
  <c r="C5" i="38"/>
  <c r="E5" i="38" s="1"/>
  <c r="V5" i="38" s="1"/>
  <c r="B5" i="38"/>
  <c r="U4" i="38"/>
  <c r="J4" i="38"/>
  <c r="D4" i="38"/>
  <c r="C4" i="38"/>
  <c r="E106" i="31"/>
  <c r="E97" i="31"/>
  <c r="B97" i="31"/>
  <c r="H96" i="31"/>
  <c r="D94" i="31"/>
  <c r="C91" i="31"/>
  <c r="E90" i="31"/>
  <c r="R89" i="31"/>
  <c r="Q89" i="31"/>
  <c r="P89" i="31"/>
  <c r="O89" i="31"/>
  <c r="N89" i="31"/>
  <c r="M89" i="31"/>
  <c r="L89" i="31"/>
  <c r="K89" i="31"/>
  <c r="J89" i="31"/>
  <c r="S88" i="31"/>
  <c r="R88" i="31"/>
  <c r="Q88" i="31"/>
  <c r="P88" i="31"/>
  <c r="O88" i="31"/>
  <c r="N88" i="31"/>
  <c r="M88" i="31"/>
  <c r="L88" i="31"/>
  <c r="K88" i="31"/>
  <c r="J88" i="31"/>
  <c r="H74" i="31"/>
  <c r="H73" i="31"/>
  <c r="R61" i="31"/>
  <c r="Q61" i="31"/>
  <c r="P61" i="31"/>
  <c r="O61" i="31"/>
  <c r="N61" i="31"/>
  <c r="M61" i="31"/>
  <c r="L61" i="31"/>
  <c r="K61" i="31"/>
  <c r="J61" i="31"/>
  <c r="S60" i="31"/>
  <c r="R60" i="31"/>
  <c r="Q60" i="31"/>
  <c r="P60" i="31"/>
  <c r="O60" i="31"/>
  <c r="N60" i="31"/>
  <c r="M60" i="31"/>
  <c r="L60" i="31"/>
  <c r="K60" i="31"/>
  <c r="J60" i="31"/>
  <c r="H44" i="31"/>
  <c r="R33" i="31"/>
  <c r="Q33" i="31"/>
  <c r="P33" i="31"/>
  <c r="O33" i="31"/>
  <c r="N33" i="31"/>
  <c r="M33" i="31"/>
  <c r="L33" i="31"/>
  <c r="K33" i="31"/>
  <c r="J33" i="31"/>
  <c r="S32" i="31"/>
  <c r="R32" i="31"/>
  <c r="Q32" i="31"/>
  <c r="P32" i="31"/>
  <c r="O32" i="31"/>
  <c r="N32" i="31"/>
  <c r="M32" i="31"/>
  <c r="L32" i="31"/>
  <c r="K32" i="31"/>
  <c r="J32" i="31"/>
  <c r="H25" i="31"/>
  <c r="H110" i="31" s="1"/>
  <c r="G25" i="31"/>
  <c r="E25" i="31"/>
  <c r="E110" i="31" s="1"/>
  <c r="D25" i="31"/>
  <c r="D110" i="31" s="1"/>
  <c r="C25" i="31"/>
  <c r="C110" i="31" s="1"/>
  <c r="B25" i="31"/>
  <c r="B110" i="31" s="1"/>
  <c r="H24" i="31"/>
  <c r="H109" i="31" s="1"/>
  <c r="G24" i="31"/>
  <c r="E24" i="31"/>
  <c r="E109" i="31" s="1"/>
  <c r="D24" i="31"/>
  <c r="D109" i="31" s="1"/>
  <c r="C24" i="31"/>
  <c r="C109" i="31" s="1"/>
  <c r="B24" i="31"/>
  <c r="B109" i="31" s="1"/>
  <c r="H23" i="31"/>
  <c r="H108" i="31" s="1"/>
  <c r="G23" i="31"/>
  <c r="E23" i="31"/>
  <c r="E108" i="31" s="1"/>
  <c r="D23" i="31"/>
  <c r="D108" i="31" s="1"/>
  <c r="C23" i="31"/>
  <c r="C108" i="31" s="1"/>
  <c r="B23" i="31"/>
  <c r="B108" i="31" s="1"/>
  <c r="H22" i="31"/>
  <c r="H107" i="31" s="1"/>
  <c r="G22" i="31"/>
  <c r="E22" i="31"/>
  <c r="E107" i="31" s="1"/>
  <c r="D22" i="31"/>
  <c r="D107" i="31" s="1"/>
  <c r="C22" i="31"/>
  <c r="C107" i="31" s="1"/>
  <c r="B22" i="31"/>
  <c r="B107" i="31" s="1"/>
  <c r="H21" i="31"/>
  <c r="H106" i="31" s="1"/>
  <c r="G21" i="31"/>
  <c r="E21" i="31"/>
  <c r="D21" i="31"/>
  <c r="D106" i="31" s="1"/>
  <c r="C21" i="31"/>
  <c r="C106" i="31" s="1"/>
  <c r="B21" i="31"/>
  <c r="H20" i="31"/>
  <c r="G20" i="31"/>
  <c r="E20" i="31"/>
  <c r="E105" i="31" s="1"/>
  <c r="D20" i="31"/>
  <c r="D105" i="31" s="1"/>
  <c r="C20" i="31"/>
  <c r="C105" i="31" s="1"/>
  <c r="B20" i="31"/>
  <c r="B105" i="31" s="1"/>
  <c r="H19" i="31"/>
  <c r="H48" i="31" s="1"/>
  <c r="G19" i="31"/>
  <c r="E19" i="31"/>
  <c r="E104" i="31" s="1"/>
  <c r="D19" i="31"/>
  <c r="D104" i="31" s="1"/>
  <c r="C19" i="31"/>
  <c r="C104" i="31" s="1"/>
  <c r="B19" i="31"/>
  <c r="H18" i="31"/>
  <c r="G18" i="31"/>
  <c r="E18" i="31"/>
  <c r="E103" i="31" s="1"/>
  <c r="D18" i="31"/>
  <c r="C18" i="31"/>
  <c r="C103" i="31" s="1"/>
  <c r="B18" i="31"/>
  <c r="B103" i="31" s="1"/>
  <c r="H17" i="31"/>
  <c r="H102" i="31" s="1"/>
  <c r="G17" i="31"/>
  <c r="E17" i="31"/>
  <c r="E102" i="31" s="1"/>
  <c r="D17" i="31"/>
  <c r="D102" i="31" s="1"/>
  <c r="C17" i="31"/>
  <c r="C102" i="31" s="1"/>
  <c r="B17" i="31"/>
  <c r="H16" i="31"/>
  <c r="G16" i="31"/>
  <c r="E16" i="31"/>
  <c r="E101" i="31" s="1"/>
  <c r="D16" i="31"/>
  <c r="D101" i="31" s="1"/>
  <c r="C16" i="31"/>
  <c r="C101" i="31" s="1"/>
  <c r="B16" i="31"/>
  <c r="B101" i="31" s="1"/>
  <c r="H15" i="31"/>
  <c r="G15" i="31"/>
  <c r="E15" i="31"/>
  <c r="E100" i="31" s="1"/>
  <c r="D15" i="31"/>
  <c r="D100" i="31" s="1"/>
  <c r="C15" i="31"/>
  <c r="C100" i="31" s="1"/>
  <c r="B15" i="31"/>
  <c r="H14" i="31"/>
  <c r="G14" i="31"/>
  <c r="E14" i="31"/>
  <c r="E99" i="31" s="1"/>
  <c r="D14" i="31"/>
  <c r="C14" i="31"/>
  <c r="C99" i="31" s="1"/>
  <c r="B14" i="31"/>
  <c r="B99" i="31" s="1"/>
  <c r="H13" i="31"/>
  <c r="G13" i="31"/>
  <c r="E13" i="31"/>
  <c r="E98" i="31" s="1"/>
  <c r="D13" i="31"/>
  <c r="D98" i="31" s="1"/>
  <c r="C13" i="31"/>
  <c r="C98" i="31" s="1"/>
  <c r="B13" i="31"/>
  <c r="H12" i="31"/>
  <c r="G12" i="31"/>
  <c r="E12" i="31"/>
  <c r="D12" i="31"/>
  <c r="D97" i="31" s="1"/>
  <c r="C12" i="31"/>
  <c r="C97" i="31" s="1"/>
  <c r="B12" i="31"/>
  <c r="H11" i="31"/>
  <c r="H68" i="31" s="1"/>
  <c r="G11" i="31"/>
  <c r="E11" i="31"/>
  <c r="E96" i="31" s="1"/>
  <c r="D11" i="31"/>
  <c r="D96" i="31" s="1"/>
  <c r="C11" i="31"/>
  <c r="C96" i="31" s="1"/>
  <c r="B11" i="31"/>
  <c r="H10" i="31"/>
  <c r="G10" i="31"/>
  <c r="E10" i="31"/>
  <c r="E95" i="31" s="1"/>
  <c r="D10" i="31"/>
  <c r="C10" i="31"/>
  <c r="C95" i="31" s="1"/>
  <c r="B10" i="31"/>
  <c r="B95" i="31" s="1"/>
  <c r="H9" i="31"/>
  <c r="G9" i="31"/>
  <c r="E9" i="31"/>
  <c r="E94" i="31" s="1"/>
  <c r="D9" i="31"/>
  <c r="C9" i="31"/>
  <c r="C94" i="31" s="1"/>
  <c r="B9" i="31"/>
  <c r="H8" i="31"/>
  <c r="G8" i="31"/>
  <c r="E8" i="31"/>
  <c r="E93" i="31" s="1"/>
  <c r="D8" i="31"/>
  <c r="D93" i="31" s="1"/>
  <c r="C8" i="31"/>
  <c r="C93" i="31" s="1"/>
  <c r="B8" i="31"/>
  <c r="B93" i="31" s="1"/>
  <c r="H7" i="31"/>
  <c r="G7" i="31"/>
  <c r="E7" i="31"/>
  <c r="E92" i="31" s="1"/>
  <c r="D7" i="31"/>
  <c r="D92" i="31" s="1"/>
  <c r="C7" i="31"/>
  <c r="C92" i="31" s="1"/>
  <c r="B7" i="31"/>
  <c r="H6" i="31"/>
  <c r="G6" i="31"/>
  <c r="E6" i="31"/>
  <c r="E91" i="31" s="1"/>
  <c r="D6" i="31"/>
  <c r="C6" i="31"/>
  <c r="B6" i="31"/>
  <c r="B91" i="31" s="1"/>
  <c r="H5" i="31"/>
  <c r="G5" i="31"/>
  <c r="E5" i="31"/>
  <c r="D5" i="31"/>
  <c r="D90" i="31" s="1"/>
  <c r="C5" i="31"/>
  <c r="C90" i="31" s="1"/>
  <c r="B5" i="31"/>
  <c r="I4" i="31"/>
  <c r="I89" i="31" s="1"/>
  <c r="H4" i="31"/>
  <c r="G4" i="31"/>
  <c r="E4" i="31"/>
  <c r="E89" i="31" s="1"/>
  <c r="D4" i="31"/>
  <c r="D89" i="31" s="1"/>
  <c r="C4" i="31"/>
  <c r="B4" i="31"/>
  <c r="B89" i="31" s="1"/>
  <c r="I3" i="31"/>
  <c r="I88" i="31" s="1"/>
  <c r="H3" i="31"/>
  <c r="G3" i="31"/>
  <c r="E3" i="31"/>
  <c r="E88" i="31" s="1"/>
  <c r="D3" i="31"/>
  <c r="C3" i="31"/>
  <c r="C88" i="31" s="1"/>
  <c r="B3" i="31"/>
  <c r="B88" i="31" s="1"/>
  <c r="E110" i="30"/>
  <c r="E108" i="30"/>
  <c r="B106" i="30"/>
  <c r="C104" i="30"/>
  <c r="E103" i="30"/>
  <c r="B100" i="30"/>
  <c r="E99" i="30"/>
  <c r="B95" i="30"/>
  <c r="H93" i="30"/>
  <c r="H91" i="30"/>
  <c r="C90" i="30"/>
  <c r="R89" i="30"/>
  <c r="Q89" i="30"/>
  <c r="P89" i="30"/>
  <c r="O89" i="30"/>
  <c r="N89" i="30"/>
  <c r="M89" i="30"/>
  <c r="L89" i="30"/>
  <c r="K89" i="30"/>
  <c r="J89" i="30"/>
  <c r="S88" i="30"/>
  <c r="R88" i="30"/>
  <c r="Q88" i="30"/>
  <c r="P88" i="30"/>
  <c r="O88" i="30"/>
  <c r="N88" i="30"/>
  <c r="M88" i="30"/>
  <c r="L88" i="30"/>
  <c r="K88" i="30"/>
  <c r="J88" i="30"/>
  <c r="I88" i="30"/>
  <c r="E82" i="30"/>
  <c r="D82" i="30"/>
  <c r="E79" i="30"/>
  <c r="D77" i="30"/>
  <c r="C77" i="30"/>
  <c r="H74" i="30"/>
  <c r="E74" i="30"/>
  <c r="E72" i="30"/>
  <c r="B71" i="30"/>
  <c r="E69" i="30"/>
  <c r="D69" i="30"/>
  <c r="B68" i="30"/>
  <c r="H67" i="30"/>
  <c r="D66" i="30"/>
  <c r="C66" i="30"/>
  <c r="C63" i="30"/>
  <c r="B63" i="30"/>
  <c r="R61" i="30"/>
  <c r="Q61" i="30"/>
  <c r="P61" i="30"/>
  <c r="O61" i="30"/>
  <c r="N61" i="30"/>
  <c r="M61" i="30"/>
  <c r="L61" i="30"/>
  <c r="K61" i="30"/>
  <c r="J61" i="30"/>
  <c r="H61" i="30"/>
  <c r="S60" i="30"/>
  <c r="R60" i="30"/>
  <c r="Q60" i="30"/>
  <c r="P60" i="30"/>
  <c r="O60" i="30"/>
  <c r="N60" i="30"/>
  <c r="M60" i="30"/>
  <c r="L60" i="30"/>
  <c r="K60" i="30"/>
  <c r="J60" i="30"/>
  <c r="D60" i="30"/>
  <c r="B60" i="30"/>
  <c r="B54" i="30"/>
  <c r="E53" i="30"/>
  <c r="D52" i="30"/>
  <c r="D51" i="30"/>
  <c r="B51" i="30"/>
  <c r="C49" i="30"/>
  <c r="E46" i="30"/>
  <c r="E41" i="30"/>
  <c r="C41" i="30"/>
  <c r="B40" i="30"/>
  <c r="H39" i="30"/>
  <c r="E39" i="30"/>
  <c r="D38" i="30"/>
  <c r="B38" i="30"/>
  <c r="H37" i="30"/>
  <c r="C35" i="30"/>
  <c r="R33" i="30"/>
  <c r="Q33" i="30"/>
  <c r="P33" i="30"/>
  <c r="O33" i="30"/>
  <c r="N33" i="30"/>
  <c r="M33" i="30"/>
  <c r="L33" i="30"/>
  <c r="K33" i="30"/>
  <c r="J33" i="30"/>
  <c r="C33" i="30"/>
  <c r="S32" i="30"/>
  <c r="R32" i="30"/>
  <c r="Q32" i="30"/>
  <c r="P32" i="30"/>
  <c r="O32" i="30"/>
  <c r="N32" i="30"/>
  <c r="M32" i="30"/>
  <c r="L32" i="30"/>
  <c r="K32" i="30"/>
  <c r="J32" i="30"/>
  <c r="H25" i="30"/>
  <c r="H110" i="30" s="1"/>
  <c r="G25" i="30"/>
  <c r="E25" i="30"/>
  <c r="E54" i="30" s="1"/>
  <c r="D25" i="30"/>
  <c r="D110" i="30" s="1"/>
  <c r="C25" i="30"/>
  <c r="B25" i="30"/>
  <c r="B110" i="30" s="1"/>
  <c r="H24" i="30"/>
  <c r="H109" i="30" s="1"/>
  <c r="G24" i="30"/>
  <c r="E24" i="30"/>
  <c r="E109" i="30" s="1"/>
  <c r="D24" i="30"/>
  <c r="D109" i="30" s="1"/>
  <c r="C24" i="30"/>
  <c r="B24" i="30"/>
  <c r="H23" i="30"/>
  <c r="H108" i="30" s="1"/>
  <c r="G23" i="30"/>
  <c r="E23" i="30"/>
  <c r="D23" i="30"/>
  <c r="C23" i="30"/>
  <c r="B23" i="30"/>
  <c r="H22" i="30"/>
  <c r="H107" i="30" s="1"/>
  <c r="G22" i="30"/>
  <c r="E22" i="30"/>
  <c r="D22" i="30"/>
  <c r="D107" i="30" s="1"/>
  <c r="C22" i="30"/>
  <c r="B22" i="30"/>
  <c r="H21" i="30"/>
  <c r="H106" i="30" s="1"/>
  <c r="G21" i="30"/>
  <c r="E21" i="30"/>
  <c r="D21" i="30"/>
  <c r="C21" i="30"/>
  <c r="C106" i="30" s="1"/>
  <c r="B21" i="30"/>
  <c r="H20" i="30"/>
  <c r="G20" i="30"/>
  <c r="E20" i="30"/>
  <c r="D20" i="30"/>
  <c r="C20" i="30"/>
  <c r="C105" i="30" s="1"/>
  <c r="B20" i="30"/>
  <c r="H19" i="30"/>
  <c r="G19" i="30"/>
  <c r="E19" i="30"/>
  <c r="D19" i="30"/>
  <c r="C19" i="30"/>
  <c r="C76" i="30" s="1"/>
  <c r="B19" i="30"/>
  <c r="H18" i="30"/>
  <c r="G18" i="30"/>
  <c r="E18" i="30"/>
  <c r="D18" i="30"/>
  <c r="C18" i="30"/>
  <c r="B18" i="30"/>
  <c r="H17" i="30"/>
  <c r="G17" i="30"/>
  <c r="E17" i="30"/>
  <c r="E102" i="30" s="1"/>
  <c r="D17" i="30"/>
  <c r="C17" i="30"/>
  <c r="C46" i="30" s="1"/>
  <c r="B17" i="30"/>
  <c r="H16" i="30"/>
  <c r="G16" i="30"/>
  <c r="E16" i="30"/>
  <c r="D16" i="30"/>
  <c r="C16" i="30"/>
  <c r="B16" i="30"/>
  <c r="H15" i="30"/>
  <c r="G15" i="30"/>
  <c r="E15" i="30"/>
  <c r="E100" i="30" s="1"/>
  <c r="D15" i="30"/>
  <c r="C15" i="30"/>
  <c r="B15" i="30"/>
  <c r="H14" i="30"/>
  <c r="G14" i="30"/>
  <c r="E14" i="30"/>
  <c r="E43" i="30" s="1"/>
  <c r="D14" i="30"/>
  <c r="C14" i="30"/>
  <c r="B14" i="30"/>
  <c r="H13" i="30"/>
  <c r="H70" i="30" s="1"/>
  <c r="G13" i="30"/>
  <c r="E13" i="30"/>
  <c r="D13" i="30"/>
  <c r="C13" i="30"/>
  <c r="B13" i="30"/>
  <c r="B42" i="30" s="1"/>
  <c r="H12" i="30"/>
  <c r="H41" i="30" s="1"/>
  <c r="G12" i="30"/>
  <c r="E12" i="30"/>
  <c r="E97" i="30" s="1"/>
  <c r="D12" i="30"/>
  <c r="C12" i="30"/>
  <c r="C69" i="30" s="1"/>
  <c r="B12" i="30"/>
  <c r="H11" i="30"/>
  <c r="G11" i="30"/>
  <c r="E11" i="30"/>
  <c r="D11" i="30"/>
  <c r="C11" i="30"/>
  <c r="B11" i="30"/>
  <c r="B96" i="30" s="1"/>
  <c r="H10" i="30"/>
  <c r="H95" i="30" s="1"/>
  <c r="G10" i="30"/>
  <c r="E10" i="30"/>
  <c r="E95" i="30" s="1"/>
  <c r="D10" i="30"/>
  <c r="D39" i="30" s="1"/>
  <c r="C10" i="30"/>
  <c r="B10" i="30"/>
  <c r="H9" i="30"/>
  <c r="G9" i="30"/>
  <c r="E9" i="30"/>
  <c r="D9" i="30"/>
  <c r="C9" i="30"/>
  <c r="B9" i="30"/>
  <c r="B94" i="30" s="1"/>
  <c r="H8" i="30"/>
  <c r="H65" i="30" s="1"/>
  <c r="G8" i="30"/>
  <c r="E8" i="30"/>
  <c r="D8" i="30"/>
  <c r="C8" i="30"/>
  <c r="B8" i="30"/>
  <c r="H7" i="30"/>
  <c r="G7" i="30"/>
  <c r="E7" i="30"/>
  <c r="D7" i="30"/>
  <c r="C7" i="30"/>
  <c r="B7" i="30"/>
  <c r="H6" i="30"/>
  <c r="H63" i="30" s="1"/>
  <c r="G6" i="30"/>
  <c r="E6" i="30"/>
  <c r="E63" i="30" s="1"/>
  <c r="D6" i="30"/>
  <c r="C6" i="30"/>
  <c r="C91" i="30" s="1"/>
  <c r="B6" i="30"/>
  <c r="H5" i="30"/>
  <c r="H62" i="30" s="1"/>
  <c r="G5" i="30"/>
  <c r="E5" i="30"/>
  <c r="D5" i="30"/>
  <c r="C5" i="30"/>
  <c r="B5" i="30"/>
  <c r="I4" i="30"/>
  <c r="H4" i="30"/>
  <c r="H33" i="30" s="1"/>
  <c r="G4" i="30"/>
  <c r="E4" i="30"/>
  <c r="E61" i="30" s="1"/>
  <c r="D4" i="30"/>
  <c r="C4" i="30"/>
  <c r="C89" i="30" s="1"/>
  <c r="B4" i="30"/>
  <c r="I3" i="30"/>
  <c r="I32" i="30" s="1"/>
  <c r="H3" i="30"/>
  <c r="H60" i="30" s="1"/>
  <c r="G3" i="30"/>
  <c r="E3" i="30"/>
  <c r="D3" i="30"/>
  <c r="C3" i="30"/>
  <c r="B3" i="30"/>
  <c r="R89" i="29"/>
  <c r="Q89" i="29"/>
  <c r="P89" i="29"/>
  <c r="O89" i="29"/>
  <c r="N89" i="29"/>
  <c r="M89" i="29"/>
  <c r="L89" i="29"/>
  <c r="K89" i="29"/>
  <c r="J89" i="29"/>
  <c r="S88" i="29"/>
  <c r="R88" i="29"/>
  <c r="Q88" i="29"/>
  <c r="P88" i="29"/>
  <c r="O88" i="29"/>
  <c r="N88" i="29"/>
  <c r="M88" i="29"/>
  <c r="L88" i="29"/>
  <c r="K88" i="29"/>
  <c r="J88" i="29"/>
  <c r="D81" i="29"/>
  <c r="D76" i="29"/>
  <c r="E68" i="29"/>
  <c r="B67" i="29"/>
  <c r="D65" i="29"/>
  <c r="C62" i="29"/>
  <c r="R61" i="29"/>
  <c r="Q61" i="29"/>
  <c r="P61" i="29"/>
  <c r="O61" i="29"/>
  <c r="N61" i="29"/>
  <c r="M61" i="29"/>
  <c r="L61" i="29"/>
  <c r="K61" i="29"/>
  <c r="J61" i="29"/>
  <c r="S60" i="29"/>
  <c r="R60" i="29"/>
  <c r="Q60" i="29"/>
  <c r="P60" i="29"/>
  <c r="O60" i="29"/>
  <c r="N60" i="29"/>
  <c r="M60" i="29"/>
  <c r="L60" i="29"/>
  <c r="K60" i="29"/>
  <c r="J60" i="29"/>
  <c r="H60" i="29"/>
  <c r="E54" i="29"/>
  <c r="D51" i="29"/>
  <c r="C49" i="29"/>
  <c r="B47" i="29"/>
  <c r="D46" i="29"/>
  <c r="D45" i="29"/>
  <c r="H44" i="29"/>
  <c r="C44" i="29"/>
  <c r="H43" i="29"/>
  <c r="E43" i="29"/>
  <c r="B43" i="29"/>
  <c r="H42" i="29"/>
  <c r="D42" i="29"/>
  <c r="D40" i="29"/>
  <c r="H39" i="29"/>
  <c r="H38" i="29"/>
  <c r="B38" i="29"/>
  <c r="H37" i="29"/>
  <c r="D37" i="29"/>
  <c r="D36" i="29"/>
  <c r="C36" i="29"/>
  <c r="E34" i="29"/>
  <c r="C34" i="29"/>
  <c r="R33" i="29"/>
  <c r="Q33" i="29"/>
  <c r="P33" i="29"/>
  <c r="O33" i="29"/>
  <c r="N33" i="29"/>
  <c r="M33" i="29"/>
  <c r="L33" i="29"/>
  <c r="K33" i="29"/>
  <c r="J33" i="29"/>
  <c r="I33" i="29"/>
  <c r="C33" i="29"/>
  <c r="B33" i="29"/>
  <c r="S32" i="29"/>
  <c r="R32" i="29"/>
  <c r="Q32" i="29"/>
  <c r="P32" i="29"/>
  <c r="O32" i="29"/>
  <c r="N32" i="29"/>
  <c r="M32" i="29"/>
  <c r="L32" i="29"/>
  <c r="K32" i="29"/>
  <c r="J32" i="29"/>
  <c r="H32" i="29"/>
  <c r="E32" i="29"/>
  <c r="H25" i="29"/>
  <c r="H110" i="29" s="1"/>
  <c r="G25" i="29"/>
  <c r="E25" i="29"/>
  <c r="D25" i="29"/>
  <c r="C25" i="29"/>
  <c r="B25" i="29"/>
  <c r="H24" i="29"/>
  <c r="H109" i="29" s="1"/>
  <c r="G24" i="29"/>
  <c r="E24" i="29"/>
  <c r="D24" i="29"/>
  <c r="C24" i="29"/>
  <c r="B24" i="29"/>
  <c r="H23" i="29"/>
  <c r="H108" i="29" s="1"/>
  <c r="G23" i="29"/>
  <c r="E23" i="29"/>
  <c r="D23" i="29"/>
  <c r="C23" i="29"/>
  <c r="B23" i="29"/>
  <c r="H22" i="29"/>
  <c r="H107" i="29" s="1"/>
  <c r="G22" i="29"/>
  <c r="E22" i="29"/>
  <c r="D22" i="29"/>
  <c r="C22" i="29"/>
  <c r="B22" i="29"/>
  <c r="H21" i="29"/>
  <c r="H106" i="29" s="1"/>
  <c r="G21" i="29"/>
  <c r="E21" i="29"/>
  <c r="D21" i="29"/>
  <c r="C21" i="29"/>
  <c r="B21" i="29"/>
  <c r="B50" i="29" s="1"/>
  <c r="H20" i="29"/>
  <c r="G20" i="29"/>
  <c r="E20" i="29"/>
  <c r="E49" i="29" s="1"/>
  <c r="D20" i="29"/>
  <c r="D77" i="29" s="1"/>
  <c r="C20" i="29"/>
  <c r="B20" i="29"/>
  <c r="H19" i="29"/>
  <c r="H104" i="29" s="1"/>
  <c r="G19" i="29"/>
  <c r="E19" i="29"/>
  <c r="D19" i="29"/>
  <c r="C19" i="29"/>
  <c r="B19" i="29"/>
  <c r="B48" i="29" s="1"/>
  <c r="H18" i="29"/>
  <c r="H103" i="29" s="1"/>
  <c r="G18" i="29"/>
  <c r="E18" i="29"/>
  <c r="E103" i="29" s="1"/>
  <c r="D18" i="29"/>
  <c r="C18" i="29"/>
  <c r="C47" i="29" s="1"/>
  <c r="B18" i="29"/>
  <c r="H17" i="29"/>
  <c r="G17" i="29"/>
  <c r="E17" i="29"/>
  <c r="D17" i="29"/>
  <c r="C17" i="29"/>
  <c r="B17" i="29"/>
  <c r="H16" i="29"/>
  <c r="G16" i="29"/>
  <c r="E16" i="29"/>
  <c r="D16" i="29"/>
  <c r="D101" i="29" s="1"/>
  <c r="C16" i="29"/>
  <c r="B16" i="29"/>
  <c r="H15" i="29"/>
  <c r="G15" i="29"/>
  <c r="E15" i="29"/>
  <c r="D15" i="29"/>
  <c r="C15" i="29"/>
  <c r="B15" i="29"/>
  <c r="H14" i="29"/>
  <c r="H71" i="29" s="1"/>
  <c r="G14" i="29"/>
  <c r="E14" i="29"/>
  <c r="D14" i="29"/>
  <c r="C14" i="29"/>
  <c r="B14" i="29"/>
  <c r="B71" i="29" s="1"/>
  <c r="H13" i="29"/>
  <c r="G13" i="29"/>
  <c r="E13" i="29"/>
  <c r="E42" i="29" s="1"/>
  <c r="D13" i="29"/>
  <c r="C13" i="29"/>
  <c r="C70" i="29" s="1"/>
  <c r="B13" i="29"/>
  <c r="H12" i="29"/>
  <c r="G12" i="29"/>
  <c r="E12" i="29"/>
  <c r="D12" i="29"/>
  <c r="D41" i="29" s="1"/>
  <c r="C12" i="29"/>
  <c r="B12" i="29"/>
  <c r="B97" i="29" s="1"/>
  <c r="H11" i="29"/>
  <c r="H96" i="29" s="1"/>
  <c r="G11" i="29"/>
  <c r="E11" i="29"/>
  <c r="D11" i="29"/>
  <c r="C11" i="29"/>
  <c r="C40" i="29" s="1"/>
  <c r="B11" i="29"/>
  <c r="B40" i="29" s="1"/>
  <c r="H10" i="29"/>
  <c r="G10" i="29"/>
  <c r="E10" i="29"/>
  <c r="D10" i="29"/>
  <c r="C10" i="29"/>
  <c r="B10" i="29"/>
  <c r="B95" i="29" s="1"/>
  <c r="H9" i="29"/>
  <c r="H94" i="29" s="1"/>
  <c r="G9" i="29"/>
  <c r="E9" i="29"/>
  <c r="D9" i="29"/>
  <c r="C9" i="29"/>
  <c r="B9" i="29"/>
  <c r="H8" i="29"/>
  <c r="G8" i="29"/>
  <c r="E8" i="29"/>
  <c r="D8" i="29"/>
  <c r="D93" i="29" s="1"/>
  <c r="C8" i="29"/>
  <c r="B8" i="29"/>
  <c r="H7" i="29"/>
  <c r="G7" i="29"/>
  <c r="E7" i="29"/>
  <c r="D7" i="29"/>
  <c r="C7" i="29"/>
  <c r="B7" i="29"/>
  <c r="B36" i="29" s="1"/>
  <c r="H6" i="29"/>
  <c r="H35" i="29" s="1"/>
  <c r="G6" i="29"/>
  <c r="E6" i="29"/>
  <c r="E91" i="29" s="1"/>
  <c r="D6" i="29"/>
  <c r="C6" i="29"/>
  <c r="C91" i="29" s="1"/>
  <c r="B6" i="29"/>
  <c r="H5" i="29"/>
  <c r="G5" i="29"/>
  <c r="E5" i="29"/>
  <c r="E90" i="29" s="1"/>
  <c r="D5" i="29"/>
  <c r="D34" i="29" s="1"/>
  <c r="C5" i="29"/>
  <c r="C90" i="29" s="1"/>
  <c r="B5" i="29"/>
  <c r="I4" i="29"/>
  <c r="I89" i="29" s="1"/>
  <c r="H4" i="29"/>
  <c r="H89" i="29" s="1"/>
  <c r="G4" i="29"/>
  <c r="E4" i="29"/>
  <c r="D4" i="29"/>
  <c r="C4" i="29"/>
  <c r="B4" i="29"/>
  <c r="I3" i="29"/>
  <c r="H3" i="29"/>
  <c r="H88" i="29" s="1"/>
  <c r="G3" i="29"/>
  <c r="E3" i="29"/>
  <c r="E88" i="29" s="1"/>
  <c r="D3" i="29"/>
  <c r="C3" i="29"/>
  <c r="B3" i="29"/>
  <c r="D44" i="20"/>
  <c r="C44" i="20"/>
  <c r="B44" i="20"/>
  <c r="D43" i="20"/>
  <c r="C43" i="20"/>
  <c r="B43" i="20"/>
  <c r="D42" i="20"/>
  <c r="C42" i="20"/>
  <c r="B42" i="20"/>
  <c r="M41" i="20"/>
  <c r="J41" i="20"/>
  <c r="O40" i="20"/>
  <c r="B40" i="20"/>
  <c r="N37" i="20"/>
  <c r="F36" i="20"/>
  <c r="H35" i="20"/>
  <c r="I35" i="20" s="1"/>
  <c r="J35" i="20" s="1"/>
  <c r="K35" i="20" s="1"/>
  <c r="L35" i="20" s="1"/>
  <c r="M35" i="20" s="1"/>
  <c r="N35" i="20" s="1"/>
  <c r="O35" i="20" s="1"/>
  <c r="P35" i="20" s="1"/>
  <c r="Q35" i="20" s="1"/>
  <c r="R35" i="20" s="1"/>
  <c r="S35" i="20" s="1"/>
  <c r="T35" i="20" s="1"/>
  <c r="U35" i="20" s="1"/>
  <c r="V35" i="20" s="1"/>
  <c r="C35" i="20"/>
  <c r="D35" i="20" s="1"/>
  <c r="E35" i="20" s="1"/>
  <c r="F35" i="20" s="1"/>
  <c r="G35" i="20" s="1"/>
  <c r="D10" i="20"/>
  <c r="C10" i="20"/>
  <c r="B10" i="20"/>
  <c r="D9" i="20"/>
  <c r="C9" i="20"/>
  <c r="B9" i="20"/>
  <c r="D8" i="20"/>
  <c r="C8" i="20"/>
  <c r="B8" i="20"/>
  <c r="S7" i="20"/>
  <c r="V6" i="20"/>
  <c r="V2" i="20"/>
  <c r="C1" i="20"/>
  <c r="D1" i="20" s="1"/>
  <c r="E1" i="20" s="1"/>
  <c r="F1" i="20" s="1"/>
  <c r="G1" i="20" s="1"/>
  <c r="H1" i="20" s="1"/>
  <c r="I1" i="20" s="1"/>
  <c r="J1" i="20" s="1"/>
  <c r="K1" i="20" s="1"/>
  <c r="L1" i="20" s="1"/>
  <c r="M1" i="20" s="1"/>
  <c r="N1" i="20" s="1"/>
  <c r="O1" i="20" s="1"/>
  <c r="P1" i="20" s="1"/>
  <c r="Q1" i="20" s="1"/>
  <c r="R1" i="20" s="1"/>
  <c r="S1" i="20" s="1"/>
  <c r="T1" i="20" s="1"/>
  <c r="U1" i="20" s="1"/>
  <c r="V1" i="20" s="1"/>
  <c r="U114" i="24"/>
  <c r="Q41" i="20" s="1"/>
  <c r="T114" i="24"/>
  <c r="P41" i="20" s="1"/>
  <c r="S114" i="24"/>
  <c r="O41" i="20" s="1"/>
  <c r="R114" i="24"/>
  <c r="N41" i="20" s="1"/>
  <c r="Q114" i="24"/>
  <c r="P114" i="24"/>
  <c r="L41" i="20" s="1"/>
  <c r="O114" i="24"/>
  <c r="K41" i="20" s="1"/>
  <c r="N114" i="24"/>
  <c r="M114" i="24"/>
  <c r="I41" i="20" s="1"/>
  <c r="V111" i="24"/>
  <c r="R40" i="20" s="1"/>
  <c r="U111" i="24"/>
  <c r="Q40" i="20" s="1"/>
  <c r="T111" i="24"/>
  <c r="P40" i="20" s="1"/>
  <c r="S111" i="24"/>
  <c r="R111" i="24"/>
  <c r="N40" i="20" s="1"/>
  <c r="Q111" i="24"/>
  <c r="M40" i="20" s="1"/>
  <c r="P111" i="24"/>
  <c r="L40" i="20" s="1"/>
  <c r="O111" i="24"/>
  <c r="K40" i="20" s="1"/>
  <c r="N111" i="24"/>
  <c r="J40" i="20" s="1"/>
  <c r="F93" i="24"/>
  <c r="B38" i="20" s="1"/>
  <c r="V80" i="24"/>
  <c r="U80" i="24"/>
  <c r="Q37" i="20" s="1"/>
  <c r="T80" i="24"/>
  <c r="P37" i="20" s="1"/>
  <c r="S80" i="24"/>
  <c r="O37" i="20" s="1"/>
  <c r="R80" i="24"/>
  <c r="Q80" i="24"/>
  <c r="M37" i="20" s="1"/>
  <c r="P80" i="24"/>
  <c r="L37" i="20" s="1"/>
  <c r="O80" i="24"/>
  <c r="N80" i="24"/>
  <c r="M80" i="24"/>
  <c r="I37" i="20" s="1"/>
  <c r="V73" i="24"/>
  <c r="R36" i="20" s="1"/>
  <c r="U73" i="24"/>
  <c r="Q36" i="20" s="1"/>
  <c r="T73" i="24"/>
  <c r="S73" i="24"/>
  <c r="O36" i="20" s="1"/>
  <c r="R73" i="24"/>
  <c r="N36" i="20" s="1"/>
  <c r="Q73" i="24"/>
  <c r="P73" i="24"/>
  <c r="L36" i="20" s="1"/>
  <c r="O73" i="24"/>
  <c r="K36" i="20" s="1"/>
  <c r="N73" i="24"/>
  <c r="J36" i="20" s="1"/>
  <c r="M73" i="24"/>
  <c r="I36" i="20" s="1"/>
  <c r="L73" i="24"/>
  <c r="K73" i="24"/>
  <c r="G36" i="20" s="1"/>
  <c r="J73" i="24"/>
  <c r="I73" i="24"/>
  <c r="H73" i="24"/>
  <c r="D36" i="20" s="1"/>
  <c r="G73" i="24"/>
  <c r="C36" i="20" s="1"/>
  <c r="E65" i="24"/>
  <c r="C129" i="24" s="1"/>
  <c r="E64" i="24"/>
  <c r="C128" i="24" s="1"/>
  <c r="E63" i="24"/>
  <c r="C127" i="24" s="1"/>
  <c r="D62" i="24"/>
  <c r="D61" i="24"/>
  <c r="D60" i="24"/>
  <c r="D59" i="24"/>
  <c r="D58" i="24"/>
  <c r="D56" i="24"/>
  <c r="D55" i="24"/>
  <c r="D54" i="24"/>
  <c r="D53" i="24"/>
  <c r="D52" i="24"/>
  <c r="Z50" i="24"/>
  <c r="V7" i="20" s="1"/>
  <c r="Y50" i="24"/>
  <c r="U7" i="20" s="1"/>
  <c r="X50" i="24"/>
  <c r="T7" i="20" s="1"/>
  <c r="W50" i="24"/>
  <c r="V50" i="24"/>
  <c r="R7" i="20" s="1"/>
  <c r="U50" i="24"/>
  <c r="Q7" i="20" s="1"/>
  <c r="D49" i="24"/>
  <c r="D48" i="24"/>
  <c r="Y47" i="24"/>
  <c r="U6" i="20" s="1"/>
  <c r="X47" i="24"/>
  <c r="T6" i="20" s="1"/>
  <c r="V48" i="8" s="1"/>
  <c r="W47" i="24"/>
  <c r="S6" i="20" s="1"/>
  <c r="U48" i="8" s="1"/>
  <c r="V60" i="8" s="1"/>
  <c r="V47" i="24"/>
  <c r="R6" i="20" s="1"/>
  <c r="T48" i="8" s="1"/>
  <c r="U60" i="8" s="1"/>
  <c r="V72" i="8" s="1"/>
  <c r="F47" i="24"/>
  <c r="B6" i="20" s="1"/>
  <c r="D48" i="8" s="1"/>
  <c r="E60" i="8" s="1"/>
  <c r="F72" i="8" s="1"/>
  <c r="G84" i="8" s="1"/>
  <c r="H96" i="8" s="1"/>
  <c r="I108" i="8" s="1"/>
  <c r="D46" i="24"/>
  <c r="D45" i="24"/>
  <c r="D44" i="24"/>
  <c r="D43" i="24"/>
  <c r="D42" i="24"/>
  <c r="D41" i="24"/>
  <c r="D39" i="24"/>
  <c r="D38" i="24"/>
  <c r="D37" i="24"/>
  <c r="D36" i="24"/>
  <c r="D35" i="24"/>
  <c r="D34" i="24"/>
  <c r="Z32" i="24"/>
  <c r="V5" i="20" s="1"/>
  <c r="D31" i="24"/>
  <c r="D30" i="24"/>
  <c r="F29" i="24"/>
  <c r="B4" i="20" s="1"/>
  <c r="D46" i="8" s="1"/>
  <c r="E58" i="8" s="1"/>
  <c r="F70" i="8" s="1"/>
  <c r="G82" i="8" s="1"/>
  <c r="H94" i="8" s="1"/>
  <c r="I106" i="8" s="1"/>
  <c r="D28" i="24"/>
  <c r="D27" i="24"/>
  <c r="D26" i="24"/>
  <c r="D25" i="24"/>
  <c r="D24" i="24"/>
  <c r="D22" i="24"/>
  <c r="D21" i="24"/>
  <c r="D20" i="24"/>
  <c r="D19" i="24"/>
  <c r="D18" i="24"/>
  <c r="Z16" i="24"/>
  <c r="V3" i="20" s="1"/>
  <c r="Y16" i="24"/>
  <c r="U3" i="20" s="1"/>
  <c r="X16" i="24"/>
  <c r="T3" i="20" s="1"/>
  <c r="W16" i="24"/>
  <c r="S3" i="20" s="1"/>
  <c r="U45" i="8" s="1"/>
  <c r="V16" i="24"/>
  <c r="R3" i="20" s="1"/>
  <c r="T45" i="8" s="1"/>
  <c r="U57" i="8" s="1"/>
  <c r="V69" i="8" s="1"/>
  <c r="U16" i="24"/>
  <c r="Q3" i="20" s="1"/>
  <c r="D15" i="24"/>
  <c r="D14" i="24"/>
  <c r="D12" i="24"/>
  <c r="D11" i="24"/>
  <c r="Y9" i="24"/>
  <c r="U2" i="20" s="1"/>
  <c r="X9" i="24"/>
  <c r="T2" i="20" s="1"/>
  <c r="W9" i="24"/>
  <c r="S2" i="20" s="1"/>
  <c r="V9" i="24"/>
  <c r="R2" i="20" s="1"/>
  <c r="U9" i="24"/>
  <c r="Q2" i="20" s="1"/>
  <c r="U5" i="24"/>
  <c r="V5" i="24" s="1"/>
  <c r="W5" i="24" s="1"/>
  <c r="X5" i="24" s="1"/>
  <c r="Y5" i="24" s="1"/>
  <c r="Z5" i="24" s="1"/>
  <c r="N5" i="24"/>
  <c r="O5" i="24" s="1"/>
  <c r="P5" i="24" s="1"/>
  <c r="Q5" i="24" s="1"/>
  <c r="R5" i="24" s="1"/>
  <c r="S5" i="24" s="1"/>
  <c r="T5" i="24" s="1"/>
  <c r="L5" i="24"/>
  <c r="M5" i="24" s="1"/>
  <c r="G5" i="24"/>
  <c r="H5" i="24" s="1"/>
  <c r="I5" i="24" s="1"/>
  <c r="J5" i="24" s="1"/>
  <c r="K5" i="24" s="1"/>
  <c r="D44" i="22"/>
  <c r="C44" i="22"/>
  <c r="B44" i="22"/>
  <c r="D43" i="22"/>
  <c r="C43" i="22"/>
  <c r="B43" i="22"/>
  <c r="D42" i="22"/>
  <c r="C42" i="22"/>
  <c r="B42" i="22"/>
  <c r="Q41" i="22"/>
  <c r="P41" i="22"/>
  <c r="B40" i="22"/>
  <c r="B38" i="22"/>
  <c r="P37" i="22"/>
  <c r="O37" i="22"/>
  <c r="M37" i="22"/>
  <c r="Q36" i="22"/>
  <c r="L36" i="22"/>
  <c r="E36" i="22"/>
  <c r="D36" i="22"/>
  <c r="P35" i="22"/>
  <c r="Q35" i="22" s="1"/>
  <c r="R35" i="22" s="1"/>
  <c r="S35" i="22" s="1"/>
  <c r="T35" i="22" s="1"/>
  <c r="U35" i="22" s="1"/>
  <c r="V35" i="22" s="1"/>
  <c r="N35" i="22"/>
  <c r="O35" i="22" s="1"/>
  <c r="D35" i="22"/>
  <c r="E35" i="22" s="1"/>
  <c r="F35" i="22" s="1"/>
  <c r="G35" i="22" s="1"/>
  <c r="H35" i="22" s="1"/>
  <c r="I35" i="22" s="1"/>
  <c r="J35" i="22" s="1"/>
  <c r="K35" i="22" s="1"/>
  <c r="L35" i="22" s="1"/>
  <c r="M35" i="22" s="1"/>
  <c r="C35" i="22"/>
  <c r="D10" i="22"/>
  <c r="C10" i="22"/>
  <c r="B10" i="22"/>
  <c r="D9" i="22"/>
  <c r="C9" i="22"/>
  <c r="B9" i="22"/>
  <c r="D8" i="22"/>
  <c r="C8" i="22"/>
  <c r="B8" i="22"/>
  <c r="Q7" i="22"/>
  <c r="V6" i="22"/>
  <c r="V2" i="22"/>
  <c r="R2" i="22"/>
  <c r="Q2" i="22"/>
  <c r="G1" i="22"/>
  <c r="H1" i="22" s="1"/>
  <c r="I1" i="22" s="1"/>
  <c r="J1" i="22" s="1"/>
  <c r="K1" i="22" s="1"/>
  <c r="L1" i="22" s="1"/>
  <c r="M1" i="22" s="1"/>
  <c r="N1" i="22" s="1"/>
  <c r="O1" i="22" s="1"/>
  <c r="P1" i="22" s="1"/>
  <c r="Q1" i="22" s="1"/>
  <c r="R1" i="22" s="1"/>
  <c r="S1" i="22" s="1"/>
  <c r="T1" i="22" s="1"/>
  <c r="U1" i="22" s="1"/>
  <c r="V1" i="22" s="1"/>
  <c r="D1" i="22"/>
  <c r="E1" i="22" s="1"/>
  <c r="F1" i="22" s="1"/>
  <c r="C1" i="22"/>
  <c r="C126" i="21"/>
  <c r="C121" i="21"/>
  <c r="C120" i="21"/>
  <c r="C115" i="21"/>
  <c r="U114" i="21"/>
  <c r="T114" i="21"/>
  <c r="S114" i="21"/>
  <c r="O41" i="22" s="1"/>
  <c r="R114" i="21"/>
  <c r="N41" i="22" s="1"/>
  <c r="Q114" i="21"/>
  <c r="M41" i="22" s="1"/>
  <c r="P114" i="21"/>
  <c r="L41" i="22" s="1"/>
  <c r="O114" i="21"/>
  <c r="K41" i="22" s="1"/>
  <c r="N114" i="21"/>
  <c r="J41" i="22" s="1"/>
  <c r="M114" i="21"/>
  <c r="I41" i="22" s="1"/>
  <c r="C113" i="21"/>
  <c r="C112" i="21"/>
  <c r="V111" i="21"/>
  <c r="R40" i="22" s="1"/>
  <c r="U111" i="21"/>
  <c r="Q40" i="22" s="1"/>
  <c r="T111" i="21"/>
  <c r="P40" i="22" s="1"/>
  <c r="S111" i="21"/>
  <c r="O40" i="22" s="1"/>
  <c r="R111" i="21"/>
  <c r="N40" i="22" s="1"/>
  <c r="Q111" i="21"/>
  <c r="M40" i="22" s="1"/>
  <c r="P111" i="21"/>
  <c r="L40" i="22" s="1"/>
  <c r="O111" i="21"/>
  <c r="K40" i="22" s="1"/>
  <c r="N111" i="21"/>
  <c r="J40" i="22" s="1"/>
  <c r="C111" i="21"/>
  <c r="C110" i="21"/>
  <c r="C109" i="21"/>
  <c r="C108" i="21"/>
  <c r="C107" i="21"/>
  <c r="C106" i="21"/>
  <c r="C105" i="21"/>
  <c r="C104" i="21"/>
  <c r="C103" i="21"/>
  <c r="C102" i="21"/>
  <c r="C101" i="21"/>
  <c r="C100" i="21"/>
  <c r="C99" i="21"/>
  <c r="C98" i="21"/>
  <c r="C97" i="21"/>
  <c r="C96" i="21"/>
  <c r="F93" i="21"/>
  <c r="C93" i="21"/>
  <c r="C87" i="21"/>
  <c r="D81" i="21"/>
  <c r="C81" i="21"/>
  <c r="V80" i="21"/>
  <c r="R37" i="22" s="1"/>
  <c r="U80" i="21"/>
  <c r="Q37" i="22" s="1"/>
  <c r="T80" i="21"/>
  <c r="S80" i="21"/>
  <c r="R80" i="21"/>
  <c r="N37" i="22" s="1"/>
  <c r="Q80" i="21"/>
  <c r="P80" i="21"/>
  <c r="O80" i="21"/>
  <c r="N80" i="21"/>
  <c r="J37" i="22" s="1"/>
  <c r="M80" i="21"/>
  <c r="I37" i="22" s="1"/>
  <c r="C80" i="21"/>
  <c r="C77" i="21"/>
  <c r="C74" i="21"/>
  <c r="V73" i="21"/>
  <c r="R36" i="22" s="1"/>
  <c r="U73" i="21"/>
  <c r="T73" i="21"/>
  <c r="P36" i="22" s="1"/>
  <c r="S73" i="21"/>
  <c r="O36" i="22" s="1"/>
  <c r="R73" i="21"/>
  <c r="Q73" i="21"/>
  <c r="M36" i="22" s="1"/>
  <c r="P73" i="21"/>
  <c r="O73" i="21"/>
  <c r="K36" i="22" s="1"/>
  <c r="N73" i="21"/>
  <c r="J36" i="22" s="1"/>
  <c r="M73" i="21"/>
  <c r="L73" i="21"/>
  <c r="H36" i="22" s="1"/>
  <c r="K73" i="21"/>
  <c r="G36" i="22" s="1"/>
  <c r="J73" i="21"/>
  <c r="I73" i="21"/>
  <c r="H73" i="21"/>
  <c r="G73" i="21"/>
  <c r="C36" i="22" s="1"/>
  <c r="C73" i="21"/>
  <c r="E65" i="21"/>
  <c r="I65" i="21" s="1"/>
  <c r="J65" i="21" s="1"/>
  <c r="K65" i="21" s="1"/>
  <c r="G10" i="22" s="1"/>
  <c r="H40" i="8" s="1"/>
  <c r="E64" i="21"/>
  <c r="C128" i="21" s="1"/>
  <c r="E63" i="21"/>
  <c r="C127" i="21" s="1"/>
  <c r="D62" i="21"/>
  <c r="D61" i="21"/>
  <c r="D60" i="21"/>
  <c r="D59" i="21"/>
  <c r="D58" i="21"/>
  <c r="D56" i="21"/>
  <c r="D55" i="21"/>
  <c r="D54" i="21"/>
  <c r="D53" i="21"/>
  <c r="D52" i="21"/>
  <c r="Z50" i="21"/>
  <c r="V7" i="22" s="1"/>
  <c r="Y50" i="21"/>
  <c r="U7" i="22" s="1"/>
  <c r="X50" i="21"/>
  <c r="T7" i="22" s="1"/>
  <c r="U37" i="8" s="1"/>
  <c r="W50" i="21"/>
  <c r="S7" i="22" s="1"/>
  <c r="V50" i="21"/>
  <c r="R7" i="22" s="1"/>
  <c r="U50" i="21"/>
  <c r="D49" i="21"/>
  <c r="D48" i="21"/>
  <c r="Y47" i="21"/>
  <c r="U6" i="22" s="1"/>
  <c r="V36" i="8" s="1"/>
  <c r="X47" i="21"/>
  <c r="T6" i="22" s="1"/>
  <c r="U36" i="8" s="1"/>
  <c r="W47" i="21"/>
  <c r="S6" i="22" s="1"/>
  <c r="T36" i="8" s="1"/>
  <c r="V47" i="21"/>
  <c r="R6" i="22" s="1"/>
  <c r="S36" i="8" s="1"/>
  <c r="F47" i="21"/>
  <c r="B6" i="22" s="1"/>
  <c r="C36" i="8" s="1"/>
  <c r="D46" i="21"/>
  <c r="D45" i="21"/>
  <c r="D44" i="21"/>
  <c r="D43" i="21"/>
  <c r="D42" i="21"/>
  <c r="D41" i="21"/>
  <c r="D39" i="21"/>
  <c r="D38" i="21"/>
  <c r="D37" i="21"/>
  <c r="D36" i="21"/>
  <c r="D35" i="21"/>
  <c r="D34" i="21"/>
  <c r="Z32" i="21"/>
  <c r="V5" i="22" s="1"/>
  <c r="D31" i="21"/>
  <c r="D30" i="21"/>
  <c r="F29" i="21"/>
  <c r="B4" i="22" s="1"/>
  <c r="C34" i="8" s="1"/>
  <c r="D28" i="21"/>
  <c r="D27" i="21"/>
  <c r="D26" i="21"/>
  <c r="D25" i="21"/>
  <c r="D24" i="21"/>
  <c r="D22" i="21"/>
  <c r="D21" i="21"/>
  <c r="D20" i="21"/>
  <c r="D19" i="21"/>
  <c r="D18" i="21"/>
  <c r="Z16" i="21"/>
  <c r="V3" i="22" s="1"/>
  <c r="Y16" i="21"/>
  <c r="U3" i="22" s="1"/>
  <c r="V33" i="8" s="1"/>
  <c r="X16" i="21"/>
  <c r="T3" i="22" s="1"/>
  <c r="U33" i="8" s="1"/>
  <c r="W16" i="21"/>
  <c r="S3" i="22" s="1"/>
  <c r="V16" i="21"/>
  <c r="R3" i="22" s="1"/>
  <c r="S33" i="8" s="1"/>
  <c r="U16" i="21"/>
  <c r="Q3" i="22" s="1"/>
  <c r="R33" i="8" s="1"/>
  <c r="D15" i="21"/>
  <c r="D14" i="21"/>
  <c r="D12" i="21"/>
  <c r="D11" i="21"/>
  <c r="Y9" i="21"/>
  <c r="U2" i="22" s="1"/>
  <c r="X9" i="21"/>
  <c r="T2" i="22" s="1"/>
  <c r="W9" i="21"/>
  <c r="S2" i="22" s="1"/>
  <c r="V9" i="21"/>
  <c r="U9" i="21"/>
  <c r="U5" i="21"/>
  <c r="V5" i="21" s="1"/>
  <c r="W5" i="21" s="1"/>
  <c r="X5" i="21" s="1"/>
  <c r="Y5" i="21" s="1"/>
  <c r="Z5" i="21" s="1"/>
  <c r="H5" i="21"/>
  <c r="I5" i="21" s="1"/>
  <c r="J5" i="21" s="1"/>
  <c r="K5" i="21" s="1"/>
  <c r="L5" i="21" s="1"/>
  <c r="M5" i="21" s="1"/>
  <c r="N5" i="21" s="1"/>
  <c r="O5" i="21" s="1"/>
  <c r="P5" i="21" s="1"/>
  <c r="Q5" i="21" s="1"/>
  <c r="R5" i="21" s="1"/>
  <c r="S5" i="21" s="1"/>
  <c r="T5" i="21" s="1"/>
  <c r="G5" i="21"/>
  <c r="D44" i="17"/>
  <c r="D26" i="7" s="1"/>
  <c r="D296" i="7" s="1"/>
  <c r="R7" i="30" s="1"/>
  <c r="C44" i="17"/>
  <c r="C26" i="7" s="1"/>
  <c r="C296" i="7" s="1"/>
  <c r="R6" i="30" s="1"/>
  <c r="I7" i="26" s="1"/>
  <c r="B44" i="17"/>
  <c r="D43" i="17"/>
  <c r="C43" i="17"/>
  <c r="B43" i="17"/>
  <c r="D42" i="17"/>
  <c r="C42" i="17"/>
  <c r="B42" i="17"/>
  <c r="B24" i="7" s="1"/>
  <c r="B294" i="7" s="1"/>
  <c r="P5" i="30" s="1"/>
  <c r="I6" i="26" s="1"/>
  <c r="I157" i="26" s="1"/>
  <c r="O41" i="17"/>
  <c r="M40" i="17"/>
  <c r="L40" i="17"/>
  <c r="B40" i="17"/>
  <c r="M37" i="17"/>
  <c r="L37" i="17"/>
  <c r="R36" i="17"/>
  <c r="Q36" i="17"/>
  <c r="I36" i="17"/>
  <c r="D35" i="17"/>
  <c r="E35" i="17" s="1"/>
  <c r="F35" i="17" s="1"/>
  <c r="G35" i="17" s="1"/>
  <c r="H35" i="17" s="1"/>
  <c r="I35" i="17" s="1"/>
  <c r="J35" i="17" s="1"/>
  <c r="K35" i="17" s="1"/>
  <c r="L35" i="17" s="1"/>
  <c r="M35" i="17" s="1"/>
  <c r="N35" i="17" s="1"/>
  <c r="O35" i="17" s="1"/>
  <c r="P35" i="17" s="1"/>
  <c r="Q35" i="17" s="1"/>
  <c r="R35" i="17" s="1"/>
  <c r="S35" i="17" s="1"/>
  <c r="T35" i="17" s="1"/>
  <c r="U35" i="17" s="1"/>
  <c r="V35" i="17" s="1"/>
  <c r="C35" i="17"/>
  <c r="D10" i="17"/>
  <c r="C10" i="17"/>
  <c r="B10" i="17"/>
  <c r="D9" i="17"/>
  <c r="C9" i="17"/>
  <c r="B9" i="17"/>
  <c r="D8" i="17"/>
  <c r="C8" i="17"/>
  <c r="B8" i="17"/>
  <c r="T7" i="17"/>
  <c r="V6" i="17"/>
  <c r="V2" i="17"/>
  <c r="T2" i="17"/>
  <c r="Q2" i="17"/>
  <c r="C1" i="17"/>
  <c r="D1" i="17" s="1"/>
  <c r="E1" i="17" s="1"/>
  <c r="F1" i="17" s="1"/>
  <c r="G1" i="17" s="1"/>
  <c r="H1" i="17" s="1"/>
  <c r="I1" i="17" s="1"/>
  <c r="J1" i="17" s="1"/>
  <c r="K1" i="17" s="1"/>
  <c r="L1" i="17" s="1"/>
  <c r="M1" i="17" s="1"/>
  <c r="N1" i="17" s="1"/>
  <c r="O1" i="17" s="1"/>
  <c r="P1" i="17" s="1"/>
  <c r="Q1" i="17" s="1"/>
  <c r="R1" i="17" s="1"/>
  <c r="S1" i="17" s="1"/>
  <c r="T1" i="17" s="1"/>
  <c r="U1" i="17" s="1"/>
  <c r="V1" i="17" s="1"/>
  <c r="B129" i="13"/>
  <c r="B128" i="13"/>
  <c r="B127" i="13"/>
  <c r="C126" i="13"/>
  <c r="B126" i="13"/>
  <c r="C125" i="13"/>
  <c r="V125" i="13" s="1"/>
  <c r="Y124" i="13"/>
  <c r="X124" i="13"/>
  <c r="W124" i="13"/>
  <c r="V124" i="13"/>
  <c r="C124" i="13"/>
  <c r="U124" i="13" s="1"/>
  <c r="C123" i="13"/>
  <c r="U123" i="13" s="1"/>
  <c r="C122" i="13"/>
  <c r="V122" i="13" s="1"/>
  <c r="B121" i="13"/>
  <c r="C120" i="13"/>
  <c r="B120" i="13"/>
  <c r="C119" i="13"/>
  <c r="W119" i="13" s="1"/>
  <c r="W118" i="13"/>
  <c r="C118" i="13"/>
  <c r="U118" i="13" s="1"/>
  <c r="C117" i="13"/>
  <c r="X117" i="13" s="1"/>
  <c r="C116" i="13"/>
  <c r="Y116" i="13" s="1"/>
  <c r="B115" i="13"/>
  <c r="T114" i="13"/>
  <c r="Q41" i="17" s="1"/>
  <c r="S114" i="13"/>
  <c r="P41" i="17" s="1"/>
  <c r="R114" i="13"/>
  <c r="Q114" i="13"/>
  <c r="N41" i="17" s="1"/>
  <c r="P114" i="13"/>
  <c r="M41" i="17" s="1"/>
  <c r="O114" i="13"/>
  <c r="L41" i="17" s="1"/>
  <c r="N114" i="13"/>
  <c r="K41" i="17" s="1"/>
  <c r="M114" i="13"/>
  <c r="J41" i="17" s="1"/>
  <c r="L114" i="13"/>
  <c r="I41" i="17" s="1"/>
  <c r="C113" i="13"/>
  <c r="W113" i="13" s="1"/>
  <c r="B113" i="13"/>
  <c r="C112" i="13"/>
  <c r="V112" i="13" s="1"/>
  <c r="B112" i="13"/>
  <c r="U111" i="13"/>
  <c r="R40" i="17" s="1"/>
  <c r="T111" i="13"/>
  <c r="Q40" i="17" s="1"/>
  <c r="S111" i="13"/>
  <c r="P40" i="17" s="1"/>
  <c r="R111" i="13"/>
  <c r="O40" i="17" s="1"/>
  <c r="Q111" i="13"/>
  <c r="N40" i="17" s="1"/>
  <c r="P111" i="13"/>
  <c r="O111" i="13"/>
  <c r="N111" i="13"/>
  <c r="K40" i="17" s="1"/>
  <c r="M111" i="13"/>
  <c r="J40" i="17" s="1"/>
  <c r="B111" i="13"/>
  <c r="C110" i="13"/>
  <c r="B110" i="13"/>
  <c r="C109" i="13"/>
  <c r="Y109" i="13" s="1"/>
  <c r="B109" i="13"/>
  <c r="Y108" i="13"/>
  <c r="C108" i="13"/>
  <c r="B108" i="13"/>
  <c r="C107" i="13"/>
  <c r="Y107" i="13" s="1"/>
  <c r="B107" i="13"/>
  <c r="C106" i="13"/>
  <c r="Y106" i="13" s="1"/>
  <c r="B106" i="13"/>
  <c r="C105" i="13"/>
  <c r="Y105" i="13" s="1"/>
  <c r="B105" i="13"/>
  <c r="B104" i="13"/>
  <c r="C103" i="13"/>
  <c r="B103" i="13"/>
  <c r="C102" i="13"/>
  <c r="Y102" i="13" s="1"/>
  <c r="B102" i="13"/>
  <c r="C101" i="13"/>
  <c r="Y101" i="13" s="1"/>
  <c r="B101" i="13"/>
  <c r="C100" i="13"/>
  <c r="Y100" i="13" s="1"/>
  <c r="B100" i="13"/>
  <c r="C99" i="13"/>
  <c r="Y99" i="13" s="1"/>
  <c r="B99" i="13"/>
  <c r="C98" i="13"/>
  <c r="Y98" i="13" s="1"/>
  <c r="B98" i="13"/>
  <c r="B97" i="13"/>
  <c r="B96" i="13"/>
  <c r="C95" i="13"/>
  <c r="C94" i="13"/>
  <c r="E93" i="13"/>
  <c r="B38" i="17" s="1"/>
  <c r="B93" i="13"/>
  <c r="C92" i="13"/>
  <c r="C91" i="13"/>
  <c r="W91" i="13" s="1"/>
  <c r="C90" i="13"/>
  <c r="V90" i="13" s="1"/>
  <c r="C89" i="13"/>
  <c r="C88" i="13"/>
  <c r="V88" i="13" s="1"/>
  <c r="E87" i="13"/>
  <c r="F87" i="13" s="1"/>
  <c r="B87" i="13"/>
  <c r="C86" i="13"/>
  <c r="C85" i="13"/>
  <c r="W85" i="13" s="1"/>
  <c r="C84" i="13"/>
  <c r="C83" i="13"/>
  <c r="C82" i="13"/>
  <c r="V82" i="13" s="1"/>
  <c r="B81" i="13"/>
  <c r="U80" i="13"/>
  <c r="R37" i="17" s="1"/>
  <c r="T80" i="13"/>
  <c r="Q37" i="17" s="1"/>
  <c r="S80" i="13"/>
  <c r="P37" i="17" s="1"/>
  <c r="R80" i="13"/>
  <c r="O37" i="17" s="1"/>
  <c r="Q80" i="13"/>
  <c r="N37" i="17" s="1"/>
  <c r="P80" i="13"/>
  <c r="O80" i="13"/>
  <c r="N80" i="13"/>
  <c r="K37" i="17" s="1"/>
  <c r="M80" i="13"/>
  <c r="J37" i="17" s="1"/>
  <c r="L80" i="13"/>
  <c r="I37" i="17" s="1"/>
  <c r="B80" i="13"/>
  <c r="C79" i="13"/>
  <c r="X79" i="13" s="1"/>
  <c r="C78" i="13"/>
  <c r="B77" i="13"/>
  <c r="C76" i="13"/>
  <c r="W76" i="13" s="1"/>
  <c r="C75" i="13"/>
  <c r="Y75" i="13" s="1"/>
  <c r="B74" i="13"/>
  <c r="U73" i="13"/>
  <c r="T73" i="13"/>
  <c r="S73" i="13"/>
  <c r="R73" i="13"/>
  <c r="O36" i="17" s="1"/>
  <c r="Q73" i="13"/>
  <c r="N36" i="17" s="1"/>
  <c r="P73" i="13"/>
  <c r="M36" i="17" s="1"/>
  <c r="O73" i="13"/>
  <c r="L36" i="17" s="1"/>
  <c r="N73" i="13"/>
  <c r="M73" i="13"/>
  <c r="J36" i="17" s="1"/>
  <c r="L73" i="13"/>
  <c r="K73" i="13"/>
  <c r="J73" i="13"/>
  <c r="G36" i="17" s="1"/>
  <c r="I73" i="13"/>
  <c r="F36" i="17" s="1"/>
  <c r="H73" i="13"/>
  <c r="E36" i="17" s="1"/>
  <c r="G73" i="13"/>
  <c r="D36" i="17" s="1"/>
  <c r="F73" i="13"/>
  <c r="B73" i="13"/>
  <c r="D65" i="13"/>
  <c r="H65" i="13" s="1"/>
  <c r="D64" i="13"/>
  <c r="H64" i="13" s="1"/>
  <c r="D63" i="13"/>
  <c r="H63" i="13" s="1"/>
  <c r="C62" i="13"/>
  <c r="B62" i="13"/>
  <c r="C61" i="13"/>
  <c r="C60" i="13"/>
  <c r="C59" i="13"/>
  <c r="C58" i="13"/>
  <c r="B57" i="13"/>
  <c r="C56" i="13"/>
  <c r="B56" i="13"/>
  <c r="C55" i="13"/>
  <c r="C54" i="13"/>
  <c r="C53" i="13"/>
  <c r="C52" i="13"/>
  <c r="B51" i="13"/>
  <c r="Y50" i="13"/>
  <c r="V7" i="17" s="1"/>
  <c r="X50" i="13"/>
  <c r="U7" i="17" s="1"/>
  <c r="W50" i="13"/>
  <c r="V50" i="13"/>
  <c r="S7" i="17" s="1"/>
  <c r="U50" i="13"/>
  <c r="R7" i="17" s="1"/>
  <c r="T50" i="13"/>
  <c r="Q7" i="17" s="1"/>
  <c r="C49" i="13"/>
  <c r="B49" i="13"/>
  <c r="C48" i="13"/>
  <c r="B48" i="13"/>
  <c r="X47" i="13"/>
  <c r="U6" i="17" s="1"/>
  <c r="U22" i="8" s="1"/>
  <c r="W47" i="13"/>
  <c r="T6" i="17" s="1"/>
  <c r="T22" i="8" s="1"/>
  <c r="V47" i="13"/>
  <c r="S6" i="17" s="1"/>
  <c r="S22" i="8" s="1"/>
  <c r="U47" i="13"/>
  <c r="R6" i="17" s="1"/>
  <c r="R22" i="8" s="1"/>
  <c r="E47" i="13"/>
  <c r="B6" i="17" s="1"/>
  <c r="B22" i="8" s="1"/>
  <c r="B47" i="13"/>
  <c r="C46" i="13"/>
  <c r="B46" i="13"/>
  <c r="C45" i="13"/>
  <c r="B45" i="13"/>
  <c r="C44" i="13"/>
  <c r="B44" i="13"/>
  <c r="C43" i="13"/>
  <c r="E43" i="13" s="1"/>
  <c r="F43" i="13" s="1"/>
  <c r="B43" i="13"/>
  <c r="C42" i="13"/>
  <c r="B42" i="13"/>
  <c r="C41" i="13"/>
  <c r="B41" i="13"/>
  <c r="B40" i="13"/>
  <c r="C39" i="13"/>
  <c r="B39" i="13"/>
  <c r="C38" i="13"/>
  <c r="B38" i="13"/>
  <c r="C37" i="13"/>
  <c r="B37" i="13"/>
  <c r="C36" i="13"/>
  <c r="B36" i="13"/>
  <c r="C35" i="13"/>
  <c r="B35" i="13"/>
  <c r="C34" i="13"/>
  <c r="B34" i="13"/>
  <c r="B33" i="13"/>
  <c r="Y32" i="13"/>
  <c r="V5" i="17" s="1"/>
  <c r="V21" i="8" s="1"/>
  <c r="B32" i="13"/>
  <c r="C31" i="13"/>
  <c r="C30" i="13"/>
  <c r="E29" i="13"/>
  <c r="B4" i="17" s="1"/>
  <c r="B20" i="8" s="1"/>
  <c r="B29" i="13"/>
  <c r="C28" i="13"/>
  <c r="C27" i="13"/>
  <c r="C26" i="13"/>
  <c r="C25" i="13"/>
  <c r="C24" i="13"/>
  <c r="B23" i="13"/>
  <c r="C22" i="13"/>
  <c r="C21" i="13"/>
  <c r="C20" i="13"/>
  <c r="C19" i="13"/>
  <c r="C18" i="13"/>
  <c r="B17" i="13"/>
  <c r="Y16" i="13"/>
  <c r="V3" i="17" s="1"/>
  <c r="V19" i="8" s="1"/>
  <c r="X16" i="13"/>
  <c r="U3" i="17" s="1"/>
  <c r="U19" i="8" s="1"/>
  <c r="W16" i="13"/>
  <c r="T3" i="17" s="1"/>
  <c r="T19" i="8" s="1"/>
  <c r="V16" i="13"/>
  <c r="S3" i="17" s="1"/>
  <c r="S19" i="8" s="1"/>
  <c r="U16" i="13"/>
  <c r="R3" i="17" s="1"/>
  <c r="T16" i="13"/>
  <c r="Q3" i="17" s="1"/>
  <c r="Q19" i="8" s="1"/>
  <c r="B16" i="13"/>
  <c r="C15" i="13"/>
  <c r="C14" i="13"/>
  <c r="B13" i="13"/>
  <c r="C12" i="13"/>
  <c r="C11" i="13"/>
  <c r="B10" i="13"/>
  <c r="X9" i="13"/>
  <c r="U2" i="17" s="1"/>
  <c r="W9" i="13"/>
  <c r="V9" i="13"/>
  <c r="S2" i="17" s="1"/>
  <c r="U9" i="13"/>
  <c r="R2" i="17" s="1"/>
  <c r="T9" i="13"/>
  <c r="B9" i="13"/>
  <c r="N5" i="13"/>
  <c r="O5" i="13" s="1"/>
  <c r="P5" i="13" s="1"/>
  <c r="Q5" i="13" s="1"/>
  <c r="R5" i="13" s="1"/>
  <c r="S5" i="13" s="1"/>
  <c r="T5" i="13" s="1"/>
  <c r="U5" i="13" s="1"/>
  <c r="V5" i="13" s="1"/>
  <c r="W5" i="13" s="1"/>
  <c r="X5" i="13" s="1"/>
  <c r="Y5" i="13" s="1"/>
  <c r="F5" i="13"/>
  <c r="G5" i="13" s="1"/>
  <c r="H5" i="13" s="1"/>
  <c r="I5" i="13" s="1"/>
  <c r="J5" i="13" s="1"/>
  <c r="K5" i="13" s="1"/>
  <c r="L5" i="13" s="1"/>
  <c r="M5" i="13" s="1"/>
  <c r="D44" i="6"/>
  <c r="C44" i="6"/>
  <c r="B44" i="6"/>
  <c r="D43" i="6"/>
  <c r="C43" i="6"/>
  <c r="B43" i="6"/>
  <c r="D42" i="6"/>
  <c r="C42" i="6"/>
  <c r="B42" i="6"/>
  <c r="P41" i="6"/>
  <c r="L41" i="6"/>
  <c r="Q40" i="6"/>
  <c r="P40" i="6"/>
  <c r="M40" i="6"/>
  <c r="B40" i="6"/>
  <c r="B38" i="6"/>
  <c r="P37" i="6"/>
  <c r="L37" i="6"/>
  <c r="K37" i="6"/>
  <c r="Q36" i="6"/>
  <c r="P36" i="6"/>
  <c r="M36" i="6"/>
  <c r="I36" i="6"/>
  <c r="E36" i="6"/>
  <c r="C35" i="6"/>
  <c r="D35" i="6" s="1"/>
  <c r="E35" i="6" s="1"/>
  <c r="F35" i="6" s="1"/>
  <c r="G35" i="6" s="1"/>
  <c r="H35" i="6" s="1"/>
  <c r="I35" i="6" s="1"/>
  <c r="J35" i="6" s="1"/>
  <c r="K35" i="6" s="1"/>
  <c r="L35" i="6" s="1"/>
  <c r="M35" i="6" s="1"/>
  <c r="N35" i="6" s="1"/>
  <c r="O35" i="6" s="1"/>
  <c r="P35" i="6" s="1"/>
  <c r="Q35" i="6" s="1"/>
  <c r="R35" i="6" s="1"/>
  <c r="S35" i="6" s="1"/>
  <c r="T35" i="6" s="1"/>
  <c r="U35" i="6" s="1"/>
  <c r="V35" i="6" s="1"/>
  <c r="D10" i="6"/>
  <c r="C10" i="6"/>
  <c r="B10" i="6"/>
  <c r="D9" i="6"/>
  <c r="C9" i="6"/>
  <c r="B9" i="6"/>
  <c r="D8" i="6"/>
  <c r="C8" i="6"/>
  <c r="C10" i="8" s="1"/>
  <c r="B8" i="6"/>
  <c r="V6" i="6"/>
  <c r="V2" i="6"/>
  <c r="E1" i="6"/>
  <c r="F1" i="6" s="1"/>
  <c r="G1" i="6" s="1"/>
  <c r="H1" i="6" s="1"/>
  <c r="I1" i="6" s="1"/>
  <c r="J1" i="6" s="1"/>
  <c r="K1" i="6" s="1"/>
  <c r="L1" i="6" s="1"/>
  <c r="M1" i="6" s="1"/>
  <c r="N1" i="6" s="1"/>
  <c r="O1" i="6" s="1"/>
  <c r="P1" i="6" s="1"/>
  <c r="Q1" i="6" s="1"/>
  <c r="R1" i="6" s="1"/>
  <c r="S1" i="6" s="1"/>
  <c r="T1" i="6" s="1"/>
  <c r="U1" i="6" s="1"/>
  <c r="V1" i="6" s="1"/>
  <c r="C1" i="6"/>
  <c r="D1" i="6" s="1"/>
  <c r="C117" i="3"/>
  <c r="C116" i="3"/>
  <c r="C115" i="3"/>
  <c r="D114" i="3"/>
  <c r="W114" i="3" s="1"/>
  <c r="D113" i="3"/>
  <c r="W113" i="3" s="1"/>
  <c r="D112" i="3"/>
  <c r="Z112" i="3" s="1"/>
  <c r="D111" i="3"/>
  <c r="V111" i="3" s="1"/>
  <c r="C110" i="3"/>
  <c r="D109" i="3"/>
  <c r="V109" i="3" s="1"/>
  <c r="D108" i="3"/>
  <c r="V108" i="3" s="1"/>
  <c r="D107" i="3"/>
  <c r="V107" i="3" s="1"/>
  <c r="D106" i="3"/>
  <c r="Z106" i="3" s="1"/>
  <c r="C105" i="3"/>
  <c r="U104" i="3"/>
  <c r="Q41" i="6" s="1"/>
  <c r="T104" i="3"/>
  <c r="S104" i="3"/>
  <c r="O41" i="6" s="1"/>
  <c r="R104" i="3"/>
  <c r="N41" i="6" s="1"/>
  <c r="Q104" i="3"/>
  <c r="M41" i="6" s="1"/>
  <c r="P104" i="3"/>
  <c r="O104" i="3"/>
  <c r="K41" i="6" s="1"/>
  <c r="N104" i="3"/>
  <c r="J41" i="6" s="1"/>
  <c r="M104" i="3"/>
  <c r="I41" i="6" s="1"/>
  <c r="D103" i="3"/>
  <c r="X103" i="3" s="1"/>
  <c r="C103" i="3"/>
  <c r="D102" i="3"/>
  <c r="C102" i="3"/>
  <c r="V101" i="3"/>
  <c r="R40" i="6" s="1"/>
  <c r="U101" i="3"/>
  <c r="T101" i="3"/>
  <c r="S101" i="3"/>
  <c r="O40" i="6" s="1"/>
  <c r="R101" i="3"/>
  <c r="N40" i="6" s="1"/>
  <c r="Q101" i="3"/>
  <c r="P101" i="3"/>
  <c r="L40" i="6" s="1"/>
  <c r="O101" i="3"/>
  <c r="K40" i="6" s="1"/>
  <c r="N101" i="3"/>
  <c r="J40" i="6" s="1"/>
  <c r="C101" i="3"/>
  <c r="D100" i="3"/>
  <c r="Z100" i="3" s="1"/>
  <c r="D99" i="3"/>
  <c r="Z99" i="3" s="1"/>
  <c r="D98" i="3"/>
  <c r="Z98" i="3" s="1"/>
  <c r="D97" i="3"/>
  <c r="Z97" i="3" s="1"/>
  <c r="D96" i="3"/>
  <c r="Z96" i="3" s="1"/>
  <c r="C95" i="3"/>
  <c r="D94" i="3"/>
  <c r="Z94" i="3" s="1"/>
  <c r="D93" i="3"/>
  <c r="Z93" i="3" s="1"/>
  <c r="D92" i="3"/>
  <c r="Z92" i="3" s="1"/>
  <c r="D91" i="3"/>
  <c r="Z91" i="3" s="1"/>
  <c r="D90" i="3"/>
  <c r="Z90" i="3" s="1"/>
  <c r="C89" i="3"/>
  <c r="C88" i="3"/>
  <c r="D87" i="3"/>
  <c r="C87" i="3"/>
  <c r="D86" i="3"/>
  <c r="C86" i="3"/>
  <c r="F85" i="3"/>
  <c r="C85" i="3"/>
  <c r="D84" i="3"/>
  <c r="X84" i="3" s="1"/>
  <c r="D83" i="3"/>
  <c r="W83" i="3" s="1"/>
  <c r="D82" i="3"/>
  <c r="X82" i="3" s="1"/>
  <c r="D81" i="3"/>
  <c r="C80" i="3"/>
  <c r="D79" i="3"/>
  <c r="W79" i="3" s="1"/>
  <c r="D78" i="3"/>
  <c r="X78" i="3" s="1"/>
  <c r="D77" i="3"/>
  <c r="D76" i="3"/>
  <c r="X76" i="3" s="1"/>
  <c r="D75" i="3"/>
  <c r="C75" i="3"/>
  <c r="V74" i="3"/>
  <c r="R37" i="6" s="1"/>
  <c r="U74" i="3"/>
  <c r="Q37" i="6" s="1"/>
  <c r="T74" i="3"/>
  <c r="S74" i="3"/>
  <c r="O37" i="6" s="1"/>
  <c r="R74" i="3"/>
  <c r="Q74" i="3"/>
  <c r="M37" i="6" s="1"/>
  <c r="P74" i="3"/>
  <c r="O74" i="3"/>
  <c r="N74" i="3"/>
  <c r="J37" i="6" s="1"/>
  <c r="M74" i="3"/>
  <c r="I37" i="6" s="1"/>
  <c r="C74" i="3"/>
  <c r="D73" i="3"/>
  <c r="Z73" i="3" s="1"/>
  <c r="D72" i="3"/>
  <c r="C71" i="3"/>
  <c r="D70" i="3"/>
  <c r="Y70" i="3" s="1"/>
  <c r="D69" i="3"/>
  <c r="Y69" i="3" s="1"/>
  <c r="C68" i="3"/>
  <c r="V67" i="3"/>
  <c r="R36" i="6" s="1"/>
  <c r="U67" i="3"/>
  <c r="T67" i="3"/>
  <c r="S67" i="3"/>
  <c r="O36" i="6" s="1"/>
  <c r="R67" i="3"/>
  <c r="N36" i="6" s="1"/>
  <c r="Q67" i="3"/>
  <c r="P67" i="3"/>
  <c r="O67" i="3"/>
  <c r="K36" i="6" s="1"/>
  <c r="N67" i="3"/>
  <c r="J36" i="6" s="1"/>
  <c r="M67" i="3"/>
  <c r="L67" i="3"/>
  <c r="H36" i="6" s="1"/>
  <c r="K67" i="3"/>
  <c r="G36" i="6" s="1"/>
  <c r="J67" i="3"/>
  <c r="F36" i="6" s="1"/>
  <c r="I67" i="3"/>
  <c r="H67" i="3"/>
  <c r="G67" i="3"/>
  <c r="C36" i="6" s="1"/>
  <c r="I59" i="3"/>
  <c r="E59" i="3"/>
  <c r="I58" i="3"/>
  <c r="E58" i="3"/>
  <c r="Z57" i="3"/>
  <c r="Y57" i="3"/>
  <c r="U8" i="6" s="1"/>
  <c r="U10" i="8" s="1"/>
  <c r="X57" i="3"/>
  <c r="T8" i="6" s="1"/>
  <c r="T10" i="8" s="1"/>
  <c r="W57" i="3"/>
  <c r="V57" i="3"/>
  <c r="U57" i="3"/>
  <c r="Q8" i="6" s="1"/>
  <c r="Q10" i="8" s="1"/>
  <c r="Q21" i="38" s="1"/>
  <c r="T57" i="3"/>
  <c r="P8" i="6" s="1"/>
  <c r="S57" i="3"/>
  <c r="R57" i="3"/>
  <c r="N8" i="6" s="1"/>
  <c r="N10" i="8" s="1"/>
  <c r="Q18" i="38" s="1"/>
  <c r="Q57" i="3"/>
  <c r="M8" i="6" s="1"/>
  <c r="M10" i="8" s="1"/>
  <c r="P57" i="3"/>
  <c r="L8" i="6" s="1"/>
  <c r="L10" i="8" s="1"/>
  <c r="O57" i="3"/>
  <c r="N57" i="3"/>
  <c r="M57" i="3"/>
  <c r="I8" i="6" s="1"/>
  <c r="I10" i="8" s="1"/>
  <c r="Q13" i="38" s="1"/>
  <c r="L57" i="3"/>
  <c r="H8" i="6" s="1"/>
  <c r="K57" i="3"/>
  <c r="G8" i="6" s="1"/>
  <c r="G10" i="8" s="1"/>
  <c r="J57" i="3"/>
  <c r="J115" i="3" s="1"/>
  <c r="I57" i="3"/>
  <c r="E57" i="3"/>
  <c r="D56" i="3"/>
  <c r="D55" i="3"/>
  <c r="D54" i="3"/>
  <c r="D53" i="3"/>
  <c r="C52" i="3"/>
  <c r="D51" i="3"/>
  <c r="D50" i="3"/>
  <c r="D49" i="3"/>
  <c r="D48" i="3"/>
  <c r="C47" i="3"/>
  <c r="Z46" i="3"/>
  <c r="V7" i="6" s="1"/>
  <c r="V9" i="8" s="1"/>
  <c r="Y46" i="3"/>
  <c r="U7" i="6" s="1"/>
  <c r="U9" i="8" s="1"/>
  <c r="X46" i="3"/>
  <c r="T7" i="6" s="1"/>
  <c r="T9" i="8" s="1"/>
  <c r="W46" i="3"/>
  <c r="S7" i="6" s="1"/>
  <c r="S9" i="8" s="1"/>
  <c r="P23" i="38" s="1"/>
  <c r="V46" i="3"/>
  <c r="R7" i="6" s="1"/>
  <c r="R9" i="8" s="1"/>
  <c r="P22" i="38" s="1"/>
  <c r="U46" i="3"/>
  <c r="Q7" i="6" s="1"/>
  <c r="Q9" i="8" s="1"/>
  <c r="D45" i="3"/>
  <c r="C45" i="3"/>
  <c r="D44" i="3"/>
  <c r="C44" i="3"/>
  <c r="Y43" i="3"/>
  <c r="U6" i="6" s="1"/>
  <c r="U8" i="8" s="1"/>
  <c r="X43" i="3"/>
  <c r="T6" i="6" s="1"/>
  <c r="T8" i="8" s="1"/>
  <c r="W43" i="3"/>
  <c r="S6" i="6" s="1"/>
  <c r="S8" i="8" s="1"/>
  <c r="V43" i="3"/>
  <c r="R6" i="6" s="1"/>
  <c r="R8" i="8" s="1"/>
  <c r="F43" i="3"/>
  <c r="B6" i="6" s="1"/>
  <c r="B8" i="8" s="1"/>
  <c r="C43" i="3"/>
  <c r="D42" i="3"/>
  <c r="D41" i="3"/>
  <c r="D40" i="3"/>
  <c r="D39" i="3"/>
  <c r="D38" i="3"/>
  <c r="C37" i="3"/>
  <c r="D36" i="3"/>
  <c r="D35" i="3"/>
  <c r="D34" i="3"/>
  <c r="D33" i="3"/>
  <c r="D32" i="3"/>
  <c r="C31" i="3"/>
  <c r="Z30" i="3"/>
  <c r="V5" i="6" s="1"/>
  <c r="V7" i="8" s="1"/>
  <c r="C30" i="3"/>
  <c r="D29" i="3"/>
  <c r="C29" i="3"/>
  <c r="D28" i="3"/>
  <c r="C28" i="3"/>
  <c r="F27" i="3"/>
  <c r="B4" i="6" s="1"/>
  <c r="B6" i="8" s="1"/>
  <c r="C27" i="3"/>
  <c r="D26" i="3"/>
  <c r="D25" i="3"/>
  <c r="D24" i="3"/>
  <c r="D23" i="3"/>
  <c r="C22" i="3"/>
  <c r="D21" i="3"/>
  <c r="D20" i="3"/>
  <c r="D19" i="3"/>
  <c r="D18" i="3"/>
  <c r="C17" i="3"/>
  <c r="Z16" i="3"/>
  <c r="V3" i="6" s="1"/>
  <c r="V5" i="8" s="1"/>
  <c r="Y16" i="3"/>
  <c r="U3" i="6" s="1"/>
  <c r="U5" i="8" s="1"/>
  <c r="X16" i="3"/>
  <c r="T3" i="6" s="1"/>
  <c r="W16" i="3"/>
  <c r="S3" i="6" s="1"/>
  <c r="S5" i="8" s="1"/>
  <c r="V16" i="3"/>
  <c r="R3" i="6" s="1"/>
  <c r="R5" i="8" s="1"/>
  <c r="U16" i="3"/>
  <c r="Q3" i="6" s="1"/>
  <c r="C16" i="3"/>
  <c r="D15" i="3"/>
  <c r="D14" i="3"/>
  <c r="C13" i="3"/>
  <c r="D12" i="3"/>
  <c r="D11" i="3"/>
  <c r="C10" i="3"/>
  <c r="Y9" i="3"/>
  <c r="U2" i="6" s="1"/>
  <c r="X9" i="3"/>
  <c r="T2" i="6" s="1"/>
  <c r="T4" i="8" s="1"/>
  <c r="W9" i="3"/>
  <c r="S2" i="6" s="1"/>
  <c r="V9" i="3"/>
  <c r="R2" i="6" s="1"/>
  <c r="U9" i="3"/>
  <c r="Q2" i="6" s="1"/>
  <c r="D254" i="8"/>
  <c r="E254" i="8" s="1"/>
  <c r="F254" i="8" s="1"/>
  <c r="G254" i="8" s="1"/>
  <c r="H254" i="8" s="1"/>
  <c r="I254" i="8" s="1"/>
  <c r="J254" i="8" s="1"/>
  <c r="K254" i="8" s="1"/>
  <c r="L254" i="8" s="1"/>
  <c r="M254" i="8" s="1"/>
  <c r="N254" i="8" s="1"/>
  <c r="O254" i="8" s="1"/>
  <c r="P254" i="8" s="1"/>
  <c r="Q254" i="8" s="1"/>
  <c r="R254" i="8" s="1"/>
  <c r="S254" i="8" s="1"/>
  <c r="T254" i="8" s="1"/>
  <c r="U254" i="8" s="1"/>
  <c r="V254" i="8" s="1"/>
  <c r="C254" i="8"/>
  <c r="S250" i="8"/>
  <c r="R250" i="8"/>
  <c r="Q250" i="8"/>
  <c r="P250" i="8"/>
  <c r="O250" i="8"/>
  <c r="N250" i="8"/>
  <c r="M250" i="8"/>
  <c r="L250" i="8"/>
  <c r="K250" i="8"/>
  <c r="J250" i="8"/>
  <c r="I250" i="8"/>
  <c r="H250" i="8"/>
  <c r="G250" i="8"/>
  <c r="F250" i="8"/>
  <c r="E250" i="8"/>
  <c r="D250" i="8"/>
  <c r="C250" i="8"/>
  <c r="B250" i="8"/>
  <c r="R237" i="8"/>
  <c r="Q237" i="8"/>
  <c r="P237" i="8"/>
  <c r="O237" i="8"/>
  <c r="N237" i="8"/>
  <c r="M237" i="8"/>
  <c r="L237" i="8"/>
  <c r="K237" i="8"/>
  <c r="J237" i="8"/>
  <c r="I237" i="8"/>
  <c r="H237" i="8"/>
  <c r="G237" i="8"/>
  <c r="F237" i="8"/>
  <c r="E237" i="8"/>
  <c r="D237" i="8"/>
  <c r="C237" i="8"/>
  <c r="B237" i="8"/>
  <c r="Q224" i="8"/>
  <c r="P224" i="8"/>
  <c r="O224" i="8"/>
  <c r="N224" i="8"/>
  <c r="M224" i="8"/>
  <c r="L224" i="8"/>
  <c r="K224" i="8"/>
  <c r="J224" i="8"/>
  <c r="I224" i="8"/>
  <c r="H224" i="8"/>
  <c r="G224" i="8"/>
  <c r="F224" i="8"/>
  <c r="E224" i="8"/>
  <c r="D224" i="8"/>
  <c r="C224" i="8"/>
  <c r="B224" i="8"/>
  <c r="P211" i="8"/>
  <c r="O211" i="8"/>
  <c r="N211" i="8"/>
  <c r="M211" i="8"/>
  <c r="L211" i="8"/>
  <c r="K211" i="8"/>
  <c r="J211" i="8"/>
  <c r="I211" i="8"/>
  <c r="H211" i="8"/>
  <c r="G211" i="8"/>
  <c r="F211" i="8"/>
  <c r="E211" i="8"/>
  <c r="D211" i="8"/>
  <c r="C211" i="8"/>
  <c r="B211" i="8"/>
  <c r="O199" i="8"/>
  <c r="N199" i="8"/>
  <c r="M199" i="8"/>
  <c r="L199" i="8"/>
  <c r="K199" i="8"/>
  <c r="J199" i="8"/>
  <c r="I199" i="8"/>
  <c r="H199" i="8"/>
  <c r="G199" i="8"/>
  <c r="F199" i="8"/>
  <c r="E199" i="8"/>
  <c r="D199" i="8"/>
  <c r="C199" i="8"/>
  <c r="B199" i="8"/>
  <c r="N187" i="8"/>
  <c r="M187" i="8"/>
  <c r="L187" i="8"/>
  <c r="K187" i="8"/>
  <c r="J187" i="8"/>
  <c r="I187" i="8"/>
  <c r="H187" i="8"/>
  <c r="G187" i="8"/>
  <c r="F187" i="8"/>
  <c r="E187" i="8"/>
  <c r="D187" i="8"/>
  <c r="C187" i="8"/>
  <c r="B187" i="8"/>
  <c r="M175" i="8"/>
  <c r="L175" i="8"/>
  <c r="K175" i="8"/>
  <c r="J175" i="8"/>
  <c r="I175" i="8"/>
  <c r="H175" i="8"/>
  <c r="G175" i="8"/>
  <c r="F175" i="8"/>
  <c r="E175" i="8"/>
  <c r="D175" i="8"/>
  <c r="C175" i="8"/>
  <c r="B175" i="8"/>
  <c r="L163" i="8"/>
  <c r="K163" i="8"/>
  <c r="J163" i="8"/>
  <c r="I163" i="8"/>
  <c r="H163" i="8"/>
  <c r="G163" i="8"/>
  <c r="F163" i="8"/>
  <c r="E163" i="8"/>
  <c r="D163" i="8"/>
  <c r="C163" i="8"/>
  <c r="B163" i="8"/>
  <c r="T172" i="8"/>
  <c r="U184" i="8" s="1"/>
  <c r="V196" i="8" s="1"/>
  <c r="K151" i="8"/>
  <c r="J151" i="8"/>
  <c r="I151" i="8"/>
  <c r="H151" i="8"/>
  <c r="G151" i="8"/>
  <c r="F151" i="8"/>
  <c r="E151" i="8"/>
  <c r="D151" i="8"/>
  <c r="C151" i="8"/>
  <c r="B151" i="8"/>
  <c r="J139" i="8"/>
  <c r="I139" i="8"/>
  <c r="H139" i="8"/>
  <c r="G139" i="8"/>
  <c r="F139" i="8"/>
  <c r="E139" i="8"/>
  <c r="D139" i="8"/>
  <c r="C139" i="8"/>
  <c r="B139" i="8"/>
  <c r="V138" i="8"/>
  <c r="U138" i="8"/>
  <c r="V150" i="8" s="1"/>
  <c r="T138" i="8"/>
  <c r="U150" i="8" s="1"/>
  <c r="S138" i="8"/>
  <c r="T150" i="8" s="1"/>
  <c r="V174" i="8" s="1"/>
  <c r="R138" i="8"/>
  <c r="S150" i="8" s="1"/>
  <c r="U174" i="8" s="1"/>
  <c r="V186" i="8" s="1"/>
  <c r="Q138" i="8"/>
  <c r="R150" i="8" s="1"/>
  <c r="T174" i="8" s="1"/>
  <c r="U186" i="8" s="1"/>
  <c r="V198" i="8" s="1"/>
  <c r="P138" i="8"/>
  <c r="Q150" i="8" s="1"/>
  <c r="S174" i="8" s="1"/>
  <c r="T186" i="8" s="1"/>
  <c r="U198" i="8" s="1"/>
  <c r="V210" i="8" s="1"/>
  <c r="O138" i="8"/>
  <c r="P150" i="8" s="1"/>
  <c r="N138" i="8"/>
  <c r="O150" i="8" s="1"/>
  <c r="M138" i="8"/>
  <c r="N150" i="8" s="1"/>
  <c r="O162" i="8" s="1"/>
  <c r="P174" i="8" s="1"/>
  <c r="Q186" i="8" s="1"/>
  <c r="R198" i="8" s="1"/>
  <c r="S210" i="8" s="1"/>
  <c r="T223" i="8" s="1"/>
  <c r="U236" i="8" s="1"/>
  <c r="V249" i="8" s="1"/>
  <c r="L138" i="8"/>
  <c r="M150" i="8" s="1"/>
  <c r="N162" i="8" s="1"/>
  <c r="O174" i="8" s="1"/>
  <c r="P186" i="8" s="1"/>
  <c r="Q198" i="8" s="1"/>
  <c r="R210" i="8" s="1"/>
  <c r="S223" i="8" s="1"/>
  <c r="T236" i="8" s="1"/>
  <c r="U249" i="8" s="1"/>
  <c r="K138" i="8"/>
  <c r="L150" i="8" s="1"/>
  <c r="M162" i="8" s="1"/>
  <c r="N174" i="8" s="1"/>
  <c r="O186" i="8" s="1"/>
  <c r="P198" i="8" s="1"/>
  <c r="Q210" i="8" s="1"/>
  <c r="R223" i="8" s="1"/>
  <c r="S236" i="8" s="1"/>
  <c r="T249" i="8" s="1"/>
  <c r="V137" i="8"/>
  <c r="U137" i="8"/>
  <c r="V149" i="8" s="1"/>
  <c r="T137" i="8"/>
  <c r="U149" i="8" s="1"/>
  <c r="S137" i="8"/>
  <c r="T149" i="8" s="1"/>
  <c r="V173" i="8" s="1"/>
  <c r="R137" i="8"/>
  <c r="S149" i="8" s="1"/>
  <c r="U173" i="8" s="1"/>
  <c r="V185" i="8" s="1"/>
  <c r="Q137" i="8"/>
  <c r="R149" i="8" s="1"/>
  <c r="T173" i="8" s="1"/>
  <c r="U185" i="8" s="1"/>
  <c r="V197" i="8" s="1"/>
  <c r="P137" i="8"/>
  <c r="Q149" i="8" s="1"/>
  <c r="S173" i="8" s="1"/>
  <c r="T185" i="8" s="1"/>
  <c r="U197" i="8" s="1"/>
  <c r="V209" i="8" s="1"/>
  <c r="O137" i="8"/>
  <c r="P149" i="8" s="1"/>
  <c r="R173" i="8" s="1"/>
  <c r="S185" i="8" s="1"/>
  <c r="T197" i="8" s="1"/>
  <c r="U209" i="8" s="1"/>
  <c r="V222" i="8" s="1"/>
  <c r="N137" i="8"/>
  <c r="O149" i="8" s="1"/>
  <c r="M137" i="8"/>
  <c r="N149" i="8" s="1"/>
  <c r="O161" i="8" s="1"/>
  <c r="P173" i="8" s="1"/>
  <c r="Q185" i="8" s="1"/>
  <c r="R197" i="8" s="1"/>
  <c r="S209" i="8" s="1"/>
  <c r="T222" i="8" s="1"/>
  <c r="U235" i="8" s="1"/>
  <c r="V248" i="8" s="1"/>
  <c r="L137" i="8"/>
  <c r="M149" i="8" s="1"/>
  <c r="N161" i="8" s="1"/>
  <c r="O173" i="8" s="1"/>
  <c r="P185" i="8" s="1"/>
  <c r="Q197" i="8" s="1"/>
  <c r="R209" i="8" s="1"/>
  <c r="S222" i="8" s="1"/>
  <c r="T235" i="8" s="1"/>
  <c r="U248" i="8" s="1"/>
  <c r="K137" i="8"/>
  <c r="L149" i="8" s="1"/>
  <c r="M161" i="8" s="1"/>
  <c r="N173" i="8" s="1"/>
  <c r="O185" i="8" s="1"/>
  <c r="P197" i="8" s="1"/>
  <c r="Q209" i="8" s="1"/>
  <c r="R222" i="8" s="1"/>
  <c r="S235" i="8" s="1"/>
  <c r="T248" i="8" s="1"/>
  <c r="V136" i="8"/>
  <c r="U136" i="8"/>
  <c r="V148" i="8" s="1"/>
  <c r="T136" i="8"/>
  <c r="U148" i="8" s="1"/>
  <c r="S136" i="8"/>
  <c r="T148" i="8" s="1"/>
  <c r="V172" i="8" s="1"/>
  <c r="R136" i="8"/>
  <c r="S148" i="8" s="1"/>
  <c r="U172" i="8" s="1"/>
  <c r="V184" i="8" s="1"/>
  <c r="Q136" i="8"/>
  <c r="R148" i="8" s="1"/>
  <c r="P136" i="8"/>
  <c r="Q148" i="8" s="1"/>
  <c r="S172" i="8" s="1"/>
  <c r="T184" i="8" s="1"/>
  <c r="U196" i="8" s="1"/>
  <c r="V208" i="8" s="1"/>
  <c r="O136" i="8"/>
  <c r="P148" i="8" s="1"/>
  <c r="R172" i="8" s="1"/>
  <c r="S184" i="8" s="1"/>
  <c r="T196" i="8" s="1"/>
  <c r="U208" i="8" s="1"/>
  <c r="V221" i="8" s="1"/>
  <c r="N136" i="8"/>
  <c r="O148" i="8" s="1"/>
  <c r="Q172" i="8" s="1"/>
  <c r="R184" i="8" s="1"/>
  <c r="S196" i="8" s="1"/>
  <c r="T208" i="8" s="1"/>
  <c r="U221" i="8" s="1"/>
  <c r="V234" i="8" s="1"/>
  <c r="M136" i="8"/>
  <c r="N148" i="8" s="1"/>
  <c r="O160" i="8" s="1"/>
  <c r="P172" i="8" s="1"/>
  <c r="Q184" i="8" s="1"/>
  <c r="R196" i="8" s="1"/>
  <c r="S208" i="8" s="1"/>
  <c r="T221" i="8" s="1"/>
  <c r="U234" i="8" s="1"/>
  <c r="V247" i="8" s="1"/>
  <c r="L136" i="8"/>
  <c r="M148" i="8" s="1"/>
  <c r="N160" i="8" s="1"/>
  <c r="O172" i="8" s="1"/>
  <c r="P184" i="8" s="1"/>
  <c r="Q196" i="8" s="1"/>
  <c r="R208" i="8" s="1"/>
  <c r="S221" i="8" s="1"/>
  <c r="T234" i="8" s="1"/>
  <c r="U247" i="8" s="1"/>
  <c r="K136" i="8"/>
  <c r="L148" i="8" s="1"/>
  <c r="M160" i="8" s="1"/>
  <c r="N172" i="8" s="1"/>
  <c r="O184" i="8" s="1"/>
  <c r="P196" i="8" s="1"/>
  <c r="Q208" i="8" s="1"/>
  <c r="R221" i="8" s="1"/>
  <c r="S234" i="8" s="1"/>
  <c r="T247" i="8" s="1"/>
  <c r="V135" i="8"/>
  <c r="U135" i="8"/>
  <c r="V147" i="8" s="1"/>
  <c r="T135" i="8"/>
  <c r="U147" i="8" s="1"/>
  <c r="R135" i="8"/>
  <c r="S147" i="8" s="1"/>
  <c r="U171" i="8" s="1"/>
  <c r="V183" i="8" s="1"/>
  <c r="P135" i="8"/>
  <c r="Q147" i="8" s="1"/>
  <c r="S171" i="8" s="1"/>
  <c r="T183" i="8" s="1"/>
  <c r="U195" i="8" s="1"/>
  <c r="V207" i="8" s="1"/>
  <c r="O135" i="8"/>
  <c r="P147" i="8" s="1"/>
  <c r="R171" i="8" s="1"/>
  <c r="S183" i="8" s="1"/>
  <c r="T195" i="8" s="1"/>
  <c r="U207" i="8" s="1"/>
  <c r="V220" i="8" s="1"/>
  <c r="N135" i="8"/>
  <c r="O147" i="8" s="1"/>
  <c r="M135" i="8"/>
  <c r="N147" i="8" s="1"/>
  <c r="P171" i="8" s="1"/>
  <c r="Q183" i="8" s="1"/>
  <c r="R195" i="8" s="1"/>
  <c r="S207" i="8" s="1"/>
  <c r="T220" i="8" s="1"/>
  <c r="U233" i="8" s="1"/>
  <c r="V246" i="8" s="1"/>
  <c r="L135" i="8"/>
  <c r="M147" i="8" s="1"/>
  <c r="O171" i="8" s="1"/>
  <c r="P183" i="8" s="1"/>
  <c r="Q195" i="8" s="1"/>
  <c r="R207" i="8" s="1"/>
  <c r="S220" i="8" s="1"/>
  <c r="T233" i="8" s="1"/>
  <c r="U246" i="8" s="1"/>
  <c r="V134" i="8"/>
  <c r="U134" i="8"/>
  <c r="V146" i="8" s="1"/>
  <c r="T134" i="8"/>
  <c r="U146" i="8" s="1"/>
  <c r="S134" i="8"/>
  <c r="T146" i="8" s="1"/>
  <c r="V170" i="8" s="1"/>
  <c r="R134" i="8"/>
  <c r="S146" i="8" s="1"/>
  <c r="U170" i="8" s="1"/>
  <c r="V182" i="8" s="1"/>
  <c r="P134" i="8"/>
  <c r="Q146" i="8" s="1"/>
  <c r="S170" i="8" s="1"/>
  <c r="T182" i="8" s="1"/>
  <c r="U194" i="8" s="1"/>
  <c r="V206" i="8" s="1"/>
  <c r="N134" i="8"/>
  <c r="O146" i="8" s="1"/>
  <c r="Q170" i="8" s="1"/>
  <c r="R182" i="8" s="1"/>
  <c r="S194" i="8" s="1"/>
  <c r="T206" i="8" s="1"/>
  <c r="U219" i="8" s="1"/>
  <c r="V232" i="8" s="1"/>
  <c r="M134" i="8"/>
  <c r="N146" i="8" s="1"/>
  <c r="P170" i="8" s="1"/>
  <c r="Q182" i="8" s="1"/>
  <c r="R194" i="8" s="1"/>
  <c r="S206" i="8" s="1"/>
  <c r="T219" i="8" s="1"/>
  <c r="U232" i="8" s="1"/>
  <c r="V245" i="8" s="1"/>
  <c r="L134" i="8"/>
  <c r="M146" i="8" s="1"/>
  <c r="O170" i="8" s="1"/>
  <c r="P182" i="8" s="1"/>
  <c r="Q194" i="8" s="1"/>
  <c r="R206" i="8" s="1"/>
  <c r="S219" i="8" s="1"/>
  <c r="T232" i="8" s="1"/>
  <c r="U245" i="8" s="1"/>
  <c r="K134" i="8"/>
  <c r="L146" i="8" s="1"/>
  <c r="N170" i="8" s="1"/>
  <c r="O182" i="8" s="1"/>
  <c r="P194" i="8" s="1"/>
  <c r="Q206" i="8" s="1"/>
  <c r="R219" i="8" s="1"/>
  <c r="S232" i="8" s="1"/>
  <c r="T245" i="8" s="1"/>
  <c r="V133" i="8"/>
  <c r="T133" i="8"/>
  <c r="U145" i="8" s="1"/>
  <c r="S133" i="8"/>
  <c r="T145" i="8" s="1"/>
  <c r="V169" i="8" s="1"/>
  <c r="R133" i="8"/>
  <c r="S145" i="8" s="1"/>
  <c r="U169" i="8" s="1"/>
  <c r="V181" i="8" s="1"/>
  <c r="Q133" i="8"/>
  <c r="R145" i="8" s="1"/>
  <c r="T169" i="8" s="1"/>
  <c r="U181" i="8" s="1"/>
  <c r="V193" i="8" s="1"/>
  <c r="P133" i="8"/>
  <c r="Q145" i="8" s="1"/>
  <c r="N133" i="8"/>
  <c r="O145" i="8" s="1"/>
  <c r="Q169" i="8" s="1"/>
  <c r="R181" i="8" s="1"/>
  <c r="S193" i="8" s="1"/>
  <c r="T205" i="8" s="1"/>
  <c r="U218" i="8" s="1"/>
  <c r="V231" i="8" s="1"/>
  <c r="L133" i="8"/>
  <c r="M145" i="8" s="1"/>
  <c r="O169" i="8" s="1"/>
  <c r="P181" i="8" s="1"/>
  <c r="Q193" i="8" s="1"/>
  <c r="R205" i="8" s="1"/>
  <c r="S218" i="8" s="1"/>
  <c r="T231" i="8" s="1"/>
  <c r="U244" i="8" s="1"/>
  <c r="K133" i="8"/>
  <c r="L145" i="8" s="1"/>
  <c r="N169" i="8" s="1"/>
  <c r="O181" i="8" s="1"/>
  <c r="P193" i="8" s="1"/>
  <c r="Q205" i="8" s="1"/>
  <c r="R218" i="8" s="1"/>
  <c r="S231" i="8" s="1"/>
  <c r="T244" i="8" s="1"/>
  <c r="V132" i="8"/>
  <c r="T132" i="8"/>
  <c r="U144" i="8" s="1"/>
  <c r="R132" i="8"/>
  <c r="S144" i="8" s="1"/>
  <c r="U168" i="8" s="1"/>
  <c r="V180" i="8" s="1"/>
  <c r="Q132" i="8"/>
  <c r="R144" i="8" s="1"/>
  <c r="P132" i="8"/>
  <c r="Q144" i="8" s="1"/>
  <c r="S168" i="8" s="1"/>
  <c r="T180" i="8" s="1"/>
  <c r="U192" i="8" s="1"/>
  <c r="V204" i="8" s="1"/>
  <c r="O132" i="8"/>
  <c r="P144" i="8" s="1"/>
  <c r="R168" i="8" s="1"/>
  <c r="S180" i="8" s="1"/>
  <c r="T192" i="8" s="1"/>
  <c r="U204" i="8" s="1"/>
  <c r="V217" i="8" s="1"/>
  <c r="N132" i="8"/>
  <c r="O144" i="8" s="1"/>
  <c r="Q168" i="8" s="1"/>
  <c r="R180" i="8" s="1"/>
  <c r="S192" i="8" s="1"/>
  <c r="T204" i="8" s="1"/>
  <c r="U217" i="8" s="1"/>
  <c r="V230" i="8" s="1"/>
  <c r="L132" i="8"/>
  <c r="M144" i="8" s="1"/>
  <c r="O168" i="8" s="1"/>
  <c r="P180" i="8" s="1"/>
  <c r="Q192" i="8" s="1"/>
  <c r="R204" i="8" s="1"/>
  <c r="S217" i="8" s="1"/>
  <c r="T230" i="8" s="1"/>
  <c r="U243" i="8" s="1"/>
  <c r="V131" i="8"/>
  <c r="U131" i="8"/>
  <c r="V143" i="8" s="1"/>
  <c r="T131" i="8"/>
  <c r="U143" i="8" s="1"/>
  <c r="R131" i="8"/>
  <c r="S143" i="8" s="1"/>
  <c r="P131" i="8"/>
  <c r="Q143" i="8" s="1"/>
  <c r="S167" i="8" s="1"/>
  <c r="T179" i="8" s="1"/>
  <c r="U191" i="8" s="1"/>
  <c r="V203" i="8" s="1"/>
  <c r="O131" i="8"/>
  <c r="N131" i="8"/>
  <c r="O143" i="8" s="1"/>
  <c r="Q167" i="8" s="1"/>
  <c r="R179" i="8" s="1"/>
  <c r="S191" i="8" s="1"/>
  <c r="T203" i="8" s="1"/>
  <c r="U216" i="8" s="1"/>
  <c r="V229" i="8" s="1"/>
  <c r="M131" i="8"/>
  <c r="N143" i="8" s="1"/>
  <c r="P167" i="8" s="1"/>
  <c r="Q179" i="8" s="1"/>
  <c r="R191" i="8" s="1"/>
  <c r="S203" i="8" s="1"/>
  <c r="T216" i="8" s="1"/>
  <c r="U229" i="8" s="1"/>
  <c r="V242" i="8" s="1"/>
  <c r="L131" i="8"/>
  <c r="M143" i="8" s="1"/>
  <c r="O167" i="8" s="1"/>
  <c r="P179" i="8" s="1"/>
  <c r="Q191" i="8" s="1"/>
  <c r="R203" i="8" s="1"/>
  <c r="S216" i="8" s="1"/>
  <c r="T229" i="8" s="1"/>
  <c r="U242" i="8" s="1"/>
  <c r="V130" i="8"/>
  <c r="U130" i="8"/>
  <c r="T130" i="8"/>
  <c r="U142" i="8" s="1"/>
  <c r="S130" i="8"/>
  <c r="T142" i="8" s="1"/>
  <c r="R130" i="8"/>
  <c r="S142" i="8" s="1"/>
  <c r="P130" i="8"/>
  <c r="Q142" i="8" s="1"/>
  <c r="N130" i="8"/>
  <c r="M130" i="8"/>
  <c r="L130" i="8"/>
  <c r="M142" i="8" s="1"/>
  <c r="K130" i="8"/>
  <c r="L142" i="8" s="1"/>
  <c r="N166" i="8" s="1"/>
  <c r="V126" i="8"/>
  <c r="U126" i="8"/>
  <c r="T126" i="8"/>
  <c r="S126" i="8"/>
  <c r="Q126" i="8"/>
  <c r="O126" i="8"/>
  <c r="N126" i="8"/>
  <c r="M126" i="8"/>
  <c r="L126" i="8"/>
  <c r="K126" i="8"/>
  <c r="I126" i="8"/>
  <c r="H126" i="8"/>
  <c r="G126" i="8"/>
  <c r="F126" i="8"/>
  <c r="E126" i="8"/>
  <c r="D126" i="8"/>
  <c r="C126" i="8"/>
  <c r="B126" i="8"/>
  <c r="H113" i="8"/>
  <c r="G113" i="8"/>
  <c r="F113" i="8"/>
  <c r="E113" i="8"/>
  <c r="D113" i="8"/>
  <c r="C113" i="8"/>
  <c r="B113" i="8"/>
  <c r="G101" i="8"/>
  <c r="F101" i="8"/>
  <c r="E101" i="8"/>
  <c r="D101" i="8"/>
  <c r="C101" i="8"/>
  <c r="B101" i="8"/>
  <c r="F89" i="8"/>
  <c r="E89" i="8"/>
  <c r="D89" i="8"/>
  <c r="C89" i="8"/>
  <c r="B89" i="8"/>
  <c r="E77" i="8"/>
  <c r="D77" i="8"/>
  <c r="C77" i="8"/>
  <c r="B77" i="8"/>
  <c r="U73" i="8"/>
  <c r="V85" i="8" s="1"/>
  <c r="D65" i="8"/>
  <c r="C65" i="8"/>
  <c r="B65" i="8"/>
  <c r="C53" i="8"/>
  <c r="B53" i="8"/>
  <c r="F52" i="8"/>
  <c r="E52" i="8"/>
  <c r="D52" i="8"/>
  <c r="F51" i="8"/>
  <c r="E51" i="8"/>
  <c r="D51" i="8"/>
  <c r="F50" i="8"/>
  <c r="E50" i="8"/>
  <c r="D50" i="8"/>
  <c r="V49" i="8"/>
  <c r="U49" i="8"/>
  <c r="V61" i="8" s="1"/>
  <c r="T49" i="8"/>
  <c r="U61" i="8" s="1"/>
  <c r="V73" i="8" s="1"/>
  <c r="S49" i="8"/>
  <c r="T61" i="8" s="1"/>
  <c r="V45" i="8"/>
  <c r="S45" i="8"/>
  <c r="T57" i="8" s="1"/>
  <c r="U69" i="8" s="1"/>
  <c r="V81" i="8" s="1"/>
  <c r="V44" i="8"/>
  <c r="U44" i="8"/>
  <c r="V56" i="8" s="1"/>
  <c r="T44" i="8"/>
  <c r="U56" i="8" s="1"/>
  <c r="S44" i="8"/>
  <c r="T56" i="8" s="1"/>
  <c r="U68" i="8" s="1"/>
  <c r="B41" i="8"/>
  <c r="E40" i="8"/>
  <c r="D40" i="8"/>
  <c r="C40" i="8"/>
  <c r="E39" i="8"/>
  <c r="D39" i="8"/>
  <c r="C39" i="8"/>
  <c r="E38" i="8"/>
  <c r="D38" i="8"/>
  <c r="C38" i="8"/>
  <c r="V37" i="8"/>
  <c r="T37" i="8"/>
  <c r="S37" i="8"/>
  <c r="R37" i="8"/>
  <c r="T33" i="8"/>
  <c r="V32" i="8"/>
  <c r="U32" i="8"/>
  <c r="T32" i="8"/>
  <c r="S32" i="8"/>
  <c r="R32" i="8"/>
  <c r="D26" i="8"/>
  <c r="C26" i="8"/>
  <c r="B26" i="8"/>
  <c r="D25" i="8"/>
  <c r="C25" i="8"/>
  <c r="B25" i="8"/>
  <c r="D24" i="8"/>
  <c r="C24" i="8"/>
  <c r="B24" i="8"/>
  <c r="V23" i="8"/>
  <c r="U23" i="8"/>
  <c r="T23" i="8"/>
  <c r="S23" i="8"/>
  <c r="R23" i="8"/>
  <c r="Q23" i="8"/>
  <c r="V22" i="8"/>
  <c r="R19" i="8"/>
  <c r="V18" i="8"/>
  <c r="U18" i="8"/>
  <c r="T18" i="8"/>
  <c r="S18" i="8"/>
  <c r="R18" i="8"/>
  <c r="Q18" i="8"/>
  <c r="C17" i="8"/>
  <c r="D17" i="8" s="1"/>
  <c r="E17" i="8" s="1"/>
  <c r="F17" i="8" s="1"/>
  <c r="G17" i="8" s="1"/>
  <c r="H17" i="8" s="1"/>
  <c r="I17" i="8" s="1"/>
  <c r="J17" i="8" s="1"/>
  <c r="K17" i="8" s="1"/>
  <c r="L17" i="8" s="1"/>
  <c r="M17" i="8" s="1"/>
  <c r="N17" i="8" s="1"/>
  <c r="O17" i="8" s="1"/>
  <c r="P17" i="8" s="1"/>
  <c r="Q17" i="8" s="1"/>
  <c r="R17" i="8" s="1"/>
  <c r="S17" i="8" s="1"/>
  <c r="T17" i="8" s="1"/>
  <c r="U17" i="8" s="1"/>
  <c r="V17" i="8" s="1"/>
  <c r="D12" i="8"/>
  <c r="S8" i="38" s="1"/>
  <c r="C12" i="8"/>
  <c r="B12" i="8"/>
  <c r="D11" i="8"/>
  <c r="C11" i="8"/>
  <c r="B11" i="8"/>
  <c r="P10" i="8"/>
  <c r="H10" i="8"/>
  <c r="D10" i="8"/>
  <c r="B10" i="8"/>
  <c r="V8" i="8"/>
  <c r="T5" i="8"/>
  <c r="Q5" i="8"/>
  <c r="V4" i="8"/>
  <c r="S4" i="8"/>
  <c r="R4" i="8"/>
  <c r="Q4" i="8"/>
  <c r="M3" i="8"/>
  <c r="N3" i="8" s="1"/>
  <c r="O3" i="8" s="1"/>
  <c r="P3" i="8" s="1"/>
  <c r="Q3" i="8" s="1"/>
  <c r="R3" i="8" s="1"/>
  <c r="S3" i="8" s="1"/>
  <c r="T3" i="8" s="1"/>
  <c r="U3" i="8" s="1"/>
  <c r="V3" i="8" s="1"/>
  <c r="E3" i="8"/>
  <c r="F3" i="8" s="1"/>
  <c r="G3" i="8" s="1"/>
  <c r="H3" i="8" s="1"/>
  <c r="I3" i="8" s="1"/>
  <c r="J3" i="8" s="1"/>
  <c r="K3" i="8" s="1"/>
  <c r="L3" i="8" s="1"/>
  <c r="D3" i="8"/>
  <c r="C3" i="8"/>
  <c r="C311" i="7"/>
  <c r="D311" i="7" s="1"/>
  <c r="E311" i="7" s="1"/>
  <c r="F311" i="7" s="1"/>
  <c r="G311" i="7" s="1"/>
  <c r="H311" i="7" s="1"/>
  <c r="I311" i="7" s="1"/>
  <c r="J311" i="7" s="1"/>
  <c r="K311" i="7" s="1"/>
  <c r="L311" i="7" s="1"/>
  <c r="M311" i="7" s="1"/>
  <c r="N311" i="7" s="1"/>
  <c r="O311" i="7" s="1"/>
  <c r="P311" i="7" s="1"/>
  <c r="Q311" i="7" s="1"/>
  <c r="R311" i="7" s="1"/>
  <c r="S311" i="7" s="1"/>
  <c r="T311" i="7" s="1"/>
  <c r="U311" i="7" s="1"/>
  <c r="V311" i="7" s="1"/>
  <c r="C308" i="7"/>
  <c r="R6" i="31" s="1"/>
  <c r="B308" i="7"/>
  <c r="R5" i="31" s="1"/>
  <c r="K6" i="26" s="1"/>
  <c r="C307" i="7"/>
  <c r="Q6" i="31" s="1"/>
  <c r="B307" i="7"/>
  <c r="Q5" i="31" s="1"/>
  <c r="C306" i="7"/>
  <c r="P6" i="31" s="1"/>
  <c r="B306" i="7"/>
  <c r="P5" i="31" s="1"/>
  <c r="C305" i="7"/>
  <c r="O6" i="31" s="1"/>
  <c r="B305" i="7"/>
  <c r="O5" i="31" s="1"/>
  <c r="C304" i="7"/>
  <c r="N6" i="31" s="1"/>
  <c r="B304" i="7"/>
  <c r="N5" i="31" s="1"/>
  <c r="C303" i="7"/>
  <c r="M6" i="31" s="1"/>
  <c r="B303" i="7"/>
  <c r="M5" i="31" s="1"/>
  <c r="C302" i="7"/>
  <c r="L6" i="31" s="1"/>
  <c r="B302" i="7"/>
  <c r="L5" i="31" s="1"/>
  <c r="C301" i="7"/>
  <c r="K6" i="31" s="1"/>
  <c r="B301" i="7"/>
  <c r="K5" i="31" s="1"/>
  <c r="C300" i="7"/>
  <c r="B300" i="7"/>
  <c r="J5" i="31" s="1"/>
  <c r="C299" i="7"/>
  <c r="D299" i="7" s="1"/>
  <c r="E299" i="7" s="1"/>
  <c r="F299" i="7" s="1"/>
  <c r="G299" i="7" s="1"/>
  <c r="H299" i="7" s="1"/>
  <c r="I299" i="7" s="1"/>
  <c r="J299" i="7" s="1"/>
  <c r="K299" i="7" s="1"/>
  <c r="L299" i="7" s="1"/>
  <c r="M299" i="7" s="1"/>
  <c r="N299" i="7" s="1"/>
  <c r="O299" i="7" s="1"/>
  <c r="P299" i="7" s="1"/>
  <c r="Q299" i="7" s="1"/>
  <c r="R299" i="7" s="1"/>
  <c r="S299" i="7" s="1"/>
  <c r="T299" i="7" s="1"/>
  <c r="U299" i="7" s="1"/>
  <c r="V299" i="7" s="1"/>
  <c r="C287" i="7"/>
  <c r="D287" i="7" s="1"/>
  <c r="E287" i="7" s="1"/>
  <c r="F287" i="7" s="1"/>
  <c r="G287" i="7" s="1"/>
  <c r="H287" i="7" s="1"/>
  <c r="I287" i="7" s="1"/>
  <c r="J287" i="7" s="1"/>
  <c r="K287" i="7" s="1"/>
  <c r="L287" i="7" s="1"/>
  <c r="M287" i="7" s="1"/>
  <c r="N287" i="7" s="1"/>
  <c r="O287" i="7" s="1"/>
  <c r="P287" i="7" s="1"/>
  <c r="Q287" i="7" s="1"/>
  <c r="R287" i="7" s="1"/>
  <c r="S287" i="7" s="1"/>
  <c r="T287" i="7" s="1"/>
  <c r="U287" i="7" s="1"/>
  <c r="V287" i="7" s="1"/>
  <c r="C275" i="7"/>
  <c r="D275" i="7" s="1"/>
  <c r="E275" i="7" s="1"/>
  <c r="F275" i="7" s="1"/>
  <c r="G275" i="7" s="1"/>
  <c r="H275" i="7" s="1"/>
  <c r="I275" i="7" s="1"/>
  <c r="J275" i="7" s="1"/>
  <c r="K275" i="7" s="1"/>
  <c r="L275" i="7" s="1"/>
  <c r="M275" i="7" s="1"/>
  <c r="N275" i="7" s="1"/>
  <c r="O275" i="7" s="1"/>
  <c r="P275" i="7" s="1"/>
  <c r="Q275" i="7" s="1"/>
  <c r="R275" i="7" s="1"/>
  <c r="S275" i="7" s="1"/>
  <c r="T275" i="7" s="1"/>
  <c r="U275" i="7" s="1"/>
  <c r="V275" i="7" s="1"/>
  <c r="C261" i="7"/>
  <c r="D261" i="7" s="1"/>
  <c r="E261" i="7" s="1"/>
  <c r="F261" i="7" s="1"/>
  <c r="G261" i="7" s="1"/>
  <c r="H261" i="7" s="1"/>
  <c r="I261" i="7" s="1"/>
  <c r="J261" i="7" s="1"/>
  <c r="K261" i="7" s="1"/>
  <c r="L261" i="7" s="1"/>
  <c r="M261" i="7" s="1"/>
  <c r="N261" i="7" s="1"/>
  <c r="O261" i="7" s="1"/>
  <c r="P261" i="7" s="1"/>
  <c r="Q261" i="7" s="1"/>
  <c r="R261" i="7" s="1"/>
  <c r="S261" i="7" s="1"/>
  <c r="T261" i="7" s="1"/>
  <c r="U261" i="7" s="1"/>
  <c r="V261" i="7" s="1"/>
  <c r="I252" i="7"/>
  <c r="H252" i="7"/>
  <c r="G252" i="7"/>
  <c r="F252" i="7"/>
  <c r="E252" i="7"/>
  <c r="D252" i="7"/>
  <c r="C252" i="7"/>
  <c r="B252" i="7"/>
  <c r="H239" i="7"/>
  <c r="G239" i="7"/>
  <c r="F239" i="7"/>
  <c r="E239" i="7"/>
  <c r="D239" i="7"/>
  <c r="C239" i="7"/>
  <c r="B239" i="7"/>
  <c r="G227" i="7"/>
  <c r="F227" i="7"/>
  <c r="E227" i="7"/>
  <c r="D227" i="7"/>
  <c r="C227" i="7"/>
  <c r="B227" i="7"/>
  <c r="F215" i="7"/>
  <c r="E215" i="7"/>
  <c r="D215" i="7"/>
  <c r="C215" i="7"/>
  <c r="B215" i="7"/>
  <c r="E203" i="7"/>
  <c r="D203" i="7"/>
  <c r="C203" i="7"/>
  <c r="B203" i="7"/>
  <c r="D191" i="7"/>
  <c r="C191" i="7"/>
  <c r="B191" i="7"/>
  <c r="N190" i="7"/>
  <c r="O202" i="7" s="1"/>
  <c r="P214" i="7" s="1"/>
  <c r="Q226" i="7" s="1"/>
  <c r="R238" i="7" s="1"/>
  <c r="S251" i="7" s="1"/>
  <c r="M190" i="7"/>
  <c r="N202" i="7" s="1"/>
  <c r="O214" i="7" s="1"/>
  <c r="P226" i="7" s="1"/>
  <c r="Q238" i="7" s="1"/>
  <c r="R251" i="7" s="1"/>
  <c r="L190" i="7"/>
  <c r="M202" i="7" s="1"/>
  <c r="N214" i="7" s="1"/>
  <c r="O226" i="7" s="1"/>
  <c r="P238" i="7" s="1"/>
  <c r="Q251" i="7" s="1"/>
  <c r="K190" i="7"/>
  <c r="L202" i="7" s="1"/>
  <c r="M214" i="7" s="1"/>
  <c r="N226" i="7" s="1"/>
  <c r="O238" i="7" s="1"/>
  <c r="P251" i="7" s="1"/>
  <c r="J190" i="7"/>
  <c r="K202" i="7" s="1"/>
  <c r="L214" i="7" s="1"/>
  <c r="M226" i="7" s="1"/>
  <c r="N238" i="7" s="1"/>
  <c r="O251" i="7" s="1"/>
  <c r="I190" i="7"/>
  <c r="J202" i="7" s="1"/>
  <c r="K214" i="7" s="1"/>
  <c r="L226" i="7" s="1"/>
  <c r="M238" i="7" s="1"/>
  <c r="N251" i="7" s="1"/>
  <c r="H190" i="7"/>
  <c r="I202" i="7" s="1"/>
  <c r="J214" i="7" s="1"/>
  <c r="K226" i="7" s="1"/>
  <c r="L238" i="7" s="1"/>
  <c r="M251" i="7" s="1"/>
  <c r="G190" i="7"/>
  <c r="H202" i="7" s="1"/>
  <c r="I214" i="7" s="1"/>
  <c r="J226" i="7" s="1"/>
  <c r="K238" i="7" s="1"/>
  <c r="L251" i="7" s="1"/>
  <c r="F190" i="7"/>
  <c r="G202" i="7" s="1"/>
  <c r="H214" i="7" s="1"/>
  <c r="I226" i="7" s="1"/>
  <c r="J238" i="7" s="1"/>
  <c r="K251" i="7" s="1"/>
  <c r="E190" i="7"/>
  <c r="F202" i="7" s="1"/>
  <c r="G214" i="7" s="1"/>
  <c r="H226" i="7" s="1"/>
  <c r="I238" i="7" s="1"/>
  <c r="J251" i="7" s="1"/>
  <c r="N189" i="7"/>
  <c r="O201" i="7" s="1"/>
  <c r="P213" i="7" s="1"/>
  <c r="Q225" i="7" s="1"/>
  <c r="R237" i="7" s="1"/>
  <c r="S250" i="7" s="1"/>
  <c r="M189" i="7"/>
  <c r="N201" i="7" s="1"/>
  <c r="O213" i="7" s="1"/>
  <c r="P225" i="7" s="1"/>
  <c r="Q237" i="7" s="1"/>
  <c r="R250" i="7" s="1"/>
  <c r="L189" i="7"/>
  <c r="M201" i="7" s="1"/>
  <c r="N213" i="7" s="1"/>
  <c r="O225" i="7" s="1"/>
  <c r="P237" i="7" s="1"/>
  <c r="Q250" i="7" s="1"/>
  <c r="K189" i="7"/>
  <c r="L201" i="7" s="1"/>
  <c r="M213" i="7" s="1"/>
  <c r="N225" i="7" s="1"/>
  <c r="O237" i="7" s="1"/>
  <c r="P250" i="7" s="1"/>
  <c r="J189" i="7"/>
  <c r="K201" i="7" s="1"/>
  <c r="L213" i="7" s="1"/>
  <c r="M225" i="7" s="1"/>
  <c r="N237" i="7" s="1"/>
  <c r="O250" i="7" s="1"/>
  <c r="I189" i="7"/>
  <c r="J201" i="7" s="1"/>
  <c r="K213" i="7" s="1"/>
  <c r="L225" i="7" s="1"/>
  <c r="M237" i="7" s="1"/>
  <c r="N250" i="7" s="1"/>
  <c r="H189" i="7"/>
  <c r="I201" i="7" s="1"/>
  <c r="J213" i="7" s="1"/>
  <c r="K225" i="7" s="1"/>
  <c r="L237" i="7" s="1"/>
  <c r="M250" i="7" s="1"/>
  <c r="G189" i="7"/>
  <c r="H201" i="7" s="1"/>
  <c r="I213" i="7" s="1"/>
  <c r="J225" i="7" s="1"/>
  <c r="K237" i="7" s="1"/>
  <c r="L250" i="7" s="1"/>
  <c r="F189" i="7"/>
  <c r="G201" i="7" s="1"/>
  <c r="H213" i="7" s="1"/>
  <c r="I225" i="7" s="1"/>
  <c r="J237" i="7" s="1"/>
  <c r="K250" i="7" s="1"/>
  <c r="E189" i="7"/>
  <c r="F201" i="7" s="1"/>
  <c r="G213" i="7" s="1"/>
  <c r="H225" i="7" s="1"/>
  <c r="I237" i="7" s="1"/>
  <c r="J250" i="7" s="1"/>
  <c r="N188" i="7"/>
  <c r="O200" i="7" s="1"/>
  <c r="P212" i="7" s="1"/>
  <c r="Q224" i="7" s="1"/>
  <c r="R236" i="7" s="1"/>
  <c r="S249" i="7" s="1"/>
  <c r="M188" i="7"/>
  <c r="N200" i="7" s="1"/>
  <c r="O212" i="7" s="1"/>
  <c r="P224" i="7" s="1"/>
  <c r="Q236" i="7" s="1"/>
  <c r="R249" i="7" s="1"/>
  <c r="L188" i="7"/>
  <c r="M200" i="7" s="1"/>
  <c r="N212" i="7" s="1"/>
  <c r="O224" i="7" s="1"/>
  <c r="P236" i="7" s="1"/>
  <c r="Q249" i="7" s="1"/>
  <c r="K188" i="7"/>
  <c r="L200" i="7" s="1"/>
  <c r="M212" i="7" s="1"/>
  <c r="N224" i="7" s="1"/>
  <c r="O236" i="7" s="1"/>
  <c r="P249" i="7" s="1"/>
  <c r="J188" i="7"/>
  <c r="K200" i="7" s="1"/>
  <c r="L212" i="7" s="1"/>
  <c r="M224" i="7" s="1"/>
  <c r="N236" i="7" s="1"/>
  <c r="O249" i="7" s="1"/>
  <c r="I188" i="7"/>
  <c r="J200" i="7" s="1"/>
  <c r="K212" i="7" s="1"/>
  <c r="L224" i="7" s="1"/>
  <c r="M236" i="7" s="1"/>
  <c r="N249" i="7" s="1"/>
  <c r="H188" i="7"/>
  <c r="I200" i="7" s="1"/>
  <c r="J212" i="7" s="1"/>
  <c r="K224" i="7" s="1"/>
  <c r="L236" i="7" s="1"/>
  <c r="M249" i="7" s="1"/>
  <c r="G188" i="7"/>
  <c r="H200" i="7" s="1"/>
  <c r="I212" i="7" s="1"/>
  <c r="J224" i="7" s="1"/>
  <c r="K236" i="7" s="1"/>
  <c r="L249" i="7" s="1"/>
  <c r="F188" i="7"/>
  <c r="G200" i="7" s="1"/>
  <c r="H212" i="7" s="1"/>
  <c r="I224" i="7" s="1"/>
  <c r="J236" i="7" s="1"/>
  <c r="K249" i="7" s="1"/>
  <c r="E188" i="7"/>
  <c r="F200" i="7" s="1"/>
  <c r="G212" i="7" s="1"/>
  <c r="H224" i="7" s="1"/>
  <c r="I236" i="7" s="1"/>
  <c r="J249" i="7" s="1"/>
  <c r="N187" i="7"/>
  <c r="O199" i="7" s="1"/>
  <c r="P211" i="7" s="1"/>
  <c r="Q223" i="7" s="1"/>
  <c r="R235" i="7" s="1"/>
  <c r="S248" i="7" s="1"/>
  <c r="M187" i="7"/>
  <c r="N199" i="7" s="1"/>
  <c r="O211" i="7" s="1"/>
  <c r="P223" i="7" s="1"/>
  <c r="Q235" i="7" s="1"/>
  <c r="R248" i="7" s="1"/>
  <c r="L187" i="7"/>
  <c r="M199" i="7" s="1"/>
  <c r="N211" i="7" s="1"/>
  <c r="O223" i="7" s="1"/>
  <c r="P235" i="7" s="1"/>
  <c r="Q248" i="7" s="1"/>
  <c r="K187" i="7"/>
  <c r="L199" i="7" s="1"/>
  <c r="M211" i="7" s="1"/>
  <c r="N223" i="7" s="1"/>
  <c r="O235" i="7" s="1"/>
  <c r="P248" i="7" s="1"/>
  <c r="J187" i="7"/>
  <c r="K199" i="7" s="1"/>
  <c r="L211" i="7" s="1"/>
  <c r="M223" i="7" s="1"/>
  <c r="N235" i="7" s="1"/>
  <c r="O248" i="7" s="1"/>
  <c r="I187" i="7"/>
  <c r="J199" i="7" s="1"/>
  <c r="K211" i="7" s="1"/>
  <c r="L223" i="7" s="1"/>
  <c r="M235" i="7" s="1"/>
  <c r="N248" i="7" s="1"/>
  <c r="H187" i="7"/>
  <c r="I199" i="7" s="1"/>
  <c r="J211" i="7" s="1"/>
  <c r="K223" i="7" s="1"/>
  <c r="L235" i="7" s="1"/>
  <c r="M248" i="7" s="1"/>
  <c r="G187" i="7"/>
  <c r="H199" i="7" s="1"/>
  <c r="I211" i="7" s="1"/>
  <c r="J223" i="7" s="1"/>
  <c r="K235" i="7" s="1"/>
  <c r="L248" i="7" s="1"/>
  <c r="F187" i="7"/>
  <c r="G199" i="7" s="1"/>
  <c r="H211" i="7" s="1"/>
  <c r="I223" i="7" s="1"/>
  <c r="J235" i="7" s="1"/>
  <c r="K248" i="7" s="1"/>
  <c r="E187" i="7"/>
  <c r="F199" i="7" s="1"/>
  <c r="G211" i="7" s="1"/>
  <c r="H223" i="7" s="1"/>
  <c r="I235" i="7" s="1"/>
  <c r="J248" i="7" s="1"/>
  <c r="N186" i="7"/>
  <c r="O198" i="7" s="1"/>
  <c r="P210" i="7" s="1"/>
  <c r="Q222" i="7" s="1"/>
  <c r="R234" i="7" s="1"/>
  <c r="S247" i="7" s="1"/>
  <c r="M186" i="7"/>
  <c r="N198" i="7" s="1"/>
  <c r="O210" i="7" s="1"/>
  <c r="P222" i="7" s="1"/>
  <c r="Q234" i="7" s="1"/>
  <c r="R247" i="7" s="1"/>
  <c r="L186" i="7"/>
  <c r="M198" i="7" s="1"/>
  <c r="N210" i="7" s="1"/>
  <c r="O222" i="7" s="1"/>
  <c r="P234" i="7" s="1"/>
  <c r="Q247" i="7" s="1"/>
  <c r="K186" i="7"/>
  <c r="L198" i="7" s="1"/>
  <c r="M210" i="7" s="1"/>
  <c r="N222" i="7" s="1"/>
  <c r="O234" i="7" s="1"/>
  <c r="P247" i="7" s="1"/>
  <c r="J186" i="7"/>
  <c r="K198" i="7" s="1"/>
  <c r="L210" i="7" s="1"/>
  <c r="M222" i="7" s="1"/>
  <c r="N234" i="7" s="1"/>
  <c r="O247" i="7" s="1"/>
  <c r="I186" i="7"/>
  <c r="J198" i="7" s="1"/>
  <c r="K210" i="7" s="1"/>
  <c r="L222" i="7" s="1"/>
  <c r="M234" i="7" s="1"/>
  <c r="N247" i="7" s="1"/>
  <c r="H186" i="7"/>
  <c r="I198" i="7" s="1"/>
  <c r="J210" i="7" s="1"/>
  <c r="K222" i="7" s="1"/>
  <c r="L234" i="7" s="1"/>
  <c r="M247" i="7" s="1"/>
  <c r="G186" i="7"/>
  <c r="H198" i="7" s="1"/>
  <c r="I210" i="7" s="1"/>
  <c r="J222" i="7" s="1"/>
  <c r="K234" i="7" s="1"/>
  <c r="L247" i="7" s="1"/>
  <c r="F186" i="7"/>
  <c r="G198" i="7" s="1"/>
  <c r="H210" i="7" s="1"/>
  <c r="I222" i="7" s="1"/>
  <c r="J234" i="7" s="1"/>
  <c r="K247" i="7" s="1"/>
  <c r="E186" i="7"/>
  <c r="F198" i="7" s="1"/>
  <c r="G210" i="7" s="1"/>
  <c r="H222" i="7" s="1"/>
  <c r="I234" i="7" s="1"/>
  <c r="J247" i="7" s="1"/>
  <c r="N185" i="7"/>
  <c r="O197" i="7" s="1"/>
  <c r="P209" i="7" s="1"/>
  <c r="Q221" i="7" s="1"/>
  <c r="R233" i="7" s="1"/>
  <c r="S246" i="7" s="1"/>
  <c r="M185" i="7"/>
  <c r="N197" i="7" s="1"/>
  <c r="O209" i="7" s="1"/>
  <c r="P221" i="7" s="1"/>
  <c r="Q233" i="7" s="1"/>
  <c r="R246" i="7" s="1"/>
  <c r="L185" i="7"/>
  <c r="M197" i="7" s="1"/>
  <c r="N209" i="7" s="1"/>
  <c r="O221" i="7" s="1"/>
  <c r="P233" i="7" s="1"/>
  <c r="Q246" i="7" s="1"/>
  <c r="K185" i="7"/>
  <c r="L197" i="7" s="1"/>
  <c r="M209" i="7" s="1"/>
  <c r="N221" i="7" s="1"/>
  <c r="O233" i="7" s="1"/>
  <c r="P246" i="7" s="1"/>
  <c r="J185" i="7"/>
  <c r="K197" i="7" s="1"/>
  <c r="L209" i="7" s="1"/>
  <c r="M221" i="7" s="1"/>
  <c r="N233" i="7" s="1"/>
  <c r="O246" i="7" s="1"/>
  <c r="I185" i="7"/>
  <c r="J197" i="7" s="1"/>
  <c r="K209" i="7" s="1"/>
  <c r="L221" i="7" s="1"/>
  <c r="M233" i="7" s="1"/>
  <c r="N246" i="7" s="1"/>
  <c r="H185" i="7"/>
  <c r="I197" i="7" s="1"/>
  <c r="J209" i="7" s="1"/>
  <c r="K221" i="7" s="1"/>
  <c r="L233" i="7" s="1"/>
  <c r="M246" i="7" s="1"/>
  <c r="G185" i="7"/>
  <c r="H197" i="7" s="1"/>
  <c r="I209" i="7" s="1"/>
  <c r="J221" i="7" s="1"/>
  <c r="K233" i="7" s="1"/>
  <c r="L246" i="7" s="1"/>
  <c r="F185" i="7"/>
  <c r="G197" i="7" s="1"/>
  <c r="H209" i="7" s="1"/>
  <c r="I221" i="7" s="1"/>
  <c r="J233" i="7" s="1"/>
  <c r="K246" i="7" s="1"/>
  <c r="E185" i="7"/>
  <c r="F197" i="7" s="1"/>
  <c r="G209" i="7" s="1"/>
  <c r="H221" i="7" s="1"/>
  <c r="I233" i="7" s="1"/>
  <c r="J246" i="7" s="1"/>
  <c r="N184" i="7"/>
  <c r="O196" i="7" s="1"/>
  <c r="P208" i="7" s="1"/>
  <c r="Q220" i="7" s="1"/>
  <c r="R232" i="7" s="1"/>
  <c r="S245" i="7" s="1"/>
  <c r="M184" i="7"/>
  <c r="N196" i="7" s="1"/>
  <c r="O208" i="7" s="1"/>
  <c r="P220" i="7" s="1"/>
  <c r="Q232" i="7" s="1"/>
  <c r="R245" i="7" s="1"/>
  <c r="L184" i="7"/>
  <c r="M196" i="7" s="1"/>
  <c r="N208" i="7" s="1"/>
  <c r="O220" i="7" s="1"/>
  <c r="P232" i="7" s="1"/>
  <c r="Q245" i="7" s="1"/>
  <c r="K184" i="7"/>
  <c r="L196" i="7" s="1"/>
  <c r="M208" i="7" s="1"/>
  <c r="N220" i="7" s="1"/>
  <c r="O232" i="7" s="1"/>
  <c r="P245" i="7" s="1"/>
  <c r="J184" i="7"/>
  <c r="K196" i="7" s="1"/>
  <c r="L208" i="7" s="1"/>
  <c r="M220" i="7" s="1"/>
  <c r="N232" i="7" s="1"/>
  <c r="O245" i="7" s="1"/>
  <c r="I184" i="7"/>
  <c r="H184" i="7"/>
  <c r="I196" i="7" s="1"/>
  <c r="J208" i="7" s="1"/>
  <c r="K220" i="7" s="1"/>
  <c r="L232" i="7" s="1"/>
  <c r="M245" i="7" s="1"/>
  <c r="G184" i="7"/>
  <c r="H196" i="7" s="1"/>
  <c r="I208" i="7" s="1"/>
  <c r="J220" i="7" s="1"/>
  <c r="K232" i="7" s="1"/>
  <c r="L245" i="7" s="1"/>
  <c r="F184" i="7"/>
  <c r="G196" i="7" s="1"/>
  <c r="H208" i="7" s="1"/>
  <c r="I220" i="7" s="1"/>
  <c r="J232" i="7" s="1"/>
  <c r="K245" i="7" s="1"/>
  <c r="E184" i="7"/>
  <c r="F196" i="7" s="1"/>
  <c r="G208" i="7" s="1"/>
  <c r="H220" i="7" s="1"/>
  <c r="I232" i="7" s="1"/>
  <c r="J245" i="7" s="1"/>
  <c r="N183" i="7"/>
  <c r="O195" i="7" s="1"/>
  <c r="M183" i="7"/>
  <c r="N195" i="7" s="1"/>
  <c r="O207" i="7" s="1"/>
  <c r="P219" i="7" s="1"/>
  <c r="Q231" i="7" s="1"/>
  <c r="R244" i="7" s="1"/>
  <c r="L183" i="7"/>
  <c r="M195" i="7" s="1"/>
  <c r="N207" i="7" s="1"/>
  <c r="O219" i="7" s="1"/>
  <c r="P231" i="7" s="1"/>
  <c r="Q244" i="7" s="1"/>
  <c r="K183" i="7"/>
  <c r="J183" i="7"/>
  <c r="K195" i="7" s="1"/>
  <c r="L207" i="7" s="1"/>
  <c r="M219" i="7" s="1"/>
  <c r="N231" i="7" s="1"/>
  <c r="O244" i="7" s="1"/>
  <c r="I183" i="7"/>
  <c r="J195" i="7" s="1"/>
  <c r="K207" i="7" s="1"/>
  <c r="L219" i="7" s="1"/>
  <c r="M231" i="7" s="1"/>
  <c r="N244" i="7" s="1"/>
  <c r="H183" i="7"/>
  <c r="I195" i="7" s="1"/>
  <c r="J207" i="7" s="1"/>
  <c r="K219" i="7" s="1"/>
  <c r="L231" i="7" s="1"/>
  <c r="M244" i="7" s="1"/>
  <c r="G183" i="7"/>
  <c r="H195" i="7" s="1"/>
  <c r="I207" i="7" s="1"/>
  <c r="J219" i="7" s="1"/>
  <c r="K231" i="7" s="1"/>
  <c r="L244" i="7" s="1"/>
  <c r="F183" i="7"/>
  <c r="G195" i="7" s="1"/>
  <c r="H207" i="7" s="1"/>
  <c r="I219" i="7" s="1"/>
  <c r="J231" i="7" s="1"/>
  <c r="K244" i="7" s="1"/>
  <c r="E183" i="7"/>
  <c r="F195" i="7" s="1"/>
  <c r="G207" i="7" s="1"/>
  <c r="H219" i="7" s="1"/>
  <c r="I231" i="7" s="1"/>
  <c r="J244" i="7" s="1"/>
  <c r="N182" i="7"/>
  <c r="O194" i="7" s="1"/>
  <c r="P206" i="7" s="1"/>
  <c r="M182" i="7"/>
  <c r="N194" i="7" s="1"/>
  <c r="O206" i="7" s="1"/>
  <c r="L182" i="7"/>
  <c r="K182" i="7"/>
  <c r="L194" i="7" s="1"/>
  <c r="J182" i="7"/>
  <c r="I182" i="7"/>
  <c r="J194" i="7" s="1"/>
  <c r="K206" i="7" s="1"/>
  <c r="H182" i="7"/>
  <c r="I194" i="7" s="1"/>
  <c r="J206" i="7" s="1"/>
  <c r="K218" i="7" s="1"/>
  <c r="G182" i="7"/>
  <c r="H194" i="7" s="1"/>
  <c r="I206" i="7" s="1"/>
  <c r="F182" i="7"/>
  <c r="G194" i="7" s="1"/>
  <c r="H206" i="7" s="1"/>
  <c r="E182" i="7"/>
  <c r="M179" i="7"/>
  <c r="L179" i="7"/>
  <c r="K179" i="7"/>
  <c r="J179" i="7"/>
  <c r="I179" i="7"/>
  <c r="H179" i="7"/>
  <c r="G179" i="7"/>
  <c r="F179" i="7"/>
  <c r="E179" i="7"/>
  <c r="D179" i="7"/>
  <c r="C179" i="7"/>
  <c r="B179" i="7"/>
  <c r="L167" i="7"/>
  <c r="K167" i="7"/>
  <c r="J167" i="7"/>
  <c r="I167" i="7"/>
  <c r="H167" i="7"/>
  <c r="G167" i="7"/>
  <c r="F167" i="7"/>
  <c r="E167" i="7"/>
  <c r="D167" i="7"/>
  <c r="C167" i="7"/>
  <c r="B167" i="7"/>
  <c r="K153" i="7"/>
  <c r="J153" i="7"/>
  <c r="I153" i="7"/>
  <c r="H153" i="7"/>
  <c r="G153" i="7"/>
  <c r="F153" i="7"/>
  <c r="E153" i="7"/>
  <c r="D153" i="7"/>
  <c r="C153" i="7"/>
  <c r="B153" i="7"/>
  <c r="C143" i="7"/>
  <c r="D143" i="7" s="1"/>
  <c r="E143" i="7" s="1"/>
  <c r="F143" i="7" s="1"/>
  <c r="G143" i="7" s="1"/>
  <c r="H143" i="7" s="1"/>
  <c r="I143" i="7" s="1"/>
  <c r="J143" i="7" s="1"/>
  <c r="K143" i="7" s="1"/>
  <c r="L143" i="7" s="1"/>
  <c r="M143" i="7" s="1"/>
  <c r="N143" i="7" s="1"/>
  <c r="O143" i="7" s="1"/>
  <c r="P143" i="7" s="1"/>
  <c r="Q143" i="7" s="1"/>
  <c r="R143" i="7" s="1"/>
  <c r="S143" i="7" s="1"/>
  <c r="T143" i="7" s="1"/>
  <c r="U143" i="7" s="1"/>
  <c r="V143" i="7" s="1"/>
  <c r="J139" i="7"/>
  <c r="I139" i="7"/>
  <c r="H139" i="7"/>
  <c r="G139" i="7"/>
  <c r="F139" i="7"/>
  <c r="E139" i="7"/>
  <c r="D139" i="7"/>
  <c r="C139" i="7"/>
  <c r="B139" i="7"/>
  <c r="C129" i="7"/>
  <c r="D129" i="7" s="1"/>
  <c r="E129" i="7" s="1"/>
  <c r="F129" i="7" s="1"/>
  <c r="G129" i="7" s="1"/>
  <c r="H129" i="7" s="1"/>
  <c r="I129" i="7" s="1"/>
  <c r="J129" i="7" s="1"/>
  <c r="K129" i="7" s="1"/>
  <c r="L129" i="7" s="1"/>
  <c r="M129" i="7" s="1"/>
  <c r="N129" i="7" s="1"/>
  <c r="O129" i="7" s="1"/>
  <c r="P129" i="7" s="1"/>
  <c r="Q129" i="7" s="1"/>
  <c r="R129" i="7" s="1"/>
  <c r="S129" i="7" s="1"/>
  <c r="T129" i="7" s="1"/>
  <c r="U129" i="7" s="1"/>
  <c r="V129" i="7" s="1"/>
  <c r="I126" i="7"/>
  <c r="H126" i="7"/>
  <c r="G126" i="7"/>
  <c r="F126" i="7"/>
  <c r="E126" i="7"/>
  <c r="D126" i="7"/>
  <c r="C126" i="7"/>
  <c r="B126" i="7"/>
  <c r="H113" i="7"/>
  <c r="G113" i="7"/>
  <c r="F113" i="7"/>
  <c r="E113" i="7"/>
  <c r="D113" i="7"/>
  <c r="C113" i="7"/>
  <c r="B113" i="7"/>
  <c r="G101" i="7"/>
  <c r="F101" i="7"/>
  <c r="E101" i="7"/>
  <c r="D101" i="7"/>
  <c r="C101" i="7"/>
  <c r="B101" i="7"/>
  <c r="F89" i="7"/>
  <c r="E89" i="7"/>
  <c r="D89" i="7"/>
  <c r="C89" i="7"/>
  <c r="B89" i="7"/>
  <c r="E77" i="7"/>
  <c r="D77" i="7"/>
  <c r="C77" i="7"/>
  <c r="B77" i="7"/>
  <c r="D65" i="7"/>
  <c r="C65" i="7"/>
  <c r="B65" i="7"/>
  <c r="C53" i="7"/>
  <c r="B53" i="7"/>
  <c r="F52" i="7"/>
  <c r="E52" i="7"/>
  <c r="D52" i="7"/>
  <c r="D308" i="7" s="1"/>
  <c r="R7" i="31" s="1"/>
  <c r="F51" i="7"/>
  <c r="E51" i="7"/>
  <c r="D51" i="7"/>
  <c r="D307" i="7" s="1"/>
  <c r="Q7" i="31" s="1"/>
  <c r="F50" i="7"/>
  <c r="E50" i="7"/>
  <c r="D50" i="7"/>
  <c r="D306" i="7" s="1"/>
  <c r="P7" i="31" s="1"/>
  <c r="S49" i="7"/>
  <c r="R49" i="7"/>
  <c r="Q49" i="7"/>
  <c r="P49" i="7"/>
  <c r="O49" i="7"/>
  <c r="N49" i="7"/>
  <c r="M49" i="7"/>
  <c r="L49" i="7"/>
  <c r="K49" i="7"/>
  <c r="T48" i="7"/>
  <c r="S48" i="7"/>
  <c r="R48" i="7"/>
  <c r="Q48" i="7"/>
  <c r="P48" i="7"/>
  <c r="O48" i="7"/>
  <c r="N48" i="7"/>
  <c r="M48" i="7"/>
  <c r="L48" i="7"/>
  <c r="D48" i="7"/>
  <c r="D304" i="7" s="1"/>
  <c r="N7" i="31" s="1"/>
  <c r="D46" i="7"/>
  <c r="D302" i="7" s="1"/>
  <c r="L7" i="31" s="1"/>
  <c r="S45" i="7"/>
  <c r="R45" i="7"/>
  <c r="Q45" i="7"/>
  <c r="P45" i="7"/>
  <c r="O45" i="7"/>
  <c r="N45" i="7"/>
  <c r="K45" i="7"/>
  <c r="T44" i="7"/>
  <c r="S44" i="7"/>
  <c r="Q44" i="7"/>
  <c r="P44" i="7"/>
  <c r="N44" i="7"/>
  <c r="M44" i="7"/>
  <c r="L44" i="7"/>
  <c r="K44" i="7"/>
  <c r="I44" i="7"/>
  <c r="H44" i="7"/>
  <c r="F44" i="7"/>
  <c r="E44" i="7"/>
  <c r="B41" i="7"/>
  <c r="E40" i="7"/>
  <c r="D40" i="7"/>
  <c r="C40" i="7"/>
  <c r="E39" i="7"/>
  <c r="D39" i="7"/>
  <c r="C39" i="7"/>
  <c r="E38" i="7"/>
  <c r="D38" i="7"/>
  <c r="C38" i="7"/>
  <c r="R37" i="7"/>
  <c r="Q37" i="7"/>
  <c r="P37" i="7"/>
  <c r="O37" i="7"/>
  <c r="N37" i="7"/>
  <c r="M37" i="7"/>
  <c r="L37" i="7"/>
  <c r="K37" i="7"/>
  <c r="J37" i="7"/>
  <c r="S36" i="7"/>
  <c r="R36" i="7"/>
  <c r="Q36" i="7"/>
  <c r="P36" i="7"/>
  <c r="O36" i="7"/>
  <c r="N36" i="7"/>
  <c r="M36" i="7"/>
  <c r="L36" i="7"/>
  <c r="K36" i="7"/>
  <c r="C36" i="7"/>
  <c r="C34" i="7"/>
  <c r="S33" i="7"/>
  <c r="R33" i="7"/>
  <c r="Q33" i="7"/>
  <c r="P33" i="7"/>
  <c r="O33" i="7"/>
  <c r="N33" i="7"/>
  <c r="K33" i="7"/>
  <c r="J33" i="7"/>
  <c r="S32" i="7"/>
  <c r="R32" i="7"/>
  <c r="Q32" i="7"/>
  <c r="P32" i="7"/>
  <c r="N32" i="7"/>
  <c r="M32" i="7"/>
  <c r="L32" i="7"/>
  <c r="K32" i="7"/>
  <c r="I32" i="7"/>
  <c r="H32" i="7"/>
  <c r="F32" i="7"/>
  <c r="E32" i="7"/>
  <c r="D32" i="7"/>
  <c r="B26" i="7"/>
  <c r="B296" i="7" s="1"/>
  <c r="R5" i="30" s="1"/>
  <c r="D25" i="7"/>
  <c r="D295" i="7" s="1"/>
  <c r="Q7" i="30" s="1"/>
  <c r="C25" i="7"/>
  <c r="C295" i="7" s="1"/>
  <c r="Q6" i="30" s="1"/>
  <c r="B25" i="7"/>
  <c r="B295" i="7" s="1"/>
  <c r="Q5" i="30" s="1"/>
  <c r="D24" i="7"/>
  <c r="C24" i="7"/>
  <c r="C294" i="7" s="1"/>
  <c r="P6" i="30" s="1"/>
  <c r="Q23" i="7"/>
  <c r="Q293" i="7" s="1"/>
  <c r="O20" i="30" s="1"/>
  <c r="P23" i="7"/>
  <c r="O23" i="7"/>
  <c r="N23" i="7"/>
  <c r="N293" i="7" s="1"/>
  <c r="O17" i="30" s="1"/>
  <c r="M23" i="7"/>
  <c r="M293" i="7" s="1"/>
  <c r="O16" i="30" s="1"/>
  <c r="L23" i="7"/>
  <c r="K23" i="7"/>
  <c r="K293" i="7" s="1"/>
  <c r="O14" i="30" s="1"/>
  <c r="J23" i="7"/>
  <c r="J293" i="7" s="1"/>
  <c r="O13" i="30" s="1"/>
  <c r="I23" i="7"/>
  <c r="R22" i="7"/>
  <c r="Q22" i="7"/>
  <c r="Q292" i="7" s="1"/>
  <c r="N20" i="30" s="1"/>
  <c r="P22" i="7"/>
  <c r="P292" i="7" s="1"/>
  <c r="N19" i="30" s="1"/>
  <c r="O22" i="7"/>
  <c r="O292" i="7" s="1"/>
  <c r="N18" i="30" s="1"/>
  <c r="N22" i="7"/>
  <c r="M22" i="7"/>
  <c r="M292" i="7" s="1"/>
  <c r="N16" i="30" s="1"/>
  <c r="L22" i="7"/>
  <c r="L292" i="7" s="1"/>
  <c r="N15" i="30" s="1"/>
  <c r="K22" i="7"/>
  <c r="J22" i="7"/>
  <c r="B22" i="7"/>
  <c r="B292" i="7" s="1"/>
  <c r="N5" i="30" s="1"/>
  <c r="B20" i="7"/>
  <c r="B290" i="7" s="1"/>
  <c r="L5" i="30" s="1"/>
  <c r="R19" i="7"/>
  <c r="R289" i="7" s="1"/>
  <c r="K21" i="30" s="1"/>
  <c r="Q19" i="7"/>
  <c r="P19" i="7"/>
  <c r="P289" i="7" s="1"/>
  <c r="K19" i="30" s="1"/>
  <c r="O19" i="7"/>
  <c r="N19" i="7"/>
  <c r="N289" i="7" s="1"/>
  <c r="K17" i="30" s="1"/>
  <c r="M19" i="7"/>
  <c r="L19" i="7"/>
  <c r="K19" i="7"/>
  <c r="J19" i="7"/>
  <c r="J289" i="7" s="1"/>
  <c r="K13" i="30" s="1"/>
  <c r="I19" i="7"/>
  <c r="R18" i="7"/>
  <c r="Q18" i="7"/>
  <c r="Q288" i="7" s="1"/>
  <c r="O18" i="7"/>
  <c r="N18" i="7"/>
  <c r="M18" i="7"/>
  <c r="M288" i="7" s="1"/>
  <c r="L18" i="7"/>
  <c r="J18" i="7"/>
  <c r="I18" i="7"/>
  <c r="I288" i="7" s="1"/>
  <c r="G18" i="7"/>
  <c r="F18" i="7"/>
  <c r="E18" i="7"/>
  <c r="E288" i="7" s="1"/>
  <c r="D18" i="7"/>
  <c r="C17" i="7"/>
  <c r="D17" i="7" s="1"/>
  <c r="E17" i="7" s="1"/>
  <c r="F17" i="7" s="1"/>
  <c r="G17" i="7" s="1"/>
  <c r="H17" i="7" s="1"/>
  <c r="I17" i="7" s="1"/>
  <c r="J17" i="7" s="1"/>
  <c r="K17" i="7" s="1"/>
  <c r="L17" i="7" s="1"/>
  <c r="M17" i="7" s="1"/>
  <c r="N17" i="7" s="1"/>
  <c r="O17" i="7" s="1"/>
  <c r="P17" i="7" s="1"/>
  <c r="Q17" i="7" s="1"/>
  <c r="R17" i="7" s="1"/>
  <c r="S17" i="7" s="1"/>
  <c r="T17" i="7" s="1"/>
  <c r="U17" i="7" s="1"/>
  <c r="V17" i="7" s="1"/>
  <c r="D12" i="7"/>
  <c r="D284" i="7" s="1"/>
  <c r="R7" i="29" s="1"/>
  <c r="C12" i="7"/>
  <c r="B12" i="7"/>
  <c r="D11" i="7"/>
  <c r="C11" i="7"/>
  <c r="B11" i="7"/>
  <c r="D10" i="7"/>
  <c r="C10" i="7"/>
  <c r="B10" i="7"/>
  <c r="Q9" i="7"/>
  <c r="P9" i="7"/>
  <c r="O9" i="7"/>
  <c r="N9" i="7"/>
  <c r="M9" i="7"/>
  <c r="L9" i="7"/>
  <c r="K9" i="7"/>
  <c r="J9" i="7"/>
  <c r="I9" i="7"/>
  <c r="R8" i="7"/>
  <c r="Q8" i="7"/>
  <c r="P8" i="7"/>
  <c r="O8" i="7"/>
  <c r="N8" i="7"/>
  <c r="M8" i="7"/>
  <c r="L8" i="7"/>
  <c r="K8" i="7"/>
  <c r="J8" i="7"/>
  <c r="B8" i="7"/>
  <c r="B6" i="7"/>
  <c r="B278" i="7" s="1"/>
  <c r="L5" i="29" s="1"/>
  <c r="R5" i="7"/>
  <c r="Q5" i="7"/>
  <c r="P5" i="7"/>
  <c r="O5" i="7"/>
  <c r="M5" i="7"/>
  <c r="L5" i="7"/>
  <c r="K5" i="7"/>
  <c r="J5" i="7"/>
  <c r="I5" i="7"/>
  <c r="R4" i="7"/>
  <c r="Q4" i="7"/>
  <c r="P4" i="7"/>
  <c r="O4" i="7"/>
  <c r="N4" i="7"/>
  <c r="M4" i="7"/>
  <c r="K4" i="7"/>
  <c r="J4" i="7"/>
  <c r="I4" i="7"/>
  <c r="H4" i="7"/>
  <c r="G4" i="7"/>
  <c r="F4" i="7"/>
  <c r="E4" i="7"/>
  <c r="C4" i="7"/>
  <c r="C3" i="7"/>
  <c r="D3" i="7" s="1"/>
  <c r="E3" i="7" s="1"/>
  <c r="F3" i="7" s="1"/>
  <c r="G3" i="7" s="1"/>
  <c r="H3" i="7" s="1"/>
  <c r="I3" i="7" s="1"/>
  <c r="J3" i="7" s="1"/>
  <c r="K3" i="7" s="1"/>
  <c r="L3" i="7" s="1"/>
  <c r="M3" i="7" s="1"/>
  <c r="N3" i="7" s="1"/>
  <c r="O3" i="7" s="1"/>
  <c r="P3" i="7" s="1"/>
  <c r="Q3" i="7" s="1"/>
  <c r="R3" i="7" s="1"/>
  <c r="S3" i="7" s="1"/>
  <c r="T3" i="7" s="1"/>
  <c r="U3" i="7" s="1"/>
  <c r="V3" i="7" s="1"/>
  <c r="B111" i="32"/>
  <c r="B95" i="32"/>
  <c r="B76" i="32"/>
  <c r="B74" i="32"/>
  <c r="B52" i="32"/>
  <c r="B36" i="32"/>
  <c r="E4" i="32"/>
  <c r="D4" i="32"/>
  <c r="E3" i="32"/>
  <c r="D3" i="32"/>
  <c r="E100" i="26"/>
  <c r="C100" i="26"/>
  <c r="E99" i="26"/>
  <c r="C99" i="26"/>
  <c r="E98" i="26"/>
  <c r="C98" i="26"/>
  <c r="E97" i="26"/>
  <c r="C97" i="26"/>
  <c r="E96" i="26"/>
  <c r="C96" i="26"/>
  <c r="E95" i="26"/>
  <c r="C95" i="26"/>
  <c r="E94" i="26"/>
  <c r="C94" i="26"/>
  <c r="E93" i="26"/>
  <c r="C93" i="26"/>
  <c r="E92" i="26"/>
  <c r="C92" i="26"/>
  <c r="K91" i="26"/>
  <c r="J91" i="26"/>
  <c r="I91" i="26"/>
  <c r="H91" i="26"/>
  <c r="T91" i="26" s="1"/>
  <c r="G91" i="26"/>
  <c r="F91" i="26"/>
  <c r="E91" i="26"/>
  <c r="C91" i="26"/>
  <c r="K90" i="26"/>
  <c r="J90" i="26"/>
  <c r="I90" i="26"/>
  <c r="H90" i="26"/>
  <c r="T90" i="26" s="1"/>
  <c r="G90" i="26"/>
  <c r="F90" i="26"/>
  <c r="E90" i="26"/>
  <c r="C90" i="26"/>
  <c r="C72" i="26"/>
  <c r="C71" i="26"/>
  <c r="C70" i="26"/>
  <c r="C69" i="26"/>
  <c r="C68" i="26"/>
  <c r="C67" i="26"/>
  <c r="C66" i="26"/>
  <c r="C65" i="26"/>
  <c r="C64" i="26"/>
  <c r="K63" i="26"/>
  <c r="J63" i="26"/>
  <c r="I63" i="26"/>
  <c r="H63" i="26"/>
  <c r="G63" i="26"/>
  <c r="F63" i="26"/>
  <c r="C63" i="26"/>
  <c r="K62" i="26"/>
  <c r="J62" i="26"/>
  <c r="I62" i="26"/>
  <c r="H62" i="26"/>
  <c r="G62" i="26"/>
  <c r="F62" i="26"/>
  <c r="C62" i="26"/>
  <c r="C44" i="26"/>
  <c r="E43" i="26"/>
  <c r="C43" i="26"/>
  <c r="C42" i="26"/>
  <c r="C133" i="26" s="1"/>
  <c r="E41" i="26"/>
  <c r="C41" i="26"/>
  <c r="E40" i="26"/>
  <c r="E131" i="26" s="1"/>
  <c r="C40" i="26"/>
  <c r="E39" i="26"/>
  <c r="C39" i="26"/>
  <c r="E38" i="26"/>
  <c r="E129" i="26" s="1"/>
  <c r="C38" i="26"/>
  <c r="E37" i="26"/>
  <c r="C37" i="26"/>
  <c r="C36" i="26"/>
  <c r="K35" i="26"/>
  <c r="J35" i="26"/>
  <c r="I35" i="26"/>
  <c r="H35" i="26"/>
  <c r="G35" i="26"/>
  <c r="F35" i="26"/>
  <c r="E35" i="26"/>
  <c r="E126" i="26" s="1"/>
  <c r="D35" i="26"/>
  <c r="C35" i="26"/>
  <c r="K34" i="26"/>
  <c r="J34" i="26"/>
  <c r="I34" i="26"/>
  <c r="I125" i="26" s="1"/>
  <c r="H34" i="26"/>
  <c r="G34" i="26"/>
  <c r="F34" i="26"/>
  <c r="E34" i="26"/>
  <c r="E125" i="26" s="1"/>
  <c r="C34" i="26"/>
  <c r="E14" i="26"/>
  <c r="D14" i="26"/>
  <c r="C14" i="26"/>
  <c r="C16" i="33" s="1"/>
  <c r="P16" i="33" s="1"/>
  <c r="E13" i="26"/>
  <c r="E15" i="33" s="1"/>
  <c r="R15" i="33" s="1"/>
  <c r="D13" i="26"/>
  <c r="D164" i="26" s="1"/>
  <c r="C13" i="26"/>
  <c r="C164" i="26" s="1"/>
  <c r="E12" i="26"/>
  <c r="E163" i="26" s="1"/>
  <c r="D12" i="26"/>
  <c r="D163" i="26" s="1"/>
  <c r="C12" i="26"/>
  <c r="E11" i="26"/>
  <c r="D11" i="26"/>
  <c r="D162" i="26" s="1"/>
  <c r="C11" i="26"/>
  <c r="C162" i="26" s="1"/>
  <c r="E10" i="26"/>
  <c r="E161" i="26" s="1"/>
  <c r="D10" i="26"/>
  <c r="D161" i="26" s="1"/>
  <c r="C10" i="26"/>
  <c r="C161" i="26" s="1"/>
  <c r="E9" i="26"/>
  <c r="E160" i="26" s="1"/>
  <c r="D9" i="26"/>
  <c r="C9" i="26"/>
  <c r="K8" i="26"/>
  <c r="K159" i="26" s="1"/>
  <c r="E8" i="26"/>
  <c r="E159" i="26" s="1"/>
  <c r="D8" i="26"/>
  <c r="D10" i="33" s="1"/>
  <c r="Q10" i="33" s="1"/>
  <c r="C8" i="26"/>
  <c r="C159" i="26" s="1"/>
  <c r="K7" i="26"/>
  <c r="K158" i="26" s="1"/>
  <c r="E7" i="26"/>
  <c r="E158" i="26" s="1"/>
  <c r="D7" i="26"/>
  <c r="D158" i="26" s="1"/>
  <c r="C7" i="26"/>
  <c r="C158" i="26" s="1"/>
  <c r="E6" i="26"/>
  <c r="D6" i="26"/>
  <c r="C6" i="26"/>
  <c r="C157" i="26" s="1"/>
  <c r="K5" i="26"/>
  <c r="K156" i="26" s="1"/>
  <c r="J5" i="26"/>
  <c r="J156" i="26" s="1"/>
  <c r="I5" i="26"/>
  <c r="I156" i="26" s="1"/>
  <c r="H5" i="26"/>
  <c r="G5" i="26"/>
  <c r="G156" i="26" s="1"/>
  <c r="F5" i="26"/>
  <c r="F156" i="26" s="1"/>
  <c r="E5" i="26"/>
  <c r="E156" i="26" s="1"/>
  <c r="D5" i="26"/>
  <c r="D156" i="26" s="1"/>
  <c r="C5" i="26"/>
  <c r="C156" i="26" s="1"/>
  <c r="K4" i="26"/>
  <c r="J4" i="26"/>
  <c r="I4" i="26"/>
  <c r="I155" i="26" s="1"/>
  <c r="H4" i="26"/>
  <c r="H155" i="26" s="1"/>
  <c r="G4" i="26"/>
  <c r="G155" i="26" s="1"/>
  <c r="F4" i="26"/>
  <c r="F155" i="26" s="1"/>
  <c r="E4" i="26"/>
  <c r="E155" i="26" s="1"/>
  <c r="D4" i="26"/>
  <c r="D155" i="26" s="1"/>
  <c r="C4" i="26"/>
  <c r="C59" i="34"/>
  <c r="L56" i="34"/>
  <c r="C51" i="34"/>
  <c r="V48" i="34"/>
  <c r="L48" i="34"/>
  <c r="F48" i="34"/>
  <c r="E48" i="34"/>
  <c r="L47" i="34"/>
  <c r="F47" i="34"/>
  <c r="E47" i="34"/>
  <c r="T37" i="34"/>
  <c r="T33" i="34"/>
  <c r="AA26" i="34"/>
  <c r="AF20" i="34"/>
  <c r="AE20" i="34"/>
  <c r="AC20" i="34"/>
  <c r="AB20" i="34"/>
  <c r="W20" i="34"/>
  <c r="V20" i="34"/>
  <c r="U20" i="34"/>
  <c r="T20" i="34"/>
  <c r="O20" i="34"/>
  <c r="M20" i="34"/>
  <c r="L20" i="34"/>
  <c r="D20" i="34"/>
  <c r="AE19" i="34"/>
  <c r="AC19" i="34"/>
  <c r="AB19" i="34"/>
  <c r="W19" i="34"/>
  <c r="U19" i="34"/>
  <c r="T19" i="34"/>
  <c r="O19" i="34"/>
  <c r="N19" i="34"/>
  <c r="M19" i="34"/>
  <c r="L19" i="34"/>
  <c r="D19" i="34"/>
  <c r="AF18" i="34"/>
  <c r="AE18" i="34"/>
  <c r="AC18" i="34"/>
  <c r="AB18" i="34"/>
  <c r="W18" i="34"/>
  <c r="U18" i="34"/>
  <c r="T18" i="34"/>
  <c r="O18" i="34"/>
  <c r="M18" i="34"/>
  <c r="L18" i="34"/>
  <c r="D18" i="34"/>
  <c r="AE17" i="34"/>
  <c r="AC17" i="34"/>
  <c r="AB17" i="34"/>
  <c r="W17" i="34"/>
  <c r="U17" i="34"/>
  <c r="T17" i="34"/>
  <c r="O17" i="34"/>
  <c r="M17" i="34"/>
  <c r="L17" i="34"/>
  <c r="D17" i="34"/>
  <c r="AF16" i="34"/>
  <c r="AE16" i="34"/>
  <c r="AC16" i="34"/>
  <c r="AB16" i="34"/>
  <c r="W16" i="34"/>
  <c r="V16" i="34"/>
  <c r="U16" i="34"/>
  <c r="T16" i="34"/>
  <c r="O16" i="34"/>
  <c r="M16" i="34"/>
  <c r="L16" i="34"/>
  <c r="D16" i="34"/>
  <c r="AE15" i="34"/>
  <c r="AC15" i="34"/>
  <c r="AB15" i="34"/>
  <c r="W15" i="34"/>
  <c r="U15" i="34"/>
  <c r="T15" i="34"/>
  <c r="O15" i="34"/>
  <c r="N15" i="34"/>
  <c r="M15" i="34"/>
  <c r="L15" i="34"/>
  <c r="D15" i="34"/>
  <c r="AF14" i="34"/>
  <c r="AE14" i="34"/>
  <c r="AC14" i="34"/>
  <c r="AB14" i="34"/>
  <c r="W14" i="34"/>
  <c r="U14" i="34"/>
  <c r="T14" i="34"/>
  <c r="O14" i="34"/>
  <c r="M14" i="34"/>
  <c r="L14" i="34"/>
  <c r="D14" i="34"/>
  <c r="AE13" i="34"/>
  <c r="AC13" i="34"/>
  <c r="AB13" i="34"/>
  <c r="W13" i="34"/>
  <c r="U13" i="34"/>
  <c r="T13" i="34"/>
  <c r="O13" i="34"/>
  <c r="M13" i="34"/>
  <c r="L13" i="34"/>
  <c r="D13" i="34"/>
  <c r="AF12" i="34"/>
  <c r="AE12" i="34"/>
  <c r="AC12" i="34"/>
  <c r="AB12" i="34"/>
  <c r="W12" i="34"/>
  <c r="V12" i="34"/>
  <c r="U12" i="34"/>
  <c r="T12" i="34"/>
  <c r="O12" i="34"/>
  <c r="M12" i="34"/>
  <c r="L12" i="34"/>
  <c r="D12" i="34"/>
  <c r="AE11" i="34"/>
  <c r="AC11" i="34"/>
  <c r="AB11" i="34"/>
  <c r="W11" i="34"/>
  <c r="U11" i="34"/>
  <c r="T11" i="34"/>
  <c r="O11" i="34"/>
  <c r="N11" i="34"/>
  <c r="M11" i="34"/>
  <c r="L11" i="34"/>
  <c r="D11" i="34"/>
  <c r="AF10" i="34"/>
  <c r="AE10" i="34"/>
  <c r="AC10" i="34"/>
  <c r="AB10" i="34"/>
  <c r="W10" i="34"/>
  <c r="U10" i="34"/>
  <c r="T10" i="34"/>
  <c r="O10" i="34"/>
  <c r="M10" i="34"/>
  <c r="L10" i="34"/>
  <c r="D10" i="34"/>
  <c r="AE9" i="34"/>
  <c r="AC9" i="34"/>
  <c r="AB9" i="34"/>
  <c r="W9" i="34"/>
  <c r="U9" i="34"/>
  <c r="T9" i="34"/>
  <c r="O9" i="34"/>
  <c r="M9" i="34"/>
  <c r="L9" i="34"/>
  <c r="D9" i="34"/>
  <c r="AF8" i="34"/>
  <c r="AE8" i="34"/>
  <c r="AC8" i="34"/>
  <c r="AB8" i="34"/>
  <c r="W8" i="34"/>
  <c r="V8" i="34"/>
  <c r="U8" i="34"/>
  <c r="T8" i="34"/>
  <c r="O8" i="34"/>
  <c r="M8" i="34"/>
  <c r="L8" i="34"/>
  <c r="D8" i="34"/>
  <c r="AE7" i="34"/>
  <c r="AC7" i="34"/>
  <c r="AB7" i="34"/>
  <c r="W7" i="34"/>
  <c r="U7" i="34"/>
  <c r="T7" i="34"/>
  <c r="O7" i="34"/>
  <c r="N7" i="34"/>
  <c r="M7" i="34"/>
  <c r="L7" i="34"/>
  <c r="D7" i="34"/>
  <c r="AC6" i="34"/>
  <c r="AB6" i="34"/>
  <c r="V6" i="34"/>
  <c r="U6" i="34"/>
  <c r="T6" i="34"/>
  <c r="M6" i="34"/>
  <c r="L6" i="34"/>
  <c r="D6" i="34"/>
  <c r="AE5" i="34"/>
  <c r="AC5" i="34"/>
  <c r="AB5" i="34"/>
  <c r="W5" i="34"/>
  <c r="T5" i="34"/>
  <c r="O5" i="34"/>
  <c r="L5" i="34"/>
  <c r="D5" i="34"/>
  <c r="E147" i="35"/>
  <c r="D147" i="35"/>
  <c r="E146" i="35"/>
  <c r="D146" i="35"/>
  <c r="E145" i="35"/>
  <c r="D145" i="35"/>
  <c r="E144" i="35"/>
  <c r="D144" i="35"/>
  <c r="E143" i="35"/>
  <c r="D143" i="35"/>
  <c r="E142" i="35"/>
  <c r="D142" i="35"/>
  <c r="E141" i="35"/>
  <c r="D141" i="35"/>
  <c r="F97" i="35"/>
  <c r="E124" i="35" s="1"/>
  <c r="E97" i="35"/>
  <c r="D97" i="35"/>
  <c r="D124" i="35" s="1"/>
  <c r="F96" i="35"/>
  <c r="E123" i="35" s="1"/>
  <c r="E96" i="35"/>
  <c r="D96" i="35"/>
  <c r="D123" i="35" s="1"/>
  <c r="F95" i="35"/>
  <c r="E122" i="35" s="1"/>
  <c r="E95" i="35"/>
  <c r="D95" i="35"/>
  <c r="D122" i="35" s="1"/>
  <c r="F94" i="35"/>
  <c r="E121" i="35" s="1"/>
  <c r="E94" i="35"/>
  <c r="D94" i="35"/>
  <c r="D121" i="35" s="1"/>
  <c r="F93" i="35"/>
  <c r="E120" i="35" s="1"/>
  <c r="E93" i="35"/>
  <c r="D93" i="35"/>
  <c r="D120" i="35" s="1"/>
  <c r="G92" i="35"/>
  <c r="F119" i="35" s="1"/>
  <c r="F92" i="35"/>
  <c r="E119" i="35" s="1"/>
  <c r="E92" i="35"/>
  <c r="D92" i="35"/>
  <c r="D119" i="35" s="1"/>
  <c r="G91" i="35"/>
  <c r="F118" i="35" s="1"/>
  <c r="F91" i="35"/>
  <c r="E118" i="35" s="1"/>
  <c r="E91" i="35"/>
  <c r="D91" i="35"/>
  <c r="D118" i="35" s="1"/>
  <c r="F90" i="35"/>
  <c r="E117" i="35" s="1"/>
  <c r="E90" i="35"/>
  <c r="D90" i="35"/>
  <c r="D117" i="35" s="1"/>
  <c r="F89" i="35"/>
  <c r="E116" i="35" s="1"/>
  <c r="E89" i="35"/>
  <c r="D89" i="35"/>
  <c r="D116" i="35" s="1"/>
  <c r="H88" i="35"/>
  <c r="G88" i="35"/>
  <c r="F115" i="35" s="1"/>
  <c r="F88" i="35"/>
  <c r="E115" i="35" s="1"/>
  <c r="E88" i="35"/>
  <c r="D88" i="35"/>
  <c r="D115" i="35" s="1"/>
  <c r="I87" i="35"/>
  <c r="H87" i="35"/>
  <c r="G87" i="35"/>
  <c r="F114" i="35" s="1"/>
  <c r="F87" i="35"/>
  <c r="E114" i="35" s="1"/>
  <c r="E87" i="35"/>
  <c r="D87" i="35"/>
  <c r="D114" i="35" s="1"/>
  <c r="J70" i="35"/>
  <c r="J69" i="35"/>
  <c r="J68" i="35"/>
  <c r="J67" i="35"/>
  <c r="J66" i="35"/>
  <c r="J65" i="35"/>
  <c r="J64" i="35"/>
  <c r="J63" i="35"/>
  <c r="J62" i="35"/>
  <c r="Y61" i="35"/>
  <c r="W61" i="35"/>
  <c r="U61" i="35"/>
  <c r="J61" i="35"/>
  <c r="Y60" i="35"/>
  <c r="W60" i="35"/>
  <c r="D5" i="35" s="1"/>
  <c r="E167" i="35" s="1"/>
  <c r="J60" i="35"/>
  <c r="G32" i="35"/>
  <c r="F32" i="35"/>
  <c r="C13" i="33"/>
  <c r="P13" i="33" s="1"/>
  <c r="E10" i="33"/>
  <c r="R10" i="33" s="1"/>
  <c r="C9" i="33"/>
  <c r="P9" i="33" s="1"/>
  <c r="F7" i="33"/>
  <c r="S7" i="33" s="1"/>
  <c r="E7" i="33"/>
  <c r="R7" i="33" s="1"/>
  <c r="F6" i="33"/>
  <c r="S6" i="33" s="1"/>
  <c r="E6" i="33"/>
  <c r="R6" i="33" s="1"/>
  <c r="D110" i="9"/>
  <c r="C110" i="9"/>
  <c r="B110" i="9"/>
  <c r="D109" i="9"/>
  <c r="C109" i="9"/>
  <c r="B109" i="9"/>
  <c r="D108" i="9"/>
  <c r="C108" i="9"/>
  <c r="B108" i="9"/>
  <c r="D107" i="9"/>
  <c r="C107" i="9"/>
  <c r="B107" i="9"/>
  <c r="D106" i="9"/>
  <c r="C106" i="9"/>
  <c r="B106" i="9"/>
  <c r="D105" i="9"/>
  <c r="C105" i="9"/>
  <c r="B105" i="9"/>
  <c r="D104" i="9"/>
  <c r="C104" i="9"/>
  <c r="B104" i="9"/>
  <c r="T103" i="9"/>
  <c r="AB41" i="34" s="1"/>
  <c r="D103" i="9"/>
  <c r="C103" i="9"/>
  <c r="B103" i="9"/>
  <c r="D102" i="9"/>
  <c r="C102" i="9"/>
  <c r="B102" i="9"/>
  <c r="D101" i="9"/>
  <c r="C101" i="9"/>
  <c r="B101" i="9"/>
  <c r="H100" i="9"/>
  <c r="D100" i="9"/>
  <c r="C100" i="9"/>
  <c r="B100" i="9"/>
  <c r="H99" i="9"/>
  <c r="D99" i="9"/>
  <c r="C99" i="9"/>
  <c r="B99" i="9"/>
  <c r="H98" i="9"/>
  <c r="D98" i="9"/>
  <c r="C98" i="9"/>
  <c r="B98" i="9"/>
  <c r="D100" i="26" s="1"/>
  <c r="H97" i="9"/>
  <c r="D97" i="9"/>
  <c r="C97" i="9"/>
  <c r="B97" i="9"/>
  <c r="H96" i="9"/>
  <c r="D96" i="9"/>
  <c r="C96" i="9"/>
  <c r="B96" i="9"/>
  <c r="T95" i="9"/>
  <c r="AB33" i="34" s="1"/>
  <c r="H95" i="9"/>
  <c r="D95" i="9"/>
  <c r="C95" i="9"/>
  <c r="B95" i="9"/>
  <c r="H94" i="9"/>
  <c r="D94" i="9"/>
  <c r="C94" i="9"/>
  <c r="B94" i="9"/>
  <c r="H93" i="9"/>
  <c r="D93" i="9"/>
  <c r="C93" i="9"/>
  <c r="B93" i="9"/>
  <c r="T92" i="9"/>
  <c r="AB30" i="34" s="1"/>
  <c r="H92" i="9"/>
  <c r="D92" i="9"/>
  <c r="C92" i="9"/>
  <c r="B92" i="9"/>
  <c r="H91" i="9"/>
  <c r="D91" i="9"/>
  <c r="C91" i="9"/>
  <c r="B91" i="9"/>
  <c r="H90" i="9"/>
  <c r="D90" i="9"/>
  <c r="C90" i="9"/>
  <c r="B90" i="9"/>
  <c r="D92" i="26" s="1"/>
  <c r="R89" i="9"/>
  <c r="Q89" i="9"/>
  <c r="P89" i="9"/>
  <c r="O89" i="9"/>
  <c r="N89" i="9"/>
  <c r="M89" i="9"/>
  <c r="L89" i="9"/>
  <c r="K89" i="9"/>
  <c r="J89" i="9"/>
  <c r="H89" i="9"/>
  <c r="D89" i="9"/>
  <c r="C89" i="9"/>
  <c r="B89" i="9"/>
  <c r="D91" i="26" s="1"/>
  <c r="S88" i="9"/>
  <c r="R88" i="9"/>
  <c r="Q88" i="9"/>
  <c r="P88" i="9"/>
  <c r="O88" i="9"/>
  <c r="N88" i="9"/>
  <c r="M88" i="9"/>
  <c r="L88" i="9"/>
  <c r="K88" i="9"/>
  <c r="J88" i="9"/>
  <c r="H88" i="9"/>
  <c r="D88" i="9"/>
  <c r="C88" i="9"/>
  <c r="B88" i="9"/>
  <c r="T82" i="9"/>
  <c r="D82" i="9"/>
  <c r="C82" i="9"/>
  <c r="B82" i="9"/>
  <c r="D81" i="9"/>
  <c r="C81" i="9"/>
  <c r="B81" i="9"/>
  <c r="D80" i="9"/>
  <c r="C80" i="9"/>
  <c r="B80" i="9"/>
  <c r="D79" i="9"/>
  <c r="C79" i="9"/>
  <c r="B79" i="9"/>
  <c r="T78" i="9"/>
  <c r="D78" i="9"/>
  <c r="C78" i="9"/>
  <c r="B78" i="9"/>
  <c r="D77" i="9"/>
  <c r="C77" i="9"/>
  <c r="B77" i="9"/>
  <c r="D76" i="9"/>
  <c r="C76" i="9"/>
  <c r="B76" i="9"/>
  <c r="D75" i="9"/>
  <c r="C75" i="9"/>
  <c r="B75" i="9"/>
  <c r="T74" i="9"/>
  <c r="T40" i="34" s="1"/>
  <c r="H74" i="9"/>
  <c r="D74" i="9"/>
  <c r="C74" i="9"/>
  <c r="B74" i="9"/>
  <c r="H73" i="9"/>
  <c r="D73" i="9"/>
  <c r="C73" i="9"/>
  <c r="B73" i="9"/>
  <c r="H72" i="9"/>
  <c r="D72" i="9"/>
  <c r="C72" i="9"/>
  <c r="B72" i="9"/>
  <c r="T71" i="9"/>
  <c r="H71" i="9"/>
  <c r="D71" i="9"/>
  <c r="C71" i="9"/>
  <c r="B71" i="9"/>
  <c r="H70" i="9"/>
  <c r="D70" i="9"/>
  <c r="C70" i="9"/>
  <c r="B70" i="9"/>
  <c r="H69" i="9"/>
  <c r="D69" i="9"/>
  <c r="C69" i="9"/>
  <c r="B69" i="9"/>
  <c r="H68" i="9"/>
  <c r="D68" i="9"/>
  <c r="C68" i="9"/>
  <c r="B68" i="9"/>
  <c r="D70" i="26" s="1"/>
  <c r="H67" i="9"/>
  <c r="D67" i="9"/>
  <c r="C67" i="9"/>
  <c r="B67" i="9"/>
  <c r="T66" i="9"/>
  <c r="T32" i="34" s="1"/>
  <c r="H66" i="9"/>
  <c r="D66" i="9"/>
  <c r="C66" i="9"/>
  <c r="B66" i="9"/>
  <c r="H65" i="9"/>
  <c r="D65" i="9"/>
  <c r="C65" i="9"/>
  <c r="B65" i="9"/>
  <c r="H64" i="9"/>
  <c r="D64" i="9"/>
  <c r="C64" i="9"/>
  <c r="B64" i="9"/>
  <c r="T63" i="9"/>
  <c r="T29" i="34" s="1"/>
  <c r="H63" i="9"/>
  <c r="D63" i="9"/>
  <c r="C63" i="9"/>
  <c r="B63" i="9"/>
  <c r="H62" i="9"/>
  <c r="D62" i="9"/>
  <c r="C62" i="9"/>
  <c r="B62" i="9"/>
  <c r="R61" i="9"/>
  <c r="Q61" i="9"/>
  <c r="P61" i="9"/>
  <c r="O61" i="9"/>
  <c r="N61" i="9"/>
  <c r="M61" i="9"/>
  <c r="L61" i="9"/>
  <c r="K61" i="9"/>
  <c r="J61" i="9"/>
  <c r="H61" i="9"/>
  <c r="D61" i="9"/>
  <c r="C61" i="9"/>
  <c r="B61" i="9"/>
  <c r="S60" i="9"/>
  <c r="S26" i="34" s="1"/>
  <c r="R60" i="9"/>
  <c r="Q60" i="9"/>
  <c r="P60" i="9"/>
  <c r="O60" i="9"/>
  <c r="N60" i="9"/>
  <c r="M60" i="9"/>
  <c r="L60" i="9"/>
  <c r="K60" i="9"/>
  <c r="J60" i="9"/>
  <c r="H60" i="9"/>
  <c r="D60" i="9"/>
  <c r="C60" i="9"/>
  <c r="B60" i="9"/>
  <c r="D62" i="26" s="1"/>
  <c r="D54" i="9"/>
  <c r="C54" i="9"/>
  <c r="B54" i="9"/>
  <c r="D53" i="9"/>
  <c r="C53" i="9"/>
  <c r="B53" i="9"/>
  <c r="D52" i="9"/>
  <c r="C52" i="9"/>
  <c r="B52" i="9"/>
  <c r="D51" i="9"/>
  <c r="C51" i="9"/>
  <c r="B51" i="9"/>
  <c r="D50" i="9"/>
  <c r="C50" i="9"/>
  <c r="B50" i="9"/>
  <c r="H49" i="9"/>
  <c r="D49" i="9"/>
  <c r="C49" i="9"/>
  <c r="B49" i="9"/>
  <c r="H48" i="9"/>
  <c r="D48" i="9"/>
  <c r="C48" i="9"/>
  <c r="B48" i="9"/>
  <c r="H47" i="9"/>
  <c r="D47" i="9"/>
  <c r="C47" i="9"/>
  <c r="B47" i="9"/>
  <c r="T46" i="9"/>
  <c r="L40" i="34" s="1"/>
  <c r="H46" i="9"/>
  <c r="D46" i="9"/>
  <c r="C46" i="9"/>
  <c r="B46" i="9"/>
  <c r="H45" i="9"/>
  <c r="D45" i="9"/>
  <c r="C45" i="9"/>
  <c r="B45" i="9"/>
  <c r="H44" i="9"/>
  <c r="D44" i="9"/>
  <c r="C44" i="9"/>
  <c r="B44" i="9"/>
  <c r="T43" i="9"/>
  <c r="L37" i="34" s="1"/>
  <c r="H43" i="9"/>
  <c r="D43" i="9"/>
  <c r="C43" i="9"/>
  <c r="B43" i="9"/>
  <c r="H42" i="9"/>
  <c r="D42" i="9"/>
  <c r="D44" i="26" s="1"/>
  <c r="C42" i="9"/>
  <c r="B42" i="9"/>
  <c r="H41" i="9"/>
  <c r="D41" i="9"/>
  <c r="C41" i="9"/>
  <c r="B41" i="9"/>
  <c r="D43" i="26" s="1"/>
  <c r="H40" i="9"/>
  <c r="D40" i="9"/>
  <c r="C40" i="9"/>
  <c r="B40" i="9"/>
  <c r="D42" i="26" s="1"/>
  <c r="H39" i="9"/>
  <c r="D39" i="9"/>
  <c r="C39" i="9"/>
  <c r="B39" i="9"/>
  <c r="T38" i="9"/>
  <c r="L32" i="34" s="1"/>
  <c r="H38" i="9"/>
  <c r="D38" i="9"/>
  <c r="C38" i="9"/>
  <c r="B38" i="9"/>
  <c r="D40" i="26" s="1"/>
  <c r="H37" i="9"/>
  <c r="D37" i="9"/>
  <c r="C37" i="9"/>
  <c r="B37" i="9"/>
  <c r="H36" i="9"/>
  <c r="D36" i="9"/>
  <c r="C36" i="9"/>
  <c r="B36" i="9"/>
  <c r="T35" i="9"/>
  <c r="L29" i="34" s="1"/>
  <c r="H35" i="9"/>
  <c r="D35" i="9"/>
  <c r="C35" i="9"/>
  <c r="B35" i="9"/>
  <c r="H34" i="9"/>
  <c r="D34" i="9"/>
  <c r="C34" i="9"/>
  <c r="B34" i="9"/>
  <c r="R33" i="9"/>
  <c r="Q33" i="9"/>
  <c r="P33" i="9"/>
  <c r="O33" i="9"/>
  <c r="N33" i="9"/>
  <c r="M33" i="9"/>
  <c r="L33" i="9"/>
  <c r="K33" i="9"/>
  <c r="J33" i="9"/>
  <c r="H33" i="9"/>
  <c r="D33" i="9"/>
  <c r="C33" i="9"/>
  <c r="B33" i="9"/>
  <c r="S32" i="9"/>
  <c r="K26" i="34" s="1"/>
  <c r="R32" i="9"/>
  <c r="Q32" i="9"/>
  <c r="P32" i="9"/>
  <c r="O32" i="9"/>
  <c r="N32" i="9"/>
  <c r="M32" i="9"/>
  <c r="L32" i="9"/>
  <c r="K32" i="9"/>
  <c r="J32" i="9"/>
  <c r="H32" i="9"/>
  <c r="D32" i="9"/>
  <c r="C32" i="9"/>
  <c r="B32" i="9"/>
  <c r="T110" i="12"/>
  <c r="I110" i="12"/>
  <c r="J110" i="12" s="1"/>
  <c r="C111" i="32" s="1"/>
  <c r="E110" i="12"/>
  <c r="T109" i="12"/>
  <c r="I109" i="12"/>
  <c r="J109" i="12" s="1"/>
  <c r="C110" i="32" s="1"/>
  <c r="E109" i="12"/>
  <c r="B110" i="32" s="1"/>
  <c r="T108" i="12"/>
  <c r="J108" i="12"/>
  <c r="C109" i="32" s="1"/>
  <c r="I108" i="12"/>
  <c r="E108" i="12"/>
  <c r="B109" i="32" s="1"/>
  <c r="T107" i="12"/>
  <c r="I107" i="12"/>
  <c r="J107" i="12" s="1"/>
  <c r="E107" i="12"/>
  <c r="B108" i="32" s="1"/>
  <c r="T106" i="12"/>
  <c r="J106" i="12"/>
  <c r="C107" i="32" s="1"/>
  <c r="I106" i="12"/>
  <c r="E106" i="12"/>
  <c r="B107" i="32" s="1"/>
  <c r="T105" i="12"/>
  <c r="J105" i="12"/>
  <c r="C106" i="32" s="1"/>
  <c r="I105" i="12"/>
  <c r="E105" i="12"/>
  <c r="B106" i="32" s="1"/>
  <c r="T104" i="12"/>
  <c r="I104" i="12"/>
  <c r="J104" i="12" s="1"/>
  <c r="C105" i="32" s="1"/>
  <c r="E104" i="12"/>
  <c r="T103" i="12"/>
  <c r="I103" i="12"/>
  <c r="J103" i="12" s="1"/>
  <c r="E103" i="12"/>
  <c r="T102" i="12"/>
  <c r="I102" i="12"/>
  <c r="J102" i="12" s="1"/>
  <c r="E102" i="12"/>
  <c r="B103" i="32" s="1"/>
  <c r="T101" i="12"/>
  <c r="J101" i="12"/>
  <c r="C102" i="32" s="1"/>
  <c r="I101" i="12"/>
  <c r="E101" i="12"/>
  <c r="B102" i="32" s="1"/>
  <c r="T100" i="12"/>
  <c r="J100" i="12"/>
  <c r="C101" i="32" s="1"/>
  <c r="I100" i="12"/>
  <c r="E100" i="12"/>
  <c r="B101" i="32" s="1"/>
  <c r="T99" i="12"/>
  <c r="I99" i="12"/>
  <c r="J99" i="12" s="1"/>
  <c r="E99" i="12"/>
  <c r="B100" i="32" s="1"/>
  <c r="T98" i="12"/>
  <c r="J98" i="12"/>
  <c r="I98" i="12"/>
  <c r="E98" i="12"/>
  <c r="T97" i="12"/>
  <c r="J97" i="12"/>
  <c r="I97" i="12"/>
  <c r="E97" i="12"/>
  <c r="B98" i="32" s="1"/>
  <c r="T96" i="12"/>
  <c r="I96" i="12"/>
  <c r="J96" i="12" s="1"/>
  <c r="E96" i="12"/>
  <c r="B97" i="32" s="1"/>
  <c r="T95" i="12"/>
  <c r="I95" i="12"/>
  <c r="J95" i="12" s="1"/>
  <c r="E95" i="12"/>
  <c r="T94" i="12"/>
  <c r="I94" i="12"/>
  <c r="J94" i="12" s="1"/>
  <c r="E94" i="12"/>
  <c r="AA53" i="34" s="1"/>
  <c r="T93" i="12"/>
  <c r="J93" i="12"/>
  <c r="C94" i="32" s="1"/>
  <c r="I93" i="12"/>
  <c r="E93" i="12"/>
  <c r="B94" i="32" s="1"/>
  <c r="T92" i="12"/>
  <c r="J92" i="12"/>
  <c r="C93" i="32" s="1"/>
  <c r="I92" i="12"/>
  <c r="E92" i="12"/>
  <c r="B93" i="32" s="1"/>
  <c r="T91" i="12"/>
  <c r="I91" i="12"/>
  <c r="J91" i="12" s="1"/>
  <c r="E91" i="12"/>
  <c r="B92" i="32" s="1"/>
  <c r="T90" i="12"/>
  <c r="J90" i="12"/>
  <c r="I90" i="12"/>
  <c r="E90" i="12"/>
  <c r="B91" i="32" s="1"/>
  <c r="T89" i="12"/>
  <c r="S89" i="12"/>
  <c r="R89" i="12"/>
  <c r="Q89" i="12"/>
  <c r="P89" i="12"/>
  <c r="O89" i="12"/>
  <c r="N89" i="12"/>
  <c r="M89" i="12"/>
  <c r="L89" i="12"/>
  <c r="K89" i="12"/>
  <c r="J89" i="12"/>
  <c r="I89" i="12"/>
  <c r="E89" i="12"/>
  <c r="B90" i="32" s="1"/>
  <c r="T88" i="12"/>
  <c r="S88" i="12"/>
  <c r="R88" i="12"/>
  <c r="Q88" i="12"/>
  <c r="P88" i="12"/>
  <c r="O88" i="12"/>
  <c r="N88" i="12"/>
  <c r="M88" i="12"/>
  <c r="L88" i="12"/>
  <c r="K88" i="12"/>
  <c r="I88" i="12"/>
  <c r="J88" i="12" s="1"/>
  <c r="E88" i="12"/>
  <c r="T82" i="12"/>
  <c r="J82" i="12"/>
  <c r="C83" i="32" s="1"/>
  <c r="I82" i="12"/>
  <c r="E82" i="12"/>
  <c r="T81" i="12"/>
  <c r="I81" i="12"/>
  <c r="J81" i="12" s="1"/>
  <c r="C82" i="32" s="1"/>
  <c r="E81" i="12"/>
  <c r="B82" i="32" s="1"/>
  <c r="T80" i="12"/>
  <c r="J80" i="12"/>
  <c r="C81" i="32" s="1"/>
  <c r="I80" i="12"/>
  <c r="E80" i="12"/>
  <c r="B81" i="32" s="1"/>
  <c r="T79" i="12"/>
  <c r="J79" i="12"/>
  <c r="C80" i="32" s="1"/>
  <c r="I79" i="12"/>
  <c r="E79" i="12"/>
  <c r="B80" i="32" s="1"/>
  <c r="T78" i="12"/>
  <c r="I78" i="12"/>
  <c r="J78" i="12" s="1"/>
  <c r="E78" i="12"/>
  <c r="B79" i="32" s="1"/>
  <c r="T77" i="12"/>
  <c r="J77" i="12"/>
  <c r="C78" i="32" s="1"/>
  <c r="I77" i="12"/>
  <c r="E77" i="12"/>
  <c r="T76" i="12"/>
  <c r="I76" i="12"/>
  <c r="J76" i="12" s="1"/>
  <c r="E76" i="12"/>
  <c r="B77" i="32" s="1"/>
  <c r="T75" i="12"/>
  <c r="I75" i="12"/>
  <c r="J75" i="12" s="1"/>
  <c r="E75" i="12"/>
  <c r="T74" i="12"/>
  <c r="J74" i="12"/>
  <c r="C75" i="32" s="1"/>
  <c r="I74" i="12"/>
  <c r="E74" i="12"/>
  <c r="T73" i="12"/>
  <c r="I73" i="12"/>
  <c r="J73" i="12" s="1"/>
  <c r="E73" i="12"/>
  <c r="S60" i="34" s="1"/>
  <c r="T72" i="12"/>
  <c r="J72" i="12"/>
  <c r="C73" i="32" s="1"/>
  <c r="I72" i="12"/>
  <c r="E72" i="12"/>
  <c r="B73" i="32" s="1"/>
  <c r="T71" i="12"/>
  <c r="J71" i="12"/>
  <c r="C72" i="32" s="1"/>
  <c r="I71" i="12"/>
  <c r="E71" i="12"/>
  <c r="B72" i="32" s="1"/>
  <c r="T70" i="12"/>
  <c r="I70" i="12"/>
  <c r="J70" i="12" s="1"/>
  <c r="E70" i="12"/>
  <c r="B71" i="32" s="1"/>
  <c r="T69" i="12"/>
  <c r="J69" i="12"/>
  <c r="I69" i="12"/>
  <c r="E69" i="12"/>
  <c r="B70" i="32" s="1"/>
  <c r="T68" i="12"/>
  <c r="J68" i="12"/>
  <c r="I68" i="12"/>
  <c r="E68" i="12"/>
  <c r="B69" i="32" s="1"/>
  <c r="T67" i="12"/>
  <c r="I67" i="12"/>
  <c r="J67" i="12" s="1"/>
  <c r="E67" i="12"/>
  <c r="T66" i="12"/>
  <c r="J66" i="12"/>
  <c r="C67" i="32" s="1"/>
  <c r="I66" i="12"/>
  <c r="E66" i="12"/>
  <c r="T65" i="12"/>
  <c r="I65" i="12"/>
  <c r="J65" i="12" s="1"/>
  <c r="E65" i="12"/>
  <c r="S52" i="34" s="1"/>
  <c r="T64" i="12"/>
  <c r="J64" i="12"/>
  <c r="C65" i="32" s="1"/>
  <c r="I64" i="12"/>
  <c r="E64" i="12"/>
  <c r="B65" i="32" s="1"/>
  <c r="T63" i="12"/>
  <c r="I63" i="12"/>
  <c r="J63" i="12" s="1"/>
  <c r="E63" i="12"/>
  <c r="S50" i="34" s="1"/>
  <c r="T62" i="12"/>
  <c r="I62" i="12"/>
  <c r="J62" i="12" s="1"/>
  <c r="E62" i="12"/>
  <c r="B63" i="32" s="1"/>
  <c r="T61" i="12"/>
  <c r="S61" i="12"/>
  <c r="R61" i="12"/>
  <c r="Q61" i="12"/>
  <c r="P61" i="12"/>
  <c r="O61" i="12"/>
  <c r="N61" i="12"/>
  <c r="M61" i="12"/>
  <c r="L61" i="12"/>
  <c r="K61" i="12"/>
  <c r="J61" i="12"/>
  <c r="I61" i="12"/>
  <c r="E61" i="12"/>
  <c r="S48" i="34" s="1"/>
  <c r="T60" i="12"/>
  <c r="S60" i="12"/>
  <c r="R60" i="12"/>
  <c r="Q60" i="12"/>
  <c r="E61" i="32" s="1"/>
  <c r="P60" i="12"/>
  <c r="O60" i="12"/>
  <c r="N60" i="12"/>
  <c r="M60" i="12"/>
  <c r="L60" i="12"/>
  <c r="K60" i="12"/>
  <c r="I60" i="12"/>
  <c r="J60" i="12" s="1"/>
  <c r="E60" i="12"/>
  <c r="B61" i="32" s="1"/>
  <c r="T54" i="12"/>
  <c r="I54" i="12"/>
  <c r="J54" i="12" s="1"/>
  <c r="C54" i="32" s="1"/>
  <c r="E54" i="12"/>
  <c r="T53" i="12"/>
  <c r="J53" i="12"/>
  <c r="C53" i="32" s="1"/>
  <c r="I53" i="12"/>
  <c r="E53" i="12"/>
  <c r="T52" i="12"/>
  <c r="I52" i="12"/>
  <c r="J52" i="12" s="1"/>
  <c r="C52" i="32" s="1"/>
  <c r="E52" i="12"/>
  <c r="T51" i="12"/>
  <c r="J51" i="12"/>
  <c r="C51" i="32" s="1"/>
  <c r="I51" i="12"/>
  <c r="E51" i="12"/>
  <c r="B51" i="32" s="1"/>
  <c r="T50" i="12"/>
  <c r="I50" i="12"/>
  <c r="J50" i="12" s="1"/>
  <c r="C50" i="32" s="1"/>
  <c r="E50" i="12"/>
  <c r="B50" i="32" s="1"/>
  <c r="T49" i="12"/>
  <c r="J49" i="12"/>
  <c r="C49" i="32" s="1"/>
  <c r="I49" i="12"/>
  <c r="E49" i="12"/>
  <c r="B49" i="32" s="1"/>
  <c r="T48" i="12"/>
  <c r="J48" i="12"/>
  <c r="C48" i="32" s="1"/>
  <c r="I48" i="12"/>
  <c r="E48" i="12"/>
  <c r="B48" i="32" s="1"/>
  <c r="T47" i="12"/>
  <c r="J47" i="12"/>
  <c r="C47" i="32" s="1"/>
  <c r="I47" i="12"/>
  <c r="E47" i="12"/>
  <c r="B47" i="32" s="1"/>
  <c r="T46" i="12"/>
  <c r="I46" i="12"/>
  <c r="J46" i="12" s="1"/>
  <c r="C46" i="32" s="1"/>
  <c r="E46" i="12"/>
  <c r="T45" i="12"/>
  <c r="J45" i="12"/>
  <c r="C45" i="32" s="1"/>
  <c r="I45" i="12"/>
  <c r="E45" i="12"/>
  <c r="T44" i="12"/>
  <c r="I44" i="12"/>
  <c r="J44" i="12" s="1"/>
  <c r="C44" i="32" s="1"/>
  <c r="E44" i="12"/>
  <c r="K59" i="34" s="1"/>
  <c r="T43" i="12"/>
  <c r="J43" i="12"/>
  <c r="C43" i="32" s="1"/>
  <c r="I43" i="12"/>
  <c r="E43" i="12"/>
  <c r="B43" i="32" s="1"/>
  <c r="T42" i="12"/>
  <c r="I42" i="12"/>
  <c r="J42" i="12" s="1"/>
  <c r="C42" i="32" s="1"/>
  <c r="E42" i="12"/>
  <c r="K57" i="34" s="1"/>
  <c r="T41" i="12"/>
  <c r="J41" i="12"/>
  <c r="C41" i="32" s="1"/>
  <c r="I41" i="12"/>
  <c r="E41" i="12"/>
  <c r="B41" i="32" s="1"/>
  <c r="T40" i="12"/>
  <c r="J40" i="12"/>
  <c r="C40" i="32" s="1"/>
  <c r="I40" i="12"/>
  <c r="E40" i="12"/>
  <c r="K55" i="34" s="1"/>
  <c r="T39" i="12"/>
  <c r="I39" i="12"/>
  <c r="J39" i="12" s="1"/>
  <c r="E39" i="12"/>
  <c r="B39" i="32" s="1"/>
  <c r="T38" i="12"/>
  <c r="I38" i="12"/>
  <c r="J38" i="12" s="1"/>
  <c r="C38" i="32" s="1"/>
  <c r="E38" i="12"/>
  <c r="T37" i="12"/>
  <c r="J37" i="12"/>
  <c r="C37" i="32" s="1"/>
  <c r="I37" i="12"/>
  <c r="E37" i="12"/>
  <c r="T36" i="12"/>
  <c r="I36" i="12"/>
  <c r="J36" i="12" s="1"/>
  <c r="C36" i="32" s="1"/>
  <c r="E36" i="12"/>
  <c r="K51" i="34" s="1"/>
  <c r="T35" i="12"/>
  <c r="J35" i="12"/>
  <c r="C35" i="32" s="1"/>
  <c r="I35" i="12"/>
  <c r="E35" i="12"/>
  <c r="B35" i="32" s="1"/>
  <c r="T34" i="12"/>
  <c r="I34" i="12"/>
  <c r="J34" i="12" s="1"/>
  <c r="C34" i="32" s="1"/>
  <c r="E34" i="12"/>
  <c r="B34" i="32" s="1"/>
  <c r="T33" i="12"/>
  <c r="S33" i="12"/>
  <c r="R33" i="12"/>
  <c r="Q33" i="12"/>
  <c r="N48" i="34" s="1"/>
  <c r="P33" i="12"/>
  <c r="O33" i="12"/>
  <c r="N33" i="12"/>
  <c r="M33" i="12"/>
  <c r="L33" i="12"/>
  <c r="K33" i="12"/>
  <c r="J33" i="12"/>
  <c r="C33" i="32" s="1"/>
  <c r="I33" i="12"/>
  <c r="E33" i="12"/>
  <c r="B33" i="32" s="1"/>
  <c r="T32" i="12"/>
  <c r="S32" i="12"/>
  <c r="R32" i="12"/>
  <c r="M47" i="34" s="1"/>
  <c r="Q32" i="12"/>
  <c r="N47" i="34" s="1"/>
  <c r="P32" i="12"/>
  <c r="O32" i="12"/>
  <c r="N32" i="12"/>
  <c r="M32" i="12"/>
  <c r="L32" i="12"/>
  <c r="K32" i="12"/>
  <c r="J32" i="12"/>
  <c r="C32" i="32" s="1"/>
  <c r="I32" i="12"/>
  <c r="E32" i="12"/>
  <c r="K47" i="34" s="1"/>
  <c r="J26" i="12"/>
  <c r="C25" i="32" s="1"/>
  <c r="D26" i="12"/>
  <c r="E26" i="12" s="1"/>
  <c r="C26" i="12"/>
  <c r="B26" i="12"/>
  <c r="J25" i="12"/>
  <c r="C24" i="32" s="1"/>
  <c r="E25" i="12"/>
  <c r="D25" i="12"/>
  <c r="C25" i="12"/>
  <c r="B25" i="12"/>
  <c r="J24" i="12"/>
  <c r="C23" i="32" s="1"/>
  <c r="E24" i="12"/>
  <c r="D24" i="12"/>
  <c r="C24" i="12"/>
  <c r="B24" i="12"/>
  <c r="J23" i="12"/>
  <c r="C22" i="32" s="1"/>
  <c r="D23" i="12"/>
  <c r="E23" i="12" s="1"/>
  <c r="C23" i="12"/>
  <c r="B23" i="12"/>
  <c r="J22" i="12"/>
  <c r="C21" i="32" s="1"/>
  <c r="E22" i="12"/>
  <c r="D22" i="12"/>
  <c r="C22" i="12"/>
  <c r="B22" i="12"/>
  <c r="J21" i="12"/>
  <c r="C20" i="32" s="1"/>
  <c r="D21" i="12"/>
  <c r="E21" i="12" s="1"/>
  <c r="C21" i="12"/>
  <c r="B21" i="12"/>
  <c r="J20" i="12"/>
  <c r="C19" i="32" s="1"/>
  <c r="D20" i="12"/>
  <c r="E20" i="12" s="1"/>
  <c r="C20" i="12"/>
  <c r="B20" i="12"/>
  <c r="J19" i="12"/>
  <c r="C18" i="32" s="1"/>
  <c r="D19" i="12"/>
  <c r="E19" i="12" s="1"/>
  <c r="C19" i="12"/>
  <c r="B19" i="12"/>
  <c r="J18" i="12"/>
  <c r="C17" i="32" s="1"/>
  <c r="D18" i="12"/>
  <c r="E18" i="12" s="1"/>
  <c r="C18" i="12"/>
  <c r="B18" i="12"/>
  <c r="J17" i="12"/>
  <c r="C16" i="32" s="1"/>
  <c r="E17" i="12"/>
  <c r="B16" i="32" s="1"/>
  <c r="D17" i="12"/>
  <c r="C17" i="12"/>
  <c r="B17" i="12"/>
  <c r="J16" i="12"/>
  <c r="C15" i="32" s="1"/>
  <c r="E16" i="12"/>
  <c r="D16" i="12"/>
  <c r="C16" i="12"/>
  <c r="B16" i="12"/>
  <c r="J15" i="12"/>
  <c r="C14" i="32" s="1"/>
  <c r="D15" i="12"/>
  <c r="E15" i="12" s="1"/>
  <c r="C15" i="12"/>
  <c r="B15" i="12"/>
  <c r="J14" i="12"/>
  <c r="C13" i="32" s="1"/>
  <c r="E14" i="12"/>
  <c r="G97" i="35" s="1"/>
  <c r="F124" i="35" s="1"/>
  <c r="D14" i="12"/>
  <c r="C14" i="12"/>
  <c r="B14" i="12"/>
  <c r="J13" i="12"/>
  <c r="C12" i="32" s="1"/>
  <c r="D13" i="12"/>
  <c r="E13" i="12" s="1"/>
  <c r="C13" i="12"/>
  <c r="B13" i="12"/>
  <c r="J12" i="12"/>
  <c r="C11" i="32" s="1"/>
  <c r="D12" i="12"/>
  <c r="E12" i="12" s="1"/>
  <c r="C12" i="12"/>
  <c r="B12" i="12"/>
  <c r="J11" i="12"/>
  <c r="C10" i="32" s="1"/>
  <c r="D11" i="12"/>
  <c r="E11" i="12" s="1"/>
  <c r="C11" i="12"/>
  <c r="B11" i="12"/>
  <c r="J10" i="12"/>
  <c r="C9" i="32" s="1"/>
  <c r="D10" i="12"/>
  <c r="E10" i="12" s="1"/>
  <c r="C10" i="12"/>
  <c r="B10" i="12"/>
  <c r="J9" i="12"/>
  <c r="C8" i="32" s="1"/>
  <c r="E9" i="12"/>
  <c r="D9" i="12"/>
  <c r="C9" i="12"/>
  <c r="B9" i="12"/>
  <c r="J8" i="12"/>
  <c r="C7" i="32" s="1"/>
  <c r="E8" i="12"/>
  <c r="D8" i="12"/>
  <c r="C8" i="12"/>
  <c r="B8" i="12"/>
  <c r="J7" i="12"/>
  <c r="C6" i="32" s="1"/>
  <c r="D7" i="12"/>
  <c r="E7" i="12" s="1"/>
  <c r="C7" i="12"/>
  <c r="B7" i="12"/>
  <c r="J6" i="12"/>
  <c r="C5" i="32" s="1"/>
  <c r="E6" i="12"/>
  <c r="D6" i="12"/>
  <c r="C6" i="12"/>
  <c r="B6" i="12"/>
  <c r="U5" i="12"/>
  <c r="J5" i="12"/>
  <c r="C4" i="32" s="1"/>
  <c r="D5" i="12"/>
  <c r="C5" i="12"/>
  <c r="E5" i="12" s="1"/>
  <c r="B5" i="12"/>
  <c r="U4" i="12"/>
  <c r="J4" i="12"/>
  <c r="C3" i="32" s="1"/>
  <c r="D4" i="12"/>
  <c r="C4" i="12"/>
  <c r="B4" i="12"/>
  <c r="E4" i="12" s="1"/>
  <c r="E158" i="15"/>
  <c r="S3" i="9" s="1"/>
  <c r="E155" i="15"/>
  <c r="E133" i="15"/>
  <c r="F133" i="15" s="1"/>
  <c r="E132" i="15"/>
  <c r="F132" i="15" s="1"/>
  <c r="E131" i="15"/>
  <c r="F131" i="15" s="1"/>
  <c r="E130" i="15"/>
  <c r="F130" i="15" s="1"/>
  <c r="F129" i="15"/>
  <c r="E129" i="15"/>
  <c r="E128" i="15"/>
  <c r="F128" i="15" s="1"/>
  <c r="H127" i="15"/>
  <c r="F127" i="15"/>
  <c r="E127" i="15"/>
  <c r="E126" i="15"/>
  <c r="E20" i="34" s="1"/>
  <c r="F125" i="15"/>
  <c r="E125" i="15"/>
  <c r="E19" i="34" s="1"/>
  <c r="E124" i="15"/>
  <c r="E18" i="34" s="1"/>
  <c r="F123" i="15"/>
  <c r="E123" i="15"/>
  <c r="E17" i="34" s="1"/>
  <c r="E122" i="15"/>
  <c r="E16" i="34" s="1"/>
  <c r="F121" i="15"/>
  <c r="E121" i="15"/>
  <c r="E15" i="34" s="1"/>
  <c r="E120" i="15"/>
  <c r="E14" i="34" s="1"/>
  <c r="F119" i="15"/>
  <c r="E119" i="15"/>
  <c r="E13" i="34" s="1"/>
  <c r="E118" i="15"/>
  <c r="E12" i="34" s="1"/>
  <c r="F117" i="15"/>
  <c r="E117" i="15"/>
  <c r="E11" i="34" s="1"/>
  <c r="E116" i="15"/>
  <c r="E10" i="34" s="1"/>
  <c r="F115" i="15"/>
  <c r="E115" i="15"/>
  <c r="E9" i="34" s="1"/>
  <c r="E114" i="15"/>
  <c r="E8" i="34" s="1"/>
  <c r="F113" i="15"/>
  <c r="E113" i="15"/>
  <c r="E7" i="34" s="1"/>
  <c r="E112" i="15"/>
  <c r="E6" i="34" s="1"/>
  <c r="H111" i="15"/>
  <c r="E110" i="15"/>
  <c r="F110" i="15" s="1"/>
  <c r="F109" i="15"/>
  <c r="E109" i="15"/>
  <c r="E108" i="15"/>
  <c r="F108" i="15" s="1"/>
  <c r="H101" i="15"/>
  <c r="T110" i="9" s="1"/>
  <c r="F101" i="15"/>
  <c r="H100" i="15"/>
  <c r="T109" i="9" s="1"/>
  <c r="F100" i="15"/>
  <c r="H99" i="15"/>
  <c r="T108" i="9" s="1"/>
  <c r="F99" i="15"/>
  <c r="H98" i="15"/>
  <c r="T107" i="9" s="1"/>
  <c r="F98" i="15"/>
  <c r="H97" i="15"/>
  <c r="H129" i="15" s="1"/>
  <c r="F97" i="15"/>
  <c r="H96" i="15"/>
  <c r="T105" i="9" s="1"/>
  <c r="F96" i="15"/>
  <c r="H95" i="15"/>
  <c r="T104" i="9" s="1"/>
  <c r="F95" i="15"/>
  <c r="H94" i="15"/>
  <c r="F94" i="15"/>
  <c r="AD20" i="34" s="1"/>
  <c r="H93" i="15"/>
  <c r="T102" i="9" s="1"/>
  <c r="AB40" i="34" s="1"/>
  <c r="F93" i="15"/>
  <c r="AD19" i="34" s="1"/>
  <c r="H92" i="15"/>
  <c r="F92" i="15"/>
  <c r="AD18" i="34" s="1"/>
  <c r="H91" i="15"/>
  <c r="AF17" i="34" s="1"/>
  <c r="F91" i="15"/>
  <c r="AD17" i="34" s="1"/>
  <c r="H90" i="15"/>
  <c r="F90" i="15"/>
  <c r="AD16" i="34" s="1"/>
  <c r="H89" i="15"/>
  <c r="H121" i="15" s="1"/>
  <c r="F89" i="15"/>
  <c r="AD15" i="34" s="1"/>
  <c r="H88" i="15"/>
  <c r="F88" i="15"/>
  <c r="AD14" i="34" s="1"/>
  <c r="H87" i="15"/>
  <c r="AF13" i="34" s="1"/>
  <c r="F87" i="15"/>
  <c r="AD13" i="34" s="1"/>
  <c r="H86" i="15"/>
  <c r="F86" i="15"/>
  <c r="AD12" i="34" s="1"/>
  <c r="H85" i="15"/>
  <c r="F85" i="15"/>
  <c r="AD11" i="34" s="1"/>
  <c r="H84" i="15"/>
  <c r="T93" i="9" s="1"/>
  <c r="AB31" i="34" s="1"/>
  <c r="F84" i="15"/>
  <c r="AD10" i="34" s="1"/>
  <c r="H83" i="15"/>
  <c r="AF9" i="34" s="1"/>
  <c r="F83" i="15"/>
  <c r="AD9" i="34" s="1"/>
  <c r="H82" i="15"/>
  <c r="F82" i="15"/>
  <c r="AD8" i="34" s="1"/>
  <c r="H81" i="15"/>
  <c r="F81" i="15"/>
  <c r="AD7" i="34" s="1"/>
  <c r="G80" i="15"/>
  <c r="AE6" i="34" s="1"/>
  <c r="F80" i="15"/>
  <c r="AD6" i="34" s="1"/>
  <c r="H79" i="15"/>
  <c r="F79" i="15"/>
  <c r="AD5" i="34" s="1"/>
  <c r="H78" i="15"/>
  <c r="F78" i="15"/>
  <c r="H77" i="15"/>
  <c r="F77" i="15"/>
  <c r="H76" i="15"/>
  <c r="F76" i="15"/>
  <c r="E75" i="15"/>
  <c r="H68" i="15"/>
  <c r="F68" i="15"/>
  <c r="H67" i="15"/>
  <c r="F67" i="15"/>
  <c r="H66" i="15"/>
  <c r="F66" i="15"/>
  <c r="H65" i="15"/>
  <c r="H130" i="15" s="1"/>
  <c r="T22" i="9" s="1"/>
  <c r="F65" i="15"/>
  <c r="H64" i="15"/>
  <c r="F64" i="15"/>
  <c r="H63" i="15"/>
  <c r="F63" i="15"/>
  <c r="H62" i="15"/>
  <c r="T76" i="9" s="1"/>
  <c r="F62" i="15"/>
  <c r="H61" i="15"/>
  <c r="X20" i="34" s="1"/>
  <c r="F61" i="15"/>
  <c r="H60" i="15"/>
  <c r="F60" i="15"/>
  <c r="V19" i="34" s="1"/>
  <c r="H59" i="15"/>
  <c r="F59" i="15"/>
  <c r="H58" i="15"/>
  <c r="T72" i="9" s="1"/>
  <c r="T38" i="34" s="1"/>
  <c r="F58" i="15"/>
  <c r="V17" i="34" s="1"/>
  <c r="H57" i="15"/>
  <c r="X16" i="34" s="1"/>
  <c r="F57" i="15"/>
  <c r="H56" i="15"/>
  <c r="F56" i="15"/>
  <c r="V15" i="34" s="1"/>
  <c r="H55" i="15"/>
  <c r="F55" i="15"/>
  <c r="V14" i="34" s="1"/>
  <c r="H54" i="15"/>
  <c r="F54" i="15"/>
  <c r="V13" i="34" s="1"/>
  <c r="H53" i="15"/>
  <c r="T67" i="9" s="1"/>
  <c r="F53" i="15"/>
  <c r="H52" i="15"/>
  <c r="F52" i="15"/>
  <c r="V11" i="34" s="1"/>
  <c r="H51" i="15"/>
  <c r="F51" i="15"/>
  <c r="H50" i="15"/>
  <c r="T64" i="9" s="1"/>
  <c r="T30" i="34" s="1"/>
  <c r="F50" i="15"/>
  <c r="V9" i="34" s="1"/>
  <c r="H49" i="15"/>
  <c r="X8" i="34" s="1"/>
  <c r="F49" i="15"/>
  <c r="H48" i="15"/>
  <c r="F48" i="15"/>
  <c r="V7" i="34" s="1"/>
  <c r="G47" i="15"/>
  <c r="W6" i="34" s="1"/>
  <c r="F47" i="15"/>
  <c r="H46" i="15"/>
  <c r="F46" i="15"/>
  <c r="V5" i="34" s="1"/>
  <c r="E46" i="15"/>
  <c r="U5" i="34" s="1"/>
  <c r="H45" i="15"/>
  <c r="H110" i="15" s="1"/>
  <c r="G110" i="15" s="1"/>
  <c r="F45" i="15"/>
  <c r="H44" i="15"/>
  <c r="H109" i="15" s="1"/>
  <c r="G109" i="15" s="1"/>
  <c r="F44" i="15"/>
  <c r="H43" i="15"/>
  <c r="H108" i="15" s="1"/>
  <c r="G108" i="15" s="1"/>
  <c r="F43" i="15"/>
  <c r="H29" i="15"/>
  <c r="T54" i="9" s="1"/>
  <c r="F29" i="15"/>
  <c r="H28" i="15"/>
  <c r="T53" i="9" s="1"/>
  <c r="F28" i="15"/>
  <c r="H27" i="15"/>
  <c r="T52" i="9" s="1"/>
  <c r="F27" i="15"/>
  <c r="H26" i="15"/>
  <c r="T51" i="9" s="1"/>
  <c r="F26" i="15"/>
  <c r="H25" i="15"/>
  <c r="T50" i="9" s="1"/>
  <c r="F25" i="15"/>
  <c r="H24" i="15"/>
  <c r="T49" i="9" s="1"/>
  <c r="F24" i="15"/>
  <c r="H23" i="15"/>
  <c r="F23" i="15"/>
  <c r="H22" i="15"/>
  <c r="P20" i="34" s="1"/>
  <c r="F22" i="15"/>
  <c r="H21" i="15"/>
  <c r="P19" i="34" s="1"/>
  <c r="F21" i="15"/>
  <c r="H20" i="15"/>
  <c r="F20" i="15"/>
  <c r="H19" i="15"/>
  <c r="F19" i="15"/>
  <c r="H18" i="15"/>
  <c r="P16" i="34" s="1"/>
  <c r="F18" i="15"/>
  <c r="H17" i="15"/>
  <c r="P15" i="34" s="1"/>
  <c r="F17" i="15"/>
  <c r="H16" i="15"/>
  <c r="T41" i="9" s="1"/>
  <c r="L35" i="34" s="1"/>
  <c r="F16" i="15"/>
  <c r="H15" i="15"/>
  <c r="F15" i="15"/>
  <c r="H14" i="15"/>
  <c r="P12" i="34" s="1"/>
  <c r="F14" i="15"/>
  <c r="H13" i="15"/>
  <c r="P11" i="34" s="1"/>
  <c r="F13" i="15"/>
  <c r="H12" i="15"/>
  <c r="F12" i="15"/>
  <c r="H11" i="15"/>
  <c r="F11" i="15"/>
  <c r="H10" i="15"/>
  <c r="P8" i="34" s="1"/>
  <c r="F10" i="15"/>
  <c r="H9" i="15"/>
  <c r="P7" i="34" s="1"/>
  <c r="F9" i="15"/>
  <c r="G8" i="15"/>
  <c r="O6" i="34" s="1"/>
  <c r="F8" i="15"/>
  <c r="H7" i="15"/>
  <c r="E7" i="15"/>
  <c r="M5" i="34" s="1"/>
  <c r="H6" i="15"/>
  <c r="F6" i="15"/>
  <c r="H5" i="15"/>
  <c r="F5" i="15"/>
  <c r="H4" i="15"/>
  <c r="F4" i="15"/>
  <c r="E75" i="18"/>
  <c r="E76" i="18" s="1"/>
  <c r="C75" i="18"/>
  <c r="C76" i="18" s="1"/>
  <c r="G68" i="18"/>
  <c r="H68" i="18" s="1"/>
  <c r="I68" i="18" s="1"/>
  <c r="J68" i="18" s="1"/>
  <c r="K68" i="18" s="1"/>
  <c r="L68" i="18" s="1"/>
  <c r="M68" i="18" s="1"/>
  <c r="N68" i="18" s="1"/>
  <c r="O68" i="18" s="1"/>
  <c r="P68" i="18" s="1"/>
  <c r="Q68" i="18" s="1"/>
  <c r="R68" i="18" s="1"/>
  <c r="S68" i="18" s="1"/>
  <c r="T68" i="18" s="1"/>
  <c r="U68" i="18" s="1"/>
  <c r="V68" i="18" s="1"/>
  <c r="W68" i="18" s="1"/>
  <c r="G60" i="18"/>
  <c r="H60" i="18" s="1"/>
  <c r="I60" i="18" s="1"/>
  <c r="J60" i="18" s="1"/>
  <c r="K60" i="18" s="1"/>
  <c r="L60" i="18" s="1"/>
  <c r="M60" i="18" s="1"/>
  <c r="N60" i="18" s="1"/>
  <c r="O60" i="18" s="1"/>
  <c r="P60" i="18" s="1"/>
  <c r="Q60" i="18" s="1"/>
  <c r="R60" i="18" s="1"/>
  <c r="S60" i="18" s="1"/>
  <c r="T60" i="18" s="1"/>
  <c r="U60" i="18" s="1"/>
  <c r="V60" i="18" s="1"/>
  <c r="W60" i="18" s="1"/>
  <c r="E58" i="18"/>
  <c r="C58" i="18"/>
  <c r="N44" i="18"/>
  <c r="O44" i="18" s="1"/>
  <c r="P44" i="18" s="1"/>
  <c r="Q44" i="18" s="1"/>
  <c r="R44" i="18" s="1"/>
  <c r="S44" i="18" s="1"/>
  <c r="T44" i="18" s="1"/>
  <c r="U44" i="18" s="1"/>
  <c r="V44" i="18" s="1"/>
  <c r="W44" i="18" s="1"/>
  <c r="E43" i="18"/>
  <c r="E51" i="18" s="1"/>
  <c r="C43" i="18"/>
  <c r="G36" i="18"/>
  <c r="H36" i="18" s="1"/>
  <c r="I36" i="18" s="1"/>
  <c r="J36" i="18" s="1"/>
  <c r="K36" i="18" s="1"/>
  <c r="L36" i="18" s="1"/>
  <c r="M36" i="18" s="1"/>
  <c r="N36" i="18" s="1"/>
  <c r="O36" i="18" s="1"/>
  <c r="P36" i="18" s="1"/>
  <c r="Q36" i="18" s="1"/>
  <c r="R36" i="18" s="1"/>
  <c r="S36" i="18" s="1"/>
  <c r="T36" i="18" s="1"/>
  <c r="U36" i="18" s="1"/>
  <c r="V36" i="18" s="1"/>
  <c r="W36" i="18" s="1"/>
  <c r="M28" i="18"/>
  <c r="N28" i="18" s="1"/>
  <c r="O28" i="18" s="1"/>
  <c r="P28" i="18" s="1"/>
  <c r="Q28" i="18" s="1"/>
  <c r="R28" i="18" s="1"/>
  <c r="S28" i="18" s="1"/>
  <c r="T28" i="18" s="1"/>
  <c r="U28" i="18" s="1"/>
  <c r="V28" i="18" s="1"/>
  <c r="W28" i="18" s="1"/>
  <c r="K28" i="18"/>
  <c r="L28" i="18" s="1"/>
  <c r="I28" i="18"/>
  <c r="J28" i="18" s="1"/>
  <c r="G28" i="18"/>
  <c r="H28" i="18" s="1"/>
  <c r="E26" i="18"/>
  <c r="E35" i="18" s="1"/>
  <c r="C26" i="18"/>
  <c r="C35" i="18" s="1"/>
  <c r="E13" i="18"/>
  <c r="E20" i="18" s="1"/>
  <c r="C13" i="18"/>
  <c r="E6" i="18"/>
  <c r="E10" i="18" s="1"/>
  <c r="E12" i="18" s="1"/>
  <c r="C6" i="18"/>
  <c r="C10" i="18" s="1"/>
  <c r="C11" i="18" s="1"/>
  <c r="I87" i="14"/>
  <c r="I86" i="14"/>
  <c r="C86" i="14"/>
  <c r="I85" i="14"/>
  <c r="D124" i="21" s="1"/>
  <c r="C85" i="14"/>
  <c r="I84" i="14"/>
  <c r="C84" i="14"/>
  <c r="I83" i="14"/>
  <c r="C83" i="14"/>
  <c r="I81" i="14"/>
  <c r="I80" i="14"/>
  <c r="C80" i="14"/>
  <c r="I79" i="14"/>
  <c r="D118" i="21" s="1"/>
  <c r="C79" i="14"/>
  <c r="I78" i="14"/>
  <c r="C78" i="14"/>
  <c r="I77" i="14"/>
  <c r="C77" i="14"/>
  <c r="E75" i="14"/>
  <c r="C50" i="21" s="1"/>
  <c r="C75" i="14"/>
  <c r="I74" i="14"/>
  <c r="G74" i="18" s="1"/>
  <c r="H74" i="18" s="1"/>
  <c r="I74" i="18" s="1"/>
  <c r="J74" i="18" s="1"/>
  <c r="K74" i="18" s="1"/>
  <c r="L74" i="18" s="1"/>
  <c r="M74" i="18" s="1"/>
  <c r="N74" i="18" s="1"/>
  <c r="O74" i="18" s="1"/>
  <c r="P74" i="18" s="1"/>
  <c r="Q74" i="18" s="1"/>
  <c r="R74" i="18" s="1"/>
  <c r="S74" i="18" s="1"/>
  <c r="T74" i="18" s="1"/>
  <c r="U74" i="18" s="1"/>
  <c r="V74" i="18" s="1"/>
  <c r="W74" i="18" s="1"/>
  <c r="I73" i="14"/>
  <c r="I72" i="14"/>
  <c r="G72" i="18" s="1"/>
  <c r="H72" i="18" s="1"/>
  <c r="I72" i="18" s="1"/>
  <c r="J72" i="18" s="1"/>
  <c r="K72" i="18" s="1"/>
  <c r="L72" i="18" s="1"/>
  <c r="M72" i="18" s="1"/>
  <c r="N72" i="18" s="1"/>
  <c r="O72" i="18" s="1"/>
  <c r="P72" i="18" s="1"/>
  <c r="Q72" i="18" s="1"/>
  <c r="R72" i="18" s="1"/>
  <c r="S72" i="18" s="1"/>
  <c r="T72" i="18" s="1"/>
  <c r="U72" i="18" s="1"/>
  <c r="V72" i="18" s="1"/>
  <c r="W72" i="18" s="1"/>
  <c r="I71" i="14"/>
  <c r="G71" i="18" s="1"/>
  <c r="H71" i="18" s="1"/>
  <c r="I71" i="18" s="1"/>
  <c r="J71" i="18" s="1"/>
  <c r="K71" i="18" s="1"/>
  <c r="L71" i="18" s="1"/>
  <c r="M71" i="18" s="1"/>
  <c r="N71" i="18" s="1"/>
  <c r="O71" i="18" s="1"/>
  <c r="P71" i="18" s="1"/>
  <c r="Q71" i="18" s="1"/>
  <c r="R71" i="18" s="1"/>
  <c r="S71" i="18" s="1"/>
  <c r="T71" i="18" s="1"/>
  <c r="U71" i="18" s="1"/>
  <c r="V71" i="18" s="1"/>
  <c r="W71" i="18" s="1"/>
  <c r="I70" i="14"/>
  <c r="G70" i="18" s="1"/>
  <c r="H70" i="18" s="1"/>
  <c r="I70" i="18" s="1"/>
  <c r="J70" i="18" s="1"/>
  <c r="K70" i="18" s="1"/>
  <c r="L70" i="18" s="1"/>
  <c r="M70" i="18" s="1"/>
  <c r="N70" i="18" s="1"/>
  <c r="O70" i="18" s="1"/>
  <c r="P70" i="18" s="1"/>
  <c r="Q70" i="18" s="1"/>
  <c r="R70" i="18" s="1"/>
  <c r="S70" i="18" s="1"/>
  <c r="T70" i="18" s="1"/>
  <c r="U70" i="18" s="1"/>
  <c r="V70" i="18" s="1"/>
  <c r="W70" i="18" s="1"/>
  <c r="I69" i="14"/>
  <c r="G69" i="18" s="1"/>
  <c r="H69" i="18" s="1"/>
  <c r="I69" i="18" s="1"/>
  <c r="J69" i="18" s="1"/>
  <c r="K69" i="18" s="1"/>
  <c r="L69" i="18" s="1"/>
  <c r="M69" i="18" s="1"/>
  <c r="N69" i="18" s="1"/>
  <c r="O69" i="18" s="1"/>
  <c r="P69" i="18" s="1"/>
  <c r="Q69" i="18" s="1"/>
  <c r="R69" i="18" s="1"/>
  <c r="S69" i="18" s="1"/>
  <c r="T69" i="18" s="1"/>
  <c r="U69" i="18" s="1"/>
  <c r="V69" i="18" s="1"/>
  <c r="W69" i="18" s="1"/>
  <c r="I66" i="14"/>
  <c r="G66" i="18" s="1"/>
  <c r="H66" i="18" s="1"/>
  <c r="I66" i="18" s="1"/>
  <c r="J66" i="18" s="1"/>
  <c r="K66" i="18" s="1"/>
  <c r="L66" i="18" s="1"/>
  <c r="M66" i="18" s="1"/>
  <c r="N66" i="18" s="1"/>
  <c r="O66" i="18" s="1"/>
  <c r="P66" i="18" s="1"/>
  <c r="Q66" i="18" s="1"/>
  <c r="R66" i="18" s="1"/>
  <c r="S66" i="18" s="1"/>
  <c r="T66" i="18" s="1"/>
  <c r="U66" i="18" s="1"/>
  <c r="V66" i="18" s="1"/>
  <c r="W66" i="18" s="1"/>
  <c r="I65" i="14"/>
  <c r="D112" i="21" s="1"/>
  <c r="I64" i="14"/>
  <c r="G64" i="18" s="1"/>
  <c r="H64" i="18" s="1"/>
  <c r="I64" i="18" s="1"/>
  <c r="J64" i="18" s="1"/>
  <c r="K64" i="18" s="1"/>
  <c r="L64" i="18" s="1"/>
  <c r="M64" i="18" s="1"/>
  <c r="N64" i="18" s="1"/>
  <c r="O64" i="18" s="1"/>
  <c r="P64" i="18" s="1"/>
  <c r="Q64" i="18" s="1"/>
  <c r="R64" i="18" s="1"/>
  <c r="S64" i="18" s="1"/>
  <c r="T64" i="18" s="1"/>
  <c r="U64" i="18" s="1"/>
  <c r="V64" i="18" s="1"/>
  <c r="W64" i="18" s="1"/>
  <c r="I63" i="14"/>
  <c r="G63" i="18" s="1"/>
  <c r="H63" i="18" s="1"/>
  <c r="I63" i="18" s="1"/>
  <c r="J63" i="18" s="1"/>
  <c r="K63" i="18" s="1"/>
  <c r="L63" i="18" s="1"/>
  <c r="M63" i="18" s="1"/>
  <c r="N63" i="18" s="1"/>
  <c r="O63" i="18" s="1"/>
  <c r="P63" i="18" s="1"/>
  <c r="Q63" i="18" s="1"/>
  <c r="R63" i="18" s="1"/>
  <c r="S63" i="18" s="1"/>
  <c r="T63" i="18" s="1"/>
  <c r="U63" i="18" s="1"/>
  <c r="V63" i="18" s="1"/>
  <c r="W63" i="18" s="1"/>
  <c r="I62" i="14"/>
  <c r="G62" i="18" s="1"/>
  <c r="H62" i="18" s="1"/>
  <c r="I62" i="18" s="1"/>
  <c r="J62" i="18" s="1"/>
  <c r="K62" i="18" s="1"/>
  <c r="L62" i="18" s="1"/>
  <c r="M62" i="18" s="1"/>
  <c r="N62" i="18" s="1"/>
  <c r="O62" i="18" s="1"/>
  <c r="P62" i="18" s="1"/>
  <c r="Q62" i="18" s="1"/>
  <c r="R62" i="18" s="1"/>
  <c r="S62" i="18" s="1"/>
  <c r="T62" i="18" s="1"/>
  <c r="U62" i="18" s="1"/>
  <c r="V62" i="18" s="1"/>
  <c r="W62" i="18" s="1"/>
  <c r="I61" i="14"/>
  <c r="G61" i="18" s="1"/>
  <c r="H61" i="18" s="1"/>
  <c r="I61" i="18" s="1"/>
  <c r="J61" i="18" s="1"/>
  <c r="K61" i="18" s="1"/>
  <c r="L61" i="18" s="1"/>
  <c r="M61" i="18" s="1"/>
  <c r="N61" i="18" s="1"/>
  <c r="O61" i="18" s="1"/>
  <c r="P61" i="18" s="1"/>
  <c r="Q61" i="18" s="1"/>
  <c r="R61" i="18" s="1"/>
  <c r="S61" i="18" s="1"/>
  <c r="T61" i="18" s="1"/>
  <c r="U61" i="18" s="1"/>
  <c r="V61" i="18" s="1"/>
  <c r="W61" i="18" s="1"/>
  <c r="I59" i="14"/>
  <c r="E58" i="14"/>
  <c r="C47" i="21" s="1"/>
  <c r="I57" i="14"/>
  <c r="I56" i="14"/>
  <c r="I55" i="14"/>
  <c r="D108" i="21" s="1"/>
  <c r="Z108" i="21" s="1"/>
  <c r="I54" i="14"/>
  <c r="D107" i="21" s="1"/>
  <c r="Z107" i="21" s="1"/>
  <c r="I53" i="14"/>
  <c r="I52" i="14"/>
  <c r="D105" i="21" s="1"/>
  <c r="Z105" i="21" s="1"/>
  <c r="I50" i="14"/>
  <c r="I49" i="14"/>
  <c r="D102" i="21" s="1"/>
  <c r="Z102" i="21" s="1"/>
  <c r="I48" i="14"/>
  <c r="D101" i="21" s="1"/>
  <c r="Z101" i="21" s="1"/>
  <c r="I47" i="14"/>
  <c r="D100" i="21" s="1"/>
  <c r="Z100" i="21" s="1"/>
  <c r="I46" i="14"/>
  <c r="D99" i="21" s="1"/>
  <c r="Z99" i="21" s="1"/>
  <c r="I45" i="14"/>
  <c r="D98" i="21" s="1"/>
  <c r="Z98" i="21" s="1"/>
  <c r="E43" i="14"/>
  <c r="C32" i="21" s="1"/>
  <c r="I42" i="14"/>
  <c r="G42" i="18" s="1"/>
  <c r="H42" i="18" s="1"/>
  <c r="I42" i="18" s="1"/>
  <c r="J42" i="18" s="1"/>
  <c r="K42" i="18" s="1"/>
  <c r="L42" i="18" s="1"/>
  <c r="M42" i="18" s="1"/>
  <c r="N42" i="18" s="1"/>
  <c r="O42" i="18" s="1"/>
  <c r="P42" i="18" s="1"/>
  <c r="Q42" i="18" s="1"/>
  <c r="R42" i="18" s="1"/>
  <c r="S42" i="18" s="1"/>
  <c r="T42" i="18" s="1"/>
  <c r="U42" i="18" s="1"/>
  <c r="V42" i="18" s="1"/>
  <c r="W42" i="18" s="1"/>
  <c r="I41" i="14"/>
  <c r="D95" i="21" s="1"/>
  <c r="I40" i="14"/>
  <c r="G40" i="18" s="1"/>
  <c r="H40" i="18" s="1"/>
  <c r="I40" i="18" s="1"/>
  <c r="J40" i="18" s="1"/>
  <c r="K40" i="18" s="1"/>
  <c r="L40" i="18" s="1"/>
  <c r="M40" i="18" s="1"/>
  <c r="N40" i="18" s="1"/>
  <c r="O40" i="18" s="1"/>
  <c r="P40" i="18" s="1"/>
  <c r="Q40" i="18" s="1"/>
  <c r="R40" i="18" s="1"/>
  <c r="S40" i="18" s="1"/>
  <c r="T40" i="18" s="1"/>
  <c r="U40" i="18" s="1"/>
  <c r="V40" i="18" s="1"/>
  <c r="W40" i="18" s="1"/>
  <c r="I39" i="14"/>
  <c r="G39" i="18" s="1"/>
  <c r="H39" i="18" s="1"/>
  <c r="I39" i="18" s="1"/>
  <c r="J39" i="18" s="1"/>
  <c r="K39" i="18" s="1"/>
  <c r="L39" i="18" s="1"/>
  <c r="M39" i="18" s="1"/>
  <c r="N39" i="18" s="1"/>
  <c r="O39" i="18" s="1"/>
  <c r="P39" i="18" s="1"/>
  <c r="Q39" i="18" s="1"/>
  <c r="R39" i="18" s="1"/>
  <c r="S39" i="18" s="1"/>
  <c r="T39" i="18" s="1"/>
  <c r="U39" i="18" s="1"/>
  <c r="V39" i="18" s="1"/>
  <c r="W39" i="18" s="1"/>
  <c r="I38" i="14"/>
  <c r="G38" i="18" s="1"/>
  <c r="H38" i="18" s="1"/>
  <c r="I38" i="18" s="1"/>
  <c r="J38" i="18" s="1"/>
  <c r="K38" i="18" s="1"/>
  <c r="L38" i="18" s="1"/>
  <c r="M38" i="18" s="1"/>
  <c r="N38" i="18" s="1"/>
  <c r="O38" i="18" s="1"/>
  <c r="P38" i="18" s="1"/>
  <c r="Q38" i="18" s="1"/>
  <c r="R38" i="18" s="1"/>
  <c r="S38" i="18" s="1"/>
  <c r="T38" i="18" s="1"/>
  <c r="U38" i="18" s="1"/>
  <c r="V38" i="18" s="1"/>
  <c r="W38" i="18" s="1"/>
  <c r="I37" i="14"/>
  <c r="G37" i="18" s="1"/>
  <c r="H37" i="18" s="1"/>
  <c r="I37" i="18" s="1"/>
  <c r="J37" i="18" s="1"/>
  <c r="K37" i="18" s="1"/>
  <c r="L37" i="18" s="1"/>
  <c r="M37" i="18" s="1"/>
  <c r="N37" i="18" s="1"/>
  <c r="O37" i="18" s="1"/>
  <c r="P37" i="18" s="1"/>
  <c r="Q37" i="18" s="1"/>
  <c r="R37" i="18" s="1"/>
  <c r="S37" i="18" s="1"/>
  <c r="T37" i="18" s="1"/>
  <c r="U37" i="18" s="1"/>
  <c r="V37" i="18" s="1"/>
  <c r="W37" i="18" s="1"/>
  <c r="C35" i="14"/>
  <c r="I34" i="14"/>
  <c r="G34" i="18" s="1"/>
  <c r="H34" i="18" s="1"/>
  <c r="I34" i="18" s="1"/>
  <c r="J34" i="18" s="1"/>
  <c r="K34" i="18" s="1"/>
  <c r="L34" i="18" s="1"/>
  <c r="M34" i="18" s="1"/>
  <c r="N34" i="18" s="1"/>
  <c r="O34" i="18" s="1"/>
  <c r="P34" i="18" s="1"/>
  <c r="Q34" i="18" s="1"/>
  <c r="R34" i="18" s="1"/>
  <c r="S34" i="18" s="1"/>
  <c r="T34" i="18" s="1"/>
  <c r="U34" i="18" s="1"/>
  <c r="V34" i="18" s="1"/>
  <c r="W34" i="18" s="1"/>
  <c r="I33" i="14"/>
  <c r="D94" i="21" s="1"/>
  <c r="I32" i="14"/>
  <c r="G32" i="18" s="1"/>
  <c r="H32" i="18" s="1"/>
  <c r="I32" i="18" s="1"/>
  <c r="J32" i="18" s="1"/>
  <c r="K32" i="18" s="1"/>
  <c r="L32" i="18" s="1"/>
  <c r="M32" i="18" s="1"/>
  <c r="N32" i="18" s="1"/>
  <c r="O32" i="18" s="1"/>
  <c r="P32" i="18" s="1"/>
  <c r="Q32" i="18" s="1"/>
  <c r="R32" i="18" s="1"/>
  <c r="S32" i="18" s="1"/>
  <c r="T32" i="18" s="1"/>
  <c r="U32" i="18" s="1"/>
  <c r="V32" i="18" s="1"/>
  <c r="W32" i="18" s="1"/>
  <c r="I31" i="14"/>
  <c r="G31" i="18" s="1"/>
  <c r="H31" i="18" s="1"/>
  <c r="I31" i="18" s="1"/>
  <c r="J31" i="18" s="1"/>
  <c r="K31" i="18" s="1"/>
  <c r="L31" i="18" s="1"/>
  <c r="M31" i="18" s="1"/>
  <c r="N31" i="18" s="1"/>
  <c r="O31" i="18" s="1"/>
  <c r="P31" i="18" s="1"/>
  <c r="Q31" i="18" s="1"/>
  <c r="R31" i="18" s="1"/>
  <c r="S31" i="18" s="1"/>
  <c r="T31" i="18" s="1"/>
  <c r="U31" i="18" s="1"/>
  <c r="V31" i="18" s="1"/>
  <c r="W31" i="18" s="1"/>
  <c r="I30" i="14"/>
  <c r="G30" i="18" s="1"/>
  <c r="H30" i="18" s="1"/>
  <c r="I30" i="18" s="1"/>
  <c r="J30" i="18" s="1"/>
  <c r="K30" i="18" s="1"/>
  <c r="L30" i="18" s="1"/>
  <c r="M30" i="18" s="1"/>
  <c r="N30" i="18" s="1"/>
  <c r="O30" i="18" s="1"/>
  <c r="P30" i="18" s="1"/>
  <c r="Q30" i="18" s="1"/>
  <c r="R30" i="18" s="1"/>
  <c r="S30" i="18" s="1"/>
  <c r="T30" i="18" s="1"/>
  <c r="U30" i="18" s="1"/>
  <c r="V30" i="18" s="1"/>
  <c r="W30" i="18" s="1"/>
  <c r="I29" i="14"/>
  <c r="G29" i="18" s="1"/>
  <c r="H29" i="18" s="1"/>
  <c r="I29" i="18" s="1"/>
  <c r="J29" i="18" s="1"/>
  <c r="K29" i="18" s="1"/>
  <c r="L29" i="18" s="1"/>
  <c r="M29" i="18" s="1"/>
  <c r="N29" i="18" s="1"/>
  <c r="O29" i="18" s="1"/>
  <c r="P29" i="18" s="1"/>
  <c r="Q29" i="18" s="1"/>
  <c r="R29" i="18" s="1"/>
  <c r="S29" i="18" s="1"/>
  <c r="T29" i="18" s="1"/>
  <c r="U29" i="18" s="1"/>
  <c r="V29" i="18" s="1"/>
  <c r="W29" i="18" s="1"/>
  <c r="I27" i="14"/>
  <c r="C27" i="14"/>
  <c r="E26" i="14"/>
  <c r="C29" i="21" s="1"/>
  <c r="I25" i="14"/>
  <c r="D92" i="21" s="1"/>
  <c r="C25" i="14"/>
  <c r="I24" i="14"/>
  <c r="D91" i="21" s="1"/>
  <c r="C24" i="14"/>
  <c r="I23" i="14"/>
  <c r="D90" i="21" s="1"/>
  <c r="C23" i="14"/>
  <c r="I22" i="14"/>
  <c r="D89" i="21" s="1"/>
  <c r="C22" i="14"/>
  <c r="I21" i="14"/>
  <c r="D88" i="21" s="1"/>
  <c r="C21" i="14"/>
  <c r="I19" i="14"/>
  <c r="D86" i="21" s="1"/>
  <c r="C19" i="14"/>
  <c r="I18" i="14"/>
  <c r="D85" i="21" s="1"/>
  <c r="C18" i="14"/>
  <c r="I17" i="14"/>
  <c r="D84" i="21" s="1"/>
  <c r="C17" i="14"/>
  <c r="I16" i="14"/>
  <c r="D83" i="21" s="1"/>
  <c r="C16" i="14"/>
  <c r="I15" i="14"/>
  <c r="D82" i="21" s="1"/>
  <c r="C15" i="14"/>
  <c r="E13" i="14"/>
  <c r="C16" i="21" s="1"/>
  <c r="I12" i="14"/>
  <c r="D79" i="21" s="1"/>
  <c r="C12" i="14"/>
  <c r="I11" i="14"/>
  <c r="D78" i="21" s="1"/>
  <c r="C11" i="14"/>
  <c r="I9" i="14"/>
  <c r="D76" i="21" s="1"/>
  <c r="C9" i="14"/>
  <c r="I8" i="14"/>
  <c r="D75" i="21" s="1"/>
  <c r="C8" i="14"/>
  <c r="E6" i="14"/>
  <c r="C9" i="21" s="1"/>
  <c r="C4" i="14"/>
  <c r="C81" i="10"/>
  <c r="C80" i="10"/>
  <c r="C79" i="10"/>
  <c r="C78" i="10"/>
  <c r="C76" i="10"/>
  <c r="C75" i="10"/>
  <c r="C74" i="10"/>
  <c r="C73" i="10"/>
  <c r="C71" i="10"/>
  <c r="B71" i="10" s="1"/>
  <c r="C53" i="10"/>
  <c r="C52" i="10"/>
  <c r="C51" i="10"/>
  <c r="C50" i="10"/>
  <c r="C49" i="10"/>
  <c r="C47" i="10"/>
  <c r="C46" i="10"/>
  <c r="C45" i="10"/>
  <c r="C44" i="10"/>
  <c r="C43" i="10"/>
  <c r="C23" i="10"/>
  <c r="C22" i="10"/>
  <c r="C21" i="10"/>
  <c r="C20" i="10"/>
  <c r="C18" i="10"/>
  <c r="C17" i="10"/>
  <c r="C16" i="10"/>
  <c r="C15" i="10"/>
  <c r="C12" i="10"/>
  <c r="C11" i="10"/>
  <c r="C9" i="10"/>
  <c r="C8" i="10"/>
  <c r="C6" i="10"/>
  <c r="N91" i="14" l="1"/>
  <c r="N128" i="13" s="1"/>
  <c r="N92" i="14"/>
  <c r="N129" i="13" s="1"/>
  <c r="O93" i="14"/>
  <c r="N90" i="14"/>
  <c r="N127" i="13" s="1"/>
  <c r="B268" i="7"/>
  <c r="P5" i="9" s="1"/>
  <c r="P90" i="9" s="1"/>
  <c r="G91" i="18"/>
  <c r="D128" i="24" s="1"/>
  <c r="G92" i="18"/>
  <c r="G90" i="18"/>
  <c r="D129" i="21"/>
  <c r="K115" i="3"/>
  <c r="G42" i="6" s="1"/>
  <c r="E8" i="6"/>
  <c r="E10" i="8" s="1"/>
  <c r="E10" i="7" s="1"/>
  <c r="I115" i="3"/>
  <c r="E9" i="6"/>
  <c r="E11" i="8" s="1"/>
  <c r="E11" i="7" s="1"/>
  <c r="I116" i="3"/>
  <c r="J59" i="3"/>
  <c r="J117" i="3" s="1"/>
  <c r="F44" i="6" s="1"/>
  <c r="I117" i="3"/>
  <c r="D128" i="21"/>
  <c r="J126" i="26"/>
  <c r="G7" i="33"/>
  <c r="T7" i="33" s="1"/>
  <c r="I8" i="33"/>
  <c r="V8" i="33" s="1"/>
  <c r="H6" i="33"/>
  <c r="U6" i="33" s="1"/>
  <c r="D12" i="33"/>
  <c r="Q12" i="33" s="1"/>
  <c r="D7" i="33"/>
  <c r="Q7" i="33" s="1"/>
  <c r="E12" i="33"/>
  <c r="R12" i="33" s="1"/>
  <c r="U4" i="26"/>
  <c r="S63" i="26"/>
  <c r="C10" i="33"/>
  <c r="P10" i="33" s="1"/>
  <c r="S62" i="26"/>
  <c r="S91" i="26"/>
  <c r="C8" i="33"/>
  <c r="P8" i="33" s="1"/>
  <c r="C15" i="33"/>
  <c r="P15" i="33" s="1"/>
  <c r="G125" i="26"/>
  <c r="E128" i="26"/>
  <c r="E132" i="26"/>
  <c r="D15" i="33"/>
  <c r="Q15" i="33" s="1"/>
  <c r="G126" i="26"/>
  <c r="I6" i="33"/>
  <c r="V6" i="33" s="1"/>
  <c r="D13" i="33"/>
  <c r="Q13" i="33" s="1"/>
  <c r="E14" i="33"/>
  <c r="R14" i="33" s="1"/>
  <c r="D9" i="33"/>
  <c r="Q9" i="33" s="1"/>
  <c r="T62" i="26"/>
  <c r="I7" i="33"/>
  <c r="V7" i="33" s="1"/>
  <c r="U63" i="26"/>
  <c r="K126" i="26"/>
  <c r="C131" i="26"/>
  <c r="C127" i="26"/>
  <c r="K125" i="26"/>
  <c r="K9" i="33"/>
  <c r="X9" i="33" s="1"/>
  <c r="R10" i="26"/>
  <c r="R91" i="26"/>
  <c r="C12" i="33"/>
  <c r="P12" i="33" s="1"/>
  <c r="D14" i="33"/>
  <c r="Q14" i="33" s="1"/>
  <c r="C132" i="26"/>
  <c r="R13" i="26"/>
  <c r="C135" i="26"/>
  <c r="U62" i="26"/>
  <c r="U91" i="26"/>
  <c r="T4" i="26"/>
  <c r="H125" i="26"/>
  <c r="T63" i="26"/>
  <c r="E9" i="33"/>
  <c r="R9" i="33" s="1"/>
  <c r="R5" i="26"/>
  <c r="D6" i="33"/>
  <c r="Q6" i="33" s="1"/>
  <c r="J7" i="33"/>
  <c r="W7" i="33" s="1"/>
  <c r="R7" i="26"/>
  <c r="I126" i="26"/>
  <c r="K7" i="33"/>
  <c r="X7" i="33" s="1"/>
  <c r="T34" i="26"/>
  <c r="U90" i="26"/>
  <c r="C7" i="33"/>
  <c r="P7" i="33" s="1"/>
  <c r="G6" i="33"/>
  <c r="T6" i="33" s="1"/>
  <c r="S4" i="26"/>
  <c r="E5" i="35"/>
  <c r="D167" i="35" s="1"/>
  <c r="D31" i="35"/>
  <c r="H31" i="35" s="1"/>
  <c r="E6" i="35"/>
  <c r="D168" i="35" s="1"/>
  <c r="I114" i="35"/>
  <c r="J114" i="35" s="1"/>
  <c r="J87" i="35"/>
  <c r="L87" i="35" s="1"/>
  <c r="D6" i="35"/>
  <c r="E168" i="35" s="1"/>
  <c r="F24" i="7"/>
  <c r="E25" i="7"/>
  <c r="F26" i="7"/>
  <c r="K157" i="26"/>
  <c r="K8" i="33"/>
  <c r="X8" i="33" s="1"/>
  <c r="F38" i="7"/>
  <c r="G62" i="39"/>
  <c r="F40" i="7" s="1"/>
  <c r="H58" i="39"/>
  <c r="H61" i="39" s="1"/>
  <c r="H4" i="39"/>
  <c r="H7" i="39" s="1"/>
  <c r="G35" i="39"/>
  <c r="F39" i="7" s="1"/>
  <c r="G34" i="39"/>
  <c r="H31" i="39"/>
  <c r="E7" i="18"/>
  <c r="E9" i="18" s="1"/>
  <c r="I65" i="24"/>
  <c r="J65" i="24" s="1"/>
  <c r="F10" i="20" s="1"/>
  <c r="H52" i="8" s="1"/>
  <c r="C7" i="18"/>
  <c r="C8" i="18" s="1"/>
  <c r="C11" i="24" s="1"/>
  <c r="F11" i="24" s="1"/>
  <c r="C27" i="18"/>
  <c r="C94" i="24" s="1"/>
  <c r="C82" i="18"/>
  <c r="C87" i="18" s="1"/>
  <c r="C126" i="24" s="1"/>
  <c r="E27" i="18"/>
  <c r="E79" i="18"/>
  <c r="E77" i="18"/>
  <c r="C81" i="18"/>
  <c r="C120" i="24" s="1"/>
  <c r="C80" i="18"/>
  <c r="C119" i="24" s="1"/>
  <c r="C77" i="18"/>
  <c r="C52" i="24" s="1"/>
  <c r="F52" i="24" s="1"/>
  <c r="E82" i="18"/>
  <c r="E87" i="18" s="1"/>
  <c r="J6" i="26"/>
  <c r="U6" i="26" s="1"/>
  <c r="C4" i="18"/>
  <c r="C5" i="18"/>
  <c r="E5" i="18"/>
  <c r="H91" i="18"/>
  <c r="L115" i="3"/>
  <c r="H42" i="6" s="1"/>
  <c r="H90" i="18"/>
  <c r="I96" i="18"/>
  <c r="H92" i="18"/>
  <c r="J95" i="18"/>
  <c r="J91" i="18" s="1"/>
  <c r="I91" i="18"/>
  <c r="E44" i="13"/>
  <c r="E108" i="13" s="1"/>
  <c r="X91" i="13"/>
  <c r="F74" i="7"/>
  <c r="G86" i="7" s="1"/>
  <c r="H98" i="7" s="1"/>
  <c r="I110" i="7" s="1"/>
  <c r="J123" i="7" s="1"/>
  <c r="K136" i="7" s="1"/>
  <c r="H74" i="7"/>
  <c r="I86" i="7" s="1"/>
  <c r="J98" i="7" s="1"/>
  <c r="K110" i="7" s="1"/>
  <c r="L123" i="7" s="1"/>
  <c r="M136" i="7" s="1"/>
  <c r="N150" i="7" s="1"/>
  <c r="O164" i="7" s="1"/>
  <c r="P176" i="7" s="1"/>
  <c r="Q188" i="7" s="1"/>
  <c r="R200" i="7" s="1"/>
  <c r="S212" i="7" s="1"/>
  <c r="T224" i="7" s="1"/>
  <c r="U236" i="7" s="1"/>
  <c r="G76" i="7"/>
  <c r="H88" i="7" s="1"/>
  <c r="I100" i="7" s="1"/>
  <c r="J112" i="7" s="1"/>
  <c r="K125" i="7" s="1"/>
  <c r="L138" i="7" s="1"/>
  <c r="E36" i="13"/>
  <c r="E20" i="14"/>
  <c r="C23" i="21" s="1"/>
  <c r="E37" i="13"/>
  <c r="I63" i="21"/>
  <c r="E14" i="14"/>
  <c r="E17" i="14" s="1"/>
  <c r="C20" i="21" s="1"/>
  <c r="F20" i="21" s="1"/>
  <c r="E34" i="13"/>
  <c r="E38" i="13"/>
  <c r="E27" i="14"/>
  <c r="C30" i="21" s="1"/>
  <c r="E7" i="14"/>
  <c r="C10" i="21" s="1"/>
  <c r="E42" i="13"/>
  <c r="F42" i="13" s="1"/>
  <c r="E24" i="14"/>
  <c r="C27" i="21" s="1"/>
  <c r="F27" i="21" s="1"/>
  <c r="E4" i="14"/>
  <c r="G49" i="18"/>
  <c r="D102" i="24" s="1"/>
  <c r="Z102" i="24" s="1"/>
  <c r="Y91" i="13"/>
  <c r="F75" i="7"/>
  <c r="G87" i="7" s="1"/>
  <c r="H99" i="7" s="1"/>
  <c r="I111" i="7" s="1"/>
  <c r="J124" i="7" s="1"/>
  <c r="K137" i="7" s="1"/>
  <c r="H75" i="7"/>
  <c r="I87" i="7" s="1"/>
  <c r="J99" i="7" s="1"/>
  <c r="K111" i="7" s="1"/>
  <c r="L124" i="7" s="1"/>
  <c r="M137" i="7" s="1"/>
  <c r="N151" i="7" s="1"/>
  <c r="O165" i="7" s="1"/>
  <c r="P177" i="7" s="1"/>
  <c r="Q189" i="7" s="1"/>
  <c r="R201" i="7" s="1"/>
  <c r="S213" i="7" s="1"/>
  <c r="T225" i="7" s="1"/>
  <c r="U237" i="7" s="1"/>
  <c r="E21" i="14"/>
  <c r="C24" i="21" s="1"/>
  <c r="F24" i="21" s="1"/>
  <c r="E22" i="14"/>
  <c r="C25" i="21" s="1"/>
  <c r="F25" i="21" s="1"/>
  <c r="G25" i="21" s="1"/>
  <c r="H25" i="21" s="1"/>
  <c r="I25" i="21" s="1"/>
  <c r="J25" i="21" s="1"/>
  <c r="K25" i="21" s="1"/>
  <c r="L25" i="21" s="1"/>
  <c r="M25" i="21" s="1"/>
  <c r="N25" i="21" s="1"/>
  <c r="O25" i="21" s="1"/>
  <c r="P25" i="21" s="1"/>
  <c r="Q25" i="21" s="1"/>
  <c r="R25" i="21" s="1"/>
  <c r="S25" i="21" s="1"/>
  <c r="T25" i="21" s="1"/>
  <c r="G52" i="18"/>
  <c r="D105" i="24" s="1"/>
  <c r="Z105" i="24" s="1"/>
  <c r="E35" i="13"/>
  <c r="F76" i="7"/>
  <c r="G88" i="7" s="1"/>
  <c r="H100" i="7" s="1"/>
  <c r="I112" i="7" s="1"/>
  <c r="J125" i="7" s="1"/>
  <c r="K138" i="7" s="1"/>
  <c r="G75" i="7"/>
  <c r="H87" i="7" s="1"/>
  <c r="I99" i="7" s="1"/>
  <c r="J111" i="7" s="1"/>
  <c r="K124" i="7" s="1"/>
  <c r="L137" i="7" s="1"/>
  <c r="G16" i="18"/>
  <c r="D83" i="24" s="1"/>
  <c r="X83" i="24" s="1"/>
  <c r="E8" i="14"/>
  <c r="C11" i="21" s="1"/>
  <c r="F11" i="21" s="1"/>
  <c r="G11" i="21" s="1"/>
  <c r="E35" i="14"/>
  <c r="C31" i="21" s="1"/>
  <c r="G31" i="21" s="1"/>
  <c r="G95" i="21" s="1"/>
  <c r="E44" i="14"/>
  <c r="C33" i="21" s="1"/>
  <c r="G19" i="18"/>
  <c r="D86" i="24" s="1"/>
  <c r="E41" i="13"/>
  <c r="G74" i="7"/>
  <c r="H86" i="7" s="1"/>
  <c r="I98" i="7" s="1"/>
  <c r="J110" i="7" s="1"/>
  <c r="K123" i="7" s="1"/>
  <c r="L136" i="7" s="1"/>
  <c r="G22" i="18"/>
  <c r="D89" i="24" s="1"/>
  <c r="Z89" i="24" s="1"/>
  <c r="G24" i="18"/>
  <c r="D91" i="24" s="1"/>
  <c r="Z91" i="24" s="1"/>
  <c r="H76" i="7"/>
  <c r="I88" i="7" s="1"/>
  <c r="J100" i="7" s="1"/>
  <c r="K112" i="7" s="1"/>
  <c r="L125" i="7" s="1"/>
  <c r="M138" i="7" s="1"/>
  <c r="N152" i="7" s="1"/>
  <c r="O166" i="7" s="1"/>
  <c r="P178" i="7" s="1"/>
  <c r="Q190" i="7" s="1"/>
  <c r="R202" i="7" s="1"/>
  <c r="S214" i="7" s="1"/>
  <c r="T226" i="7" s="1"/>
  <c r="U238" i="7" s="1"/>
  <c r="E15" i="14"/>
  <c r="C18" i="21" s="1"/>
  <c r="F18" i="21" s="1"/>
  <c r="G18" i="21" s="1"/>
  <c r="E18" i="14"/>
  <c r="C21" i="21" s="1"/>
  <c r="F21" i="21" s="1"/>
  <c r="G21" i="21" s="1"/>
  <c r="H21" i="21" s="1"/>
  <c r="I21" i="21" s="1"/>
  <c r="J21" i="21" s="1"/>
  <c r="K21" i="21" s="1"/>
  <c r="L21" i="21" s="1"/>
  <c r="M21" i="21" s="1"/>
  <c r="N21" i="21" s="1"/>
  <c r="O21" i="21" s="1"/>
  <c r="P21" i="21" s="1"/>
  <c r="Q21" i="21" s="1"/>
  <c r="R21" i="21" s="1"/>
  <c r="S21" i="21" s="1"/>
  <c r="T21" i="21" s="1"/>
  <c r="G45" i="18"/>
  <c r="D98" i="24" s="1"/>
  <c r="Z98" i="24" s="1"/>
  <c r="X70" i="3"/>
  <c r="Y83" i="3"/>
  <c r="C5" i="10"/>
  <c r="Z113" i="3"/>
  <c r="G44" i="3"/>
  <c r="H44" i="3" s="1"/>
  <c r="Y79" i="3"/>
  <c r="W106" i="3"/>
  <c r="X106" i="3"/>
  <c r="Y112" i="3"/>
  <c r="Y82" i="3"/>
  <c r="Y109" i="3"/>
  <c r="B6" i="10"/>
  <c r="Y78" i="3"/>
  <c r="X83" i="3"/>
  <c r="Z109" i="3"/>
  <c r="I94" i="18"/>
  <c r="I90" i="18" s="1"/>
  <c r="F49" i="13"/>
  <c r="G49" i="13" s="1"/>
  <c r="H49" i="13" s="1"/>
  <c r="I49" i="13" s="1"/>
  <c r="J49" i="13" s="1"/>
  <c r="K49" i="13" s="1"/>
  <c r="L49" i="13" s="1"/>
  <c r="M49" i="13" s="1"/>
  <c r="N49" i="13" s="1"/>
  <c r="O49" i="13" s="1"/>
  <c r="P49" i="13" s="1"/>
  <c r="Q49" i="13" s="1"/>
  <c r="R49" i="13" s="1"/>
  <c r="S49" i="13" s="1"/>
  <c r="T49" i="13" s="1"/>
  <c r="Y113" i="13"/>
  <c r="X82" i="13"/>
  <c r="W88" i="13"/>
  <c r="Y118" i="13"/>
  <c r="U125" i="13"/>
  <c r="X88" i="13"/>
  <c r="X119" i="13"/>
  <c r="O63" i="24"/>
  <c r="K8" i="20" s="1"/>
  <c r="M50" i="8" s="1"/>
  <c r="V75" i="13"/>
  <c r="Y119" i="13"/>
  <c r="P63" i="24"/>
  <c r="L8" i="20" s="1"/>
  <c r="N50" i="8" s="1"/>
  <c r="W75" i="13"/>
  <c r="X75" i="13"/>
  <c r="I64" i="24"/>
  <c r="E9" i="20" s="1"/>
  <c r="G51" i="8" s="1"/>
  <c r="F42" i="6"/>
  <c r="Z78" i="3"/>
  <c r="Z82" i="3"/>
  <c r="W108" i="3"/>
  <c r="W111" i="3"/>
  <c r="X114" i="3"/>
  <c r="R8" i="6"/>
  <c r="R10" i="8" s="1"/>
  <c r="Q22" i="38" s="1"/>
  <c r="X108" i="3"/>
  <c r="Z111" i="3"/>
  <c r="Y114" i="3"/>
  <c r="V8" i="6"/>
  <c r="V10" i="8" s="1"/>
  <c r="Q26" i="38" s="1"/>
  <c r="Q110" i="38" s="1"/>
  <c r="Y82" i="35" s="1"/>
  <c r="C8" i="3"/>
  <c r="W69" i="3"/>
  <c r="X79" i="3"/>
  <c r="Y108" i="3"/>
  <c r="Z114" i="3"/>
  <c r="Z88" i="3"/>
  <c r="V39" i="6" s="1"/>
  <c r="V7" i="7" s="1"/>
  <c r="V279" i="7" s="1"/>
  <c r="M25" i="29" s="1"/>
  <c r="X69" i="3"/>
  <c r="Y73" i="3"/>
  <c r="W76" i="3"/>
  <c r="X112" i="3"/>
  <c r="Z69" i="3"/>
  <c r="F8" i="6"/>
  <c r="F10" i="8" s="1"/>
  <c r="Q10" i="38" s="1"/>
  <c r="Q38" i="38" s="1"/>
  <c r="W84" i="3"/>
  <c r="Y103" i="3"/>
  <c r="Y107" i="3"/>
  <c r="J8" i="6"/>
  <c r="J10" i="8" s="1"/>
  <c r="Q14" i="38" s="1"/>
  <c r="G45" i="3"/>
  <c r="H45" i="3" s="1"/>
  <c r="I45" i="3" s="1"/>
  <c r="J45" i="3" s="1"/>
  <c r="K45" i="3" s="1"/>
  <c r="L45" i="3" s="1"/>
  <c r="M45" i="3" s="1"/>
  <c r="N45" i="3" s="1"/>
  <c r="O45" i="3" s="1"/>
  <c r="P45" i="3" s="1"/>
  <c r="Q45" i="3" s="1"/>
  <c r="R45" i="3" s="1"/>
  <c r="S45" i="3" s="1"/>
  <c r="T45" i="3" s="1"/>
  <c r="U45" i="3" s="1"/>
  <c r="Z103" i="3"/>
  <c r="Z107" i="3"/>
  <c r="K8" i="6"/>
  <c r="K10" i="8" s="1"/>
  <c r="I65" i="13"/>
  <c r="E10" i="17"/>
  <c r="W122" i="13"/>
  <c r="X85" i="13"/>
  <c r="Y112" i="13"/>
  <c r="V116" i="13"/>
  <c r="X122" i="13"/>
  <c r="I64" i="21"/>
  <c r="Q63" i="24"/>
  <c r="M8" i="20" s="1"/>
  <c r="O50" i="8" s="1"/>
  <c r="Y85" i="13"/>
  <c r="U63" i="24"/>
  <c r="Q8" i="20" s="1"/>
  <c r="S50" i="8" s="1"/>
  <c r="F44" i="13"/>
  <c r="F108" i="13" s="1"/>
  <c r="U117" i="13"/>
  <c r="Y63" i="24"/>
  <c r="U8" i="20" s="1"/>
  <c r="E45" i="13"/>
  <c r="W82" i="13"/>
  <c r="X113" i="13"/>
  <c r="G30" i="21"/>
  <c r="F48" i="13"/>
  <c r="F47" i="13" s="1"/>
  <c r="C6" i="17" s="1"/>
  <c r="C22" i="8" s="1"/>
  <c r="V118" i="13"/>
  <c r="K63" i="24"/>
  <c r="G8" i="20" s="1"/>
  <c r="I50" i="8" s="1"/>
  <c r="L52" i="34"/>
  <c r="L58" i="34"/>
  <c r="L59" i="34"/>
  <c r="L60" i="34"/>
  <c r="L50" i="34"/>
  <c r="E127" i="26"/>
  <c r="E135" i="26"/>
  <c r="E42" i="26"/>
  <c r="E133" i="26" s="1"/>
  <c r="E11" i="33"/>
  <c r="R11" i="33" s="1"/>
  <c r="R92" i="26"/>
  <c r="E130" i="26"/>
  <c r="E134" i="26"/>
  <c r="Q174" i="8"/>
  <c r="R186" i="8" s="1"/>
  <c r="S198" i="8" s="1"/>
  <c r="T210" i="8" s="1"/>
  <c r="U223" i="8" s="1"/>
  <c r="V236" i="8" s="1"/>
  <c r="R174" i="8"/>
  <c r="S186" i="8" s="1"/>
  <c r="T198" i="8" s="1"/>
  <c r="U210" i="8" s="1"/>
  <c r="V223" i="8" s="1"/>
  <c r="Q173" i="8"/>
  <c r="R185" i="8" s="1"/>
  <c r="S197" i="8" s="1"/>
  <c r="T209" i="8" s="1"/>
  <c r="U222" i="8" s="1"/>
  <c r="V235" i="8" s="1"/>
  <c r="V166" i="8"/>
  <c r="S169" i="8"/>
  <c r="T181" i="8" s="1"/>
  <c r="U193" i="8" s="1"/>
  <c r="V205" i="8" s="1"/>
  <c r="U167" i="8"/>
  <c r="V179" i="8" s="1"/>
  <c r="T168" i="8"/>
  <c r="U180" i="8" s="1"/>
  <c r="V192" i="8" s="1"/>
  <c r="Q171" i="8"/>
  <c r="R183" i="8" s="1"/>
  <c r="S195" i="8" s="1"/>
  <c r="T207" i="8" s="1"/>
  <c r="U220" i="8" s="1"/>
  <c r="V233" i="8" s="1"/>
  <c r="R170" i="8"/>
  <c r="S182" i="8" s="1"/>
  <c r="T194" i="8" s="1"/>
  <c r="U206" i="8" s="1"/>
  <c r="V219" i="8" s="1"/>
  <c r="N168" i="8"/>
  <c r="O180" i="8" s="1"/>
  <c r="P192" i="8" s="1"/>
  <c r="Q204" i="8" s="1"/>
  <c r="R217" i="8" s="1"/>
  <c r="S230" i="8" s="1"/>
  <c r="T243" i="8" s="1"/>
  <c r="V167" i="8"/>
  <c r="V175" i="8" s="1"/>
  <c r="U163" i="8"/>
  <c r="Q151" i="8"/>
  <c r="S166" i="8"/>
  <c r="T178" i="8" s="1"/>
  <c r="L139" i="8"/>
  <c r="Q130" i="8"/>
  <c r="P139" i="8"/>
  <c r="O139" i="8"/>
  <c r="T139" i="8"/>
  <c r="M139" i="8"/>
  <c r="J126" i="8"/>
  <c r="R126" i="8"/>
  <c r="V139" i="8"/>
  <c r="K289" i="7"/>
  <c r="K14" i="30" s="1"/>
  <c r="K10" i="33"/>
  <c r="X10" i="33" s="1"/>
  <c r="P293" i="7"/>
  <c r="O19" i="30" s="1"/>
  <c r="O76" i="30" s="1"/>
  <c r="E191" i="7"/>
  <c r="I191" i="7"/>
  <c r="S69" i="7"/>
  <c r="T81" i="7" s="1"/>
  <c r="U93" i="7" s="1"/>
  <c r="V105" i="7" s="1"/>
  <c r="T69" i="7"/>
  <c r="U81" i="7" s="1"/>
  <c r="V93" i="7" s="1"/>
  <c r="P73" i="7"/>
  <c r="Q85" i="7" s="1"/>
  <c r="R97" i="7" s="1"/>
  <c r="S109" i="7" s="1"/>
  <c r="T122" i="7" s="1"/>
  <c r="U135" i="7" s="1"/>
  <c r="V149" i="7" s="1"/>
  <c r="U69" i="7"/>
  <c r="V81" i="7" s="1"/>
  <c r="S72" i="7"/>
  <c r="T84" i="7" s="1"/>
  <c r="U96" i="7" s="1"/>
  <c r="V108" i="7" s="1"/>
  <c r="R73" i="7"/>
  <c r="S85" i="7" s="1"/>
  <c r="T97" i="7" s="1"/>
  <c r="U109" i="7" s="1"/>
  <c r="V122" i="7" s="1"/>
  <c r="M69" i="7"/>
  <c r="N81" i="7" s="1"/>
  <c r="O93" i="7" s="1"/>
  <c r="P105" i="7" s="1"/>
  <c r="Q118" i="7" s="1"/>
  <c r="R131" i="7" s="1"/>
  <c r="S145" i="7" s="1"/>
  <c r="U72" i="7"/>
  <c r="V84" i="7" s="1"/>
  <c r="S73" i="7"/>
  <c r="T85" i="7" s="1"/>
  <c r="U97" i="7" s="1"/>
  <c r="V109" i="7" s="1"/>
  <c r="G191" i="7"/>
  <c r="M191" i="7"/>
  <c r="Q289" i="7"/>
  <c r="K20" i="30" s="1"/>
  <c r="L293" i="7"/>
  <c r="O15" i="30" s="1"/>
  <c r="D294" i="7"/>
  <c r="P7" i="30" s="1"/>
  <c r="I8" i="26" s="1"/>
  <c r="P69" i="7"/>
  <c r="Q81" i="7" s="1"/>
  <c r="R93" i="7" s="1"/>
  <c r="S105" i="7" s="1"/>
  <c r="T118" i="7" s="1"/>
  <c r="U131" i="7" s="1"/>
  <c r="V145" i="7" s="1"/>
  <c r="K191" i="7"/>
  <c r="F194" i="7"/>
  <c r="G206" i="7" s="1"/>
  <c r="G215" i="7" s="1"/>
  <c r="J196" i="7"/>
  <c r="K208" i="7" s="1"/>
  <c r="L220" i="7" s="1"/>
  <c r="M232" i="7" s="1"/>
  <c r="N245" i="7" s="1"/>
  <c r="P62" i="9"/>
  <c r="Q69" i="7"/>
  <c r="R81" i="7" s="1"/>
  <c r="S93" i="7" s="1"/>
  <c r="T105" i="7" s="1"/>
  <c r="U118" i="7" s="1"/>
  <c r="V131" i="7" s="1"/>
  <c r="O72" i="7"/>
  <c r="P84" i="7" s="1"/>
  <c r="Q96" i="7" s="1"/>
  <c r="R108" i="7" s="1"/>
  <c r="S121" i="7" s="1"/>
  <c r="T134" i="7" s="1"/>
  <c r="U148" i="7" s="1"/>
  <c r="V162" i="7" s="1"/>
  <c r="M73" i="7"/>
  <c r="N85" i="7" s="1"/>
  <c r="O97" i="7" s="1"/>
  <c r="P109" i="7" s="1"/>
  <c r="Q122" i="7" s="1"/>
  <c r="R135" i="7" s="1"/>
  <c r="S149" i="7" s="1"/>
  <c r="U73" i="7"/>
  <c r="V85" i="7" s="1"/>
  <c r="B10" i="32"/>
  <c r="K67" i="35"/>
  <c r="G94" i="35"/>
  <c r="F121" i="35" s="1"/>
  <c r="C54" i="34"/>
  <c r="C14" i="24"/>
  <c r="F14" i="24" s="1"/>
  <c r="C78" i="24"/>
  <c r="B14" i="32"/>
  <c r="C58" i="34"/>
  <c r="C61" i="32"/>
  <c r="T47" i="34"/>
  <c r="B25" i="32"/>
  <c r="B18" i="32"/>
  <c r="C62" i="34"/>
  <c r="B20" i="32"/>
  <c r="C77" i="32"/>
  <c r="B9" i="32"/>
  <c r="K66" i="35"/>
  <c r="C53" i="34"/>
  <c r="G93" i="35"/>
  <c r="F120" i="35" s="1"/>
  <c r="B11" i="32"/>
  <c r="K68" i="35"/>
  <c r="G95" i="35"/>
  <c r="F122" i="35" s="1"/>
  <c r="C55" i="34"/>
  <c r="B22" i="32"/>
  <c r="B12" i="32"/>
  <c r="K69" i="35"/>
  <c r="C56" i="34"/>
  <c r="G96" i="35"/>
  <c r="F123" i="35" s="1"/>
  <c r="C39" i="32"/>
  <c r="L54" i="34"/>
  <c r="E24" i="18"/>
  <c r="E21" i="18"/>
  <c r="E22" i="18"/>
  <c r="E23" i="18"/>
  <c r="E25" i="18"/>
  <c r="T13" i="31"/>
  <c r="T13" i="30"/>
  <c r="T13" i="29"/>
  <c r="H15" i="34"/>
  <c r="G121" i="15"/>
  <c r="G15" i="34" s="1"/>
  <c r="T13" i="9"/>
  <c r="T21" i="31"/>
  <c r="T21" i="30"/>
  <c r="T21" i="29"/>
  <c r="T21" i="9"/>
  <c r="G129" i="15"/>
  <c r="K63" i="35"/>
  <c r="B6" i="32"/>
  <c r="G90" i="35"/>
  <c r="F117" i="35" s="1"/>
  <c r="C50" i="34"/>
  <c r="R44" i="26"/>
  <c r="B17" i="32"/>
  <c r="C61" i="34"/>
  <c r="B19" i="32"/>
  <c r="Z78" i="21"/>
  <c r="Y78" i="21"/>
  <c r="X78" i="21"/>
  <c r="W78" i="21"/>
  <c r="C117" i="21"/>
  <c r="B53" i="13"/>
  <c r="E53" i="13" s="1"/>
  <c r="B117" i="13"/>
  <c r="C96" i="24"/>
  <c r="C32" i="24"/>
  <c r="C51" i="18"/>
  <c r="T94" i="31"/>
  <c r="T94" i="30"/>
  <c r="T94" i="29"/>
  <c r="T94" i="9"/>
  <c r="AB32" i="34" s="1"/>
  <c r="AF11" i="34"/>
  <c r="D33" i="32"/>
  <c r="U33" i="12"/>
  <c r="C64" i="32"/>
  <c r="T50" i="34"/>
  <c r="X85" i="21"/>
  <c r="Y85" i="21"/>
  <c r="W85" i="21"/>
  <c r="Z85" i="21"/>
  <c r="D110" i="21"/>
  <c r="G57" i="18"/>
  <c r="T36" i="31"/>
  <c r="T36" i="30"/>
  <c r="T36" i="29"/>
  <c r="T36" i="9"/>
  <c r="L30" i="34" s="1"/>
  <c r="P9" i="34"/>
  <c r="T40" i="31"/>
  <c r="T40" i="30"/>
  <c r="T40" i="29"/>
  <c r="T40" i="9"/>
  <c r="L34" i="34" s="1"/>
  <c r="P13" i="34"/>
  <c r="T44" i="31"/>
  <c r="T44" i="30"/>
  <c r="T44" i="29"/>
  <c r="T44" i="9"/>
  <c r="L38" i="34" s="1"/>
  <c r="P17" i="34"/>
  <c r="T48" i="31"/>
  <c r="T48" i="30"/>
  <c r="T48" i="29"/>
  <c r="T48" i="9"/>
  <c r="T65" i="31"/>
  <c r="T65" i="30"/>
  <c r="T65" i="29"/>
  <c r="T65" i="9"/>
  <c r="T31" i="34" s="1"/>
  <c r="H116" i="15"/>
  <c r="X10" i="34"/>
  <c r="T69" i="31"/>
  <c r="T69" i="30"/>
  <c r="T69" i="29"/>
  <c r="H120" i="15"/>
  <c r="X14" i="34"/>
  <c r="T69" i="9"/>
  <c r="T35" i="34" s="1"/>
  <c r="T73" i="31"/>
  <c r="T73" i="29"/>
  <c r="T73" i="30"/>
  <c r="T73" i="9"/>
  <c r="T39" i="34" s="1"/>
  <c r="H124" i="15"/>
  <c r="X18" i="34"/>
  <c r="T77" i="31"/>
  <c r="T77" i="30"/>
  <c r="T77" i="29"/>
  <c r="T77" i="9"/>
  <c r="H128" i="15"/>
  <c r="T81" i="9"/>
  <c r="H132" i="15"/>
  <c r="T24" i="9" s="1"/>
  <c r="K61" i="35"/>
  <c r="V5" i="12"/>
  <c r="G48" i="34" s="1"/>
  <c r="B45" i="32"/>
  <c r="K60" i="34"/>
  <c r="B68" i="32"/>
  <c r="S54" i="34"/>
  <c r="C74" i="32"/>
  <c r="T60" i="34"/>
  <c r="B83" i="32"/>
  <c r="B105" i="32"/>
  <c r="D94" i="26"/>
  <c r="R94" i="26" s="1"/>
  <c r="M48" i="34"/>
  <c r="I158" i="26"/>
  <c r="I9" i="33"/>
  <c r="V9" i="33" s="1"/>
  <c r="D160" i="26"/>
  <c r="D11" i="33"/>
  <c r="Q11" i="33" s="1"/>
  <c r="N45" i="30"/>
  <c r="N101" i="30"/>
  <c r="N73" i="30"/>
  <c r="C106" i="3"/>
  <c r="C48" i="3"/>
  <c r="F48" i="3" s="1"/>
  <c r="D113" i="21"/>
  <c r="G73" i="18"/>
  <c r="T102" i="31"/>
  <c r="T102" i="30"/>
  <c r="T102" i="29"/>
  <c r="AF19" i="34"/>
  <c r="C97" i="32"/>
  <c r="AB55" i="34"/>
  <c r="D65" i="26"/>
  <c r="R65" i="26" s="1"/>
  <c r="C49" i="3"/>
  <c r="F49" i="3" s="1"/>
  <c r="C107" i="3"/>
  <c r="C89" i="21"/>
  <c r="B25" i="13"/>
  <c r="E25" i="13" s="1"/>
  <c r="B89" i="13"/>
  <c r="E52" i="18"/>
  <c r="E57" i="18"/>
  <c r="E54" i="18"/>
  <c r="E56" i="18"/>
  <c r="E53" i="18"/>
  <c r="C91" i="32"/>
  <c r="AB49" i="34"/>
  <c r="C100" i="32"/>
  <c r="AB58" i="34"/>
  <c r="L51" i="34"/>
  <c r="M277" i="7"/>
  <c r="K16" i="29" s="1"/>
  <c r="K227" i="7"/>
  <c r="L230" i="7"/>
  <c r="P207" i="7"/>
  <c r="Q219" i="7" s="1"/>
  <c r="R231" i="7" s="1"/>
  <c r="S244" i="7" s="1"/>
  <c r="O203" i="7"/>
  <c r="X88" i="21"/>
  <c r="Z88" i="21"/>
  <c r="Y88" i="21"/>
  <c r="W88" i="21"/>
  <c r="C55" i="24"/>
  <c r="F55" i="24" s="1"/>
  <c r="C89" i="32"/>
  <c r="AB47" i="34"/>
  <c r="C160" i="26"/>
  <c r="R9" i="26"/>
  <c r="C11" i="33"/>
  <c r="P11" i="33" s="1"/>
  <c r="C82" i="3"/>
  <c r="C24" i="3"/>
  <c r="F24" i="3" s="1"/>
  <c r="C79" i="21"/>
  <c r="B79" i="13"/>
  <c r="B15" i="13"/>
  <c r="E15" i="13" s="1"/>
  <c r="C83" i="3"/>
  <c r="C25" i="3"/>
  <c r="F25" i="3" s="1"/>
  <c r="C114" i="21"/>
  <c r="C71" i="21" s="1"/>
  <c r="B50" i="13"/>
  <c r="B7" i="13" s="1"/>
  <c r="B114" i="13"/>
  <c r="B71" i="13" s="1"/>
  <c r="N6" i="34"/>
  <c r="N9" i="34"/>
  <c r="C73" i="3"/>
  <c r="C15" i="3"/>
  <c r="F15" i="3" s="1"/>
  <c r="C40" i="3"/>
  <c r="F40" i="3" s="1"/>
  <c r="C98" i="3"/>
  <c r="C51" i="3"/>
  <c r="F51" i="3" s="1"/>
  <c r="C109" i="3"/>
  <c r="C5" i="14"/>
  <c r="B4" i="14" s="1"/>
  <c r="E9" i="14"/>
  <c r="C12" i="21" s="1"/>
  <c r="F12" i="21" s="1"/>
  <c r="Z79" i="21"/>
  <c r="Y79" i="21"/>
  <c r="X79" i="21"/>
  <c r="W79" i="21"/>
  <c r="X83" i="21"/>
  <c r="W83" i="21"/>
  <c r="Z83" i="21"/>
  <c r="Y83" i="21"/>
  <c r="E19" i="14"/>
  <c r="C22" i="21" s="1"/>
  <c r="Y89" i="21"/>
  <c r="X89" i="21"/>
  <c r="W89" i="21"/>
  <c r="Z89" i="21"/>
  <c r="E25" i="14"/>
  <c r="C28" i="21" s="1"/>
  <c r="E59" i="14"/>
  <c r="C48" i="21" s="1"/>
  <c r="G48" i="21" s="1"/>
  <c r="E67" i="14"/>
  <c r="C49" i="21" s="1"/>
  <c r="G49" i="21" s="1"/>
  <c r="C118" i="21"/>
  <c r="B118" i="13"/>
  <c r="B54" i="13"/>
  <c r="E54" i="13" s="1"/>
  <c r="E82" i="14"/>
  <c r="E4" i="18"/>
  <c r="E11" i="18"/>
  <c r="E14" i="18"/>
  <c r="C20" i="18"/>
  <c r="G25" i="18"/>
  <c r="E44" i="18"/>
  <c r="G46" i="18"/>
  <c r="E67" i="18"/>
  <c r="E59" i="18"/>
  <c r="G79" i="18"/>
  <c r="H133" i="15"/>
  <c r="T25" i="9" s="1"/>
  <c r="H125" i="15"/>
  <c r="B3" i="32"/>
  <c r="K60" i="35"/>
  <c r="V4" i="12"/>
  <c r="G47" i="34" s="1"/>
  <c r="D32" i="32"/>
  <c r="U32" i="12"/>
  <c r="B67" i="32"/>
  <c r="S53" i="34"/>
  <c r="C96" i="32"/>
  <c r="AB54" i="34"/>
  <c r="F79" i="9"/>
  <c r="V68" i="8"/>
  <c r="D119" i="21"/>
  <c r="G80" i="18"/>
  <c r="C77" i="24"/>
  <c r="C13" i="24"/>
  <c r="T3" i="31"/>
  <c r="T3" i="30"/>
  <c r="T3" i="29"/>
  <c r="H5" i="34"/>
  <c r="T3" i="9"/>
  <c r="B13" i="32"/>
  <c r="K70" i="35"/>
  <c r="C83" i="21"/>
  <c r="B83" i="13"/>
  <c r="B19" i="13"/>
  <c r="E19" i="13" s="1"/>
  <c r="D106" i="21"/>
  <c r="Z106" i="21" s="1"/>
  <c r="G53" i="18"/>
  <c r="D126" i="21"/>
  <c r="G87" i="18"/>
  <c r="T32" i="31"/>
  <c r="U32" i="31" s="1"/>
  <c r="T32" i="30"/>
  <c r="T32" i="29"/>
  <c r="U32" i="29" s="1"/>
  <c r="T32" i="9"/>
  <c r="P5" i="34"/>
  <c r="C108" i="3"/>
  <c r="C50" i="3"/>
  <c r="F50" i="3" s="1"/>
  <c r="C76" i="21"/>
  <c r="B12" i="13"/>
  <c r="E12" i="13" s="1"/>
  <c r="B76" i="13"/>
  <c r="C86" i="21"/>
  <c r="B22" i="13"/>
  <c r="C92" i="21"/>
  <c r="B92" i="13"/>
  <c r="B28" i="13"/>
  <c r="D120" i="21"/>
  <c r="G81" i="18"/>
  <c r="C14" i="18"/>
  <c r="C111" i="24"/>
  <c r="C47" i="24"/>
  <c r="C67" i="18"/>
  <c r="C59" i="18"/>
  <c r="E84" i="18"/>
  <c r="V10" i="34"/>
  <c r="C84" i="3"/>
  <c r="C26" i="3"/>
  <c r="F26" i="3" s="1"/>
  <c r="C4" i="10"/>
  <c r="C76" i="3"/>
  <c r="C18" i="3"/>
  <c r="F18" i="3" s="1"/>
  <c r="C90" i="3"/>
  <c r="C32" i="3"/>
  <c r="F32" i="3" s="1"/>
  <c r="C41" i="3"/>
  <c r="F41" i="3" s="1"/>
  <c r="C99" i="3"/>
  <c r="C111" i="3"/>
  <c r="C53" i="3"/>
  <c r="F53" i="3" s="1"/>
  <c r="E5" i="14"/>
  <c r="Z76" i="21"/>
  <c r="Y76" i="21"/>
  <c r="X76" i="21"/>
  <c r="W76" i="21"/>
  <c r="C84" i="21"/>
  <c r="B20" i="13"/>
  <c r="E20" i="13" s="1"/>
  <c r="B84" i="13"/>
  <c r="C90" i="21"/>
  <c r="B90" i="13"/>
  <c r="B26" i="13"/>
  <c r="E26" i="13" s="1"/>
  <c r="D103" i="21"/>
  <c r="G50" i="18"/>
  <c r="E76" i="14"/>
  <c r="C122" i="21"/>
  <c r="B58" i="13"/>
  <c r="E58" i="13" s="1"/>
  <c r="B122" i="13"/>
  <c r="Z124" i="21"/>
  <c r="Y124" i="21"/>
  <c r="X124" i="21"/>
  <c r="W124" i="21"/>
  <c r="V124" i="21"/>
  <c r="G8" i="18"/>
  <c r="G11" i="18"/>
  <c r="G17" i="18"/>
  <c r="C93" i="24"/>
  <c r="C29" i="24"/>
  <c r="E55" i="18"/>
  <c r="G65" i="18"/>
  <c r="E85" i="18"/>
  <c r="H119" i="15"/>
  <c r="C37" i="33"/>
  <c r="J37" i="33" s="1"/>
  <c r="K53" i="34"/>
  <c r="B53" i="32"/>
  <c r="C71" i="32"/>
  <c r="T57" i="34"/>
  <c r="S62" i="34"/>
  <c r="E90" i="32"/>
  <c r="AD48" i="34"/>
  <c r="C99" i="32"/>
  <c r="AB57" i="34"/>
  <c r="B104" i="32"/>
  <c r="AA62" i="34"/>
  <c r="C108" i="32"/>
  <c r="R40" i="26"/>
  <c r="N13" i="34"/>
  <c r="L62" i="34"/>
  <c r="J155" i="26"/>
  <c r="J6" i="33"/>
  <c r="W6" i="33" s="1"/>
  <c r="D165" i="26"/>
  <c r="D16" i="33"/>
  <c r="Q16" i="33" s="1"/>
  <c r="C129" i="26"/>
  <c r="C69" i="3"/>
  <c r="C11" i="3"/>
  <c r="F11" i="3" s="1"/>
  <c r="T90" i="31"/>
  <c r="T90" i="30"/>
  <c r="T90" i="29"/>
  <c r="AF7" i="34"/>
  <c r="T90" i="9"/>
  <c r="AB28" i="34" s="1"/>
  <c r="B5" i="32"/>
  <c r="K62" i="35"/>
  <c r="B21" i="32"/>
  <c r="C69" i="32"/>
  <c r="T55" i="34"/>
  <c r="C70" i="3"/>
  <c r="C12" i="3"/>
  <c r="F12" i="3" s="1"/>
  <c r="W91" i="21"/>
  <c r="Y91" i="21"/>
  <c r="Z91" i="21"/>
  <c r="X91" i="21"/>
  <c r="D123" i="21"/>
  <c r="G84" i="18"/>
  <c r="C97" i="3"/>
  <c r="C39" i="3"/>
  <c r="F39" i="3" s="1"/>
  <c r="C44" i="18"/>
  <c r="C68" i="32"/>
  <c r="T54" i="34"/>
  <c r="B96" i="32"/>
  <c r="AA54" i="34"/>
  <c r="L55" i="34"/>
  <c r="C77" i="3"/>
  <c r="C19" i="3"/>
  <c r="F19" i="3" s="1"/>
  <c r="C91" i="3"/>
  <c r="C33" i="3"/>
  <c r="F33" i="3" s="1"/>
  <c r="C100" i="3"/>
  <c r="C42" i="3"/>
  <c r="F42" i="3" s="1"/>
  <c r="C54" i="3"/>
  <c r="F54" i="3" s="1"/>
  <c r="C112" i="3"/>
  <c r="C7" i="21"/>
  <c r="E10" i="14"/>
  <c r="E23" i="14"/>
  <c r="C26" i="21" s="1"/>
  <c r="F26" i="21" s="1"/>
  <c r="E51" i="14"/>
  <c r="C116" i="21"/>
  <c r="B116" i="13"/>
  <c r="B52" i="13"/>
  <c r="E52" i="13" s="1"/>
  <c r="Z118" i="21"/>
  <c r="W118" i="21"/>
  <c r="Y118" i="21"/>
  <c r="V118" i="21"/>
  <c r="X118" i="21"/>
  <c r="B125" i="13"/>
  <c r="B61" i="13"/>
  <c r="E61" i="13" s="1"/>
  <c r="C125" i="21"/>
  <c r="C12" i="18"/>
  <c r="G23" i="18"/>
  <c r="G33" i="18"/>
  <c r="G48" i="18"/>
  <c r="G55" i="18"/>
  <c r="G85" i="18"/>
  <c r="F22" i="31"/>
  <c r="F107" i="31" s="1"/>
  <c r="F22" i="30"/>
  <c r="F107" i="30" s="1"/>
  <c r="F22" i="29"/>
  <c r="F107" i="29" s="1"/>
  <c r="F51" i="9"/>
  <c r="H113" i="15"/>
  <c r="K65" i="35"/>
  <c r="B8" i="32"/>
  <c r="B24" i="32"/>
  <c r="C76" i="32"/>
  <c r="T62" i="34"/>
  <c r="C90" i="32"/>
  <c r="AB48" i="34"/>
  <c r="C95" i="32"/>
  <c r="AB53" i="34"/>
  <c r="C104" i="32"/>
  <c r="AB62" i="34"/>
  <c r="D37" i="26"/>
  <c r="R37" i="26" s="1"/>
  <c r="I115" i="35"/>
  <c r="J115" i="35" s="1"/>
  <c r="C26" i="34"/>
  <c r="C68" i="34" s="1"/>
  <c r="C47" i="34"/>
  <c r="C48" i="34"/>
  <c r="C49" i="34"/>
  <c r="C57" i="34"/>
  <c r="C155" i="26"/>
  <c r="R4" i="26"/>
  <c r="C6" i="33"/>
  <c r="P6" i="33" s="1"/>
  <c r="K155" i="26"/>
  <c r="K6" i="33"/>
  <c r="X6" i="33" s="1"/>
  <c r="D157" i="26"/>
  <c r="D8" i="33"/>
  <c r="Q8" i="33" s="1"/>
  <c r="C163" i="26"/>
  <c r="R12" i="26"/>
  <c r="C14" i="33"/>
  <c r="P14" i="33" s="1"/>
  <c r="E165" i="26"/>
  <c r="E16" i="33"/>
  <c r="R16" i="33" s="1"/>
  <c r="B38" i="32"/>
  <c r="C94" i="3"/>
  <c r="C36" i="3"/>
  <c r="F36" i="3" s="1"/>
  <c r="G27" i="21"/>
  <c r="H27" i="21" s="1"/>
  <c r="I27" i="21" s="1"/>
  <c r="J27" i="21" s="1"/>
  <c r="K27" i="21" s="1"/>
  <c r="L27" i="21" s="1"/>
  <c r="M27" i="21" s="1"/>
  <c r="N27" i="21" s="1"/>
  <c r="O27" i="21" s="1"/>
  <c r="P27" i="21" s="1"/>
  <c r="Q27" i="21" s="1"/>
  <c r="R27" i="21" s="1"/>
  <c r="S27" i="21" s="1"/>
  <c r="T27" i="21" s="1"/>
  <c r="C80" i="24"/>
  <c r="C16" i="24"/>
  <c r="T106" i="31"/>
  <c r="T106" i="30"/>
  <c r="T106" i="29"/>
  <c r="T106" i="9"/>
  <c r="E162" i="26"/>
  <c r="E13" i="33"/>
  <c r="R13" i="33" s="1"/>
  <c r="Y75" i="21"/>
  <c r="X75" i="21"/>
  <c r="W75" i="21"/>
  <c r="Z75" i="21"/>
  <c r="Z112" i="21"/>
  <c r="Y112" i="21"/>
  <c r="W112" i="21"/>
  <c r="X112" i="21"/>
  <c r="C124" i="21"/>
  <c r="B60" i="13"/>
  <c r="E60" i="13" s="1"/>
  <c r="B124" i="13"/>
  <c r="H115" i="15"/>
  <c r="C78" i="3"/>
  <c r="C20" i="3"/>
  <c r="F20" i="3" s="1"/>
  <c r="C78" i="21"/>
  <c r="B14" i="13"/>
  <c r="E14" i="13" s="1"/>
  <c r="B78" i="13"/>
  <c r="B82" i="13"/>
  <c r="C82" i="21"/>
  <c r="B18" i="13"/>
  <c r="E18" i="13" s="1"/>
  <c r="Z84" i="21"/>
  <c r="Y84" i="21"/>
  <c r="X84" i="21"/>
  <c r="W84" i="21"/>
  <c r="C88" i="21"/>
  <c r="B88" i="13"/>
  <c r="B24" i="13"/>
  <c r="E24" i="13" s="1"/>
  <c r="Z90" i="21"/>
  <c r="Y90" i="21"/>
  <c r="W90" i="21"/>
  <c r="X90" i="21"/>
  <c r="C94" i="21"/>
  <c r="B94" i="13"/>
  <c r="B30" i="13"/>
  <c r="C119" i="21"/>
  <c r="B55" i="13"/>
  <c r="E55" i="13" s="1"/>
  <c r="B119" i="13"/>
  <c r="D122" i="21"/>
  <c r="G83" i="18"/>
  <c r="C9" i="24"/>
  <c r="C73" i="24"/>
  <c r="G15" i="18"/>
  <c r="C30" i="24"/>
  <c r="G30" i="24" s="1"/>
  <c r="G41" i="18"/>
  <c r="G47" i="18"/>
  <c r="H123" i="15"/>
  <c r="B7" i="32"/>
  <c r="K64" i="35"/>
  <c r="B15" i="32"/>
  <c r="B23" i="32"/>
  <c r="B37" i="32"/>
  <c r="K52" i="34"/>
  <c r="C62" i="32"/>
  <c r="T48" i="34"/>
  <c r="C66" i="32"/>
  <c r="T52" i="34"/>
  <c r="C70" i="32"/>
  <c r="T56" i="34"/>
  <c r="B75" i="32"/>
  <c r="S61" i="34"/>
  <c r="C98" i="32"/>
  <c r="AB56" i="34"/>
  <c r="J88" i="35"/>
  <c r="L88" i="35" s="1"/>
  <c r="G89" i="35"/>
  <c r="F116" i="35" s="1"/>
  <c r="N17" i="34"/>
  <c r="V18" i="34"/>
  <c r="L49" i="34"/>
  <c r="L53" i="34"/>
  <c r="L57" i="34"/>
  <c r="L61" i="34"/>
  <c r="H156" i="26"/>
  <c r="T5" i="26"/>
  <c r="H7" i="33"/>
  <c r="U7" i="33" s="1"/>
  <c r="E157" i="26"/>
  <c r="E8" i="33"/>
  <c r="R8" i="33" s="1"/>
  <c r="R11" i="26"/>
  <c r="R62" i="26"/>
  <c r="C23" i="3"/>
  <c r="F23" i="3" s="1"/>
  <c r="C81" i="3"/>
  <c r="Z82" i="21"/>
  <c r="W82" i="21"/>
  <c r="Y82" i="21"/>
  <c r="X82" i="21"/>
  <c r="T98" i="31"/>
  <c r="T98" i="30"/>
  <c r="T98" i="29"/>
  <c r="AF15" i="34"/>
  <c r="T98" i="9"/>
  <c r="AB36" i="34" s="1"/>
  <c r="T19" i="31"/>
  <c r="T19" i="29"/>
  <c r="T19" i="30"/>
  <c r="T19" i="9"/>
  <c r="C92" i="32"/>
  <c r="AB50" i="34"/>
  <c r="C96" i="3"/>
  <c r="C38" i="3"/>
  <c r="F38" i="3" s="1"/>
  <c r="C72" i="3"/>
  <c r="C14" i="3"/>
  <c r="F14" i="3" s="1"/>
  <c r="D117" i="21"/>
  <c r="G78" i="18"/>
  <c r="C63" i="32"/>
  <c r="T49" i="34"/>
  <c r="V47" i="34"/>
  <c r="C34" i="3"/>
  <c r="F34" i="3" s="1"/>
  <c r="C92" i="3"/>
  <c r="C113" i="3"/>
  <c r="C55" i="3"/>
  <c r="F55" i="3" s="1"/>
  <c r="C9" i="3"/>
  <c r="C67" i="3"/>
  <c r="C79" i="3"/>
  <c r="C21" i="3"/>
  <c r="F21" i="3" s="1"/>
  <c r="C35" i="3"/>
  <c r="F35" i="3" s="1"/>
  <c r="C93" i="3"/>
  <c r="C104" i="3"/>
  <c r="C46" i="3"/>
  <c r="C56" i="3"/>
  <c r="F56" i="3" s="1"/>
  <c r="C114" i="3"/>
  <c r="C75" i="21"/>
  <c r="B11" i="13"/>
  <c r="E11" i="13" s="1"/>
  <c r="B75" i="13"/>
  <c r="C85" i="21"/>
  <c r="B21" i="13"/>
  <c r="E21" i="13" s="1"/>
  <c r="B85" i="13"/>
  <c r="G24" i="21"/>
  <c r="H24" i="21" s="1"/>
  <c r="I24" i="21" s="1"/>
  <c r="J24" i="21" s="1"/>
  <c r="K24" i="21" s="1"/>
  <c r="L24" i="21" s="1"/>
  <c r="M24" i="21" s="1"/>
  <c r="N24" i="21" s="1"/>
  <c r="O24" i="21" s="1"/>
  <c r="P24" i="21" s="1"/>
  <c r="Q24" i="21" s="1"/>
  <c r="R24" i="21" s="1"/>
  <c r="S24" i="21" s="1"/>
  <c r="T24" i="21" s="1"/>
  <c r="C91" i="21"/>
  <c r="B91" i="13"/>
  <c r="B27" i="13"/>
  <c r="E27" i="13" s="1"/>
  <c r="G94" i="21"/>
  <c r="H30" i="21"/>
  <c r="B31" i="13"/>
  <c r="F31" i="13" s="1"/>
  <c r="C95" i="21"/>
  <c r="B95" i="13"/>
  <c r="D109" i="21"/>
  <c r="Z109" i="21" s="1"/>
  <c r="G56" i="18"/>
  <c r="D116" i="21"/>
  <c r="G77" i="18"/>
  <c r="C123" i="21"/>
  <c r="B123" i="13"/>
  <c r="B59" i="13"/>
  <c r="E59" i="13" s="1"/>
  <c r="D125" i="21"/>
  <c r="G86" i="18"/>
  <c r="G9" i="18"/>
  <c r="G12" i="18"/>
  <c r="G18" i="18"/>
  <c r="G21" i="18"/>
  <c r="C95" i="24"/>
  <c r="C31" i="24"/>
  <c r="G31" i="24" s="1"/>
  <c r="G54" i="18"/>
  <c r="H131" i="15"/>
  <c r="T23" i="9" s="1"/>
  <c r="H117" i="15"/>
  <c r="G127" i="15"/>
  <c r="K61" i="34"/>
  <c r="B46" i="32"/>
  <c r="D62" i="32"/>
  <c r="U48" i="34"/>
  <c r="U61" i="12"/>
  <c r="C79" i="32"/>
  <c r="B89" i="32"/>
  <c r="AA47" i="34"/>
  <c r="E89" i="32"/>
  <c r="AD47" i="34"/>
  <c r="AA55" i="34"/>
  <c r="C103" i="32"/>
  <c r="AB61" i="34"/>
  <c r="D34" i="26"/>
  <c r="R34" i="26" s="1"/>
  <c r="D67" i="26"/>
  <c r="R67" i="26" s="1"/>
  <c r="D99" i="26"/>
  <c r="R99" i="26" s="1"/>
  <c r="C52" i="34"/>
  <c r="C60" i="34"/>
  <c r="B4" i="32"/>
  <c r="B54" i="32"/>
  <c r="E80" i="18"/>
  <c r="D61" i="32"/>
  <c r="D90" i="32"/>
  <c r="D68" i="26"/>
  <c r="D97" i="26"/>
  <c r="R97" i="26" s="1"/>
  <c r="D47" i="34"/>
  <c r="X47" i="34"/>
  <c r="D48" i="34"/>
  <c r="D49" i="34"/>
  <c r="D50" i="34"/>
  <c r="D51" i="34"/>
  <c r="D52" i="34"/>
  <c r="D53" i="34"/>
  <c r="D54" i="34"/>
  <c r="D55" i="34"/>
  <c r="D56" i="34"/>
  <c r="D57" i="34"/>
  <c r="D58" i="34"/>
  <c r="D59" i="34"/>
  <c r="D60" i="34"/>
  <c r="D61" i="34"/>
  <c r="D62" i="34"/>
  <c r="S5" i="26"/>
  <c r="R8" i="26"/>
  <c r="U34" i="26"/>
  <c r="J125" i="26"/>
  <c r="S35" i="26"/>
  <c r="U35" i="26"/>
  <c r="R70" i="26"/>
  <c r="D71" i="26"/>
  <c r="D134" i="26" s="1"/>
  <c r="S90" i="26"/>
  <c r="R100" i="26"/>
  <c r="B40" i="32"/>
  <c r="B62" i="32"/>
  <c r="B78" i="32"/>
  <c r="B99" i="32"/>
  <c r="I281" i="7"/>
  <c r="O12" i="29" s="1"/>
  <c r="Q281" i="7"/>
  <c r="O20" i="29" s="1"/>
  <c r="B320" i="7"/>
  <c r="B284" i="7"/>
  <c r="R5" i="29" s="1"/>
  <c r="B270" i="7"/>
  <c r="R5" i="9" s="1"/>
  <c r="O289" i="7"/>
  <c r="K18" i="30" s="1"/>
  <c r="O99" i="30"/>
  <c r="O43" i="30"/>
  <c r="O71" i="30"/>
  <c r="K194" i="7"/>
  <c r="J191" i="7"/>
  <c r="C78" i="18"/>
  <c r="H8" i="15"/>
  <c r="T37" i="31"/>
  <c r="T37" i="30"/>
  <c r="T37" i="29"/>
  <c r="T41" i="31"/>
  <c r="T41" i="29"/>
  <c r="T41" i="30"/>
  <c r="T45" i="30"/>
  <c r="T45" i="31"/>
  <c r="T45" i="29"/>
  <c r="T49" i="31"/>
  <c r="T49" i="30"/>
  <c r="T49" i="29"/>
  <c r="T62" i="31"/>
  <c r="T62" i="30"/>
  <c r="T62" i="29"/>
  <c r="T66" i="31"/>
  <c r="T66" i="29"/>
  <c r="T66" i="30"/>
  <c r="T70" i="31"/>
  <c r="T70" i="30"/>
  <c r="T70" i="29"/>
  <c r="T74" i="31"/>
  <c r="T74" i="30"/>
  <c r="T74" i="29"/>
  <c r="T78" i="31"/>
  <c r="T78" i="29"/>
  <c r="T78" i="30"/>
  <c r="T91" i="31"/>
  <c r="T91" i="30"/>
  <c r="T91" i="29"/>
  <c r="T95" i="31"/>
  <c r="T95" i="30"/>
  <c r="T95" i="29"/>
  <c r="T99" i="31"/>
  <c r="T99" i="30"/>
  <c r="T99" i="29"/>
  <c r="T103" i="31"/>
  <c r="T103" i="30"/>
  <c r="T103" i="29"/>
  <c r="F112" i="15"/>
  <c r="F114" i="15"/>
  <c r="F116" i="15"/>
  <c r="F118" i="15"/>
  <c r="F120" i="15"/>
  <c r="F122" i="15"/>
  <c r="F124" i="15"/>
  <c r="F126" i="15"/>
  <c r="V33" i="12"/>
  <c r="O48" i="34" s="1"/>
  <c r="P48" i="34" s="1"/>
  <c r="D89" i="32"/>
  <c r="T75" i="9"/>
  <c r="T41" i="34" s="1"/>
  <c r="T79" i="9"/>
  <c r="F7" i="34"/>
  <c r="F9" i="34"/>
  <c r="F11" i="34"/>
  <c r="X12" i="34"/>
  <c r="F13" i="34"/>
  <c r="F15" i="34"/>
  <c r="F17" i="34"/>
  <c r="F19" i="34"/>
  <c r="AA48" i="34"/>
  <c r="AA49" i="34"/>
  <c r="AA50" i="34"/>
  <c r="AA51" i="34"/>
  <c r="AA52" i="34"/>
  <c r="AA56" i="34"/>
  <c r="AA57" i="34"/>
  <c r="AA58" i="34"/>
  <c r="AA59" i="34"/>
  <c r="AA60" i="34"/>
  <c r="AA61" i="34"/>
  <c r="D63" i="26"/>
  <c r="R63" i="26" s="1"/>
  <c r="D95" i="26"/>
  <c r="R95" i="26" s="1"/>
  <c r="B42" i="32"/>
  <c r="B64" i="32"/>
  <c r="R276" i="7"/>
  <c r="P91" i="30"/>
  <c r="P63" i="30"/>
  <c r="P35" i="30"/>
  <c r="L90" i="29"/>
  <c r="L62" i="29"/>
  <c r="L34" i="29"/>
  <c r="J20" i="30"/>
  <c r="C114" i="24"/>
  <c r="C50" i="24"/>
  <c r="E78" i="18"/>
  <c r="T88" i="31"/>
  <c r="U88" i="31" s="1"/>
  <c r="T88" i="30"/>
  <c r="T88" i="29"/>
  <c r="V32" i="12"/>
  <c r="O47" i="34" s="1"/>
  <c r="U60" i="12"/>
  <c r="V61" i="12"/>
  <c r="W48" i="34" s="1"/>
  <c r="X48" i="34" s="1"/>
  <c r="U89" i="12"/>
  <c r="V89" i="12" s="1"/>
  <c r="AE48" i="34" s="1"/>
  <c r="AF48" i="34" s="1"/>
  <c r="D38" i="26"/>
  <c r="T39" i="9"/>
  <c r="L33" i="34" s="1"/>
  <c r="T47" i="9"/>
  <c r="L41" i="34" s="1"/>
  <c r="D66" i="26"/>
  <c r="R66" i="26" s="1"/>
  <c r="T88" i="9"/>
  <c r="AB26" i="34" s="1"/>
  <c r="T96" i="9"/>
  <c r="AB34" i="34" s="1"/>
  <c r="T99" i="9"/>
  <c r="AB37" i="34" s="1"/>
  <c r="AF5" i="34"/>
  <c r="N8" i="34"/>
  <c r="N10" i="34"/>
  <c r="N12" i="34"/>
  <c r="N14" i="34"/>
  <c r="N16" i="34"/>
  <c r="N18" i="34"/>
  <c r="N20" i="34"/>
  <c r="AB51" i="34"/>
  <c r="AB52" i="34"/>
  <c r="AB59" i="34"/>
  <c r="AB60" i="34"/>
  <c r="U5" i="26"/>
  <c r="R6" i="26"/>
  <c r="C125" i="26"/>
  <c r="H126" i="26"/>
  <c r="R68" i="26"/>
  <c r="E164" i="26"/>
  <c r="B44" i="32"/>
  <c r="B66" i="32"/>
  <c r="J276" i="7"/>
  <c r="N280" i="7"/>
  <c r="N17" i="29" s="1"/>
  <c r="L288" i="7"/>
  <c r="N104" i="30"/>
  <c r="N76" i="30"/>
  <c r="N48" i="30"/>
  <c r="Q64" i="31"/>
  <c r="Q92" i="31"/>
  <c r="Q36" i="31"/>
  <c r="E81" i="18"/>
  <c r="T34" i="31"/>
  <c r="T34" i="30"/>
  <c r="T34" i="29"/>
  <c r="T38" i="31"/>
  <c r="T38" i="30"/>
  <c r="T38" i="29"/>
  <c r="T42" i="31"/>
  <c r="T42" i="30"/>
  <c r="T42" i="29"/>
  <c r="T46" i="31"/>
  <c r="T46" i="30"/>
  <c r="T46" i="29"/>
  <c r="T50" i="31"/>
  <c r="T50" i="30"/>
  <c r="T50" i="29"/>
  <c r="T63" i="31"/>
  <c r="T63" i="29"/>
  <c r="T63" i="30"/>
  <c r="T67" i="31"/>
  <c r="T67" i="30"/>
  <c r="T67" i="29"/>
  <c r="T71" i="31"/>
  <c r="T71" i="30"/>
  <c r="T71" i="29"/>
  <c r="T75" i="31"/>
  <c r="T75" i="29"/>
  <c r="T75" i="30"/>
  <c r="T92" i="31"/>
  <c r="T92" i="30"/>
  <c r="T92" i="29"/>
  <c r="T96" i="31"/>
  <c r="T96" i="30"/>
  <c r="T96" i="29"/>
  <c r="T100" i="31"/>
  <c r="T100" i="30"/>
  <c r="T100" i="29"/>
  <c r="T104" i="31"/>
  <c r="T104" i="30"/>
  <c r="T104" i="29"/>
  <c r="H114" i="15"/>
  <c r="H118" i="15"/>
  <c r="H122" i="15"/>
  <c r="H126" i="15"/>
  <c r="V60" i="12"/>
  <c r="W47" i="34" s="1"/>
  <c r="U88" i="12"/>
  <c r="V88" i="12" s="1"/>
  <c r="AE47" i="34" s="1"/>
  <c r="AF47" i="34" s="1"/>
  <c r="T34" i="9"/>
  <c r="L28" i="34" s="1"/>
  <c r="D41" i="26"/>
  <c r="R41" i="26" s="1"/>
  <c r="T42" i="9"/>
  <c r="L36" i="34" s="1"/>
  <c r="T62" i="9"/>
  <c r="T28" i="34" s="1"/>
  <c r="D69" i="26"/>
  <c r="R69" i="26" s="1"/>
  <c r="T70" i="9"/>
  <c r="T36" i="34" s="1"/>
  <c r="T80" i="9"/>
  <c r="D90" i="26"/>
  <c r="R90" i="26" s="1"/>
  <c r="T91" i="9"/>
  <c r="AB29" i="34" s="1"/>
  <c r="D98" i="26"/>
  <c r="R98" i="26" s="1"/>
  <c r="S47" i="34"/>
  <c r="AC47" i="34"/>
  <c r="AC48" i="34"/>
  <c r="S49" i="34"/>
  <c r="S51" i="34"/>
  <c r="S55" i="34"/>
  <c r="S56" i="34"/>
  <c r="S57" i="34"/>
  <c r="S58" i="34"/>
  <c r="S59" i="34"/>
  <c r="D36" i="26"/>
  <c r="C128" i="26"/>
  <c r="R38" i="26"/>
  <c r="C130" i="26"/>
  <c r="D159" i="26"/>
  <c r="D318" i="7"/>
  <c r="D282" i="7"/>
  <c r="P7" i="29" s="1"/>
  <c r="D268" i="7"/>
  <c r="P7" i="9" s="1"/>
  <c r="O166" i="8"/>
  <c r="N163" i="8"/>
  <c r="C115" i="24"/>
  <c r="C51" i="24"/>
  <c r="C79" i="18"/>
  <c r="T60" i="31"/>
  <c r="T60" i="30"/>
  <c r="U60" i="30" s="1"/>
  <c r="T60" i="29"/>
  <c r="U60" i="29" s="1"/>
  <c r="E111" i="15"/>
  <c r="E33" i="32"/>
  <c r="T37" i="9"/>
  <c r="L31" i="34" s="1"/>
  <c r="T45" i="9"/>
  <c r="L39" i="34" s="1"/>
  <c r="D64" i="26"/>
  <c r="R64" i="26" s="1"/>
  <c r="D72" i="26"/>
  <c r="D135" i="26" s="1"/>
  <c r="D93" i="26"/>
  <c r="R93" i="26" s="1"/>
  <c r="T100" i="9"/>
  <c r="AB38" i="34" s="1"/>
  <c r="P10" i="34"/>
  <c r="P14" i="34"/>
  <c r="P18" i="34"/>
  <c r="T51" i="34"/>
  <c r="T53" i="34"/>
  <c r="T58" i="34"/>
  <c r="T59" i="34"/>
  <c r="T61" i="34"/>
  <c r="F125" i="26"/>
  <c r="S34" i="26"/>
  <c r="R43" i="26"/>
  <c r="C134" i="26"/>
  <c r="B32" i="32"/>
  <c r="D288" i="7"/>
  <c r="L34" i="30"/>
  <c r="L90" i="30"/>
  <c r="L62" i="30"/>
  <c r="R91" i="30"/>
  <c r="R63" i="30"/>
  <c r="R35" i="30"/>
  <c r="Q72" i="7"/>
  <c r="R84" i="7" s="1"/>
  <c r="S96" i="7" s="1"/>
  <c r="T108" i="7" s="1"/>
  <c r="U121" i="7" s="1"/>
  <c r="V134" i="7" s="1"/>
  <c r="N73" i="7"/>
  <c r="O85" i="7" s="1"/>
  <c r="P97" i="7" s="1"/>
  <c r="Q109" i="7" s="1"/>
  <c r="R122" i="7" s="1"/>
  <c r="S135" i="7" s="1"/>
  <c r="T149" i="7" s="1"/>
  <c r="L218" i="7"/>
  <c r="F7" i="15"/>
  <c r="T35" i="31"/>
  <c r="T35" i="30"/>
  <c r="T35" i="29"/>
  <c r="T39" i="31"/>
  <c r="T39" i="30"/>
  <c r="T39" i="29"/>
  <c r="T43" i="31"/>
  <c r="T43" i="30"/>
  <c r="T43" i="29"/>
  <c r="T47" i="31"/>
  <c r="T47" i="30"/>
  <c r="T47" i="29"/>
  <c r="T64" i="31"/>
  <c r="T64" i="30"/>
  <c r="T64" i="29"/>
  <c r="T68" i="31"/>
  <c r="T68" i="30"/>
  <c r="T68" i="29"/>
  <c r="T72" i="31"/>
  <c r="T72" i="30"/>
  <c r="T72" i="29"/>
  <c r="T76" i="31"/>
  <c r="T76" i="30"/>
  <c r="T76" i="29"/>
  <c r="H80" i="15"/>
  <c r="T93" i="31"/>
  <c r="T93" i="30"/>
  <c r="T93" i="29"/>
  <c r="T97" i="31"/>
  <c r="T97" i="30"/>
  <c r="T97" i="29"/>
  <c r="T101" i="31"/>
  <c r="T101" i="30"/>
  <c r="T101" i="29"/>
  <c r="T105" i="31"/>
  <c r="T105" i="30"/>
  <c r="T105" i="29"/>
  <c r="S3" i="31"/>
  <c r="U3" i="31" s="1"/>
  <c r="S3" i="30"/>
  <c r="S3" i="29"/>
  <c r="U3" i="29" s="1"/>
  <c r="E32" i="32"/>
  <c r="E62" i="32"/>
  <c r="D39" i="26"/>
  <c r="T60" i="9"/>
  <c r="T68" i="9"/>
  <c r="T34" i="34" s="1"/>
  <c r="D96" i="26"/>
  <c r="R96" i="26" s="1"/>
  <c r="T97" i="9"/>
  <c r="AB35" i="34" s="1"/>
  <c r="T101" i="9"/>
  <c r="AB39" i="34" s="1"/>
  <c r="X5" i="34"/>
  <c r="X7" i="34"/>
  <c r="X9" i="34"/>
  <c r="X11" i="34"/>
  <c r="X13" i="34"/>
  <c r="X15" i="34"/>
  <c r="X17" i="34"/>
  <c r="X19" i="34"/>
  <c r="U47" i="34"/>
  <c r="K48" i="34"/>
  <c r="K49" i="34"/>
  <c r="K50" i="34"/>
  <c r="K54" i="34"/>
  <c r="K56" i="34"/>
  <c r="K58" i="34"/>
  <c r="K62" i="34"/>
  <c r="R14" i="26"/>
  <c r="C165" i="26"/>
  <c r="R35" i="26"/>
  <c r="C126" i="26"/>
  <c r="R92" i="30"/>
  <c r="R36" i="30"/>
  <c r="R64" i="30"/>
  <c r="R69" i="7"/>
  <c r="S81" i="7" s="1"/>
  <c r="T93" i="7" s="1"/>
  <c r="U105" i="7" s="1"/>
  <c r="V118" i="7" s="1"/>
  <c r="J218" i="7"/>
  <c r="I215" i="7"/>
  <c r="R92" i="29"/>
  <c r="R64" i="29"/>
  <c r="R36" i="29"/>
  <c r="V80" i="8"/>
  <c r="C276" i="7"/>
  <c r="K276" i="7"/>
  <c r="O280" i="7"/>
  <c r="N18" i="29" s="1"/>
  <c r="J281" i="7"/>
  <c r="O13" i="29" s="1"/>
  <c r="C320" i="7"/>
  <c r="C270" i="7"/>
  <c r="R6" i="9" s="1"/>
  <c r="C284" i="7"/>
  <c r="R6" i="29" s="1"/>
  <c r="J8" i="30"/>
  <c r="J16" i="30"/>
  <c r="K104" i="30"/>
  <c r="K48" i="30"/>
  <c r="K76" i="30"/>
  <c r="N105" i="30"/>
  <c r="N49" i="30"/>
  <c r="N77" i="30"/>
  <c r="O100" i="30"/>
  <c r="O44" i="30"/>
  <c r="O72" i="30"/>
  <c r="Q62" i="30"/>
  <c r="Q34" i="30"/>
  <c r="Q90" i="30"/>
  <c r="R92" i="31"/>
  <c r="R64" i="31"/>
  <c r="R36" i="31"/>
  <c r="F72" i="7"/>
  <c r="G84" i="7" s="1"/>
  <c r="H96" i="7" s="1"/>
  <c r="I108" i="7" s="1"/>
  <c r="J121" i="7" s="1"/>
  <c r="K134" i="7" s="1"/>
  <c r="L148" i="7" s="1"/>
  <c r="T73" i="7"/>
  <c r="U85" i="7" s="1"/>
  <c r="V97" i="7" s="1"/>
  <c r="M206" i="7"/>
  <c r="B314" i="7"/>
  <c r="B264" i="7"/>
  <c r="L5" i="9" s="1"/>
  <c r="D320" i="7"/>
  <c r="D270" i="7"/>
  <c r="R7" i="9" s="1"/>
  <c r="F288" i="7"/>
  <c r="N288" i="7"/>
  <c r="K77" i="30"/>
  <c r="K105" i="30"/>
  <c r="K49" i="30"/>
  <c r="N90" i="30"/>
  <c r="N62" i="30"/>
  <c r="N34" i="30"/>
  <c r="R292" i="7"/>
  <c r="N21" i="30" s="1"/>
  <c r="O45" i="30"/>
  <c r="O73" i="30"/>
  <c r="O101" i="30"/>
  <c r="Q63" i="30"/>
  <c r="Q91" i="30"/>
  <c r="Q35" i="30"/>
  <c r="E308" i="7"/>
  <c r="R8" i="31" s="1"/>
  <c r="L191" i="7"/>
  <c r="M194" i="7"/>
  <c r="N203" i="7"/>
  <c r="J215" i="7"/>
  <c r="K281" i="7"/>
  <c r="O14" i="29" s="1"/>
  <c r="O23" i="38"/>
  <c r="K59" i="3"/>
  <c r="K117" i="3" s="1"/>
  <c r="E276" i="7"/>
  <c r="M276" i="7"/>
  <c r="P277" i="7"/>
  <c r="K19" i="29" s="1"/>
  <c r="Q280" i="7"/>
  <c r="N20" i="29" s="1"/>
  <c r="L281" i="7"/>
  <c r="O15" i="29" s="1"/>
  <c r="B269" i="7"/>
  <c r="Q5" i="9" s="1"/>
  <c r="B319" i="7"/>
  <c r="B283" i="7"/>
  <c r="Q5" i="29" s="1"/>
  <c r="K98" i="30"/>
  <c r="K42" i="30"/>
  <c r="K70" i="30"/>
  <c r="K106" i="30"/>
  <c r="K50" i="30"/>
  <c r="K78" i="30"/>
  <c r="K292" i="7"/>
  <c r="N14" i="30" s="1"/>
  <c r="O102" i="30"/>
  <c r="O46" i="30"/>
  <c r="O74" i="30"/>
  <c r="Q36" i="30"/>
  <c r="Q64" i="30"/>
  <c r="Q92" i="30"/>
  <c r="P64" i="31"/>
  <c r="P92" i="31"/>
  <c r="P36" i="31"/>
  <c r="P218" i="7"/>
  <c r="O215" i="7"/>
  <c r="O90" i="31"/>
  <c r="O62" i="31"/>
  <c r="O34" i="31"/>
  <c r="F126" i="26"/>
  <c r="F276" i="7"/>
  <c r="N276" i="7"/>
  <c r="I277" i="7"/>
  <c r="K12" i="29" s="1"/>
  <c r="Q277" i="7"/>
  <c r="K20" i="29" s="1"/>
  <c r="B266" i="7"/>
  <c r="N5" i="9" s="1"/>
  <c r="B316" i="7"/>
  <c r="B280" i="7"/>
  <c r="N5" i="29" s="1"/>
  <c r="J280" i="7"/>
  <c r="N13" i="29" s="1"/>
  <c r="R280" i="7"/>
  <c r="N21" i="29" s="1"/>
  <c r="M281" i="7"/>
  <c r="O16" i="29" s="1"/>
  <c r="C269" i="7"/>
  <c r="Q6" i="9" s="1"/>
  <c r="C319" i="7"/>
  <c r="C283" i="7"/>
  <c r="Q6" i="29" s="1"/>
  <c r="K99" i="30"/>
  <c r="K43" i="30"/>
  <c r="K71" i="30"/>
  <c r="N100" i="30"/>
  <c r="N72" i="30"/>
  <c r="N44" i="30"/>
  <c r="O293" i="7"/>
  <c r="O18" i="30" s="1"/>
  <c r="P90" i="30"/>
  <c r="P34" i="30"/>
  <c r="P62" i="30"/>
  <c r="O73" i="7"/>
  <c r="P85" i="7" s="1"/>
  <c r="Q97" i="7" s="1"/>
  <c r="R109" i="7" s="1"/>
  <c r="S122" i="7" s="1"/>
  <c r="T135" i="7" s="1"/>
  <c r="U149" i="7" s="1"/>
  <c r="V163" i="7" s="1"/>
  <c r="I218" i="7"/>
  <c r="H215" i="7"/>
  <c r="Q218" i="7"/>
  <c r="Q62" i="31"/>
  <c r="Q90" i="31"/>
  <c r="Q34" i="31"/>
  <c r="Q25" i="38"/>
  <c r="G276" i="7"/>
  <c r="O276" i="7"/>
  <c r="J277" i="7"/>
  <c r="K13" i="29" s="1"/>
  <c r="R277" i="7"/>
  <c r="K21" i="29" s="1"/>
  <c r="K280" i="7"/>
  <c r="N14" i="29" s="1"/>
  <c r="N281" i="7"/>
  <c r="O17" i="29" s="1"/>
  <c r="D319" i="7"/>
  <c r="D269" i="7"/>
  <c r="Q7" i="9" s="1"/>
  <c r="D283" i="7"/>
  <c r="Q7" i="29" s="1"/>
  <c r="J12" i="30"/>
  <c r="N92" i="31"/>
  <c r="N36" i="31"/>
  <c r="N64" i="31"/>
  <c r="F70" i="7"/>
  <c r="G82" i="7" s="1"/>
  <c r="H94" i="7" s="1"/>
  <c r="I106" i="7" s="1"/>
  <c r="J119" i="7" s="1"/>
  <c r="K132" i="7" s="1"/>
  <c r="L146" i="7" s="1"/>
  <c r="R72" i="7"/>
  <c r="S84" i="7" s="1"/>
  <c r="T96" i="7" s="1"/>
  <c r="U108" i="7" s="1"/>
  <c r="V121" i="7" s="1"/>
  <c r="H203" i="7"/>
  <c r="G203" i="7"/>
  <c r="T35" i="26"/>
  <c r="H276" i="7"/>
  <c r="P276" i="7"/>
  <c r="K277" i="7"/>
  <c r="K14" i="29" s="1"/>
  <c r="L280" i="7"/>
  <c r="N15" i="29" s="1"/>
  <c r="O281" i="7"/>
  <c r="O18" i="29" s="1"/>
  <c r="B318" i="7"/>
  <c r="B282" i="7"/>
  <c r="P5" i="29" s="1"/>
  <c r="R288" i="7"/>
  <c r="N292" i="7"/>
  <c r="N17" i="30" s="1"/>
  <c r="O105" i="30"/>
  <c r="O49" i="30"/>
  <c r="O77" i="30"/>
  <c r="P64" i="30"/>
  <c r="R34" i="30"/>
  <c r="R62" i="30"/>
  <c r="R90" i="30"/>
  <c r="Q73" i="7"/>
  <c r="R85" i="7" s="1"/>
  <c r="S97" i="7" s="1"/>
  <c r="T109" i="7" s="1"/>
  <c r="U122" i="7" s="1"/>
  <c r="V135" i="7" s="1"/>
  <c r="I203" i="7"/>
  <c r="O277" i="7"/>
  <c r="K18" i="29" s="1"/>
  <c r="P280" i="7"/>
  <c r="N19" i="29" s="1"/>
  <c r="J6" i="31"/>
  <c r="C309" i="7"/>
  <c r="Q6" i="38"/>
  <c r="B261" i="8"/>
  <c r="Q6" i="12" s="1"/>
  <c r="Q17" i="38"/>
  <c r="S151" i="8"/>
  <c r="I276" i="7"/>
  <c r="Q276" i="7"/>
  <c r="L277" i="7"/>
  <c r="K15" i="29" s="1"/>
  <c r="M280" i="7"/>
  <c r="N16" i="29" s="1"/>
  <c r="P281" i="7"/>
  <c r="O19" i="29" s="1"/>
  <c r="C282" i="7"/>
  <c r="P6" i="29" s="1"/>
  <c r="C318" i="7"/>
  <c r="C268" i="7"/>
  <c r="P6" i="9" s="1"/>
  <c r="K46" i="30"/>
  <c r="K74" i="30"/>
  <c r="K102" i="30"/>
  <c r="N103" i="30"/>
  <c r="N47" i="30"/>
  <c r="N75" i="30"/>
  <c r="O98" i="30"/>
  <c r="O70" i="30"/>
  <c r="O42" i="30"/>
  <c r="L64" i="31"/>
  <c r="L36" i="31"/>
  <c r="L92" i="31"/>
  <c r="T72" i="7"/>
  <c r="U84" i="7" s="1"/>
  <c r="V96" i="7" s="1"/>
  <c r="F191" i="7"/>
  <c r="N191" i="7"/>
  <c r="L195" i="7"/>
  <c r="M207" i="7" s="1"/>
  <c r="N219" i="7" s="1"/>
  <c r="O231" i="7" s="1"/>
  <c r="P244" i="7" s="1"/>
  <c r="O91" i="31"/>
  <c r="O63" i="31"/>
  <c r="O35" i="31"/>
  <c r="L26" i="38"/>
  <c r="P26" i="38"/>
  <c r="G43" i="3"/>
  <c r="C6" i="6" s="1"/>
  <c r="C8" i="8" s="1"/>
  <c r="Y83" i="13"/>
  <c r="X83" i="13"/>
  <c r="W83" i="13"/>
  <c r="V83" i="13"/>
  <c r="N37" i="6"/>
  <c r="N5" i="7" s="1"/>
  <c r="Q7" i="38"/>
  <c r="C261" i="8"/>
  <c r="Q7" i="12" s="1"/>
  <c r="F35" i="13"/>
  <c r="E99" i="13"/>
  <c r="X84" i="13"/>
  <c r="W84" i="13"/>
  <c r="Y84" i="13"/>
  <c r="V84" i="13"/>
  <c r="H191" i="7"/>
  <c r="K90" i="31"/>
  <c r="K62" i="31"/>
  <c r="K34" i="31"/>
  <c r="O24" i="38"/>
  <c r="Q11" i="38"/>
  <c r="R91" i="31"/>
  <c r="R63" i="31"/>
  <c r="R35" i="31"/>
  <c r="K23" i="38"/>
  <c r="Q9" i="38"/>
  <c r="R8" i="38"/>
  <c r="D262" i="8"/>
  <c r="R8" i="12" s="1"/>
  <c r="V57" i="8"/>
  <c r="L22" i="38"/>
  <c r="P106" i="38"/>
  <c r="P78" i="38"/>
  <c r="P50" i="38"/>
  <c r="Q105" i="38"/>
  <c r="Y77" i="35" s="1"/>
  <c r="Q77" i="38"/>
  <c r="W77" i="35" s="1"/>
  <c r="Q49" i="38"/>
  <c r="R9" i="38"/>
  <c r="S7" i="38"/>
  <c r="C263" i="8"/>
  <c r="S7" i="12" s="1"/>
  <c r="U139" i="8"/>
  <c r="V142" i="8"/>
  <c r="V151" i="8" s="1"/>
  <c r="N142" i="8"/>
  <c r="K24" i="38"/>
  <c r="Y77" i="3"/>
  <c r="X77" i="3"/>
  <c r="Z77" i="3"/>
  <c r="W77" i="3"/>
  <c r="L90" i="31"/>
  <c r="L62" i="31"/>
  <c r="L34" i="31"/>
  <c r="L23" i="38"/>
  <c r="S175" i="8"/>
  <c r="U4" i="8"/>
  <c r="M6" i="38"/>
  <c r="B257" i="8"/>
  <c r="M6" i="12" s="1"/>
  <c r="Q15" i="38"/>
  <c r="L63" i="31"/>
  <c r="L91" i="31"/>
  <c r="L35" i="31"/>
  <c r="N91" i="31"/>
  <c r="N35" i="31"/>
  <c r="N63" i="31"/>
  <c r="B309" i="7"/>
  <c r="Q97" i="38"/>
  <c r="Y69" i="35" s="1"/>
  <c r="Q69" i="38"/>
  <c r="W69" i="35" s="1"/>
  <c r="Q41" i="38"/>
  <c r="L151" i="8"/>
  <c r="U190" i="8"/>
  <c r="T187" i="8"/>
  <c r="K21" i="38"/>
  <c r="L24" i="38"/>
  <c r="O25" i="38"/>
  <c r="N175" i="8"/>
  <c r="N90" i="31"/>
  <c r="N34" i="31"/>
  <c r="N62" i="31"/>
  <c r="Q63" i="31"/>
  <c r="Q35" i="31"/>
  <c r="Q91" i="31"/>
  <c r="K22" i="38"/>
  <c r="L25" i="38"/>
  <c r="O26" i="38"/>
  <c r="P21" i="38"/>
  <c r="Q8" i="38"/>
  <c r="D261" i="8"/>
  <c r="Q8" i="12" s="1"/>
  <c r="Q16" i="38"/>
  <c r="Q24" i="38"/>
  <c r="S6" i="38"/>
  <c r="B263" i="8"/>
  <c r="S6" i="12" s="1"/>
  <c r="M151" i="8"/>
  <c r="V163" i="8"/>
  <c r="Y102" i="3"/>
  <c r="X102" i="3"/>
  <c r="X101" i="3" s="1"/>
  <c r="T40" i="6" s="1"/>
  <c r="T8" i="7" s="1"/>
  <c r="Z102" i="3"/>
  <c r="F107" i="13"/>
  <c r="G43" i="13"/>
  <c r="E44" i="17"/>
  <c r="E296" i="7" s="1"/>
  <c r="R8" i="30" s="1"/>
  <c r="K91" i="31"/>
  <c r="K63" i="31"/>
  <c r="K35" i="31"/>
  <c r="P90" i="31"/>
  <c r="P62" i="31"/>
  <c r="P34" i="31"/>
  <c r="P107" i="38"/>
  <c r="P79" i="38"/>
  <c r="P51" i="38"/>
  <c r="Q66" i="38"/>
  <c r="W66" i="35" s="1"/>
  <c r="Q74" i="38"/>
  <c r="W74" i="35" s="1"/>
  <c r="Q46" i="38"/>
  <c r="Q102" i="38"/>
  <c r="Y74" i="35" s="1"/>
  <c r="S92" i="38"/>
  <c r="S64" i="38"/>
  <c r="S36" i="38"/>
  <c r="N139" i="8"/>
  <c r="O142" i="8"/>
  <c r="M163" i="8"/>
  <c r="S8" i="6"/>
  <c r="S10" i="8" s="1"/>
  <c r="Y81" i="3"/>
  <c r="X81" i="3"/>
  <c r="Z81" i="3"/>
  <c r="W102" i="3"/>
  <c r="M90" i="31"/>
  <c r="M62" i="31"/>
  <c r="M34" i="31"/>
  <c r="P91" i="31"/>
  <c r="P63" i="31"/>
  <c r="P35" i="31"/>
  <c r="N26" i="38"/>
  <c r="P24" i="38"/>
  <c r="R6" i="38"/>
  <c r="B262" i="8"/>
  <c r="R6" i="12" s="1"/>
  <c r="U151" i="8"/>
  <c r="O178" i="8"/>
  <c r="Z72" i="3"/>
  <c r="W72" i="3"/>
  <c r="Y72" i="3"/>
  <c r="J90" i="31"/>
  <c r="J62" i="31"/>
  <c r="J34" i="31"/>
  <c r="M91" i="31"/>
  <c r="M63" i="31"/>
  <c r="M35" i="31"/>
  <c r="R90" i="31"/>
  <c r="R62" i="31"/>
  <c r="R34" i="31"/>
  <c r="K26" i="38"/>
  <c r="L21" i="38"/>
  <c r="O6" i="38"/>
  <c r="B259" i="8"/>
  <c r="O6" i="12" s="1"/>
  <c r="O22" i="38"/>
  <c r="P25" i="38"/>
  <c r="Q12" i="38"/>
  <c r="Q20" i="38"/>
  <c r="R7" i="38"/>
  <c r="C262" i="8"/>
  <c r="R7" i="12" s="1"/>
  <c r="T151" i="8"/>
  <c r="R163" i="8"/>
  <c r="S178" i="8"/>
  <c r="D263" i="8"/>
  <c r="S8" i="12" s="1"/>
  <c r="E10" i="6"/>
  <c r="X72" i="3"/>
  <c r="W81" i="3"/>
  <c r="E105" i="13"/>
  <c r="F41" i="13"/>
  <c r="Y89" i="13"/>
  <c r="X89" i="13"/>
  <c r="W89" i="13"/>
  <c r="V89" i="13"/>
  <c r="R139" i="8"/>
  <c r="G29" i="3"/>
  <c r="Z76" i="3"/>
  <c r="Y76" i="3"/>
  <c r="V113" i="3"/>
  <c r="F44" i="17"/>
  <c r="F10" i="17"/>
  <c r="J65" i="13"/>
  <c r="Y78" i="13"/>
  <c r="X78" i="13"/>
  <c r="V78" i="13"/>
  <c r="K139" i="8"/>
  <c r="S139" i="8"/>
  <c r="Z70" i="3"/>
  <c r="W70" i="3"/>
  <c r="X73" i="3"/>
  <c r="W73" i="3"/>
  <c r="O8" i="6"/>
  <c r="O10" i="8" s="1"/>
  <c r="D36" i="6"/>
  <c r="F34" i="13"/>
  <c r="E98" i="13"/>
  <c r="W78" i="13"/>
  <c r="L37" i="22"/>
  <c r="M33" i="7" s="1"/>
  <c r="Z84" i="3"/>
  <c r="Y84" i="3"/>
  <c r="E102" i="13"/>
  <c r="F38" i="13"/>
  <c r="H36" i="17"/>
  <c r="P36" i="17"/>
  <c r="P143" i="8"/>
  <c r="R167" i="8" s="1"/>
  <c r="S179" i="8" s="1"/>
  <c r="T191" i="8" s="1"/>
  <c r="U203" i="8" s="1"/>
  <c r="V216" i="8" s="1"/>
  <c r="G28" i="3"/>
  <c r="J58" i="3"/>
  <c r="J116" i="3" s="1"/>
  <c r="Y113" i="3"/>
  <c r="X113" i="3"/>
  <c r="E109" i="13"/>
  <c r="I64" i="13"/>
  <c r="E9" i="17"/>
  <c r="E262" i="8" s="1"/>
  <c r="R9" i="12" s="1"/>
  <c r="Y96" i="13"/>
  <c r="V39" i="17" s="1"/>
  <c r="V21" i="7" s="1"/>
  <c r="X125" i="13"/>
  <c r="W125" i="13"/>
  <c r="Y125" i="13"/>
  <c r="F36" i="22"/>
  <c r="N36" i="22"/>
  <c r="X107" i="3"/>
  <c r="W107" i="3"/>
  <c r="X109" i="3"/>
  <c r="W109" i="3"/>
  <c r="Y111" i="3"/>
  <c r="X111" i="3"/>
  <c r="L36" i="6"/>
  <c r="Y76" i="13"/>
  <c r="X76" i="13"/>
  <c r="V76" i="13"/>
  <c r="W78" i="3"/>
  <c r="Z79" i="3"/>
  <c r="W82" i="3"/>
  <c r="Z83" i="3"/>
  <c r="V112" i="3"/>
  <c r="E100" i="13"/>
  <c r="F36" i="13"/>
  <c r="E8" i="17"/>
  <c r="E261" i="8" s="1"/>
  <c r="Q9" i="12" s="1"/>
  <c r="I63" i="13"/>
  <c r="Y79" i="13"/>
  <c r="W79" i="13"/>
  <c r="V79" i="13"/>
  <c r="X90" i="13"/>
  <c r="W90" i="13"/>
  <c r="V106" i="3"/>
  <c r="Z108" i="3"/>
  <c r="W112" i="3"/>
  <c r="E107" i="13"/>
  <c r="C36" i="17"/>
  <c r="K36" i="17"/>
  <c r="X123" i="13"/>
  <c r="W123" i="13"/>
  <c r="V123" i="13"/>
  <c r="K37" i="22"/>
  <c r="L33" i="7" s="1"/>
  <c r="W103" i="3"/>
  <c r="Y106" i="3"/>
  <c r="V114" i="3"/>
  <c r="Y90" i="13"/>
  <c r="X112" i="13"/>
  <c r="W112" i="13"/>
  <c r="W111" i="13" s="1"/>
  <c r="T40" i="17" s="1"/>
  <c r="T22" i="7" s="1"/>
  <c r="L65" i="21"/>
  <c r="E101" i="13"/>
  <c r="F37" i="13"/>
  <c r="Y117" i="13"/>
  <c r="W117" i="13"/>
  <c r="V117" i="13"/>
  <c r="Y123" i="13"/>
  <c r="Y82" i="13"/>
  <c r="Y88" i="13"/>
  <c r="X118" i="13"/>
  <c r="Y122" i="13"/>
  <c r="E10" i="22"/>
  <c r="F40" i="8" s="1"/>
  <c r="U116" i="13"/>
  <c r="F10" i="22"/>
  <c r="G40" i="8" s="1"/>
  <c r="I36" i="22"/>
  <c r="W116" i="13"/>
  <c r="U119" i="13"/>
  <c r="C129" i="21"/>
  <c r="V85" i="13"/>
  <c r="V91" i="13"/>
  <c r="V113" i="13"/>
  <c r="V111" i="13" s="1"/>
  <c r="S40" i="17" s="1"/>
  <c r="S22" i="7" s="1"/>
  <c r="S292" i="7" s="1"/>
  <c r="N22" i="30" s="1"/>
  <c r="X116" i="13"/>
  <c r="V119" i="13"/>
  <c r="U122" i="13"/>
  <c r="E9" i="22"/>
  <c r="F39" i="8" s="1"/>
  <c r="H105" i="29"/>
  <c r="H49" i="29"/>
  <c r="H36" i="20"/>
  <c r="P36" i="20"/>
  <c r="Z63" i="24"/>
  <c r="R63" i="24"/>
  <c r="J63" i="24"/>
  <c r="V63" i="24"/>
  <c r="N63" i="24"/>
  <c r="S63" i="24"/>
  <c r="H101" i="29"/>
  <c r="H73" i="29"/>
  <c r="H45" i="29"/>
  <c r="I63" i="24"/>
  <c r="T63" i="24"/>
  <c r="J37" i="20"/>
  <c r="L45" i="7" s="1"/>
  <c r="R37" i="20"/>
  <c r="T45" i="7" s="1"/>
  <c r="H97" i="29"/>
  <c r="H69" i="29"/>
  <c r="H41" i="29"/>
  <c r="E36" i="20"/>
  <c r="K37" i="20"/>
  <c r="M45" i="7" s="1"/>
  <c r="M36" i="20"/>
  <c r="H93" i="29"/>
  <c r="H65" i="29"/>
  <c r="L63" i="24"/>
  <c r="W63" i="24"/>
  <c r="C108" i="30"/>
  <c r="C80" i="30"/>
  <c r="C52" i="30"/>
  <c r="M63" i="24"/>
  <c r="X63" i="24"/>
  <c r="I60" i="29"/>
  <c r="I88" i="29"/>
  <c r="E64" i="29"/>
  <c r="E92" i="29"/>
  <c r="E36" i="29"/>
  <c r="E96" i="29"/>
  <c r="E40" i="29"/>
  <c r="E100" i="29"/>
  <c r="E44" i="29"/>
  <c r="E72" i="29"/>
  <c r="E48" i="29"/>
  <c r="E76" i="29"/>
  <c r="E104" i="29"/>
  <c r="C63" i="29"/>
  <c r="C35" i="29"/>
  <c r="C95" i="29"/>
  <c r="C67" i="29"/>
  <c r="C71" i="29"/>
  <c r="C43" i="29"/>
  <c r="C99" i="29"/>
  <c r="C75" i="29"/>
  <c r="C103" i="29"/>
  <c r="C107" i="29"/>
  <c r="C79" i="29"/>
  <c r="H68" i="30"/>
  <c r="H96" i="30"/>
  <c r="H40" i="30"/>
  <c r="C60" i="29"/>
  <c r="C32" i="29"/>
  <c r="C88" i="29"/>
  <c r="D63" i="29"/>
  <c r="D35" i="29"/>
  <c r="D91" i="29"/>
  <c r="D95" i="29"/>
  <c r="D67" i="29"/>
  <c r="D39" i="29"/>
  <c r="D99" i="29"/>
  <c r="D71" i="29"/>
  <c r="D43" i="29"/>
  <c r="D103" i="29"/>
  <c r="D75" i="29"/>
  <c r="D47" i="29"/>
  <c r="D107" i="29"/>
  <c r="D79" i="29"/>
  <c r="B108" i="29"/>
  <c r="B52" i="29"/>
  <c r="B80" i="29"/>
  <c r="D88" i="29"/>
  <c r="D60" i="29"/>
  <c r="D32" i="29"/>
  <c r="C108" i="29"/>
  <c r="C52" i="29"/>
  <c r="C80" i="29"/>
  <c r="D61" i="29"/>
  <c r="D33" i="29"/>
  <c r="D89" i="29"/>
  <c r="B90" i="29"/>
  <c r="B62" i="29"/>
  <c r="B34" i="29"/>
  <c r="E93" i="29"/>
  <c r="E65" i="29"/>
  <c r="E37" i="29"/>
  <c r="B94" i="29"/>
  <c r="B66" i="29"/>
  <c r="E69" i="29"/>
  <c r="E97" i="29"/>
  <c r="E41" i="29"/>
  <c r="B98" i="29"/>
  <c r="B42" i="29"/>
  <c r="B70" i="29"/>
  <c r="E101" i="29"/>
  <c r="E73" i="29"/>
  <c r="E45" i="29"/>
  <c r="B102" i="29"/>
  <c r="B74" i="29"/>
  <c r="B46" i="29"/>
  <c r="E77" i="29"/>
  <c r="E105" i="29"/>
  <c r="B106" i="29"/>
  <c r="B78" i="29"/>
  <c r="B81" i="29"/>
  <c r="B109" i="29"/>
  <c r="B53" i="29"/>
  <c r="I32" i="29"/>
  <c r="C92" i="29"/>
  <c r="C64" i="29"/>
  <c r="C96" i="29"/>
  <c r="C68" i="29"/>
  <c r="C100" i="29"/>
  <c r="C72" i="29"/>
  <c r="C104" i="29"/>
  <c r="C48" i="29"/>
  <c r="C76" i="29"/>
  <c r="C39" i="29"/>
  <c r="C51" i="29"/>
  <c r="B60" i="29"/>
  <c r="B88" i="29"/>
  <c r="E61" i="29"/>
  <c r="E89" i="29"/>
  <c r="H62" i="29"/>
  <c r="H90" i="29"/>
  <c r="B63" i="29"/>
  <c r="B91" i="29"/>
  <c r="D64" i="29"/>
  <c r="D92" i="29"/>
  <c r="D96" i="29"/>
  <c r="D68" i="29"/>
  <c r="H98" i="29"/>
  <c r="H70" i="29"/>
  <c r="D100" i="29"/>
  <c r="D72" i="29"/>
  <c r="H74" i="29"/>
  <c r="H102" i="29"/>
  <c r="B75" i="29"/>
  <c r="B103" i="29"/>
  <c r="D104" i="29"/>
  <c r="D48" i="29"/>
  <c r="B51" i="29"/>
  <c r="B107" i="29"/>
  <c r="B79" i="29"/>
  <c r="D44" i="29"/>
  <c r="H46" i="29"/>
  <c r="D49" i="29"/>
  <c r="E62" i="29"/>
  <c r="H68" i="29"/>
  <c r="H99" i="29"/>
  <c r="H100" i="30"/>
  <c r="H44" i="30"/>
  <c r="D95" i="31"/>
  <c r="H69" i="31"/>
  <c r="H97" i="31"/>
  <c r="H41" i="31"/>
  <c r="C66" i="29"/>
  <c r="C94" i="29"/>
  <c r="E95" i="29"/>
  <c r="E39" i="29"/>
  <c r="E67" i="29"/>
  <c r="E99" i="29"/>
  <c r="E71" i="29"/>
  <c r="C74" i="29"/>
  <c r="C102" i="29"/>
  <c r="C50" i="29"/>
  <c r="C106" i="29"/>
  <c r="E107" i="29"/>
  <c r="E79" i="29"/>
  <c r="E51" i="29"/>
  <c r="D108" i="29"/>
  <c r="D52" i="29"/>
  <c r="D80" i="29"/>
  <c r="C81" i="29"/>
  <c r="C109" i="29"/>
  <c r="B110" i="29"/>
  <c r="B82" i="29"/>
  <c r="B54" i="29"/>
  <c r="H34" i="29"/>
  <c r="B35" i="29"/>
  <c r="C38" i="29"/>
  <c r="B41" i="29"/>
  <c r="E75" i="29"/>
  <c r="B104" i="29"/>
  <c r="D90" i="29"/>
  <c r="D62" i="29"/>
  <c r="H64" i="29"/>
  <c r="H92" i="29"/>
  <c r="B93" i="29"/>
  <c r="B65" i="29"/>
  <c r="D66" i="29"/>
  <c r="D94" i="29"/>
  <c r="D98" i="29"/>
  <c r="D70" i="29"/>
  <c r="H100" i="29"/>
  <c r="H72" i="29"/>
  <c r="B101" i="29"/>
  <c r="B73" i="29"/>
  <c r="D74" i="29"/>
  <c r="D102" i="29"/>
  <c r="B105" i="29"/>
  <c r="B77" i="29"/>
  <c r="D50" i="29"/>
  <c r="D106" i="29"/>
  <c r="D78" i="29"/>
  <c r="E108" i="29"/>
  <c r="E80" i="29"/>
  <c r="E52" i="29"/>
  <c r="D109" i="29"/>
  <c r="D53" i="29"/>
  <c r="C110" i="29"/>
  <c r="C82" i="29"/>
  <c r="C54" i="29"/>
  <c r="B32" i="29"/>
  <c r="E33" i="29"/>
  <c r="D38" i="29"/>
  <c r="E47" i="29"/>
  <c r="H61" i="29"/>
  <c r="B69" i="29"/>
  <c r="D73" i="29"/>
  <c r="H92" i="30"/>
  <c r="H36" i="30"/>
  <c r="H64" i="30"/>
  <c r="B89" i="29"/>
  <c r="B61" i="29"/>
  <c r="C93" i="29"/>
  <c r="C65" i="29"/>
  <c r="E94" i="29"/>
  <c r="E66" i="29"/>
  <c r="C97" i="29"/>
  <c r="C41" i="29"/>
  <c r="C69" i="29"/>
  <c r="E98" i="29"/>
  <c r="E70" i="29"/>
  <c r="C101" i="29"/>
  <c r="C73" i="29"/>
  <c r="E102" i="29"/>
  <c r="E46" i="29"/>
  <c r="E74" i="29"/>
  <c r="C105" i="29"/>
  <c r="C77" i="29"/>
  <c r="E106" i="29"/>
  <c r="E50" i="29"/>
  <c r="E78" i="29"/>
  <c r="E109" i="29"/>
  <c r="E53" i="29"/>
  <c r="E81" i="29"/>
  <c r="D110" i="29"/>
  <c r="D82" i="29"/>
  <c r="D54" i="29"/>
  <c r="H36" i="29"/>
  <c r="B37" i="29"/>
  <c r="E38" i="29"/>
  <c r="H40" i="29"/>
  <c r="B45" i="29"/>
  <c r="H47" i="29"/>
  <c r="C53" i="29"/>
  <c r="I61" i="29"/>
  <c r="E63" i="29"/>
  <c r="C98" i="29"/>
  <c r="D105" i="29"/>
  <c r="B109" i="30"/>
  <c r="B53" i="30"/>
  <c r="B81" i="30"/>
  <c r="H72" i="30"/>
  <c r="B100" i="31"/>
  <c r="B104" i="31"/>
  <c r="C61" i="29"/>
  <c r="C89" i="29"/>
  <c r="H91" i="29"/>
  <c r="H63" i="29"/>
  <c r="B92" i="29"/>
  <c r="B64" i="29"/>
  <c r="H95" i="29"/>
  <c r="H67" i="29"/>
  <c r="B68" i="29"/>
  <c r="B96" i="29"/>
  <c r="D97" i="29"/>
  <c r="D69" i="29"/>
  <c r="B100" i="29"/>
  <c r="B72" i="29"/>
  <c r="E110" i="29"/>
  <c r="E82" i="29"/>
  <c r="H33" i="29"/>
  <c r="E35" i="29"/>
  <c r="C37" i="29"/>
  <c r="B39" i="29"/>
  <c r="C42" i="29"/>
  <c r="B44" i="29"/>
  <c r="C45" i="29"/>
  <c r="C46" i="29"/>
  <c r="H48" i="29"/>
  <c r="B49" i="29"/>
  <c r="E60" i="29"/>
  <c r="H66" i="29"/>
  <c r="B76" i="29"/>
  <c r="C78" i="29"/>
  <c r="B99" i="29"/>
  <c r="H104" i="30"/>
  <c r="H48" i="30"/>
  <c r="C67" i="30"/>
  <c r="C95" i="30"/>
  <c r="C39" i="30"/>
  <c r="C99" i="30"/>
  <c r="C43" i="30"/>
  <c r="C75" i="30"/>
  <c r="C103" i="30"/>
  <c r="C107" i="30"/>
  <c r="C79" i="30"/>
  <c r="C51" i="30"/>
  <c r="B108" i="30"/>
  <c r="B80" i="30"/>
  <c r="B52" i="30"/>
  <c r="C71" i="30"/>
  <c r="B37" i="30"/>
  <c r="B65" i="30"/>
  <c r="B97" i="30"/>
  <c r="B69" i="30"/>
  <c r="B41" i="30"/>
  <c r="B101" i="30"/>
  <c r="B45" i="30"/>
  <c r="B73" i="30"/>
  <c r="B105" i="30"/>
  <c r="B49" i="30"/>
  <c r="B77" i="30"/>
  <c r="C47" i="30"/>
  <c r="U88" i="29"/>
  <c r="D64" i="30"/>
  <c r="D36" i="30"/>
  <c r="D92" i="30"/>
  <c r="D40" i="30"/>
  <c r="D96" i="30"/>
  <c r="D68" i="30"/>
  <c r="D100" i="30"/>
  <c r="D72" i="30"/>
  <c r="D44" i="30"/>
  <c r="D76" i="30"/>
  <c r="D104" i="30"/>
  <c r="D48" i="30"/>
  <c r="E44" i="30"/>
  <c r="E92" i="30"/>
  <c r="E36" i="30"/>
  <c r="E64" i="30"/>
  <c r="E40" i="30"/>
  <c r="E68" i="30"/>
  <c r="E96" i="30"/>
  <c r="E104" i="30"/>
  <c r="E76" i="30"/>
  <c r="E48" i="30"/>
  <c r="E33" i="30"/>
  <c r="B102" i="31"/>
  <c r="E89" i="30"/>
  <c r="B93" i="30"/>
  <c r="D103" i="31"/>
  <c r="B88" i="30"/>
  <c r="D90" i="30"/>
  <c r="D62" i="30"/>
  <c r="D34" i="30"/>
  <c r="C37" i="30"/>
  <c r="C93" i="30"/>
  <c r="C65" i="30"/>
  <c r="D94" i="30"/>
  <c r="D98" i="30"/>
  <c r="D70" i="30"/>
  <c r="D42" i="30"/>
  <c r="C101" i="30"/>
  <c r="C73" i="30"/>
  <c r="D102" i="30"/>
  <c r="D74" i="30"/>
  <c r="D46" i="30"/>
  <c r="D106" i="30"/>
  <c r="D78" i="30"/>
  <c r="D50" i="30"/>
  <c r="B32" i="30"/>
  <c r="C32" i="30"/>
  <c r="C60" i="30"/>
  <c r="C88" i="30"/>
  <c r="E62" i="30"/>
  <c r="E34" i="30"/>
  <c r="E90" i="30"/>
  <c r="E38" i="30"/>
  <c r="E66" i="30"/>
  <c r="E70" i="30"/>
  <c r="E98" i="30"/>
  <c r="E42" i="30"/>
  <c r="E78" i="30"/>
  <c r="E106" i="30"/>
  <c r="E94" i="30"/>
  <c r="B96" i="31"/>
  <c r="I89" i="30"/>
  <c r="I33" i="30"/>
  <c r="I61" i="30"/>
  <c r="C45" i="30"/>
  <c r="B94" i="31"/>
  <c r="H105" i="31"/>
  <c r="H49" i="31"/>
  <c r="B89" i="30"/>
  <c r="B61" i="30"/>
  <c r="B33" i="30"/>
  <c r="H90" i="30"/>
  <c r="H34" i="30"/>
  <c r="B91" i="30"/>
  <c r="B35" i="30"/>
  <c r="H94" i="30"/>
  <c r="H38" i="30"/>
  <c r="H66" i="30"/>
  <c r="B39" i="30"/>
  <c r="B67" i="30"/>
  <c r="H98" i="30"/>
  <c r="H42" i="30"/>
  <c r="B99" i="30"/>
  <c r="B43" i="30"/>
  <c r="H102" i="30"/>
  <c r="H46" i="30"/>
  <c r="B103" i="30"/>
  <c r="B47" i="30"/>
  <c r="B107" i="30"/>
  <c r="B79" i="30"/>
  <c r="U32" i="30"/>
  <c r="E50" i="30"/>
  <c r="B75" i="30"/>
  <c r="C97" i="30"/>
  <c r="B92" i="31"/>
  <c r="B64" i="30"/>
  <c r="B92" i="30"/>
  <c r="D37" i="30"/>
  <c r="D65" i="30"/>
  <c r="D97" i="30"/>
  <c r="D41" i="30"/>
  <c r="H43" i="30"/>
  <c r="H71" i="30"/>
  <c r="H99" i="30"/>
  <c r="B44" i="30"/>
  <c r="B72" i="30"/>
  <c r="D101" i="30"/>
  <c r="D45" i="30"/>
  <c r="H103" i="30"/>
  <c r="H47" i="30"/>
  <c r="B104" i="30"/>
  <c r="B48" i="30"/>
  <c r="B76" i="30"/>
  <c r="D105" i="30"/>
  <c r="D49" i="30"/>
  <c r="C109" i="30"/>
  <c r="C53" i="30"/>
  <c r="C81" i="30"/>
  <c r="H32" i="30"/>
  <c r="H35" i="30"/>
  <c r="B36" i="30"/>
  <c r="C50" i="30"/>
  <c r="D53" i="30"/>
  <c r="I60" i="30"/>
  <c r="H69" i="30"/>
  <c r="B70" i="30"/>
  <c r="D73" i="30"/>
  <c r="C78" i="30"/>
  <c r="D81" i="30"/>
  <c r="H97" i="30"/>
  <c r="D91" i="31"/>
  <c r="D89" i="30"/>
  <c r="D33" i="30"/>
  <c r="C92" i="30"/>
  <c r="C64" i="30"/>
  <c r="E93" i="30"/>
  <c r="E65" i="30"/>
  <c r="C40" i="30"/>
  <c r="C68" i="30"/>
  <c r="C72" i="30"/>
  <c r="C100" i="30"/>
  <c r="E101" i="30"/>
  <c r="E45" i="30"/>
  <c r="E73" i="30"/>
  <c r="E105" i="30"/>
  <c r="E49" i="30"/>
  <c r="E77" i="30"/>
  <c r="C36" i="30"/>
  <c r="E67" i="30"/>
  <c r="D79" i="30"/>
  <c r="C96" i="30"/>
  <c r="D88" i="31"/>
  <c r="D32" i="30"/>
  <c r="D88" i="30"/>
  <c r="B90" i="30"/>
  <c r="B34" i="30"/>
  <c r="D91" i="30"/>
  <c r="D35" i="30"/>
  <c r="D63" i="30"/>
  <c r="D95" i="30"/>
  <c r="D67" i="30"/>
  <c r="D43" i="30"/>
  <c r="D99" i="30"/>
  <c r="D71" i="30"/>
  <c r="H45" i="30"/>
  <c r="H73" i="30"/>
  <c r="B102" i="30"/>
  <c r="B46" i="30"/>
  <c r="B74" i="30"/>
  <c r="D47" i="30"/>
  <c r="D103" i="30"/>
  <c r="H105" i="30"/>
  <c r="H49" i="30"/>
  <c r="B50" i="30"/>
  <c r="B78" i="30"/>
  <c r="D108" i="30"/>
  <c r="D80" i="30"/>
  <c r="C110" i="30"/>
  <c r="C54" i="30"/>
  <c r="E37" i="30"/>
  <c r="C44" i="30"/>
  <c r="C48" i="30"/>
  <c r="C61" i="30"/>
  <c r="B62" i="30"/>
  <c r="E71" i="30"/>
  <c r="D75" i="30"/>
  <c r="H89" i="30"/>
  <c r="B98" i="30"/>
  <c r="H101" i="30"/>
  <c r="H60" i="31"/>
  <c r="H88" i="31"/>
  <c r="H32" i="31"/>
  <c r="D99" i="31"/>
  <c r="E32" i="30"/>
  <c r="E88" i="30"/>
  <c r="E60" i="30"/>
  <c r="C34" i="30"/>
  <c r="C62" i="30"/>
  <c r="E91" i="30"/>
  <c r="E35" i="30"/>
  <c r="C94" i="30"/>
  <c r="C38" i="30"/>
  <c r="C98" i="30"/>
  <c r="C42" i="30"/>
  <c r="C70" i="30"/>
  <c r="C102" i="30"/>
  <c r="C74" i="30"/>
  <c r="E47" i="30"/>
  <c r="E75" i="30"/>
  <c r="E51" i="30"/>
  <c r="E107" i="30"/>
  <c r="E80" i="30"/>
  <c r="E52" i="30"/>
  <c r="D61" i="30"/>
  <c r="B66" i="30"/>
  <c r="C82" i="30"/>
  <c r="H88" i="30"/>
  <c r="D93" i="30"/>
  <c r="U88" i="30"/>
  <c r="H61" i="31"/>
  <c r="H89" i="31"/>
  <c r="H33" i="31"/>
  <c r="H67" i="31"/>
  <c r="H95" i="31"/>
  <c r="H39" i="31"/>
  <c r="H47" i="31"/>
  <c r="H103" i="31"/>
  <c r="E81" i="30"/>
  <c r="H93" i="31"/>
  <c r="H65" i="31"/>
  <c r="H37" i="31"/>
  <c r="H101" i="31"/>
  <c r="H45" i="31"/>
  <c r="D54" i="30"/>
  <c r="B90" i="31"/>
  <c r="B98" i="31"/>
  <c r="B106" i="31"/>
  <c r="B82" i="30"/>
  <c r="C89" i="31"/>
  <c r="H91" i="31"/>
  <c r="H63" i="31"/>
  <c r="H35" i="31"/>
  <c r="H99" i="31"/>
  <c r="H71" i="31"/>
  <c r="H43" i="31"/>
  <c r="H90" i="31"/>
  <c r="H62" i="31"/>
  <c r="H94" i="31"/>
  <c r="H66" i="31"/>
  <c r="H98" i="31"/>
  <c r="H70" i="31"/>
  <c r="H46" i="31"/>
  <c r="U60" i="31"/>
  <c r="H64" i="31"/>
  <c r="H92" i="31"/>
  <c r="H72" i="31"/>
  <c r="H100" i="31"/>
  <c r="H104" i="31"/>
  <c r="H34" i="31"/>
  <c r="H36" i="31"/>
  <c r="H38" i="31"/>
  <c r="H40" i="31"/>
  <c r="H42" i="31"/>
  <c r="E6" i="38"/>
  <c r="E7" i="38"/>
  <c r="V61" i="38"/>
  <c r="V89" i="38"/>
  <c r="U89" i="38"/>
  <c r="V60" i="38"/>
  <c r="V88" i="38"/>
  <c r="O91" i="14" l="1"/>
  <c r="O128" i="13" s="1"/>
  <c r="O92" i="14"/>
  <c r="O129" i="13" s="1"/>
  <c r="P93" i="14"/>
  <c r="O90" i="14"/>
  <c r="O127" i="13" s="1"/>
  <c r="P34" i="9"/>
  <c r="F10" i="7"/>
  <c r="F282" i="7" s="1"/>
  <c r="P9" i="29" s="1"/>
  <c r="P38" i="29" s="1"/>
  <c r="F10" i="6"/>
  <c r="F12" i="8" s="1"/>
  <c r="F12" i="7" s="1"/>
  <c r="F284" i="7" s="1"/>
  <c r="R9" i="29" s="1"/>
  <c r="F5" i="35"/>
  <c r="F167" i="35" s="1"/>
  <c r="E31" i="35"/>
  <c r="I31" i="35" s="1"/>
  <c r="J31" i="35" s="1"/>
  <c r="R42" i="26"/>
  <c r="D126" i="26"/>
  <c r="D131" i="26"/>
  <c r="R71" i="26"/>
  <c r="E32" i="35"/>
  <c r="I32" i="35" s="1"/>
  <c r="D32" i="35"/>
  <c r="H32" i="35" s="1"/>
  <c r="F6" i="35"/>
  <c r="F168" i="35" s="1"/>
  <c r="G24" i="7"/>
  <c r="G10" i="7"/>
  <c r="G282" i="7" s="1"/>
  <c r="P10" i="29" s="1"/>
  <c r="F25" i="7"/>
  <c r="G26" i="7"/>
  <c r="G50" i="7"/>
  <c r="H63" i="39"/>
  <c r="G52" i="7" s="1"/>
  <c r="G38" i="7"/>
  <c r="H62" i="39"/>
  <c r="G40" i="7" s="1"/>
  <c r="C116" i="24"/>
  <c r="E10" i="20"/>
  <c r="G52" i="8" s="1"/>
  <c r="K65" i="24"/>
  <c r="C75" i="24"/>
  <c r="I58" i="39"/>
  <c r="I61" i="39" s="1"/>
  <c r="I4" i="39"/>
  <c r="I7" i="39" s="1"/>
  <c r="H35" i="39"/>
  <c r="G39" i="7" s="1"/>
  <c r="H34" i="39"/>
  <c r="H36" i="39"/>
  <c r="G51" i="7" s="1"/>
  <c r="I31" i="39"/>
  <c r="E83" i="18"/>
  <c r="H22" i="18"/>
  <c r="I22" i="18" s="1"/>
  <c r="J22" i="18" s="1"/>
  <c r="K22" i="18" s="1"/>
  <c r="L22" i="18" s="1"/>
  <c r="M22" i="18" s="1"/>
  <c r="N22" i="18" s="1"/>
  <c r="O22" i="18" s="1"/>
  <c r="P22" i="18" s="1"/>
  <c r="Q22" i="18" s="1"/>
  <c r="R22" i="18" s="1"/>
  <c r="S22" i="18" s="1"/>
  <c r="T22" i="18" s="1"/>
  <c r="U22" i="18" s="1"/>
  <c r="V22" i="18" s="1"/>
  <c r="W22" i="18" s="1"/>
  <c r="C9" i="18"/>
  <c r="E86" i="18"/>
  <c r="C74" i="24"/>
  <c r="C10" i="24"/>
  <c r="C84" i="18"/>
  <c r="C123" i="24" s="1"/>
  <c r="C121" i="24"/>
  <c r="P215" i="7"/>
  <c r="H218" i="7"/>
  <c r="I230" i="7" s="1"/>
  <c r="F203" i="7"/>
  <c r="C85" i="18"/>
  <c r="C60" i="24" s="1"/>
  <c r="F60" i="24" s="1"/>
  <c r="J157" i="26"/>
  <c r="C57" i="24"/>
  <c r="J8" i="33"/>
  <c r="W8" i="33" s="1"/>
  <c r="C83" i="18"/>
  <c r="C122" i="24" s="1"/>
  <c r="E8" i="18"/>
  <c r="C62" i="24"/>
  <c r="C86" i="18"/>
  <c r="C125" i="24" s="1"/>
  <c r="Y91" i="24"/>
  <c r="C56" i="24"/>
  <c r="H45" i="18"/>
  <c r="I45" i="18" s="1"/>
  <c r="J45" i="18" s="1"/>
  <c r="K45" i="18" s="1"/>
  <c r="L45" i="18" s="1"/>
  <c r="M45" i="18" s="1"/>
  <c r="N45" i="18" s="1"/>
  <c r="O45" i="18" s="1"/>
  <c r="P45" i="18" s="1"/>
  <c r="Q45" i="18" s="1"/>
  <c r="R45" i="18" s="1"/>
  <c r="S45" i="18" s="1"/>
  <c r="T45" i="18" s="1"/>
  <c r="U45" i="18" s="1"/>
  <c r="V45" i="18" s="1"/>
  <c r="W45" i="18" s="1"/>
  <c r="J64" i="24"/>
  <c r="F9" i="20" s="1"/>
  <c r="H51" i="8" s="1"/>
  <c r="M160" i="7"/>
  <c r="N172" i="7" s="1"/>
  <c r="O184" i="7" s="1"/>
  <c r="P196" i="7" s="1"/>
  <c r="Q208" i="7" s="1"/>
  <c r="R220" i="7" s="1"/>
  <c r="S232" i="7" s="1"/>
  <c r="T245" i="7" s="1"/>
  <c r="W91" i="24"/>
  <c r="T163" i="7"/>
  <c r="U175" i="7" s="1"/>
  <c r="V187" i="7" s="1"/>
  <c r="T159" i="7"/>
  <c r="U171" i="7" s="1"/>
  <c r="V183" i="7" s="1"/>
  <c r="U163" i="7"/>
  <c r="V175" i="7" s="1"/>
  <c r="M162" i="7"/>
  <c r="N174" i="7" s="1"/>
  <c r="O186" i="7" s="1"/>
  <c r="P198" i="7" s="1"/>
  <c r="Q210" i="7" s="1"/>
  <c r="R222" i="7" s="1"/>
  <c r="S234" i="7" s="1"/>
  <c r="T247" i="7" s="1"/>
  <c r="J129" i="21"/>
  <c r="F44" i="22" s="1"/>
  <c r="G44" i="17"/>
  <c r="J128" i="21"/>
  <c r="J127" i="21"/>
  <c r="F42" i="22" s="1"/>
  <c r="M115" i="3"/>
  <c r="I42" i="6" s="1"/>
  <c r="J96" i="18"/>
  <c r="I92" i="18"/>
  <c r="K95" i="18"/>
  <c r="K91" i="18" s="1"/>
  <c r="E106" i="13"/>
  <c r="H24" i="18"/>
  <c r="I24" i="18" s="1"/>
  <c r="J24" i="18" s="1"/>
  <c r="K24" i="18" s="1"/>
  <c r="L24" i="18" s="1"/>
  <c r="M24" i="18" s="1"/>
  <c r="N24" i="18" s="1"/>
  <c r="O24" i="18" s="1"/>
  <c r="P24" i="18" s="1"/>
  <c r="Q24" i="18" s="1"/>
  <c r="R24" i="18" s="1"/>
  <c r="S24" i="18" s="1"/>
  <c r="T24" i="18" s="1"/>
  <c r="U24" i="18" s="1"/>
  <c r="V24" i="18" s="1"/>
  <c r="W24" i="18" s="1"/>
  <c r="Y83" i="24"/>
  <c r="H16" i="18"/>
  <c r="I16" i="18" s="1"/>
  <c r="J16" i="18" s="1"/>
  <c r="K16" i="18" s="1"/>
  <c r="L16" i="18" s="1"/>
  <c r="M16" i="18" s="1"/>
  <c r="N16" i="18" s="1"/>
  <c r="O16" i="18" s="1"/>
  <c r="P16" i="18" s="1"/>
  <c r="Q16" i="18" s="1"/>
  <c r="R16" i="18" s="1"/>
  <c r="S16" i="18" s="1"/>
  <c r="T16" i="18" s="1"/>
  <c r="U16" i="18" s="1"/>
  <c r="V16" i="18" s="1"/>
  <c r="W16" i="18" s="1"/>
  <c r="Z83" i="24"/>
  <c r="W83" i="24"/>
  <c r="E307" i="7"/>
  <c r="Q8" i="31" s="1"/>
  <c r="Q65" i="31" s="1"/>
  <c r="X91" i="24"/>
  <c r="Y111" i="13"/>
  <c r="V40" i="17" s="1"/>
  <c r="V22" i="7" s="1"/>
  <c r="J63" i="21"/>
  <c r="G29" i="21"/>
  <c r="C4" i="22" s="1"/>
  <c r="D34" i="8" s="1"/>
  <c r="H31" i="21"/>
  <c r="E8" i="22"/>
  <c r="F38" i="8" s="1"/>
  <c r="H52" i="18"/>
  <c r="I52" i="18" s="1"/>
  <c r="J52" i="18" s="1"/>
  <c r="K52" i="18" s="1"/>
  <c r="L52" i="18" s="1"/>
  <c r="M52" i="18" s="1"/>
  <c r="N52" i="18" s="1"/>
  <c r="O52" i="18" s="1"/>
  <c r="P52" i="18" s="1"/>
  <c r="Q52" i="18" s="1"/>
  <c r="R52" i="18" s="1"/>
  <c r="S52" i="18" s="1"/>
  <c r="T52" i="18" s="1"/>
  <c r="U52" i="18" s="1"/>
  <c r="V52" i="18" s="1"/>
  <c r="W52" i="18" s="1"/>
  <c r="E47" i="14"/>
  <c r="C36" i="21" s="1"/>
  <c r="F36" i="21" s="1"/>
  <c r="F100" i="21" s="1"/>
  <c r="E45" i="14"/>
  <c r="C34" i="21" s="1"/>
  <c r="F34" i="21" s="1"/>
  <c r="G34" i="21" s="1"/>
  <c r="E50" i="14"/>
  <c r="C39" i="21" s="1"/>
  <c r="E46" i="14"/>
  <c r="C35" i="21" s="1"/>
  <c r="F35" i="21" s="1"/>
  <c r="G35" i="21" s="1"/>
  <c r="E32" i="13"/>
  <c r="B5" i="17" s="1"/>
  <c r="B21" i="8" s="1"/>
  <c r="G48" i="13"/>
  <c r="E48" i="14"/>
  <c r="C37" i="21" s="1"/>
  <c r="F37" i="21" s="1"/>
  <c r="E49" i="14"/>
  <c r="C38" i="21" s="1"/>
  <c r="F38" i="21" s="1"/>
  <c r="C17" i="21"/>
  <c r="E16" i="14"/>
  <c r="C19" i="21" s="1"/>
  <c r="F19" i="21" s="1"/>
  <c r="G19" i="21" s="1"/>
  <c r="H19" i="21" s="1"/>
  <c r="I19" i="21" s="1"/>
  <c r="J19" i="21" s="1"/>
  <c r="K19" i="21" s="1"/>
  <c r="L19" i="21" s="1"/>
  <c r="M19" i="21" s="1"/>
  <c r="N19" i="21" s="1"/>
  <c r="O19" i="21" s="1"/>
  <c r="P19" i="21" s="1"/>
  <c r="Q19" i="21" s="1"/>
  <c r="R19" i="21" s="1"/>
  <c r="S19" i="21" s="1"/>
  <c r="T19" i="21" s="1"/>
  <c r="W89" i="24"/>
  <c r="I128" i="24"/>
  <c r="E43" i="20" s="1"/>
  <c r="F45" i="13"/>
  <c r="X89" i="24"/>
  <c r="Y89" i="24"/>
  <c r="H49" i="18"/>
  <c r="I49" i="18" s="1"/>
  <c r="J49" i="18" s="1"/>
  <c r="K49" i="18" s="1"/>
  <c r="L49" i="18" s="1"/>
  <c r="M49" i="18" s="1"/>
  <c r="N49" i="18" s="1"/>
  <c r="O49" i="18" s="1"/>
  <c r="P49" i="18" s="1"/>
  <c r="Q49" i="18" s="1"/>
  <c r="R49" i="18" s="1"/>
  <c r="S49" i="18" s="1"/>
  <c r="T49" i="18" s="1"/>
  <c r="U49" i="18" s="1"/>
  <c r="V49" i="18" s="1"/>
  <c r="W49" i="18" s="1"/>
  <c r="G93" i="21"/>
  <c r="Q54" i="38"/>
  <c r="Z101" i="3"/>
  <c r="V40" i="6" s="1"/>
  <c r="V8" i="7" s="1"/>
  <c r="V280" i="7" s="1"/>
  <c r="N25" i="29" s="1"/>
  <c r="X74" i="3"/>
  <c r="T37" i="6" s="1"/>
  <c r="T5" i="7" s="1"/>
  <c r="Q94" i="38"/>
  <c r="Y66" i="35" s="1"/>
  <c r="Y67" i="3"/>
  <c r="Q82" i="38"/>
  <c r="W82" i="35" s="1"/>
  <c r="Y101" i="3"/>
  <c r="U40" i="6" s="1"/>
  <c r="U8" i="7" s="1"/>
  <c r="J94" i="18"/>
  <c r="J90" i="18" s="1"/>
  <c r="M150" i="7"/>
  <c r="N164" i="7" s="1"/>
  <c r="O176" i="7" s="1"/>
  <c r="P188" i="7" s="1"/>
  <c r="L151" i="7"/>
  <c r="L150" i="7"/>
  <c r="M152" i="7"/>
  <c r="N166" i="7" s="1"/>
  <c r="O178" i="7" s="1"/>
  <c r="P190" i="7" s="1"/>
  <c r="M151" i="7"/>
  <c r="L152" i="7"/>
  <c r="M166" i="7" s="1"/>
  <c r="V80" i="13"/>
  <c r="S37" i="17" s="1"/>
  <c r="S19" i="7" s="1"/>
  <c r="S289" i="7" s="1"/>
  <c r="K22" i="30" s="1"/>
  <c r="K107" i="30" s="1"/>
  <c r="X111" i="13"/>
  <c r="U40" i="17" s="1"/>
  <c r="U22" i="7" s="1"/>
  <c r="E21" i="21"/>
  <c r="Z96" i="21"/>
  <c r="V39" i="22" s="1"/>
  <c r="W73" i="13"/>
  <c r="T36" i="17" s="1"/>
  <c r="W104" i="3"/>
  <c r="S41" i="6" s="1"/>
  <c r="S9" i="7" s="1"/>
  <c r="S281" i="7" s="1"/>
  <c r="O22" i="29" s="1"/>
  <c r="Z104" i="3"/>
  <c r="V41" i="6" s="1"/>
  <c r="V9" i="7" s="1"/>
  <c r="V281" i="7" s="1"/>
  <c r="O25" i="29" s="1"/>
  <c r="X104" i="3"/>
  <c r="T41" i="6" s="1"/>
  <c r="T9" i="7" s="1"/>
  <c r="T281" i="7" s="1"/>
  <c r="O23" i="29" s="1"/>
  <c r="D49" i="13"/>
  <c r="F113" i="13" s="1"/>
  <c r="G113" i="13" s="1"/>
  <c r="H113" i="13" s="1"/>
  <c r="I113" i="13" s="1"/>
  <c r="J113" i="13" s="1"/>
  <c r="K113" i="13" s="1"/>
  <c r="L113" i="13" s="1"/>
  <c r="Y104" i="3"/>
  <c r="U41" i="6" s="1"/>
  <c r="U9" i="7" s="1"/>
  <c r="U281" i="7" s="1"/>
  <c r="O24" i="29" s="1"/>
  <c r="W67" i="3"/>
  <c r="S36" i="6" s="1"/>
  <c r="W80" i="13"/>
  <c r="T37" i="17" s="1"/>
  <c r="T19" i="7" s="1"/>
  <c r="U114" i="13"/>
  <c r="R41" i="17" s="1"/>
  <c r="R23" i="7" s="1"/>
  <c r="R293" i="7" s="1"/>
  <c r="O21" i="30" s="1"/>
  <c r="V73" i="13"/>
  <c r="S36" i="17" s="1"/>
  <c r="Z80" i="21"/>
  <c r="V37" i="22" s="1"/>
  <c r="V114" i="13"/>
  <c r="S41" i="17" s="1"/>
  <c r="S23" i="7" s="1"/>
  <c r="E96" i="13"/>
  <c r="B39" i="17" s="1"/>
  <c r="B21" i="7" s="1"/>
  <c r="B291" i="7" s="1"/>
  <c r="M5" i="30" s="1"/>
  <c r="E24" i="21"/>
  <c r="G44" i="13"/>
  <c r="G108" i="13" s="1"/>
  <c r="Y114" i="13"/>
  <c r="V41" i="17" s="1"/>
  <c r="V23" i="7" s="1"/>
  <c r="X80" i="13"/>
  <c r="U37" i="17" s="1"/>
  <c r="U19" i="7" s="1"/>
  <c r="J64" i="21"/>
  <c r="E43" i="22"/>
  <c r="R142" i="8"/>
  <c r="Q139" i="8"/>
  <c r="P151" i="8"/>
  <c r="I66" i="26"/>
  <c r="O48" i="30"/>
  <c r="K66" i="26"/>
  <c r="O104" i="30"/>
  <c r="J203" i="7"/>
  <c r="P92" i="30"/>
  <c r="I94" i="26" s="1"/>
  <c r="P36" i="30"/>
  <c r="I38" i="26" s="1"/>
  <c r="K215" i="7"/>
  <c r="K38" i="26"/>
  <c r="P72" i="7"/>
  <c r="Q84" i="7" s="1"/>
  <c r="R96" i="7" s="1"/>
  <c r="I36" i="26"/>
  <c r="V72" i="7"/>
  <c r="I159" i="26"/>
  <c r="I10" i="33"/>
  <c r="V10" i="33" s="1"/>
  <c r="N72" i="7"/>
  <c r="O84" i="7" s="1"/>
  <c r="P96" i="7" s="1"/>
  <c r="Q108" i="7" s="1"/>
  <c r="R121" i="7" s="1"/>
  <c r="S134" i="7" s="1"/>
  <c r="T148" i="7" s="1"/>
  <c r="K37" i="26"/>
  <c r="F306" i="7"/>
  <c r="P9" i="31" s="1"/>
  <c r="P94" i="31" s="1"/>
  <c r="S305" i="7"/>
  <c r="O22" i="31" s="1"/>
  <c r="O107" i="31" s="1"/>
  <c r="F308" i="7"/>
  <c r="R9" i="31" s="1"/>
  <c r="R66" i="31" s="1"/>
  <c r="T277" i="7"/>
  <c r="K23" i="29" s="1"/>
  <c r="N79" i="30"/>
  <c r="N107" i="30"/>
  <c r="N51" i="30"/>
  <c r="R93" i="12"/>
  <c r="R65" i="12"/>
  <c r="R37" i="12"/>
  <c r="G41" i="13"/>
  <c r="F105" i="13"/>
  <c r="Q93" i="12"/>
  <c r="Q65" i="12"/>
  <c r="Q37" i="12"/>
  <c r="F36" i="35"/>
  <c r="J21" i="30"/>
  <c r="J11" i="29"/>
  <c r="J101" i="30"/>
  <c r="J73" i="30"/>
  <c r="J45" i="30"/>
  <c r="C7" i="24"/>
  <c r="F14" i="13"/>
  <c r="G14" i="13" s="1"/>
  <c r="H14" i="13" s="1"/>
  <c r="I14" i="13" s="1"/>
  <c r="J14" i="13" s="1"/>
  <c r="K14" i="13" s="1"/>
  <c r="L14" i="13" s="1"/>
  <c r="M14" i="13" s="1"/>
  <c r="N14" i="13" s="1"/>
  <c r="O14" i="13" s="1"/>
  <c r="P14" i="13" s="1"/>
  <c r="Q14" i="13" s="1"/>
  <c r="R14" i="13" s="1"/>
  <c r="S14" i="13" s="1"/>
  <c r="T5" i="31"/>
  <c r="T5" i="30"/>
  <c r="T5" i="29"/>
  <c r="H7" i="34"/>
  <c r="G113" i="15"/>
  <c r="G7" i="34" s="1"/>
  <c r="T5" i="9"/>
  <c r="D94" i="24"/>
  <c r="G94" i="24" s="1"/>
  <c r="H33" i="18"/>
  <c r="I33" i="18" s="1"/>
  <c r="J33" i="18" s="1"/>
  <c r="K33" i="18" s="1"/>
  <c r="L33" i="18" s="1"/>
  <c r="M33" i="18" s="1"/>
  <c r="N33" i="18" s="1"/>
  <c r="O33" i="18" s="1"/>
  <c r="P33" i="18" s="1"/>
  <c r="Q33" i="18" s="1"/>
  <c r="R33" i="18" s="1"/>
  <c r="S33" i="18" s="1"/>
  <c r="T33" i="18" s="1"/>
  <c r="U33" i="18" s="1"/>
  <c r="V33" i="18" s="1"/>
  <c r="W33" i="18" s="1"/>
  <c r="G36" i="21"/>
  <c r="G39" i="3"/>
  <c r="F97" i="3"/>
  <c r="X123" i="21"/>
  <c r="W123" i="21"/>
  <c r="V123" i="21"/>
  <c r="Z123" i="21"/>
  <c r="Y123" i="21"/>
  <c r="F85" i="21"/>
  <c r="G85" i="21" s="1"/>
  <c r="H85" i="21" s="1"/>
  <c r="I85" i="21" s="1"/>
  <c r="J85" i="21" s="1"/>
  <c r="K85" i="21" s="1"/>
  <c r="L85" i="21" s="1"/>
  <c r="D78" i="24"/>
  <c r="H11" i="18"/>
  <c r="I11" i="18" s="1"/>
  <c r="J11" i="18" s="1"/>
  <c r="K11" i="18" s="1"/>
  <c r="L11" i="18" s="1"/>
  <c r="M11" i="18" s="1"/>
  <c r="N11" i="18" s="1"/>
  <c r="O11" i="18" s="1"/>
  <c r="P11" i="18" s="1"/>
  <c r="Q11" i="18" s="1"/>
  <c r="R11" i="18" s="1"/>
  <c r="S11" i="18" s="1"/>
  <c r="T11" i="18" s="1"/>
  <c r="U11" i="18" s="1"/>
  <c r="V11" i="18" s="1"/>
  <c r="W11" i="18" s="1"/>
  <c r="G53" i="3"/>
  <c r="H53" i="3" s="1"/>
  <c r="I53" i="3" s="1"/>
  <c r="J53" i="3" s="1"/>
  <c r="K53" i="3" s="1"/>
  <c r="L53" i="3" s="1"/>
  <c r="M53" i="3" s="1"/>
  <c r="N53" i="3" s="1"/>
  <c r="O53" i="3" s="1"/>
  <c r="P53" i="3" s="1"/>
  <c r="Q53" i="3" s="1"/>
  <c r="R53" i="3" s="1"/>
  <c r="S53" i="3" s="1"/>
  <c r="T53" i="3" s="1"/>
  <c r="D120" i="24"/>
  <c r="H81" i="18"/>
  <c r="I81" i="18" s="1"/>
  <c r="J81" i="18" s="1"/>
  <c r="K81" i="18" s="1"/>
  <c r="L81" i="18" s="1"/>
  <c r="M81" i="18" s="1"/>
  <c r="N81" i="18" s="1"/>
  <c r="O81" i="18" s="1"/>
  <c r="P81" i="18" s="1"/>
  <c r="Q81" i="18" s="1"/>
  <c r="R81" i="18" s="1"/>
  <c r="S81" i="18" s="1"/>
  <c r="T81" i="18" s="1"/>
  <c r="U81" i="18" s="1"/>
  <c r="V81" i="18" s="1"/>
  <c r="W81" i="18" s="1"/>
  <c r="F12" i="13"/>
  <c r="G12" i="13" s="1"/>
  <c r="H12" i="13" s="1"/>
  <c r="I12" i="13" s="1"/>
  <c r="J12" i="13" s="1"/>
  <c r="K12" i="13" s="1"/>
  <c r="L12" i="13" s="1"/>
  <c r="M12" i="13" s="1"/>
  <c r="N12" i="13" s="1"/>
  <c r="O12" i="13" s="1"/>
  <c r="P12" i="13" s="1"/>
  <c r="Q12" i="13" s="1"/>
  <c r="R12" i="13" s="1"/>
  <c r="S12" i="13" s="1"/>
  <c r="C87" i="24"/>
  <c r="C23" i="24"/>
  <c r="C25" i="18"/>
  <c r="C24" i="18"/>
  <c r="C21" i="18"/>
  <c r="C22" i="18"/>
  <c r="C23" i="18"/>
  <c r="F98" i="3"/>
  <c r="G40" i="3"/>
  <c r="G55" i="24"/>
  <c r="H55" i="24" s="1"/>
  <c r="I55" i="24" s="1"/>
  <c r="J55" i="24" s="1"/>
  <c r="K55" i="24" s="1"/>
  <c r="L55" i="24" s="1"/>
  <c r="M55" i="24" s="1"/>
  <c r="N55" i="24" s="1"/>
  <c r="O55" i="24" s="1"/>
  <c r="P55" i="24" s="1"/>
  <c r="Q55" i="24" s="1"/>
  <c r="R55" i="24" s="1"/>
  <c r="S55" i="24" s="1"/>
  <c r="T55" i="24" s="1"/>
  <c r="K101" i="29"/>
  <c r="K45" i="29"/>
  <c r="K73" i="29"/>
  <c r="D113" i="24"/>
  <c r="H73" i="18"/>
  <c r="I73" i="18" s="1"/>
  <c r="J73" i="18" s="1"/>
  <c r="K73" i="18" s="1"/>
  <c r="L73" i="18" s="1"/>
  <c r="M73" i="18" s="1"/>
  <c r="N73" i="18" s="1"/>
  <c r="O73" i="18" s="1"/>
  <c r="P73" i="18" s="1"/>
  <c r="Q73" i="18" s="1"/>
  <c r="R73" i="18" s="1"/>
  <c r="S73" i="18" s="1"/>
  <c r="T73" i="18" s="1"/>
  <c r="U73" i="18" s="1"/>
  <c r="V73" i="18" s="1"/>
  <c r="W73" i="18" s="1"/>
  <c r="T20" i="31"/>
  <c r="T20" i="30"/>
  <c r="T20" i="29"/>
  <c r="G128" i="15"/>
  <c r="T20" i="9"/>
  <c r="F21" i="31"/>
  <c r="F21" i="30"/>
  <c r="F21" i="29"/>
  <c r="F78" i="9"/>
  <c r="F50" i="9"/>
  <c r="G10" i="20"/>
  <c r="I52" i="8" s="1"/>
  <c r="L65" i="24"/>
  <c r="P8" i="20"/>
  <c r="R50" i="8" s="1"/>
  <c r="X114" i="13"/>
  <c r="U41" i="17" s="1"/>
  <c r="U23" i="7" s="1"/>
  <c r="J32" i="7"/>
  <c r="Y80" i="13"/>
  <c r="V37" i="17" s="1"/>
  <c r="V19" i="7" s="1"/>
  <c r="F8" i="17"/>
  <c r="F261" i="8" s="1"/>
  <c r="Q10" i="12" s="1"/>
  <c r="F37" i="35" s="1"/>
  <c r="F42" i="17"/>
  <c r="J63" i="13"/>
  <c r="G47" i="13"/>
  <c r="D6" i="17" s="1"/>
  <c r="D22" i="8" s="1"/>
  <c r="H48" i="13"/>
  <c r="F9" i="17"/>
  <c r="J64" i="13"/>
  <c r="F43" i="17"/>
  <c r="Z67" i="3"/>
  <c r="G87" i="3"/>
  <c r="H29" i="3"/>
  <c r="E12" i="8"/>
  <c r="E12" i="7" s="1"/>
  <c r="I92" i="35"/>
  <c r="O90" i="12"/>
  <c r="O62" i="12"/>
  <c r="O34" i="12"/>
  <c r="R175" i="8"/>
  <c r="K65" i="26"/>
  <c r="K92" i="26"/>
  <c r="S62" i="38"/>
  <c r="S90" i="38"/>
  <c r="S34" i="38"/>
  <c r="P105" i="38"/>
  <c r="P77" i="38"/>
  <c r="P49" i="38"/>
  <c r="S63" i="12"/>
  <c r="S35" i="12"/>
  <c r="S91" i="12"/>
  <c r="Q93" i="38"/>
  <c r="Y65" i="35" s="1"/>
  <c r="Q65" i="38"/>
  <c r="W65" i="35" s="1"/>
  <c r="Q37" i="38"/>
  <c r="E45" i="3"/>
  <c r="X67" i="3"/>
  <c r="O48" i="29"/>
  <c r="O76" i="29"/>
  <c r="O104" i="29"/>
  <c r="J12" i="29"/>
  <c r="Q305" i="7"/>
  <c r="O20" i="31" s="1"/>
  <c r="O102" i="29"/>
  <c r="O46" i="29"/>
  <c r="O74" i="29"/>
  <c r="E306" i="7"/>
  <c r="P8" i="31" s="1"/>
  <c r="Q63" i="9"/>
  <c r="Q35" i="9"/>
  <c r="Q91" i="9"/>
  <c r="N90" i="29"/>
  <c r="N62" i="29"/>
  <c r="N34" i="29"/>
  <c r="H68" i="7"/>
  <c r="O107" i="38"/>
  <c r="O51" i="38"/>
  <c r="O79" i="38"/>
  <c r="J17" i="30"/>
  <c r="V68" i="7"/>
  <c r="N103" i="29"/>
  <c r="N75" i="29"/>
  <c r="N47" i="29"/>
  <c r="U3" i="30"/>
  <c r="J13" i="29"/>
  <c r="D129" i="26"/>
  <c r="M68" i="7"/>
  <c r="J21" i="29"/>
  <c r="F18" i="34"/>
  <c r="R62" i="29"/>
  <c r="R90" i="29"/>
  <c r="R34" i="29"/>
  <c r="D125" i="26"/>
  <c r="D79" i="24"/>
  <c r="H12" i="18"/>
  <c r="I12" i="18" s="1"/>
  <c r="J12" i="18" s="1"/>
  <c r="K12" i="18" s="1"/>
  <c r="L12" i="18" s="1"/>
  <c r="M12" i="18" s="1"/>
  <c r="N12" i="18" s="1"/>
  <c r="O12" i="18" s="1"/>
  <c r="P12" i="18" s="1"/>
  <c r="Q12" i="18" s="1"/>
  <c r="R12" i="18" s="1"/>
  <c r="S12" i="18" s="1"/>
  <c r="T12" i="18" s="1"/>
  <c r="U12" i="18" s="1"/>
  <c r="V12" i="18" s="1"/>
  <c r="W12" i="18" s="1"/>
  <c r="Y116" i="21"/>
  <c r="X116" i="21"/>
  <c r="W116" i="21"/>
  <c r="V116" i="21"/>
  <c r="Z116" i="21"/>
  <c r="H94" i="21"/>
  <c r="H29" i="21"/>
  <c r="D4" i="22" s="1"/>
  <c r="E34" i="8" s="1"/>
  <c r="I30" i="21"/>
  <c r="C72" i="21"/>
  <c r="D122" i="24"/>
  <c r="H83" i="18"/>
  <c r="I83" i="18" s="1"/>
  <c r="J83" i="18" s="1"/>
  <c r="K83" i="18" s="1"/>
  <c r="L83" i="18" s="1"/>
  <c r="M83" i="18" s="1"/>
  <c r="N83" i="18" s="1"/>
  <c r="O83" i="18" s="1"/>
  <c r="P83" i="18" s="1"/>
  <c r="Q83" i="18" s="1"/>
  <c r="R83" i="18" s="1"/>
  <c r="S83" i="18" s="1"/>
  <c r="T83" i="18" s="1"/>
  <c r="U83" i="18" s="1"/>
  <c r="V83" i="18" s="1"/>
  <c r="W83" i="18" s="1"/>
  <c r="E27" i="21"/>
  <c r="D90" i="24"/>
  <c r="H23" i="18"/>
  <c r="I23" i="18" s="1"/>
  <c r="J23" i="18" s="1"/>
  <c r="K23" i="18" s="1"/>
  <c r="L23" i="18" s="1"/>
  <c r="M23" i="18" s="1"/>
  <c r="N23" i="18" s="1"/>
  <c r="O23" i="18" s="1"/>
  <c r="P23" i="18" s="1"/>
  <c r="Q23" i="18" s="1"/>
  <c r="R23" i="18" s="1"/>
  <c r="S23" i="18" s="1"/>
  <c r="T23" i="18" s="1"/>
  <c r="U23" i="18" s="1"/>
  <c r="V23" i="18" s="1"/>
  <c r="W23" i="18" s="1"/>
  <c r="G26" i="21"/>
  <c r="H26" i="21" s="1"/>
  <c r="I26" i="21" s="1"/>
  <c r="J26" i="21" s="1"/>
  <c r="K26" i="21" s="1"/>
  <c r="L26" i="21" s="1"/>
  <c r="M26" i="21" s="1"/>
  <c r="N26" i="21" s="1"/>
  <c r="O26" i="21" s="1"/>
  <c r="P26" i="21" s="1"/>
  <c r="Q26" i="21" s="1"/>
  <c r="R26" i="21" s="1"/>
  <c r="S26" i="21" s="1"/>
  <c r="T26" i="21" s="1"/>
  <c r="F91" i="3"/>
  <c r="G33" i="3"/>
  <c r="R72" i="26"/>
  <c r="T11" i="31"/>
  <c r="T11" i="30"/>
  <c r="T11" i="29"/>
  <c r="H13" i="34"/>
  <c r="T11" i="9"/>
  <c r="G119" i="15"/>
  <c r="G13" i="34" s="1"/>
  <c r="D75" i="24"/>
  <c r="H8" i="18"/>
  <c r="I8" i="18" s="1"/>
  <c r="J8" i="18" s="1"/>
  <c r="K8" i="18" s="1"/>
  <c r="L8" i="18" s="1"/>
  <c r="M8" i="18" s="1"/>
  <c r="N8" i="18" s="1"/>
  <c r="O8" i="18" s="1"/>
  <c r="P8" i="18" s="1"/>
  <c r="Q8" i="18" s="1"/>
  <c r="R8" i="18" s="1"/>
  <c r="S8" i="18" s="1"/>
  <c r="T8" i="18" s="1"/>
  <c r="U8" i="18" s="1"/>
  <c r="V8" i="18" s="1"/>
  <c r="W8" i="18" s="1"/>
  <c r="F20" i="13"/>
  <c r="G20" i="13" s="1"/>
  <c r="H20" i="13" s="1"/>
  <c r="I20" i="13" s="1"/>
  <c r="J20" i="13" s="1"/>
  <c r="K20" i="13" s="1"/>
  <c r="L20" i="13" s="1"/>
  <c r="M20" i="13" s="1"/>
  <c r="N20" i="13" s="1"/>
  <c r="O20" i="13" s="1"/>
  <c r="P20" i="13" s="1"/>
  <c r="Q20" i="13" s="1"/>
  <c r="R20" i="13" s="1"/>
  <c r="S20" i="13" s="1"/>
  <c r="G26" i="3"/>
  <c r="H26" i="3" s="1"/>
  <c r="I26" i="3" s="1"/>
  <c r="J26" i="3" s="1"/>
  <c r="K26" i="3" s="1"/>
  <c r="L26" i="3" s="1"/>
  <c r="M26" i="3" s="1"/>
  <c r="N26" i="3" s="1"/>
  <c r="O26" i="3" s="1"/>
  <c r="P26" i="3" s="1"/>
  <c r="Q26" i="3" s="1"/>
  <c r="R26" i="3" s="1"/>
  <c r="S26" i="3" s="1"/>
  <c r="T26" i="3" s="1"/>
  <c r="D126" i="24"/>
  <c r="H87" i="18"/>
  <c r="I87" i="18" s="1"/>
  <c r="J87" i="18" s="1"/>
  <c r="K87" i="18" s="1"/>
  <c r="L87" i="18" s="1"/>
  <c r="M87" i="18" s="1"/>
  <c r="N87" i="18" s="1"/>
  <c r="O87" i="18" s="1"/>
  <c r="P87" i="18" s="1"/>
  <c r="Q87" i="18" s="1"/>
  <c r="R87" i="18" s="1"/>
  <c r="S87" i="18" s="1"/>
  <c r="T87" i="18" s="1"/>
  <c r="U87" i="18" s="1"/>
  <c r="V87" i="18" s="1"/>
  <c r="W87" i="18" s="1"/>
  <c r="H11" i="21"/>
  <c r="D133" i="26"/>
  <c r="D118" i="24"/>
  <c r="H79" i="18"/>
  <c r="I79" i="18" s="1"/>
  <c r="J79" i="18" s="1"/>
  <c r="K79" i="18" s="1"/>
  <c r="L79" i="18" s="1"/>
  <c r="M79" i="18" s="1"/>
  <c r="N79" i="18" s="1"/>
  <c r="O79" i="18" s="1"/>
  <c r="P79" i="18" s="1"/>
  <c r="Q79" i="18" s="1"/>
  <c r="R79" i="18" s="1"/>
  <c r="S79" i="18" s="1"/>
  <c r="T79" i="18" s="1"/>
  <c r="U79" i="18" s="1"/>
  <c r="V79" i="18" s="1"/>
  <c r="W79" i="18" s="1"/>
  <c r="E18" i="18"/>
  <c r="E15" i="18"/>
  <c r="E19" i="18"/>
  <c r="E16" i="18"/>
  <c r="E17" i="18"/>
  <c r="H49" i="21"/>
  <c r="I49" i="21" s="1"/>
  <c r="J49" i="21" s="1"/>
  <c r="K49" i="21" s="1"/>
  <c r="L49" i="21" s="1"/>
  <c r="M49" i="21" s="1"/>
  <c r="N49" i="21" s="1"/>
  <c r="O49" i="21" s="1"/>
  <c r="P49" i="21" s="1"/>
  <c r="Q49" i="21" s="1"/>
  <c r="R49" i="21" s="1"/>
  <c r="S49" i="21" s="1"/>
  <c r="T49" i="21" s="1"/>
  <c r="U49" i="21" s="1"/>
  <c r="G15" i="3"/>
  <c r="H15" i="3" s="1"/>
  <c r="I15" i="3" s="1"/>
  <c r="J15" i="3" s="1"/>
  <c r="K15" i="3" s="1"/>
  <c r="L15" i="3" s="1"/>
  <c r="M15" i="3" s="1"/>
  <c r="N15" i="3" s="1"/>
  <c r="O15" i="3" s="1"/>
  <c r="P15" i="3" s="1"/>
  <c r="Q15" i="3" s="1"/>
  <c r="R15" i="3" s="1"/>
  <c r="S15" i="3" s="1"/>
  <c r="T15" i="3" s="1"/>
  <c r="W113" i="21"/>
  <c r="W111" i="21" s="1"/>
  <c r="S40" i="22" s="1"/>
  <c r="T36" i="7" s="1"/>
  <c r="Y113" i="21"/>
  <c r="Y111" i="21" s="1"/>
  <c r="U40" i="22" s="1"/>
  <c r="V36" i="7" s="1"/>
  <c r="Z113" i="21"/>
  <c r="Z111" i="21" s="1"/>
  <c r="V40" i="22" s="1"/>
  <c r="X113" i="21"/>
  <c r="U88" i="9"/>
  <c r="G14" i="24"/>
  <c r="H14" i="24" s="1"/>
  <c r="I14" i="24" s="1"/>
  <c r="J14" i="24" s="1"/>
  <c r="K14" i="24" s="1"/>
  <c r="L14" i="24" s="1"/>
  <c r="M14" i="24" s="1"/>
  <c r="N14" i="24" s="1"/>
  <c r="O14" i="24" s="1"/>
  <c r="P14" i="24" s="1"/>
  <c r="Q14" i="24" s="1"/>
  <c r="R14" i="24" s="1"/>
  <c r="S14" i="24" s="1"/>
  <c r="T14" i="24" s="1"/>
  <c r="S91" i="38"/>
  <c r="S63" i="38"/>
  <c r="S35" i="38"/>
  <c r="Q95" i="38"/>
  <c r="Y67" i="35" s="1"/>
  <c r="Q67" i="38"/>
  <c r="W67" i="35" s="1"/>
  <c r="Q39" i="38"/>
  <c r="G35" i="13"/>
  <c r="F99" i="13"/>
  <c r="P54" i="38"/>
  <c r="P110" i="38"/>
  <c r="P82" i="38"/>
  <c r="S68" i="7"/>
  <c r="N100" i="29"/>
  <c r="N72" i="29"/>
  <c r="N44" i="29"/>
  <c r="K98" i="29"/>
  <c r="K70" i="29"/>
  <c r="K42" i="29"/>
  <c r="O45" i="29"/>
  <c r="O101" i="29"/>
  <c r="O73" i="29"/>
  <c r="J17" i="29"/>
  <c r="M110" i="29"/>
  <c r="M82" i="29"/>
  <c r="M54" i="29"/>
  <c r="J8" i="29"/>
  <c r="O68" i="7"/>
  <c r="J9" i="30"/>
  <c r="N68" i="7"/>
  <c r="J93" i="30"/>
  <c r="J37" i="30"/>
  <c r="J65" i="30"/>
  <c r="J227" i="7"/>
  <c r="K230" i="7"/>
  <c r="C118" i="24"/>
  <c r="C54" i="24"/>
  <c r="F54" i="24" s="1"/>
  <c r="F16" i="34"/>
  <c r="L206" i="7"/>
  <c r="K203" i="7"/>
  <c r="D76" i="24"/>
  <c r="H9" i="18"/>
  <c r="I9" i="18" s="1"/>
  <c r="J9" i="18" s="1"/>
  <c r="K9" i="18" s="1"/>
  <c r="L9" i="18" s="1"/>
  <c r="M9" i="18" s="1"/>
  <c r="N9" i="18" s="1"/>
  <c r="O9" i="18" s="1"/>
  <c r="P9" i="18" s="1"/>
  <c r="Q9" i="18" s="1"/>
  <c r="R9" i="18" s="1"/>
  <c r="S9" i="18" s="1"/>
  <c r="T9" i="18" s="1"/>
  <c r="U9" i="18" s="1"/>
  <c r="V9" i="18" s="1"/>
  <c r="W9" i="18" s="1"/>
  <c r="D109" i="24"/>
  <c r="Z109" i="24" s="1"/>
  <c r="H56" i="18"/>
  <c r="I56" i="18" s="1"/>
  <c r="J56" i="18" s="1"/>
  <c r="K56" i="18" s="1"/>
  <c r="L56" i="18" s="1"/>
  <c r="M56" i="18" s="1"/>
  <c r="N56" i="18" s="1"/>
  <c r="O56" i="18" s="1"/>
  <c r="P56" i="18" s="1"/>
  <c r="Q56" i="18" s="1"/>
  <c r="R56" i="18" s="1"/>
  <c r="S56" i="18" s="1"/>
  <c r="T56" i="18" s="1"/>
  <c r="U56" i="18" s="1"/>
  <c r="V56" i="18" s="1"/>
  <c r="W56" i="18" s="1"/>
  <c r="C38" i="22"/>
  <c r="D34" i="7" s="1"/>
  <c r="F21" i="13"/>
  <c r="G21" i="13" s="1"/>
  <c r="H21" i="13" s="1"/>
  <c r="I21" i="13" s="1"/>
  <c r="J21" i="13" s="1"/>
  <c r="K21" i="13" s="1"/>
  <c r="L21" i="13" s="1"/>
  <c r="M21" i="13" s="1"/>
  <c r="N21" i="13" s="1"/>
  <c r="O21" i="13" s="1"/>
  <c r="P21" i="13" s="1"/>
  <c r="Q21" i="13" s="1"/>
  <c r="R21" i="13" s="1"/>
  <c r="S21" i="13" s="1"/>
  <c r="C65" i="3"/>
  <c r="G14" i="3"/>
  <c r="H14" i="3" s="1"/>
  <c r="I14" i="3" s="1"/>
  <c r="J14" i="3" s="1"/>
  <c r="K14" i="3" s="1"/>
  <c r="L14" i="3" s="1"/>
  <c r="M14" i="3" s="1"/>
  <c r="N14" i="3" s="1"/>
  <c r="O14" i="3" s="1"/>
  <c r="P14" i="3" s="1"/>
  <c r="Q14" i="3" s="1"/>
  <c r="R14" i="3" s="1"/>
  <c r="S14" i="3" s="1"/>
  <c r="T14" i="3" s="1"/>
  <c r="G23" i="3"/>
  <c r="H23" i="3" s="1"/>
  <c r="I23" i="3" s="1"/>
  <c r="J23" i="3" s="1"/>
  <c r="K23" i="3" s="1"/>
  <c r="L23" i="3" s="1"/>
  <c r="M23" i="3" s="1"/>
  <c r="N23" i="3" s="1"/>
  <c r="O23" i="3" s="1"/>
  <c r="P23" i="3" s="1"/>
  <c r="Q23" i="3" s="1"/>
  <c r="R23" i="3" s="1"/>
  <c r="S23" i="3" s="1"/>
  <c r="T23" i="3" s="1"/>
  <c r="D100" i="24"/>
  <c r="Z100" i="24" s="1"/>
  <c r="H47" i="18"/>
  <c r="I47" i="18" s="1"/>
  <c r="J47" i="18" s="1"/>
  <c r="K47" i="18" s="1"/>
  <c r="L47" i="18" s="1"/>
  <c r="M47" i="18" s="1"/>
  <c r="N47" i="18" s="1"/>
  <c r="O47" i="18" s="1"/>
  <c r="P47" i="18" s="1"/>
  <c r="Q47" i="18" s="1"/>
  <c r="R47" i="18" s="1"/>
  <c r="S47" i="18" s="1"/>
  <c r="T47" i="18" s="1"/>
  <c r="U47" i="18" s="1"/>
  <c r="V47" i="18" s="1"/>
  <c r="W47" i="18" s="1"/>
  <c r="V122" i="21"/>
  <c r="X122" i="21"/>
  <c r="Z122" i="21"/>
  <c r="Y122" i="21"/>
  <c r="W122" i="21"/>
  <c r="C79" i="24"/>
  <c r="C15" i="24"/>
  <c r="F15" i="24" s="1"/>
  <c r="G20" i="21"/>
  <c r="H20" i="21" s="1"/>
  <c r="I20" i="21" s="1"/>
  <c r="J20" i="21" s="1"/>
  <c r="K20" i="21" s="1"/>
  <c r="L20" i="21" s="1"/>
  <c r="M20" i="21" s="1"/>
  <c r="N20" i="21" s="1"/>
  <c r="O20" i="21" s="1"/>
  <c r="P20" i="21" s="1"/>
  <c r="Q20" i="21" s="1"/>
  <c r="R20" i="21" s="1"/>
  <c r="S20" i="21" s="1"/>
  <c r="T20" i="21" s="1"/>
  <c r="G11" i="3"/>
  <c r="F9" i="3"/>
  <c r="F7" i="3"/>
  <c r="C51" i="21"/>
  <c r="E80" i="14"/>
  <c r="C55" i="21" s="1"/>
  <c r="F55" i="21" s="1"/>
  <c r="E77" i="14"/>
  <c r="C52" i="21" s="1"/>
  <c r="F52" i="21" s="1"/>
  <c r="E79" i="14"/>
  <c r="C54" i="21" s="1"/>
  <c r="F54" i="21" s="1"/>
  <c r="E78" i="14"/>
  <c r="C53" i="21" s="1"/>
  <c r="F53" i="21" s="1"/>
  <c r="E81" i="14"/>
  <c r="C56" i="21" s="1"/>
  <c r="G50" i="3"/>
  <c r="H50" i="3" s="1"/>
  <c r="I50" i="3" s="1"/>
  <c r="J50" i="3" s="1"/>
  <c r="K50" i="3" s="1"/>
  <c r="L50" i="3" s="1"/>
  <c r="M50" i="3" s="1"/>
  <c r="N50" i="3" s="1"/>
  <c r="O50" i="3" s="1"/>
  <c r="P50" i="3" s="1"/>
  <c r="Q50" i="3" s="1"/>
  <c r="R50" i="3" s="1"/>
  <c r="S50" i="3" s="1"/>
  <c r="T50" i="3" s="1"/>
  <c r="G47" i="21"/>
  <c r="C6" i="22" s="1"/>
  <c r="D36" i="8" s="1"/>
  <c r="H48" i="21"/>
  <c r="F102" i="21"/>
  <c r="G38" i="21"/>
  <c r="F25" i="13"/>
  <c r="G25" i="13" s="1"/>
  <c r="H25" i="13" s="1"/>
  <c r="I25" i="13" s="1"/>
  <c r="J25" i="13" s="1"/>
  <c r="K25" i="13" s="1"/>
  <c r="L25" i="13" s="1"/>
  <c r="M25" i="13" s="1"/>
  <c r="N25" i="13" s="1"/>
  <c r="O25" i="13" s="1"/>
  <c r="P25" i="13" s="1"/>
  <c r="Q25" i="13" s="1"/>
  <c r="R25" i="13" s="1"/>
  <c r="S25" i="13" s="1"/>
  <c r="H95" i="21"/>
  <c r="I31" i="21"/>
  <c r="T8" i="31"/>
  <c r="T8" i="30"/>
  <c r="T8" i="29"/>
  <c r="T8" i="9"/>
  <c r="G116" i="15"/>
  <c r="G10" i="34" s="1"/>
  <c r="H10" i="34"/>
  <c r="J10" i="29"/>
  <c r="J16" i="29"/>
  <c r="P47" i="34"/>
  <c r="N5" i="34"/>
  <c r="D116" i="24"/>
  <c r="H77" i="18"/>
  <c r="I77" i="18" s="1"/>
  <c r="J77" i="18" s="1"/>
  <c r="K77" i="18" s="1"/>
  <c r="L77" i="18" s="1"/>
  <c r="M77" i="18" s="1"/>
  <c r="N77" i="18" s="1"/>
  <c r="O77" i="18" s="1"/>
  <c r="P77" i="18" s="1"/>
  <c r="Q77" i="18" s="1"/>
  <c r="R77" i="18" s="1"/>
  <c r="S77" i="18" s="1"/>
  <c r="T77" i="18" s="1"/>
  <c r="U77" i="18" s="1"/>
  <c r="V77" i="18" s="1"/>
  <c r="W77" i="18" s="1"/>
  <c r="G44" i="7"/>
  <c r="G32" i="7"/>
  <c r="S92" i="12"/>
  <c r="S64" i="12"/>
  <c r="S36" i="12"/>
  <c r="O90" i="38"/>
  <c r="O62" i="38"/>
  <c r="O34" i="38"/>
  <c r="R62" i="12"/>
  <c r="R34" i="12"/>
  <c r="R90" i="12"/>
  <c r="K93" i="26"/>
  <c r="O53" i="38"/>
  <c r="O109" i="38"/>
  <c r="O81" i="38"/>
  <c r="U199" i="8"/>
  <c r="V202" i="8"/>
  <c r="V211" i="8" s="1"/>
  <c r="Q99" i="38"/>
  <c r="Y71" i="35" s="1"/>
  <c r="Q71" i="38"/>
  <c r="W71" i="35" s="1"/>
  <c r="Q43" i="38"/>
  <c r="O8" i="20"/>
  <c r="Q50" i="8" s="1"/>
  <c r="W114" i="13"/>
  <c r="T41" i="17" s="1"/>
  <c r="T23" i="7" s="1"/>
  <c r="F100" i="13"/>
  <c r="G36" i="13"/>
  <c r="G34" i="13"/>
  <c r="F98" i="13"/>
  <c r="F32" i="13"/>
  <c r="C5" i="17" s="1"/>
  <c r="C21" i="8" s="1"/>
  <c r="T190" i="8"/>
  <c r="S187" i="8"/>
  <c r="R90" i="38"/>
  <c r="R62" i="38"/>
  <c r="R34" i="38"/>
  <c r="W101" i="3"/>
  <c r="S40" i="6" s="1"/>
  <c r="S8" i="7" s="1"/>
  <c r="T280" i="7"/>
  <c r="N23" i="29" s="1"/>
  <c r="Q108" i="38"/>
  <c r="Y80" i="35" s="1"/>
  <c r="Q80" i="38"/>
  <c r="W80" i="35" s="1"/>
  <c r="Q52" i="38"/>
  <c r="O82" i="38"/>
  <c r="O54" i="38"/>
  <c r="O110" i="38"/>
  <c r="M90" i="12"/>
  <c r="M62" i="12"/>
  <c r="M34" i="12"/>
  <c r="K107" i="38"/>
  <c r="K79" i="38"/>
  <c r="K51" i="38"/>
  <c r="H43" i="3"/>
  <c r="D6" i="6" s="1"/>
  <c r="D8" i="8" s="1"/>
  <c r="I44" i="3"/>
  <c r="N73" i="29"/>
  <c r="N101" i="29"/>
  <c r="N45" i="29"/>
  <c r="J91" i="31"/>
  <c r="J93" i="26" s="1"/>
  <c r="J63" i="31"/>
  <c r="J65" i="26" s="1"/>
  <c r="J35" i="31"/>
  <c r="J37" i="26" s="1"/>
  <c r="J7" i="26"/>
  <c r="K68" i="7"/>
  <c r="N62" i="9"/>
  <c r="N34" i="9"/>
  <c r="N90" i="9"/>
  <c r="O99" i="29"/>
  <c r="O71" i="29"/>
  <c r="O43" i="29"/>
  <c r="G68" i="7"/>
  <c r="R92" i="9"/>
  <c r="R64" i="9"/>
  <c r="R36" i="9"/>
  <c r="R63" i="29"/>
  <c r="R35" i="29"/>
  <c r="R91" i="29"/>
  <c r="P64" i="9"/>
  <c r="P36" i="9"/>
  <c r="P92" i="9"/>
  <c r="D127" i="26"/>
  <c r="R36" i="26"/>
  <c r="J15" i="30"/>
  <c r="J105" i="30"/>
  <c r="J77" i="30"/>
  <c r="J49" i="30"/>
  <c r="F14" i="34"/>
  <c r="O105" i="29"/>
  <c r="O77" i="29"/>
  <c r="O49" i="29"/>
  <c r="D125" i="24"/>
  <c r="H86" i="18"/>
  <c r="I86" i="18" s="1"/>
  <c r="J86" i="18" s="1"/>
  <c r="K86" i="18" s="1"/>
  <c r="L86" i="18" s="1"/>
  <c r="M86" i="18" s="1"/>
  <c r="N86" i="18" s="1"/>
  <c r="O86" i="18" s="1"/>
  <c r="P86" i="18" s="1"/>
  <c r="Q86" i="18" s="1"/>
  <c r="R86" i="18" s="1"/>
  <c r="S86" i="18" s="1"/>
  <c r="T86" i="18" s="1"/>
  <c r="U86" i="18" s="1"/>
  <c r="V86" i="18" s="1"/>
  <c r="W86" i="18" s="1"/>
  <c r="G56" i="3"/>
  <c r="H56" i="3" s="1"/>
  <c r="I56" i="3" s="1"/>
  <c r="J56" i="3" s="1"/>
  <c r="K56" i="3" s="1"/>
  <c r="L56" i="3" s="1"/>
  <c r="M56" i="3" s="1"/>
  <c r="N56" i="3" s="1"/>
  <c r="O56" i="3" s="1"/>
  <c r="P56" i="3" s="1"/>
  <c r="Q56" i="3" s="1"/>
  <c r="R56" i="3" s="1"/>
  <c r="S56" i="3" s="1"/>
  <c r="T56" i="3" s="1"/>
  <c r="C7" i="3"/>
  <c r="F19" i="30"/>
  <c r="F19" i="31"/>
  <c r="F19" i="29"/>
  <c r="F48" i="9"/>
  <c r="F76" i="9"/>
  <c r="D95" i="24"/>
  <c r="G95" i="24" s="1"/>
  <c r="H41" i="18"/>
  <c r="I41" i="18" s="1"/>
  <c r="J41" i="18" s="1"/>
  <c r="K41" i="18" s="1"/>
  <c r="L41" i="18" s="1"/>
  <c r="M41" i="18" s="1"/>
  <c r="N41" i="18" s="1"/>
  <c r="O41" i="18" s="1"/>
  <c r="P41" i="18" s="1"/>
  <c r="Q41" i="18" s="1"/>
  <c r="R41" i="18" s="1"/>
  <c r="S41" i="18" s="1"/>
  <c r="T41" i="18" s="1"/>
  <c r="U41" i="18" s="1"/>
  <c r="V41" i="18" s="1"/>
  <c r="W41" i="18" s="1"/>
  <c r="G20" i="3"/>
  <c r="H20" i="3" s="1"/>
  <c r="I20" i="3" s="1"/>
  <c r="J20" i="3" s="1"/>
  <c r="K20" i="3" s="1"/>
  <c r="L20" i="3" s="1"/>
  <c r="M20" i="3" s="1"/>
  <c r="N20" i="3" s="1"/>
  <c r="O20" i="3" s="1"/>
  <c r="P20" i="3" s="1"/>
  <c r="Q20" i="3" s="1"/>
  <c r="R20" i="3" s="1"/>
  <c r="S20" i="3" s="1"/>
  <c r="T20" i="3" s="1"/>
  <c r="F60" i="13"/>
  <c r="G60" i="13" s="1"/>
  <c r="H60" i="13" s="1"/>
  <c r="I60" i="13" s="1"/>
  <c r="J60" i="13" s="1"/>
  <c r="K60" i="13" s="1"/>
  <c r="L60" i="13" s="1"/>
  <c r="M60" i="13" s="1"/>
  <c r="N60" i="13" s="1"/>
  <c r="O60" i="13" s="1"/>
  <c r="P60" i="13" s="1"/>
  <c r="Q60" i="13" s="1"/>
  <c r="R60" i="13" s="1"/>
  <c r="S60" i="13" s="1"/>
  <c r="Z73" i="21"/>
  <c r="F94" i="3"/>
  <c r="G36" i="3"/>
  <c r="C76" i="24"/>
  <c r="C12" i="24"/>
  <c r="F12" i="24" s="1"/>
  <c r="C13" i="21"/>
  <c r="E11" i="14"/>
  <c r="C14" i="21" s="1"/>
  <c r="F14" i="21" s="1"/>
  <c r="E12" i="14"/>
  <c r="C15" i="21" s="1"/>
  <c r="F15" i="21" s="1"/>
  <c r="G19" i="3"/>
  <c r="H19" i="3" s="1"/>
  <c r="I19" i="3" s="1"/>
  <c r="J19" i="3" s="1"/>
  <c r="K19" i="3" s="1"/>
  <c r="L19" i="3" s="1"/>
  <c r="M19" i="3" s="1"/>
  <c r="N19" i="3" s="1"/>
  <c r="O19" i="3" s="1"/>
  <c r="P19" i="3" s="1"/>
  <c r="Q19" i="3" s="1"/>
  <c r="R19" i="3" s="1"/>
  <c r="S19" i="3" s="1"/>
  <c r="T19" i="3" s="1"/>
  <c r="C66" i="3"/>
  <c r="D112" i="24"/>
  <c r="H65" i="18"/>
  <c r="I65" i="18" s="1"/>
  <c r="J65" i="18" s="1"/>
  <c r="K65" i="18" s="1"/>
  <c r="L65" i="18" s="1"/>
  <c r="M65" i="18" s="1"/>
  <c r="N65" i="18" s="1"/>
  <c r="O65" i="18" s="1"/>
  <c r="P65" i="18" s="1"/>
  <c r="Q65" i="18" s="1"/>
  <c r="R65" i="18" s="1"/>
  <c r="S65" i="18" s="1"/>
  <c r="T65" i="18" s="1"/>
  <c r="U65" i="18" s="1"/>
  <c r="V65" i="18" s="1"/>
  <c r="W65" i="18" s="1"/>
  <c r="D103" i="24"/>
  <c r="H50" i="18"/>
  <c r="I50" i="18" s="1"/>
  <c r="J50" i="18" s="1"/>
  <c r="K50" i="18" s="1"/>
  <c r="L50" i="18" s="1"/>
  <c r="M50" i="18" s="1"/>
  <c r="N50" i="18" s="1"/>
  <c r="O50" i="18" s="1"/>
  <c r="P50" i="18" s="1"/>
  <c r="Q50" i="18" s="1"/>
  <c r="R50" i="18" s="1"/>
  <c r="S50" i="18" s="1"/>
  <c r="T50" i="18" s="1"/>
  <c r="U50" i="18" s="1"/>
  <c r="V50" i="18" s="1"/>
  <c r="W50" i="18" s="1"/>
  <c r="F99" i="3"/>
  <c r="G41" i="3"/>
  <c r="C112" i="24"/>
  <c r="C48" i="24"/>
  <c r="G48" i="24" s="1"/>
  <c r="D106" i="24"/>
  <c r="Z106" i="24" s="1"/>
  <c r="H53" i="18"/>
  <c r="I53" i="18" s="1"/>
  <c r="J53" i="18" s="1"/>
  <c r="K53" i="18" s="1"/>
  <c r="L53" i="18" s="1"/>
  <c r="M53" i="18" s="1"/>
  <c r="N53" i="18" s="1"/>
  <c r="O53" i="18" s="1"/>
  <c r="P53" i="18" s="1"/>
  <c r="Q53" i="18" s="1"/>
  <c r="R53" i="18" s="1"/>
  <c r="S53" i="18" s="1"/>
  <c r="T53" i="18" s="1"/>
  <c r="U53" i="18" s="1"/>
  <c r="V53" i="18" s="1"/>
  <c r="W53" i="18" s="1"/>
  <c r="G12" i="21"/>
  <c r="H12" i="21" s="1"/>
  <c r="I12" i="21" s="1"/>
  <c r="J12" i="21" s="1"/>
  <c r="K12" i="21" s="1"/>
  <c r="L12" i="21" s="1"/>
  <c r="M12" i="21" s="1"/>
  <c r="N12" i="21" s="1"/>
  <c r="O12" i="21" s="1"/>
  <c r="P12" i="21" s="1"/>
  <c r="Q12" i="21" s="1"/>
  <c r="R12" i="21" s="1"/>
  <c r="S12" i="21" s="1"/>
  <c r="T12" i="21" s="1"/>
  <c r="F15" i="13"/>
  <c r="G15" i="13" s="1"/>
  <c r="H15" i="13" s="1"/>
  <c r="I15" i="13" s="1"/>
  <c r="J15" i="13" s="1"/>
  <c r="K15" i="13" s="1"/>
  <c r="L15" i="13" s="1"/>
  <c r="M15" i="13" s="1"/>
  <c r="N15" i="13" s="1"/>
  <c r="O15" i="13" s="1"/>
  <c r="P15" i="13" s="1"/>
  <c r="Q15" i="13" s="1"/>
  <c r="R15" i="13" s="1"/>
  <c r="S15" i="13" s="1"/>
  <c r="F53" i="13"/>
  <c r="G53" i="13" s="1"/>
  <c r="H53" i="13" s="1"/>
  <c r="I53" i="13" s="1"/>
  <c r="J53" i="13" s="1"/>
  <c r="K53" i="13" s="1"/>
  <c r="L53" i="13" s="1"/>
  <c r="M53" i="13" s="1"/>
  <c r="N53" i="13" s="1"/>
  <c r="O53" i="13" s="1"/>
  <c r="P53" i="13" s="1"/>
  <c r="Q53" i="13" s="1"/>
  <c r="R53" i="13" s="1"/>
  <c r="S53" i="13" s="1"/>
  <c r="G11" i="24"/>
  <c r="N69" i="7"/>
  <c r="O81" i="7" s="1"/>
  <c r="P93" i="7" s="1"/>
  <c r="Q105" i="7" s="1"/>
  <c r="R118" i="7" s="1"/>
  <c r="S131" i="7" s="1"/>
  <c r="T145" i="7" s="1"/>
  <c r="E42" i="17"/>
  <c r="E294" i="7" s="1"/>
  <c r="P8" i="30" s="1"/>
  <c r="R91" i="38"/>
  <c r="R63" i="38"/>
  <c r="R35" i="38"/>
  <c r="U63" i="35" s="1"/>
  <c r="S34" i="12"/>
  <c r="S90" i="12"/>
  <c r="S62" i="12"/>
  <c r="Q90" i="38"/>
  <c r="Y62" i="35" s="1"/>
  <c r="Q62" i="38"/>
  <c r="W62" i="35" s="1"/>
  <c r="Q34" i="38"/>
  <c r="O103" i="29"/>
  <c r="O75" i="29"/>
  <c r="O47" i="29"/>
  <c r="P68" i="7"/>
  <c r="L227" i="7"/>
  <c r="M230" i="7"/>
  <c r="D85" i="24"/>
  <c r="H18" i="18"/>
  <c r="I18" i="18" s="1"/>
  <c r="J18" i="18" s="1"/>
  <c r="K18" i="18" s="1"/>
  <c r="L18" i="18" s="1"/>
  <c r="M18" i="18" s="1"/>
  <c r="N18" i="18" s="1"/>
  <c r="O18" i="18" s="1"/>
  <c r="P18" i="18" s="1"/>
  <c r="Q18" i="18" s="1"/>
  <c r="R18" i="18" s="1"/>
  <c r="S18" i="18" s="1"/>
  <c r="T18" i="18" s="1"/>
  <c r="U18" i="18" s="1"/>
  <c r="V18" i="18" s="1"/>
  <c r="W18" i="18" s="1"/>
  <c r="E8" i="20"/>
  <c r="G50" i="8" s="1"/>
  <c r="F101" i="13"/>
  <c r="G37" i="13"/>
  <c r="E43" i="17"/>
  <c r="E295" i="7" s="1"/>
  <c r="Q8" i="30" s="1"/>
  <c r="U36" i="6"/>
  <c r="F102" i="13"/>
  <c r="G38" i="13"/>
  <c r="Q76" i="38"/>
  <c r="W76" i="35" s="1"/>
  <c r="Q48" i="38"/>
  <c r="Q104" i="38"/>
  <c r="Y76" i="35" s="1"/>
  <c r="T8" i="20"/>
  <c r="V50" i="8" s="1"/>
  <c r="O44" i="7"/>
  <c r="J8" i="20"/>
  <c r="L50" i="8" s="1"/>
  <c r="E44" i="22"/>
  <c r="F296" i="7" s="1"/>
  <c r="R9" i="30" s="1"/>
  <c r="L4" i="7"/>
  <c r="D4" i="7"/>
  <c r="Q68" i="38"/>
  <c r="W68" i="35" s="1"/>
  <c r="Q96" i="38"/>
  <c r="Y68" i="35" s="1"/>
  <c r="Q40" i="38"/>
  <c r="L77" i="38"/>
  <c r="L49" i="38"/>
  <c r="L105" i="38"/>
  <c r="U280" i="7"/>
  <c r="N24" i="29" s="1"/>
  <c r="L108" i="38"/>
  <c r="L80" i="38"/>
  <c r="L52" i="38"/>
  <c r="M62" i="38"/>
  <c r="M34" i="38"/>
  <c r="M90" i="38"/>
  <c r="Q106" i="38"/>
  <c r="Y78" i="35" s="1"/>
  <c r="Q78" i="38"/>
  <c r="W78" i="35" s="1"/>
  <c r="Q50" i="38"/>
  <c r="W74" i="3"/>
  <c r="S37" i="6" s="1"/>
  <c r="S5" i="7" s="1"/>
  <c r="K108" i="38"/>
  <c r="K80" i="38"/>
  <c r="K52" i="38"/>
  <c r="R93" i="38"/>
  <c r="R65" i="38"/>
  <c r="R37" i="38"/>
  <c r="L50" i="38"/>
  <c r="L106" i="38"/>
  <c r="L78" i="38"/>
  <c r="E6" i="32"/>
  <c r="Q91" i="12"/>
  <c r="Q63" i="12"/>
  <c r="F50" i="34"/>
  <c r="Q35" i="12"/>
  <c r="F34" i="35"/>
  <c r="O7" i="38"/>
  <c r="C259" i="8"/>
  <c r="O7" i="12" s="1"/>
  <c r="L110" i="38"/>
  <c r="L82" i="38"/>
  <c r="L54" i="38"/>
  <c r="P63" i="9"/>
  <c r="P35" i="9"/>
  <c r="P91" i="9"/>
  <c r="U166" i="8"/>
  <c r="T163" i="8"/>
  <c r="K43" i="29"/>
  <c r="K99" i="29"/>
  <c r="K71" i="29"/>
  <c r="N99" i="29"/>
  <c r="N43" i="29"/>
  <c r="N71" i="29"/>
  <c r="Q109" i="38"/>
  <c r="Y81" i="35" s="1"/>
  <c r="Q53" i="38"/>
  <c r="Q81" i="38"/>
  <c r="W81" i="35" s="1"/>
  <c r="Q227" i="7"/>
  <c r="R230" i="7"/>
  <c r="I64" i="26"/>
  <c r="N106" i="29"/>
  <c r="N50" i="29"/>
  <c r="N78" i="29"/>
  <c r="K105" i="29"/>
  <c r="K49" i="29"/>
  <c r="K77" i="29"/>
  <c r="J9" i="29"/>
  <c r="K94" i="26"/>
  <c r="N43" i="30"/>
  <c r="N71" i="30"/>
  <c r="N99" i="30"/>
  <c r="O44" i="29"/>
  <c r="O100" i="29"/>
  <c r="O72" i="29"/>
  <c r="R93" i="31"/>
  <c r="R65" i="31"/>
  <c r="R37" i="31"/>
  <c r="R63" i="9"/>
  <c r="R35" i="9"/>
  <c r="R91" i="9"/>
  <c r="J14" i="29"/>
  <c r="L289" i="7"/>
  <c r="K15" i="30" s="1"/>
  <c r="T26" i="34"/>
  <c r="U60" i="9"/>
  <c r="P64" i="29"/>
  <c r="P92" i="29"/>
  <c r="P36" i="29"/>
  <c r="G8" i="26"/>
  <c r="F12" i="34"/>
  <c r="D107" i="24"/>
  <c r="Z107" i="24" s="1"/>
  <c r="H54" i="18"/>
  <c r="I54" i="18" s="1"/>
  <c r="J54" i="18" s="1"/>
  <c r="K54" i="18" s="1"/>
  <c r="L54" i="18" s="1"/>
  <c r="M54" i="18" s="1"/>
  <c r="N54" i="18" s="1"/>
  <c r="O54" i="18" s="1"/>
  <c r="P54" i="18" s="1"/>
  <c r="Q54" i="18" s="1"/>
  <c r="R54" i="18" s="1"/>
  <c r="S54" i="18" s="1"/>
  <c r="T54" i="18" s="1"/>
  <c r="U54" i="18" s="1"/>
  <c r="V54" i="18" s="1"/>
  <c r="W54" i="18" s="1"/>
  <c r="Z125" i="21"/>
  <c r="Y125" i="21"/>
  <c r="V125" i="21"/>
  <c r="X125" i="21"/>
  <c r="W125" i="21"/>
  <c r="F101" i="21"/>
  <c r="G37" i="21"/>
  <c r="F27" i="13"/>
  <c r="G27" i="13" s="1"/>
  <c r="H27" i="13" s="1"/>
  <c r="I27" i="13" s="1"/>
  <c r="J27" i="13" s="1"/>
  <c r="K27" i="13" s="1"/>
  <c r="L27" i="13" s="1"/>
  <c r="M27" i="13" s="1"/>
  <c r="N27" i="13" s="1"/>
  <c r="O27" i="13" s="1"/>
  <c r="P27" i="13" s="1"/>
  <c r="Q27" i="13" s="1"/>
  <c r="R27" i="13" s="1"/>
  <c r="S27" i="13" s="1"/>
  <c r="G55" i="3"/>
  <c r="H55" i="3" s="1"/>
  <c r="I55" i="3" s="1"/>
  <c r="J55" i="3" s="1"/>
  <c r="K55" i="3" s="1"/>
  <c r="L55" i="3" s="1"/>
  <c r="M55" i="3" s="1"/>
  <c r="N55" i="3" s="1"/>
  <c r="O55" i="3" s="1"/>
  <c r="P55" i="3" s="1"/>
  <c r="Q55" i="3" s="1"/>
  <c r="R55" i="3" s="1"/>
  <c r="S55" i="3" s="1"/>
  <c r="T55" i="3" s="1"/>
  <c r="G38" i="3"/>
  <c r="F96" i="3"/>
  <c r="H30" i="24"/>
  <c r="G29" i="24"/>
  <c r="C4" i="20" s="1"/>
  <c r="E46" i="8" s="1"/>
  <c r="F58" i="8" s="1"/>
  <c r="G70" i="8" s="1"/>
  <c r="H82" i="8" s="1"/>
  <c r="I94" i="8" s="1"/>
  <c r="J106" i="8" s="1"/>
  <c r="F55" i="13"/>
  <c r="G55" i="13" s="1"/>
  <c r="H55" i="13" s="1"/>
  <c r="I55" i="13" s="1"/>
  <c r="J55" i="13" s="1"/>
  <c r="K55" i="13" s="1"/>
  <c r="L55" i="13" s="1"/>
  <c r="M55" i="13" s="1"/>
  <c r="N55" i="13" s="1"/>
  <c r="O55" i="13" s="1"/>
  <c r="P55" i="13" s="1"/>
  <c r="Q55" i="13" s="1"/>
  <c r="R55" i="13" s="1"/>
  <c r="S55" i="13" s="1"/>
  <c r="F18" i="13"/>
  <c r="E16" i="13"/>
  <c r="B3" i="17" s="1"/>
  <c r="B19" i="8" s="1"/>
  <c r="W73" i="21"/>
  <c r="D128" i="26"/>
  <c r="E50" i="13"/>
  <c r="B7" i="17" s="1"/>
  <c r="B23" i="8" s="1"/>
  <c r="F52" i="13"/>
  <c r="U68" i="7"/>
  <c r="F30" i="3"/>
  <c r="B5" i="6" s="1"/>
  <c r="B7" i="8" s="1"/>
  <c r="F90" i="3"/>
  <c r="G32" i="3"/>
  <c r="C113" i="24"/>
  <c r="C49" i="24"/>
  <c r="G49" i="24" s="1"/>
  <c r="D119" i="24"/>
  <c r="H80" i="18"/>
  <c r="I80" i="18" s="1"/>
  <c r="J80" i="18" s="1"/>
  <c r="K80" i="18" s="1"/>
  <c r="L80" i="18" s="1"/>
  <c r="M80" i="18" s="1"/>
  <c r="N80" i="18" s="1"/>
  <c r="O80" i="18" s="1"/>
  <c r="P80" i="18" s="1"/>
  <c r="Q80" i="18" s="1"/>
  <c r="R80" i="18" s="1"/>
  <c r="S80" i="18" s="1"/>
  <c r="T80" i="18" s="1"/>
  <c r="U80" i="18" s="1"/>
  <c r="V80" i="18" s="1"/>
  <c r="W80" i="18" s="1"/>
  <c r="T17" i="31"/>
  <c r="T17" i="30"/>
  <c r="T17" i="29"/>
  <c r="H19" i="34"/>
  <c r="T17" i="9"/>
  <c r="G125" i="15"/>
  <c r="G19" i="34" s="1"/>
  <c r="D99" i="24"/>
  <c r="Z99" i="24" s="1"/>
  <c r="H46" i="18"/>
  <c r="I46" i="18" s="1"/>
  <c r="J46" i="18" s="1"/>
  <c r="K46" i="18" s="1"/>
  <c r="L46" i="18" s="1"/>
  <c r="M46" i="18" s="1"/>
  <c r="N46" i="18" s="1"/>
  <c r="O46" i="18" s="1"/>
  <c r="P46" i="18" s="1"/>
  <c r="Q46" i="18" s="1"/>
  <c r="R46" i="18" s="1"/>
  <c r="S46" i="18" s="1"/>
  <c r="T46" i="18" s="1"/>
  <c r="U46" i="18" s="1"/>
  <c r="V46" i="18" s="1"/>
  <c r="W46" i="18" s="1"/>
  <c r="D47" i="33"/>
  <c r="K47" i="33" s="1"/>
  <c r="D36" i="34"/>
  <c r="D78" i="34" s="1"/>
  <c r="V8" i="20"/>
  <c r="T6" i="31"/>
  <c r="T6" i="30"/>
  <c r="T6" i="29"/>
  <c r="T6" i="9"/>
  <c r="G114" i="15"/>
  <c r="G8" i="34" s="1"/>
  <c r="H8" i="34"/>
  <c r="C117" i="24"/>
  <c r="C53" i="24"/>
  <c r="F53" i="24" s="1"/>
  <c r="F88" i="21"/>
  <c r="G88" i="21" s="1"/>
  <c r="H88" i="21" s="1"/>
  <c r="I88" i="21" s="1"/>
  <c r="J88" i="21" s="1"/>
  <c r="K88" i="21" s="1"/>
  <c r="L88" i="21" s="1"/>
  <c r="R8" i="20"/>
  <c r="T50" i="8" s="1"/>
  <c r="E42" i="22"/>
  <c r="P108" i="38"/>
  <c r="P52" i="38"/>
  <c r="P80" i="38"/>
  <c r="L109" i="38"/>
  <c r="L81" i="38"/>
  <c r="L53" i="38"/>
  <c r="Q91" i="38"/>
  <c r="Y63" i="35" s="1"/>
  <c r="Q63" i="38"/>
  <c r="W63" i="35" s="1"/>
  <c r="Q35" i="38"/>
  <c r="N48" i="29"/>
  <c r="N76" i="29"/>
  <c r="N104" i="29"/>
  <c r="J18" i="29"/>
  <c r="D130" i="26"/>
  <c r="R39" i="26"/>
  <c r="T18" i="31"/>
  <c r="T18" i="30"/>
  <c r="T18" i="29"/>
  <c r="G126" i="15"/>
  <c r="G20" i="34" s="1"/>
  <c r="T18" i="9"/>
  <c r="H20" i="34"/>
  <c r="N102" i="29"/>
  <c r="N46" i="29"/>
  <c r="N74" i="29"/>
  <c r="I37" i="26"/>
  <c r="F10" i="34"/>
  <c r="O97" i="29"/>
  <c r="O69" i="29"/>
  <c r="O41" i="29"/>
  <c r="H31" i="24"/>
  <c r="F59" i="13"/>
  <c r="G59" i="13" s="1"/>
  <c r="H59" i="13" s="1"/>
  <c r="I59" i="13" s="1"/>
  <c r="J59" i="13" s="1"/>
  <c r="K59" i="13" s="1"/>
  <c r="L59" i="13" s="1"/>
  <c r="M59" i="13" s="1"/>
  <c r="N59" i="13" s="1"/>
  <c r="O59" i="13" s="1"/>
  <c r="P59" i="13" s="1"/>
  <c r="Q59" i="13" s="1"/>
  <c r="R59" i="13" s="1"/>
  <c r="S59" i="13" s="1"/>
  <c r="X80" i="21"/>
  <c r="T37" i="22" s="1"/>
  <c r="U33" i="7" s="1"/>
  <c r="U289" i="7" s="1"/>
  <c r="K24" i="30" s="1"/>
  <c r="T15" i="31"/>
  <c r="T15" i="29"/>
  <c r="T15" i="30"/>
  <c r="T15" i="9"/>
  <c r="H17" i="34"/>
  <c r="G123" i="15"/>
  <c r="G17" i="34" s="1"/>
  <c r="F24" i="13"/>
  <c r="G24" i="13" s="1"/>
  <c r="H24" i="13" s="1"/>
  <c r="I24" i="13" s="1"/>
  <c r="J24" i="13" s="1"/>
  <c r="K24" i="13" s="1"/>
  <c r="L24" i="13" s="1"/>
  <c r="M24" i="13" s="1"/>
  <c r="N24" i="13" s="1"/>
  <c r="O24" i="13" s="1"/>
  <c r="P24" i="13" s="1"/>
  <c r="Q24" i="13" s="1"/>
  <c r="R24" i="13" s="1"/>
  <c r="S24" i="13" s="1"/>
  <c r="T7" i="31"/>
  <c r="T7" i="30"/>
  <c r="T7" i="29"/>
  <c r="T7" i="9"/>
  <c r="H9" i="34"/>
  <c r="G115" i="15"/>
  <c r="G9" i="34" s="1"/>
  <c r="G52" i="24"/>
  <c r="X73" i="21"/>
  <c r="D124" i="24"/>
  <c r="H85" i="18"/>
  <c r="I85" i="18" s="1"/>
  <c r="J85" i="18" s="1"/>
  <c r="K85" i="18" s="1"/>
  <c r="L85" i="18" s="1"/>
  <c r="M85" i="18" s="1"/>
  <c r="N85" i="18" s="1"/>
  <c r="O85" i="18" s="1"/>
  <c r="P85" i="18" s="1"/>
  <c r="Q85" i="18" s="1"/>
  <c r="R85" i="18" s="1"/>
  <c r="S85" i="18" s="1"/>
  <c r="T85" i="18" s="1"/>
  <c r="U85" i="18" s="1"/>
  <c r="V85" i="18" s="1"/>
  <c r="W85" i="18" s="1"/>
  <c r="F61" i="13"/>
  <c r="G61" i="13" s="1"/>
  <c r="H61" i="13" s="1"/>
  <c r="I61" i="13" s="1"/>
  <c r="J61" i="13" s="1"/>
  <c r="K61" i="13" s="1"/>
  <c r="L61" i="13" s="1"/>
  <c r="M61" i="13" s="1"/>
  <c r="N61" i="13" s="1"/>
  <c r="O61" i="13" s="1"/>
  <c r="P61" i="13" s="1"/>
  <c r="Q61" i="13" s="1"/>
  <c r="R61" i="13" s="1"/>
  <c r="S61" i="13" s="1"/>
  <c r="G12" i="3"/>
  <c r="H12" i="3" s="1"/>
  <c r="I12" i="3" s="1"/>
  <c r="J12" i="3" s="1"/>
  <c r="K12" i="3" s="1"/>
  <c r="L12" i="3" s="1"/>
  <c r="M12" i="3" s="1"/>
  <c r="N12" i="3" s="1"/>
  <c r="O12" i="3" s="1"/>
  <c r="P12" i="3" s="1"/>
  <c r="Q12" i="3" s="1"/>
  <c r="R12" i="3" s="1"/>
  <c r="S12" i="3" s="1"/>
  <c r="T12" i="3" s="1"/>
  <c r="F26" i="13"/>
  <c r="G26" i="13" s="1"/>
  <c r="H26" i="13" s="1"/>
  <c r="I26" i="13" s="1"/>
  <c r="J26" i="13" s="1"/>
  <c r="K26" i="13" s="1"/>
  <c r="L26" i="13" s="1"/>
  <c r="M26" i="13" s="1"/>
  <c r="N26" i="13" s="1"/>
  <c r="O26" i="13" s="1"/>
  <c r="P26" i="13" s="1"/>
  <c r="Q26" i="13" s="1"/>
  <c r="R26" i="13" s="1"/>
  <c r="S26" i="13" s="1"/>
  <c r="L26" i="34"/>
  <c r="U32" i="9"/>
  <c r="F19" i="13"/>
  <c r="G19" i="13" s="1"/>
  <c r="H19" i="13" s="1"/>
  <c r="I19" i="13" s="1"/>
  <c r="J19" i="13" s="1"/>
  <c r="K19" i="13" s="1"/>
  <c r="L19" i="13" s="1"/>
  <c r="M19" i="13" s="1"/>
  <c r="N19" i="13" s="1"/>
  <c r="O19" i="13" s="1"/>
  <c r="P19" i="13" s="1"/>
  <c r="Q19" i="13" s="1"/>
  <c r="R19" i="13" s="1"/>
  <c r="S19" i="13" s="1"/>
  <c r="D37" i="33"/>
  <c r="K37" i="33" s="1"/>
  <c r="D26" i="34"/>
  <c r="D68" i="34" s="1"/>
  <c r="W119" i="21"/>
  <c r="V119" i="21"/>
  <c r="Y119" i="21"/>
  <c r="Z119" i="21"/>
  <c r="X119" i="21"/>
  <c r="E49" i="18"/>
  <c r="E48" i="18"/>
  <c r="E50" i="18"/>
  <c r="E45" i="18"/>
  <c r="E47" i="18"/>
  <c r="E46" i="18"/>
  <c r="C57" i="21"/>
  <c r="E86" i="14"/>
  <c r="C61" i="21" s="1"/>
  <c r="F61" i="21" s="1"/>
  <c r="E84" i="14"/>
  <c r="C59" i="21" s="1"/>
  <c r="F59" i="21" s="1"/>
  <c r="E83" i="14"/>
  <c r="C58" i="21" s="1"/>
  <c r="F58" i="21" s="1"/>
  <c r="E85" i="14"/>
  <c r="C60" i="21" s="1"/>
  <c r="F60" i="21" s="1"/>
  <c r="E87" i="14"/>
  <c r="C62" i="21" s="1"/>
  <c r="M243" i="7"/>
  <c r="M252" i="7" s="1"/>
  <c r="L239" i="7"/>
  <c r="G49" i="3"/>
  <c r="H49" i="3" s="1"/>
  <c r="I49" i="3" s="1"/>
  <c r="J49" i="3" s="1"/>
  <c r="K49" i="3" s="1"/>
  <c r="L49" i="3" s="1"/>
  <c r="M49" i="3" s="1"/>
  <c r="N49" i="3" s="1"/>
  <c r="O49" i="3" s="1"/>
  <c r="P49" i="3" s="1"/>
  <c r="Q49" i="3" s="1"/>
  <c r="R49" i="3" s="1"/>
  <c r="S49" i="3" s="1"/>
  <c r="T49" i="3" s="1"/>
  <c r="F46" i="3"/>
  <c r="B7" i="6" s="1"/>
  <c r="B9" i="8" s="1"/>
  <c r="G48" i="3"/>
  <c r="T12" i="31"/>
  <c r="T12" i="30"/>
  <c r="T12" i="29"/>
  <c r="G120" i="15"/>
  <c r="G14" i="34" s="1"/>
  <c r="H14" i="34"/>
  <c r="T12" i="9"/>
  <c r="D110" i="24"/>
  <c r="H57" i="18"/>
  <c r="I57" i="18" s="1"/>
  <c r="J57" i="18" s="1"/>
  <c r="K57" i="18" s="1"/>
  <c r="L57" i="18" s="1"/>
  <c r="M57" i="18" s="1"/>
  <c r="N57" i="18" s="1"/>
  <c r="O57" i="18" s="1"/>
  <c r="P57" i="18" s="1"/>
  <c r="Q57" i="18" s="1"/>
  <c r="R57" i="18" s="1"/>
  <c r="S57" i="18" s="1"/>
  <c r="T57" i="18" s="1"/>
  <c r="U57" i="18" s="1"/>
  <c r="V57" i="18" s="1"/>
  <c r="W57" i="18" s="1"/>
  <c r="J44" i="7"/>
  <c r="F106" i="13"/>
  <c r="G42" i="13"/>
  <c r="O106" i="38"/>
  <c r="O78" i="38"/>
  <c r="O50" i="38"/>
  <c r="K64" i="26"/>
  <c r="Q90" i="9"/>
  <c r="Q62" i="9"/>
  <c r="Q34" i="9"/>
  <c r="R62" i="9"/>
  <c r="R34" i="9"/>
  <c r="R90" i="9"/>
  <c r="F23" i="31"/>
  <c r="F108" i="31" s="1"/>
  <c r="F23" i="30"/>
  <c r="F108" i="30" s="1"/>
  <c r="F23" i="29"/>
  <c r="F108" i="29" s="1"/>
  <c r="F52" i="9"/>
  <c r="F80" i="9"/>
  <c r="G21" i="3"/>
  <c r="H21" i="3" s="1"/>
  <c r="I21" i="3" s="1"/>
  <c r="J21" i="3" s="1"/>
  <c r="K21" i="3" s="1"/>
  <c r="L21" i="3" s="1"/>
  <c r="M21" i="3" s="1"/>
  <c r="N21" i="3" s="1"/>
  <c r="O21" i="3" s="1"/>
  <c r="P21" i="3" s="1"/>
  <c r="Q21" i="3" s="1"/>
  <c r="R21" i="3" s="1"/>
  <c r="S21" i="3" s="1"/>
  <c r="T21" i="3" s="1"/>
  <c r="K18" i="7"/>
  <c r="G45" i="13"/>
  <c r="F109" i="13"/>
  <c r="P18" i="7"/>
  <c r="Q19" i="38"/>
  <c r="J36" i="26"/>
  <c r="N151" i="8"/>
  <c r="K72" i="29"/>
  <c r="K44" i="29"/>
  <c r="K100" i="29"/>
  <c r="J69" i="30"/>
  <c r="J97" i="30"/>
  <c r="J41" i="30"/>
  <c r="S8" i="20"/>
  <c r="U50" i="8" s="1"/>
  <c r="T301" i="7"/>
  <c r="K23" i="31" s="1"/>
  <c r="V69" i="7"/>
  <c r="F8" i="20"/>
  <c r="H50" i="8" s="1"/>
  <c r="R44" i="7"/>
  <c r="M65" i="21"/>
  <c r="H10" i="22"/>
  <c r="I40" i="8" s="1"/>
  <c r="E42" i="6"/>
  <c r="X73" i="13"/>
  <c r="E43" i="6"/>
  <c r="G10" i="17"/>
  <c r="K65" i="13"/>
  <c r="Y74" i="3"/>
  <c r="U37" i="6" s="1"/>
  <c r="U5" i="7" s="1"/>
  <c r="P81" i="38"/>
  <c r="P53" i="38"/>
  <c r="P109" i="38"/>
  <c r="K110" i="38"/>
  <c r="K82" i="38"/>
  <c r="K54" i="38"/>
  <c r="J64" i="26"/>
  <c r="O187" i="8"/>
  <c r="P190" i="8"/>
  <c r="O151" i="8"/>
  <c r="R93" i="30"/>
  <c r="R65" i="30"/>
  <c r="R37" i="30"/>
  <c r="E7" i="32"/>
  <c r="Q92" i="12"/>
  <c r="F51" i="34"/>
  <c r="Q64" i="12"/>
  <c r="Q36" i="12"/>
  <c r="F35" i="35"/>
  <c r="K49" i="38"/>
  <c r="K105" i="38"/>
  <c r="K77" i="38"/>
  <c r="L79" i="38"/>
  <c r="L51" i="38"/>
  <c r="L107" i="38"/>
  <c r="R92" i="12"/>
  <c r="R64" i="12"/>
  <c r="R36" i="12"/>
  <c r="P91" i="29"/>
  <c r="P63" i="29"/>
  <c r="P35" i="29"/>
  <c r="G7" i="26"/>
  <c r="Q101" i="38"/>
  <c r="Y73" i="35" s="1"/>
  <c r="Q45" i="38"/>
  <c r="Q73" i="38"/>
  <c r="W73" i="35" s="1"/>
  <c r="K47" i="29"/>
  <c r="K75" i="29"/>
  <c r="K103" i="29"/>
  <c r="N102" i="30"/>
  <c r="N74" i="30"/>
  <c r="N46" i="30"/>
  <c r="P62" i="29"/>
  <c r="P90" i="29"/>
  <c r="P34" i="29"/>
  <c r="G6" i="26"/>
  <c r="J19" i="29"/>
  <c r="R68" i="7"/>
  <c r="Q92" i="29"/>
  <c r="Q36" i="29"/>
  <c r="Q64" i="29"/>
  <c r="Q98" i="38"/>
  <c r="Y70" i="35" s="1"/>
  <c r="Q70" i="38"/>
  <c r="W70" i="35" s="1"/>
  <c r="Q42" i="38"/>
  <c r="I227" i="7"/>
  <c r="J230" i="7"/>
  <c r="I92" i="26"/>
  <c r="N98" i="29"/>
  <c r="N42" i="29"/>
  <c r="N70" i="29"/>
  <c r="K97" i="29"/>
  <c r="K69" i="29"/>
  <c r="K41" i="29"/>
  <c r="Q230" i="7"/>
  <c r="P227" i="7"/>
  <c r="Q62" i="29"/>
  <c r="Q90" i="29"/>
  <c r="Q34" i="29"/>
  <c r="K104" i="29"/>
  <c r="K76" i="29"/>
  <c r="K48" i="29"/>
  <c r="G10" i="6"/>
  <c r="G12" i="8" s="1"/>
  <c r="G12" i="7" s="1"/>
  <c r="L59" i="3"/>
  <c r="L117" i="3" s="1"/>
  <c r="G44" i="6"/>
  <c r="N206" i="7"/>
  <c r="M203" i="7"/>
  <c r="L203" i="7"/>
  <c r="O98" i="29"/>
  <c r="O42" i="29"/>
  <c r="O70" i="29"/>
  <c r="F111" i="15"/>
  <c r="E5" i="34"/>
  <c r="P178" i="8"/>
  <c r="O175" i="8"/>
  <c r="T14" i="31"/>
  <c r="T14" i="30"/>
  <c r="T14" i="29"/>
  <c r="T14" i="9"/>
  <c r="G122" i="15"/>
  <c r="G16" i="34" s="1"/>
  <c r="H16" i="34"/>
  <c r="R305" i="7"/>
  <c r="O21" i="31" s="1"/>
  <c r="I65" i="26"/>
  <c r="F8" i="34"/>
  <c r="T9" i="31"/>
  <c r="T9" i="30"/>
  <c r="T9" i="29"/>
  <c r="H11" i="34"/>
  <c r="T9" i="9"/>
  <c r="G117" i="15"/>
  <c r="G11" i="34" s="1"/>
  <c r="H18" i="21"/>
  <c r="Y80" i="21"/>
  <c r="U37" i="22" s="1"/>
  <c r="V33" i="7" s="1"/>
  <c r="D82" i="24"/>
  <c r="H15" i="18"/>
  <c r="I15" i="18" s="1"/>
  <c r="J15" i="18" s="1"/>
  <c r="K15" i="18" s="1"/>
  <c r="L15" i="18" s="1"/>
  <c r="M15" i="18" s="1"/>
  <c r="N15" i="18" s="1"/>
  <c r="O15" i="18" s="1"/>
  <c r="P15" i="18" s="1"/>
  <c r="Q15" i="18" s="1"/>
  <c r="R15" i="18" s="1"/>
  <c r="S15" i="18" s="1"/>
  <c r="T15" i="18" s="1"/>
  <c r="U15" i="18" s="1"/>
  <c r="V15" i="18" s="1"/>
  <c r="W15" i="18" s="1"/>
  <c r="F30" i="13"/>
  <c r="B8" i="13"/>
  <c r="Y73" i="21"/>
  <c r="D108" i="24"/>
  <c r="Z108" i="24" s="1"/>
  <c r="H55" i="18"/>
  <c r="I55" i="18" s="1"/>
  <c r="J55" i="18" s="1"/>
  <c r="K55" i="18" s="1"/>
  <c r="L55" i="18" s="1"/>
  <c r="M55" i="18" s="1"/>
  <c r="N55" i="18" s="1"/>
  <c r="O55" i="18" s="1"/>
  <c r="P55" i="18" s="1"/>
  <c r="Q55" i="18" s="1"/>
  <c r="R55" i="18" s="1"/>
  <c r="S55" i="18" s="1"/>
  <c r="T55" i="18" s="1"/>
  <c r="U55" i="18" s="1"/>
  <c r="V55" i="18" s="1"/>
  <c r="W55" i="18" s="1"/>
  <c r="G54" i="3"/>
  <c r="H54" i="3" s="1"/>
  <c r="I54" i="3" s="1"/>
  <c r="J54" i="3" s="1"/>
  <c r="K54" i="3" s="1"/>
  <c r="L54" i="3" s="1"/>
  <c r="M54" i="3" s="1"/>
  <c r="N54" i="3" s="1"/>
  <c r="O54" i="3" s="1"/>
  <c r="P54" i="3" s="1"/>
  <c r="Q54" i="3" s="1"/>
  <c r="R54" i="3" s="1"/>
  <c r="S54" i="3" s="1"/>
  <c r="T54" i="3" s="1"/>
  <c r="U3" i="9"/>
  <c r="G18" i="3"/>
  <c r="F16" i="3"/>
  <c r="B3" i="6" s="1"/>
  <c r="B5" i="8" s="1"/>
  <c r="F25" i="30"/>
  <c r="F110" i="30" s="1"/>
  <c r="F25" i="31"/>
  <c r="F110" i="31" s="1"/>
  <c r="F25" i="29"/>
  <c r="F110" i="29" s="1"/>
  <c r="F82" i="9"/>
  <c r="F54" i="9"/>
  <c r="D92" i="24"/>
  <c r="H25" i="18"/>
  <c r="I25" i="18" s="1"/>
  <c r="J25" i="18" s="1"/>
  <c r="K25" i="18" s="1"/>
  <c r="L25" i="18" s="1"/>
  <c r="M25" i="18" s="1"/>
  <c r="N25" i="18" s="1"/>
  <c r="O25" i="18" s="1"/>
  <c r="P25" i="18" s="1"/>
  <c r="Q25" i="18" s="1"/>
  <c r="R25" i="18" s="1"/>
  <c r="S25" i="18" s="1"/>
  <c r="T25" i="18" s="1"/>
  <c r="U25" i="18" s="1"/>
  <c r="V25" i="18" s="1"/>
  <c r="W25" i="18" s="1"/>
  <c r="F54" i="13"/>
  <c r="G54" i="13" s="1"/>
  <c r="H54" i="13" s="1"/>
  <c r="I54" i="13" s="1"/>
  <c r="J54" i="13" s="1"/>
  <c r="K54" i="13" s="1"/>
  <c r="L54" i="13" s="1"/>
  <c r="M54" i="13" s="1"/>
  <c r="N54" i="13" s="1"/>
  <c r="O54" i="13" s="1"/>
  <c r="P54" i="13" s="1"/>
  <c r="Q54" i="13" s="1"/>
  <c r="R54" i="13" s="1"/>
  <c r="S54" i="13" s="1"/>
  <c r="G51" i="3"/>
  <c r="H51" i="3" s="1"/>
  <c r="I51" i="3" s="1"/>
  <c r="J51" i="3" s="1"/>
  <c r="K51" i="3" s="1"/>
  <c r="L51" i="3" s="1"/>
  <c r="M51" i="3" s="1"/>
  <c r="N51" i="3" s="1"/>
  <c r="O51" i="3" s="1"/>
  <c r="P51" i="3" s="1"/>
  <c r="Q51" i="3" s="1"/>
  <c r="R51" i="3" s="1"/>
  <c r="S51" i="3" s="1"/>
  <c r="T51" i="3" s="1"/>
  <c r="E25" i="21"/>
  <c r="G24" i="3"/>
  <c r="H24" i="3" s="1"/>
  <c r="I24" i="3" s="1"/>
  <c r="J24" i="3" s="1"/>
  <c r="K24" i="3" s="1"/>
  <c r="L24" i="3" s="1"/>
  <c r="M24" i="3" s="1"/>
  <c r="N24" i="3" s="1"/>
  <c r="O24" i="3" s="1"/>
  <c r="P24" i="3" s="1"/>
  <c r="Q24" i="3" s="1"/>
  <c r="R24" i="3" s="1"/>
  <c r="S24" i="3" s="1"/>
  <c r="T24" i="3" s="1"/>
  <c r="F24" i="30"/>
  <c r="F109" i="30" s="1"/>
  <c r="F24" i="31"/>
  <c r="F109" i="31" s="1"/>
  <c r="F24" i="29"/>
  <c r="F109" i="29" s="1"/>
  <c r="F53" i="9"/>
  <c r="F81" i="9"/>
  <c r="T16" i="31"/>
  <c r="T16" i="30"/>
  <c r="T16" i="29"/>
  <c r="T16" i="9"/>
  <c r="G124" i="15"/>
  <c r="G18" i="34" s="1"/>
  <c r="H18" i="34"/>
  <c r="O78" i="30"/>
  <c r="O50" i="30"/>
  <c r="O106" i="30"/>
  <c r="G86" i="3"/>
  <c r="H28" i="3"/>
  <c r="G27" i="3"/>
  <c r="C4" i="6" s="1"/>
  <c r="C6" i="8" s="1"/>
  <c r="E44" i="6"/>
  <c r="Q23" i="38"/>
  <c r="N105" i="29"/>
  <c r="N77" i="29"/>
  <c r="N49" i="29"/>
  <c r="N106" i="30"/>
  <c r="N78" i="30"/>
  <c r="N50" i="30"/>
  <c r="F20" i="34"/>
  <c r="F11" i="13"/>
  <c r="E7" i="13"/>
  <c r="E9" i="13"/>
  <c r="Z117" i="21"/>
  <c r="Y117" i="21"/>
  <c r="X117" i="21"/>
  <c r="W117" i="21"/>
  <c r="V117" i="21"/>
  <c r="F58" i="13"/>
  <c r="G58" i="13" s="1"/>
  <c r="H58" i="13" s="1"/>
  <c r="I58" i="13" s="1"/>
  <c r="J58" i="13" s="1"/>
  <c r="K58" i="13" s="1"/>
  <c r="L58" i="13" s="1"/>
  <c r="M58" i="13" s="1"/>
  <c r="N58" i="13" s="1"/>
  <c r="O58" i="13" s="1"/>
  <c r="P58" i="13" s="1"/>
  <c r="Q58" i="13" s="1"/>
  <c r="R58" i="13" s="1"/>
  <c r="S58" i="13" s="1"/>
  <c r="I8" i="20"/>
  <c r="K50" i="8" s="1"/>
  <c r="F8" i="22"/>
  <c r="G38" i="8" s="1"/>
  <c r="K63" i="21"/>
  <c r="V104" i="3"/>
  <c r="R41" i="6" s="1"/>
  <c r="R9" i="7" s="1"/>
  <c r="Q100" i="38"/>
  <c r="Y72" i="35" s="1"/>
  <c r="Q72" i="38"/>
  <c r="W72" i="35" s="1"/>
  <c r="Q44" i="38"/>
  <c r="H8" i="20"/>
  <c r="J50" i="8" s="1"/>
  <c r="N8" i="20"/>
  <c r="P50" i="8" s="1"/>
  <c r="C18" i="7"/>
  <c r="Y73" i="13"/>
  <c r="O32" i="7"/>
  <c r="K58" i="3"/>
  <c r="K116" i="3" s="1"/>
  <c r="F9" i="6"/>
  <c r="F43" i="6"/>
  <c r="H18" i="7"/>
  <c r="Z74" i="3"/>
  <c r="V37" i="6" s="1"/>
  <c r="V5" i="7" s="1"/>
  <c r="R91" i="12"/>
  <c r="R63" i="12"/>
  <c r="R35" i="12"/>
  <c r="J92" i="26"/>
  <c r="Q163" i="8"/>
  <c r="N110" i="38"/>
  <c r="N82" i="38"/>
  <c r="N54" i="38"/>
  <c r="K36" i="26"/>
  <c r="G107" i="13"/>
  <c r="H43" i="13"/>
  <c r="Q92" i="38"/>
  <c r="Y64" i="35" s="1"/>
  <c r="Q64" i="38"/>
  <c r="W64" i="35" s="1"/>
  <c r="Q36" i="38"/>
  <c r="K78" i="38"/>
  <c r="K50" i="38"/>
  <c r="K106" i="38"/>
  <c r="K25" i="38"/>
  <c r="R92" i="38"/>
  <c r="R64" i="38"/>
  <c r="R36" i="38"/>
  <c r="U64" i="35" s="1"/>
  <c r="O80" i="38"/>
  <c r="O52" i="38"/>
  <c r="O108" i="38"/>
  <c r="N277" i="7"/>
  <c r="K17" i="29" s="1"/>
  <c r="J20" i="29"/>
  <c r="E5" i="32"/>
  <c r="Q90" i="12"/>
  <c r="Q62" i="12"/>
  <c r="Q34" i="12"/>
  <c r="F49" i="34"/>
  <c r="F33" i="35"/>
  <c r="M289" i="7"/>
  <c r="J68" i="7"/>
  <c r="Q92" i="9"/>
  <c r="Q64" i="9"/>
  <c r="Q36" i="9"/>
  <c r="K106" i="29"/>
  <c r="K78" i="29"/>
  <c r="K50" i="29"/>
  <c r="O103" i="30"/>
  <c r="O47" i="30"/>
  <c r="O75" i="30"/>
  <c r="Q91" i="29"/>
  <c r="Q63" i="29"/>
  <c r="Q35" i="29"/>
  <c r="F263" i="8"/>
  <c r="S10" i="12" s="1"/>
  <c r="L62" i="9"/>
  <c r="L34" i="9"/>
  <c r="L90" i="9"/>
  <c r="N218" i="7"/>
  <c r="M215" i="7"/>
  <c r="J6" i="29"/>
  <c r="T89" i="31"/>
  <c r="T89" i="30"/>
  <c r="T89" i="29"/>
  <c r="T89" i="9"/>
  <c r="AB27" i="34" s="1"/>
  <c r="AF6" i="34"/>
  <c r="J7" i="30"/>
  <c r="D132" i="26"/>
  <c r="T10" i="31"/>
  <c r="T10" i="30"/>
  <c r="T10" i="29"/>
  <c r="G118" i="15"/>
  <c r="G12" i="34" s="1"/>
  <c r="T10" i="9"/>
  <c r="H12" i="34"/>
  <c r="I93" i="26"/>
  <c r="F6" i="34"/>
  <c r="H48" i="34"/>
  <c r="T33" i="31"/>
  <c r="T33" i="30"/>
  <c r="T33" i="29"/>
  <c r="P6" i="34"/>
  <c r="T33" i="9"/>
  <c r="L27" i="34" s="1"/>
  <c r="K103" i="30"/>
  <c r="K75" i="30"/>
  <c r="K47" i="30"/>
  <c r="G111" i="15"/>
  <c r="G5" i="34" s="1"/>
  <c r="D88" i="24"/>
  <c r="H21" i="18"/>
  <c r="I21" i="18" s="1"/>
  <c r="J21" i="18" s="1"/>
  <c r="K21" i="18" s="1"/>
  <c r="L21" i="18" s="1"/>
  <c r="M21" i="18" s="1"/>
  <c r="N21" i="18" s="1"/>
  <c r="O21" i="18" s="1"/>
  <c r="P21" i="18" s="1"/>
  <c r="Q21" i="18" s="1"/>
  <c r="R21" i="18" s="1"/>
  <c r="S21" i="18" s="1"/>
  <c r="T21" i="18" s="1"/>
  <c r="U21" i="18" s="1"/>
  <c r="V21" i="18" s="1"/>
  <c r="W21" i="18" s="1"/>
  <c r="G31" i="13"/>
  <c r="F95" i="13"/>
  <c r="B72" i="13"/>
  <c r="F93" i="3"/>
  <c r="G35" i="3"/>
  <c r="F92" i="3"/>
  <c r="G34" i="3"/>
  <c r="D117" i="24"/>
  <c r="H78" i="18"/>
  <c r="I78" i="18" s="1"/>
  <c r="J78" i="18" s="1"/>
  <c r="K78" i="18" s="1"/>
  <c r="L78" i="18" s="1"/>
  <c r="M78" i="18" s="1"/>
  <c r="N78" i="18" s="1"/>
  <c r="O78" i="18" s="1"/>
  <c r="P78" i="18" s="1"/>
  <c r="Q78" i="18" s="1"/>
  <c r="R78" i="18" s="1"/>
  <c r="S78" i="18" s="1"/>
  <c r="T78" i="18" s="1"/>
  <c r="U78" i="18" s="1"/>
  <c r="V78" i="18" s="1"/>
  <c r="W78" i="18" s="1"/>
  <c r="W80" i="21"/>
  <c r="S37" i="22" s="1"/>
  <c r="T33" i="7" s="1"/>
  <c r="T289" i="7" s="1"/>
  <c r="K23" i="30" s="1"/>
  <c r="C71" i="24"/>
  <c r="X111" i="21"/>
  <c r="T40" i="22" s="1"/>
  <c r="U36" i="7" s="1"/>
  <c r="U292" i="7" s="1"/>
  <c r="N24" i="30" s="1"/>
  <c r="D101" i="24"/>
  <c r="Z101" i="24" s="1"/>
  <c r="H48" i="18"/>
  <c r="I48" i="18" s="1"/>
  <c r="J48" i="18" s="1"/>
  <c r="K48" i="18" s="1"/>
  <c r="L48" i="18" s="1"/>
  <c r="M48" i="18" s="1"/>
  <c r="N48" i="18" s="1"/>
  <c r="O48" i="18" s="1"/>
  <c r="P48" i="18" s="1"/>
  <c r="Q48" i="18" s="1"/>
  <c r="R48" i="18" s="1"/>
  <c r="S48" i="18" s="1"/>
  <c r="T48" i="18" s="1"/>
  <c r="U48" i="18" s="1"/>
  <c r="V48" i="18" s="1"/>
  <c r="W48" i="18" s="1"/>
  <c r="C40" i="21"/>
  <c r="E56" i="14"/>
  <c r="C45" i="21" s="1"/>
  <c r="F45" i="21" s="1"/>
  <c r="E52" i="14"/>
  <c r="C41" i="21" s="1"/>
  <c r="F41" i="21" s="1"/>
  <c r="E53" i="14"/>
  <c r="C42" i="21" s="1"/>
  <c r="F42" i="21" s="1"/>
  <c r="E57" i="14"/>
  <c r="C46" i="21" s="1"/>
  <c r="E55" i="14"/>
  <c r="C44" i="21" s="1"/>
  <c r="F44" i="21" s="1"/>
  <c r="E54" i="14"/>
  <c r="C43" i="21" s="1"/>
  <c r="F43" i="21" s="1"/>
  <c r="G42" i="3"/>
  <c r="F100" i="3"/>
  <c r="C97" i="24"/>
  <c r="C33" i="24"/>
  <c r="C48" i="18"/>
  <c r="C45" i="18"/>
  <c r="C47" i="18"/>
  <c r="C50" i="18"/>
  <c r="C46" i="18"/>
  <c r="C49" i="18"/>
  <c r="D123" i="24"/>
  <c r="H84" i="18"/>
  <c r="I84" i="18" s="1"/>
  <c r="J84" i="18" s="1"/>
  <c r="K84" i="18" s="1"/>
  <c r="L84" i="18" s="1"/>
  <c r="M84" i="18" s="1"/>
  <c r="N84" i="18" s="1"/>
  <c r="O84" i="18" s="1"/>
  <c r="P84" i="18" s="1"/>
  <c r="Q84" i="18" s="1"/>
  <c r="R84" i="18" s="1"/>
  <c r="S84" i="18" s="1"/>
  <c r="T84" i="18" s="1"/>
  <c r="U84" i="18" s="1"/>
  <c r="V84" i="18" s="1"/>
  <c r="W84" i="18" s="1"/>
  <c r="D84" i="24"/>
  <c r="H17" i="18"/>
  <c r="I17" i="18" s="1"/>
  <c r="J17" i="18" s="1"/>
  <c r="K17" i="18" s="1"/>
  <c r="L17" i="18" s="1"/>
  <c r="M17" i="18" s="1"/>
  <c r="N17" i="18" s="1"/>
  <c r="O17" i="18" s="1"/>
  <c r="P17" i="18" s="1"/>
  <c r="Q17" i="18" s="1"/>
  <c r="R17" i="18" s="1"/>
  <c r="S17" i="18" s="1"/>
  <c r="T17" i="18" s="1"/>
  <c r="U17" i="18" s="1"/>
  <c r="V17" i="18" s="1"/>
  <c r="W17" i="18" s="1"/>
  <c r="C81" i="24"/>
  <c r="C17" i="24"/>
  <c r="C16" i="18"/>
  <c r="C17" i="18"/>
  <c r="C19" i="18"/>
  <c r="C18" i="18"/>
  <c r="C15" i="18"/>
  <c r="G25" i="3"/>
  <c r="H25" i="3" s="1"/>
  <c r="I25" i="3" s="1"/>
  <c r="J25" i="3" s="1"/>
  <c r="K25" i="3" s="1"/>
  <c r="L25" i="3" s="1"/>
  <c r="M25" i="3" s="1"/>
  <c r="N25" i="3" s="1"/>
  <c r="O25" i="3" s="1"/>
  <c r="P25" i="3" s="1"/>
  <c r="Q25" i="3" s="1"/>
  <c r="R25" i="3" s="1"/>
  <c r="S25" i="3" s="1"/>
  <c r="T25" i="3" s="1"/>
  <c r="T61" i="31"/>
  <c r="T61" i="30"/>
  <c r="T61" i="29"/>
  <c r="H112" i="15"/>
  <c r="X6" i="34"/>
  <c r="T61" i="9"/>
  <c r="T27" i="34" s="1"/>
  <c r="C104" i="24"/>
  <c r="C40" i="24"/>
  <c r="C55" i="18"/>
  <c r="C57" i="18"/>
  <c r="C54" i="18"/>
  <c r="C56" i="18"/>
  <c r="C53" i="18"/>
  <c r="C52" i="18"/>
  <c r="J32" i="35" l="1"/>
  <c r="P90" i="14"/>
  <c r="P127" i="13" s="1"/>
  <c r="P91" i="14"/>
  <c r="P128" i="13" s="1"/>
  <c r="Q93" i="14"/>
  <c r="P92" i="14"/>
  <c r="P129" i="13" s="1"/>
  <c r="S10" i="38"/>
  <c r="U65" i="35"/>
  <c r="U65" i="26"/>
  <c r="K129" i="26"/>
  <c r="I127" i="26"/>
  <c r="D9" i="35"/>
  <c r="E171" i="35" s="1"/>
  <c r="P66" i="29"/>
  <c r="P94" i="29"/>
  <c r="P67" i="29"/>
  <c r="P95" i="29"/>
  <c r="P39" i="29"/>
  <c r="H24" i="7"/>
  <c r="H10" i="7"/>
  <c r="H282" i="7" s="1"/>
  <c r="P11" i="29" s="1"/>
  <c r="P68" i="29" s="1"/>
  <c r="G25" i="7"/>
  <c r="G296" i="7"/>
  <c r="R10" i="30" s="1"/>
  <c r="R95" i="30" s="1"/>
  <c r="H26" i="7"/>
  <c r="U64" i="26"/>
  <c r="I64" i="39"/>
  <c r="H64" i="7" s="1"/>
  <c r="I63" i="39"/>
  <c r="H52" i="7" s="1"/>
  <c r="H38" i="7"/>
  <c r="I62" i="39"/>
  <c r="H40" i="7" s="1"/>
  <c r="H50" i="7"/>
  <c r="H62" i="7"/>
  <c r="J58" i="39"/>
  <c r="J61" i="39" s="1"/>
  <c r="J4" i="39"/>
  <c r="J7" i="39" s="1"/>
  <c r="I37" i="39"/>
  <c r="H63" i="7" s="1"/>
  <c r="I36" i="39"/>
  <c r="H51" i="7" s="1"/>
  <c r="J31" i="39"/>
  <c r="I35" i="39"/>
  <c r="H39" i="7" s="1"/>
  <c r="I34" i="39"/>
  <c r="H227" i="7"/>
  <c r="C59" i="24"/>
  <c r="F59" i="24" s="1"/>
  <c r="G59" i="24" s="1"/>
  <c r="H59" i="24" s="1"/>
  <c r="I59" i="24" s="1"/>
  <c r="J59" i="24" s="1"/>
  <c r="K59" i="24" s="1"/>
  <c r="L59" i="24" s="1"/>
  <c r="M59" i="24" s="1"/>
  <c r="N59" i="24" s="1"/>
  <c r="O59" i="24" s="1"/>
  <c r="P59" i="24" s="1"/>
  <c r="Q59" i="24" s="1"/>
  <c r="R59" i="24" s="1"/>
  <c r="S59" i="24" s="1"/>
  <c r="T59" i="24" s="1"/>
  <c r="C124" i="24"/>
  <c r="C61" i="24"/>
  <c r="F61" i="24" s="1"/>
  <c r="R304" i="7"/>
  <c r="N21" i="31" s="1"/>
  <c r="N106" i="31" s="1"/>
  <c r="C58" i="24"/>
  <c r="F58" i="24" s="1"/>
  <c r="G58" i="24" s="1"/>
  <c r="H58" i="24" s="1"/>
  <c r="I58" i="24" s="1"/>
  <c r="J58" i="24" s="1"/>
  <c r="K58" i="24" s="1"/>
  <c r="L58" i="24" s="1"/>
  <c r="M58" i="24" s="1"/>
  <c r="N58" i="24" s="1"/>
  <c r="O58" i="24" s="1"/>
  <c r="P58" i="24" s="1"/>
  <c r="Q58" i="24" s="1"/>
  <c r="R58" i="24" s="1"/>
  <c r="S58" i="24" s="1"/>
  <c r="T58" i="24" s="1"/>
  <c r="K64" i="24"/>
  <c r="G9" i="20" s="1"/>
  <c r="I51" i="8" s="1"/>
  <c r="J128" i="24"/>
  <c r="F43" i="20" s="1"/>
  <c r="Q93" i="31"/>
  <c r="U159" i="7"/>
  <c r="V171" i="7" s="1"/>
  <c r="U162" i="7"/>
  <c r="V174" i="7" s="1"/>
  <c r="C8" i="24"/>
  <c r="K127" i="21"/>
  <c r="G42" i="22" s="1"/>
  <c r="H44" i="17"/>
  <c r="K129" i="21"/>
  <c r="G44" i="22" s="1"/>
  <c r="K128" i="21"/>
  <c r="N115" i="3"/>
  <c r="K96" i="18"/>
  <c r="J92" i="18"/>
  <c r="L95" i="18"/>
  <c r="L91" i="18" s="1"/>
  <c r="F98" i="21"/>
  <c r="E19" i="21"/>
  <c r="F83" i="21" s="1"/>
  <c r="G83" i="21" s="1"/>
  <c r="H83" i="21" s="1"/>
  <c r="I83" i="21" s="1"/>
  <c r="J83" i="21" s="1"/>
  <c r="K83" i="21" s="1"/>
  <c r="L83" i="21" s="1"/>
  <c r="F16" i="21"/>
  <c r="B3" i="22" s="1"/>
  <c r="C33" i="8" s="1"/>
  <c r="Q37" i="31"/>
  <c r="F99" i="21"/>
  <c r="D15" i="13"/>
  <c r="E79" i="13" s="1"/>
  <c r="K51" i="30"/>
  <c r="F9" i="24"/>
  <c r="B2" i="20" s="1"/>
  <c r="K79" i="30"/>
  <c r="G85" i="3"/>
  <c r="D10" i="35"/>
  <c r="E172" i="35" s="1"/>
  <c r="E53" i="3"/>
  <c r="E12" i="3"/>
  <c r="F70" i="3" s="1"/>
  <c r="K94" i="18"/>
  <c r="K90" i="18" s="1"/>
  <c r="M164" i="7"/>
  <c r="M165" i="7"/>
  <c r="N165" i="7"/>
  <c r="O177" i="7" s="1"/>
  <c r="P189" i="7" s="1"/>
  <c r="D54" i="13"/>
  <c r="E118" i="13" s="1"/>
  <c r="F118" i="13" s="1"/>
  <c r="G118" i="13" s="1"/>
  <c r="H118" i="13" s="1"/>
  <c r="I118" i="13" s="1"/>
  <c r="J118" i="13" s="1"/>
  <c r="K118" i="13" s="1"/>
  <c r="E14" i="24"/>
  <c r="F78" i="24" s="1"/>
  <c r="F32" i="21"/>
  <c r="B5" i="22" s="1"/>
  <c r="C35" i="8" s="1"/>
  <c r="H44" i="13"/>
  <c r="H108" i="13" s="1"/>
  <c r="D61" i="13"/>
  <c r="E125" i="13" s="1"/>
  <c r="F125" i="13" s="1"/>
  <c r="G125" i="13" s="1"/>
  <c r="H125" i="13" s="1"/>
  <c r="I125" i="13" s="1"/>
  <c r="J125" i="13" s="1"/>
  <c r="K125" i="13" s="1"/>
  <c r="E26" i="3"/>
  <c r="F84" i="3" s="1"/>
  <c r="G84" i="3" s="1"/>
  <c r="H84" i="3" s="1"/>
  <c r="I84" i="3" s="1"/>
  <c r="J84" i="3" s="1"/>
  <c r="K84" i="3" s="1"/>
  <c r="L84" i="3" s="1"/>
  <c r="E50" i="3"/>
  <c r="F295" i="7"/>
  <c r="Q9" i="30" s="1"/>
  <c r="Q94" i="30" s="1"/>
  <c r="D21" i="13"/>
  <c r="E85" i="13" s="1"/>
  <c r="F85" i="13" s="1"/>
  <c r="G85" i="13" s="1"/>
  <c r="H85" i="13" s="1"/>
  <c r="I85" i="13" s="1"/>
  <c r="J85" i="13" s="1"/>
  <c r="K85" i="13" s="1"/>
  <c r="D27" i="13"/>
  <c r="E91" i="13" s="1"/>
  <c r="F91" i="13" s="1"/>
  <c r="G91" i="13" s="1"/>
  <c r="H91" i="13" s="1"/>
  <c r="I91" i="13" s="1"/>
  <c r="J91" i="13" s="1"/>
  <c r="K91" i="13" s="1"/>
  <c r="E20" i="21"/>
  <c r="F84" i="21" s="1"/>
  <c r="G84" i="21" s="1"/>
  <c r="H84" i="21" s="1"/>
  <c r="I84" i="21" s="1"/>
  <c r="J84" i="21" s="1"/>
  <c r="K84" i="21" s="1"/>
  <c r="L84" i="21" s="1"/>
  <c r="K64" i="21"/>
  <c r="F43" i="22"/>
  <c r="F9" i="22"/>
  <c r="G39" i="8" s="1"/>
  <c r="R151" i="8"/>
  <c r="P66" i="31"/>
  <c r="P38" i="31"/>
  <c r="I129" i="26"/>
  <c r="K128" i="26"/>
  <c r="O79" i="31"/>
  <c r="R94" i="31"/>
  <c r="R38" i="31"/>
  <c r="O51" i="31"/>
  <c r="U93" i="26"/>
  <c r="S108" i="7"/>
  <c r="G38" i="26"/>
  <c r="F307" i="7"/>
  <c r="Q9" i="31" s="1"/>
  <c r="K109" i="30"/>
  <c r="K81" i="30"/>
  <c r="K53" i="30"/>
  <c r="R66" i="30"/>
  <c r="R38" i="30"/>
  <c r="R94" i="30"/>
  <c r="V292" i="7"/>
  <c r="N25" i="30" s="1"/>
  <c r="K108" i="30"/>
  <c r="K52" i="30"/>
  <c r="K80" i="30"/>
  <c r="G109" i="13"/>
  <c r="H45" i="13"/>
  <c r="O91" i="12"/>
  <c r="O63" i="12"/>
  <c r="O35" i="12"/>
  <c r="G101" i="13"/>
  <c r="H37" i="13"/>
  <c r="G94" i="3"/>
  <c r="H36" i="3"/>
  <c r="F50" i="21"/>
  <c r="B7" i="22" s="1"/>
  <c r="C37" i="8" s="1"/>
  <c r="G52" i="21"/>
  <c r="F294" i="7"/>
  <c r="P9" i="30" s="1"/>
  <c r="F318" i="7"/>
  <c r="F268" i="7"/>
  <c r="P9" i="9" s="1"/>
  <c r="F106" i="31"/>
  <c r="C92" i="24"/>
  <c r="C28" i="24"/>
  <c r="E25" i="3"/>
  <c r="C83" i="24"/>
  <c r="C19" i="24"/>
  <c r="F19" i="24" s="1"/>
  <c r="C102" i="24"/>
  <c r="C38" i="24"/>
  <c r="F38" i="24" s="1"/>
  <c r="F109" i="21"/>
  <c r="G45" i="21"/>
  <c r="Z117" i="24"/>
  <c r="Y117" i="24"/>
  <c r="X117" i="24"/>
  <c r="W117" i="24"/>
  <c r="V117" i="24"/>
  <c r="K16" i="30"/>
  <c r="J49" i="29"/>
  <c r="J77" i="29"/>
  <c r="J105" i="29"/>
  <c r="K127" i="26"/>
  <c r="O69" i="7"/>
  <c r="D58" i="13"/>
  <c r="E270" i="7"/>
  <c r="R8" i="9" s="1"/>
  <c r="E320" i="7"/>
  <c r="E284" i="7"/>
  <c r="R8" i="29" s="1"/>
  <c r="E51" i="3"/>
  <c r="E37" i="33"/>
  <c r="L37" i="33" s="1"/>
  <c r="N4" i="26"/>
  <c r="W4" i="26" s="1"/>
  <c r="E26" i="34"/>
  <c r="E68" i="34" s="1"/>
  <c r="U36" i="22"/>
  <c r="S11" i="38"/>
  <c r="G263" i="8"/>
  <c r="S11" i="12" s="1"/>
  <c r="G36" i="26"/>
  <c r="L65" i="13"/>
  <c r="H10" i="17"/>
  <c r="N34" i="26"/>
  <c r="M26" i="34"/>
  <c r="I128" i="26"/>
  <c r="F320" i="7"/>
  <c r="H35" i="21"/>
  <c r="G99" i="21"/>
  <c r="H94" i="24"/>
  <c r="I30" i="24"/>
  <c r="H29" i="24"/>
  <c r="D4" i="20" s="1"/>
  <c r="F46" i="8" s="1"/>
  <c r="G58" i="8" s="1"/>
  <c r="H70" i="8" s="1"/>
  <c r="I82" i="8" s="1"/>
  <c r="J94" i="8" s="1"/>
  <c r="K106" i="8" s="1"/>
  <c r="J99" i="29"/>
  <c r="J71" i="29"/>
  <c r="J43" i="29"/>
  <c r="O91" i="38"/>
  <c r="O63" i="38"/>
  <c r="O35" i="38"/>
  <c r="O82" i="29"/>
  <c r="O54" i="29"/>
  <c r="O110" i="29"/>
  <c r="U4" i="7"/>
  <c r="D8" i="35"/>
  <c r="E170" i="35" s="1"/>
  <c r="G99" i="3"/>
  <c r="H41" i="3"/>
  <c r="I48" i="21"/>
  <c r="H47" i="21"/>
  <c r="D6" i="22" s="1"/>
  <c r="E36" i="8" s="1"/>
  <c r="G55" i="21"/>
  <c r="H55" i="21" s="1"/>
  <c r="I55" i="21" s="1"/>
  <c r="J55" i="21" s="1"/>
  <c r="K55" i="21" s="1"/>
  <c r="L55" i="21" s="1"/>
  <c r="M55" i="21" s="1"/>
  <c r="N55" i="21" s="1"/>
  <c r="O55" i="21" s="1"/>
  <c r="P55" i="21" s="1"/>
  <c r="Q55" i="21" s="1"/>
  <c r="R55" i="21" s="1"/>
  <c r="S55" i="21" s="1"/>
  <c r="T55" i="21" s="1"/>
  <c r="G15" i="24"/>
  <c r="H15" i="24" s="1"/>
  <c r="I15" i="24" s="1"/>
  <c r="J15" i="24" s="1"/>
  <c r="K15" i="24" s="1"/>
  <c r="L15" i="24" s="1"/>
  <c r="M15" i="24" s="1"/>
  <c r="N15" i="24" s="1"/>
  <c r="O15" i="24" s="1"/>
  <c r="P15" i="24" s="1"/>
  <c r="Q15" i="24" s="1"/>
  <c r="R15" i="24" s="1"/>
  <c r="S15" i="24" s="1"/>
  <c r="T15" i="24" s="1"/>
  <c r="M218" i="7"/>
  <c r="L215" i="7"/>
  <c r="N90" i="26"/>
  <c r="W90" i="26" s="1"/>
  <c r="AC26" i="34"/>
  <c r="E49" i="21"/>
  <c r="Z79" i="24"/>
  <c r="Y79" i="24"/>
  <c r="X79" i="24"/>
  <c r="W79" i="24"/>
  <c r="J106" i="29"/>
  <c r="J78" i="29"/>
  <c r="J50" i="29"/>
  <c r="V36" i="6"/>
  <c r="Q94" i="12"/>
  <c r="Q66" i="12"/>
  <c r="Q38" i="12"/>
  <c r="F20" i="31"/>
  <c r="F20" i="30"/>
  <c r="F20" i="29"/>
  <c r="F49" i="9"/>
  <c r="F77" i="9"/>
  <c r="D14" i="13"/>
  <c r="E78" i="13" s="1"/>
  <c r="G307" i="7"/>
  <c r="Q10" i="31" s="1"/>
  <c r="S94" i="38"/>
  <c r="S66" i="38"/>
  <c r="S38" i="38"/>
  <c r="G9" i="6"/>
  <c r="L58" i="3"/>
  <c r="L116" i="3" s="1"/>
  <c r="G43" i="6"/>
  <c r="H16" i="21"/>
  <c r="D3" i="22" s="1"/>
  <c r="E33" i="8" s="1"/>
  <c r="I18" i="21"/>
  <c r="N6" i="38"/>
  <c r="B258" i="8"/>
  <c r="N6" i="12" s="1"/>
  <c r="R239" i="7"/>
  <c r="S243" i="7"/>
  <c r="S252" i="7" s="1"/>
  <c r="F104" i="30"/>
  <c r="T18" i="7"/>
  <c r="I95" i="21"/>
  <c r="J31" i="21"/>
  <c r="O80" i="7"/>
  <c r="C105" i="24"/>
  <c r="C41" i="24"/>
  <c r="F41" i="24" s="1"/>
  <c r="C99" i="24"/>
  <c r="C35" i="24"/>
  <c r="F35" i="24" s="1"/>
  <c r="G100" i="3"/>
  <c r="H42" i="3"/>
  <c r="O230" i="7"/>
  <c r="N227" i="7"/>
  <c r="R281" i="7"/>
  <c r="O21" i="29" s="1"/>
  <c r="M7" i="38"/>
  <c r="E54" i="3"/>
  <c r="D43" i="33"/>
  <c r="K43" i="33" s="1"/>
  <c r="D32" i="34"/>
  <c r="D74" i="34" s="1"/>
  <c r="J127" i="26"/>
  <c r="U36" i="26"/>
  <c r="S18" i="7"/>
  <c r="E21" i="3"/>
  <c r="Z124" i="24"/>
  <c r="Y124" i="24"/>
  <c r="X124" i="24"/>
  <c r="W124" i="24"/>
  <c r="V124" i="24"/>
  <c r="D41" i="33"/>
  <c r="K41" i="33" s="1"/>
  <c r="D30" i="34"/>
  <c r="D72" i="34" s="1"/>
  <c r="D38" i="34"/>
  <c r="D80" i="34" s="1"/>
  <c r="H95" i="24"/>
  <c r="I31" i="24"/>
  <c r="F270" i="7"/>
  <c r="R9" i="9" s="1"/>
  <c r="G93" i="24"/>
  <c r="H37" i="21"/>
  <c r="G101" i="21"/>
  <c r="S277" i="7"/>
  <c r="K22" i="29" s="1"/>
  <c r="E12" i="21"/>
  <c r="F76" i="21" s="1"/>
  <c r="E19" i="3"/>
  <c r="E56" i="3"/>
  <c r="L80" i="7"/>
  <c r="J44" i="3"/>
  <c r="I43" i="3"/>
  <c r="E6" i="6" s="1"/>
  <c r="E8" i="8" s="1"/>
  <c r="T199" i="8"/>
  <c r="U202" i="8"/>
  <c r="N110" i="29"/>
  <c r="N82" i="29"/>
  <c r="N54" i="29"/>
  <c r="D25" i="13"/>
  <c r="L243" i="7"/>
  <c r="L252" i="7" s="1"/>
  <c r="K239" i="7"/>
  <c r="J65" i="29"/>
  <c r="J37" i="29"/>
  <c r="J93" i="29"/>
  <c r="J102" i="29"/>
  <c r="J74" i="29"/>
  <c r="J46" i="29"/>
  <c r="T80" i="7"/>
  <c r="D20" i="13"/>
  <c r="Z90" i="24"/>
  <c r="Y90" i="24"/>
  <c r="X90" i="24"/>
  <c r="W90" i="24"/>
  <c r="H93" i="21"/>
  <c r="I239" i="7"/>
  <c r="J243" i="7"/>
  <c r="J252" i="7" s="1"/>
  <c r="O105" i="31"/>
  <c r="O49" i="31"/>
  <c r="O77" i="31"/>
  <c r="T36" i="6"/>
  <c r="S9" i="38"/>
  <c r="E263" i="8"/>
  <c r="S9" i="12" s="1"/>
  <c r="T292" i="7"/>
  <c r="N23" i="30" s="1"/>
  <c r="G98" i="3"/>
  <c r="H40" i="3"/>
  <c r="Y78" i="24"/>
  <c r="X78" i="24"/>
  <c r="W78" i="24"/>
  <c r="Z78" i="24"/>
  <c r="D39" i="33"/>
  <c r="K39" i="33" s="1"/>
  <c r="D28" i="34"/>
  <c r="D70" i="34" s="1"/>
  <c r="J106" i="30"/>
  <c r="J78" i="30"/>
  <c r="J50" i="30"/>
  <c r="X123" i="24"/>
  <c r="W123" i="24"/>
  <c r="V123" i="24"/>
  <c r="Z123" i="24"/>
  <c r="Y123" i="24"/>
  <c r="B2" i="17"/>
  <c r="E8" i="13"/>
  <c r="H18" i="3"/>
  <c r="G16" i="3"/>
  <c r="C3" i="6" s="1"/>
  <c r="C5" i="8" s="1"/>
  <c r="M59" i="3"/>
  <c r="M117" i="3" s="1"/>
  <c r="H10" i="6"/>
  <c r="H12" i="8" s="1"/>
  <c r="H12" i="7" s="1"/>
  <c r="U277" i="7"/>
  <c r="K24" i="29" s="1"/>
  <c r="O163" i="8"/>
  <c r="P166" i="8"/>
  <c r="S36" i="22"/>
  <c r="C106" i="24"/>
  <c r="C42" i="24"/>
  <c r="F42" i="24" s="1"/>
  <c r="C103" i="24"/>
  <c r="C39" i="24"/>
  <c r="H34" i="3"/>
  <c r="G92" i="3"/>
  <c r="H31" i="13"/>
  <c r="G95" i="13"/>
  <c r="V277" i="7"/>
  <c r="K25" i="29" s="1"/>
  <c r="G11" i="13"/>
  <c r="F9" i="13"/>
  <c r="C2" i="17" s="1"/>
  <c r="F7" i="13"/>
  <c r="H86" i="3"/>
  <c r="H27" i="3"/>
  <c r="D4" i="6" s="1"/>
  <c r="D6" i="8" s="1"/>
  <c r="I28" i="3"/>
  <c r="F94" i="13"/>
  <c r="F93" i="13" s="1"/>
  <c r="F29" i="13"/>
  <c r="C4" i="17" s="1"/>
  <c r="C20" i="8" s="1"/>
  <c r="C257" i="8" s="1"/>
  <c r="M7" i="12" s="1"/>
  <c r="G30" i="13"/>
  <c r="E318" i="7"/>
  <c r="E268" i="7"/>
  <c r="P8" i="9" s="1"/>
  <c r="E282" i="7"/>
  <c r="P8" i="29" s="1"/>
  <c r="K288" i="7"/>
  <c r="D29" i="34"/>
  <c r="D71" i="34" s="1"/>
  <c r="D40" i="33"/>
  <c r="K40" i="33" s="1"/>
  <c r="F13" i="31"/>
  <c r="F13" i="30"/>
  <c r="F13" i="29"/>
  <c r="L14" i="26"/>
  <c r="F98" i="9"/>
  <c r="F42" i="9"/>
  <c r="F70" i="9"/>
  <c r="Z96" i="24"/>
  <c r="V39" i="20" s="1"/>
  <c r="W119" i="24"/>
  <c r="V119" i="24"/>
  <c r="Y119" i="24"/>
  <c r="X119" i="24"/>
  <c r="Z119" i="24"/>
  <c r="V80" i="7"/>
  <c r="N62" i="26"/>
  <c r="W62" i="26" s="1"/>
  <c r="U26" i="34"/>
  <c r="E35" i="32"/>
  <c r="N50" i="34"/>
  <c r="D276" i="7"/>
  <c r="X85" i="24"/>
  <c r="Y85" i="24"/>
  <c r="Z85" i="24"/>
  <c r="W85" i="24"/>
  <c r="H11" i="24"/>
  <c r="G15" i="21"/>
  <c r="H15" i="21" s="1"/>
  <c r="I15" i="21" s="1"/>
  <c r="J15" i="21" s="1"/>
  <c r="K15" i="21" s="1"/>
  <c r="L15" i="21" s="1"/>
  <c r="M15" i="21" s="1"/>
  <c r="N15" i="21" s="1"/>
  <c r="O15" i="21" s="1"/>
  <c r="P15" i="21" s="1"/>
  <c r="Q15" i="21" s="1"/>
  <c r="R15" i="21" s="1"/>
  <c r="S15" i="21" s="1"/>
  <c r="T15" i="21" s="1"/>
  <c r="J158" i="26"/>
  <c r="J9" i="33"/>
  <c r="W9" i="33" s="1"/>
  <c r="U7" i="26"/>
  <c r="O8" i="38"/>
  <c r="D259" i="8"/>
  <c r="O8" i="12" s="1"/>
  <c r="N108" i="29"/>
  <c r="N52" i="29"/>
  <c r="N80" i="29"/>
  <c r="J101" i="29"/>
  <c r="J73" i="29"/>
  <c r="J45" i="29"/>
  <c r="O53" i="29"/>
  <c r="O81" i="29"/>
  <c r="O109" i="29"/>
  <c r="D31" i="34"/>
  <c r="D73" i="34" s="1"/>
  <c r="D42" i="33"/>
  <c r="K42" i="33" s="1"/>
  <c r="E23" i="3"/>
  <c r="J66" i="30"/>
  <c r="J94" i="30"/>
  <c r="J38" i="30"/>
  <c r="F91" i="21"/>
  <c r="G91" i="21" s="1"/>
  <c r="H91" i="21" s="1"/>
  <c r="I91" i="21" s="1"/>
  <c r="J91" i="21" s="1"/>
  <c r="K91" i="21" s="1"/>
  <c r="L91" i="21" s="1"/>
  <c r="Z114" i="21"/>
  <c r="V41" i="22" s="1"/>
  <c r="N80" i="7"/>
  <c r="G103" i="3"/>
  <c r="H103" i="3" s="1"/>
  <c r="I103" i="3" s="1"/>
  <c r="J103" i="3" s="1"/>
  <c r="K103" i="3" s="1"/>
  <c r="L103" i="3" s="1"/>
  <c r="M103" i="3" s="1"/>
  <c r="G9" i="17"/>
  <c r="K64" i="13"/>
  <c r="V289" i="7"/>
  <c r="K25" i="30" s="1"/>
  <c r="H34" i="21"/>
  <c r="G98" i="21"/>
  <c r="D12" i="13"/>
  <c r="E76" i="13" s="1"/>
  <c r="G97" i="3"/>
  <c r="H39" i="3"/>
  <c r="O52" i="29"/>
  <c r="O80" i="29"/>
  <c r="O108" i="29"/>
  <c r="K80" i="29"/>
  <c r="K108" i="29"/>
  <c r="K52" i="29"/>
  <c r="K80" i="7"/>
  <c r="C109" i="24"/>
  <c r="C45" i="24"/>
  <c r="F45" i="24" s="1"/>
  <c r="T4" i="31"/>
  <c r="T4" i="30"/>
  <c r="T4" i="29"/>
  <c r="G112" i="15"/>
  <c r="G6" i="34" s="1"/>
  <c r="T4" i="9"/>
  <c r="H6" i="34"/>
  <c r="C100" i="24"/>
  <c r="C36" i="24"/>
  <c r="F36" i="24" s="1"/>
  <c r="F107" i="21"/>
  <c r="G43" i="21"/>
  <c r="E34" i="32"/>
  <c r="N49" i="34"/>
  <c r="K102" i="29"/>
  <c r="K74" i="29"/>
  <c r="K46" i="29"/>
  <c r="H288" i="7"/>
  <c r="O288" i="7"/>
  <c r="G8" i="22"/>
  <c r="H38" i="8" s="1"/>
  <c r="L63" i="21"/>
  <c r="C38" i="6"/>
  <c r="C6" i="7" s="1"/>
  <c r="D39" i="34"/>
  <c r="D81" i="34" s="1"/>
  <c r="O106" i="31"/>
  <c r="O78" i="31"/>
  <c r="O50" i="31"/>
  <c r="Q190" i="8"/>
  <c r="P187" i="8"/>
  <c r="Q239" i="7"/>
  <c r="R243" i="7"/>
  <c r="R252" i="7" s="1"/>
  <c r="J239" i="7"/>
  <c r="K243" i="7"/>
  <c r="K252" i="7" s="1"/>
  <c r="E36" i="32"/>
  <c r="N51" i="34"/>
  <c r="P163" i="8"/>
  <c r="Q166" i="8"/>
  <c r="E319" i="7"/>
  <c r="E283" i="7"/>
  <c r="Q8" i="29" s="1"/>
  <c r="E269" i="7"/>
  <c r="Q8" i="9" s="1"/>
  <c r="K108" i="31"/>
  <c r="K52" i="31"/>
  <c r="K80" i="31"/>
  <c r="Q47" i="38"/>
  <c r="Q103" i="38"/>
  <c r="Y75" i="35" s="1"/>
  <c r="Q75" i="38"/>
  <c r="W75" i="35" s="1"/>
  <c r="G46" i="3"/>
  <c r="C7" i="6" s="1"/>
  <c r="C9" i="8" s="1"/>
  <c r="H48" i="3"/>
  <c r="G60" i="21"/>
  <c r="H60" i="21" s="1"/>
  <c r="I60" i="21" s="1"/>
  <c r="J60" i="21" s="1"/>
  <c r="K60" i="21" s="1"/>
  <c r="L60" i="21" s="1"/>
  <c r="M60" i="21" s="1"/>
  <c r="N60" i="21" s="1"/>
  <c r="O60" i="21" s="1"/>
  <c r="P60" i="21" s="1"/>
  <c r="Q60" i="21" s="1"/>
  <c r="R60" i="21" s="1"/>
  <c r="S60" i="21" s="1"/>
  <c r="T60" i="21" s="1"/>
  <c r="F3" i="31"/>
  <c r="F3" i="30"/>
  <c r="F3" i="29"/>
  <c r="F141" i="35"/>
  <c r="G141" i="35" s="1"/>
  <c r="V3" i="9"/>
  <c r="F60" i="9"/>
  <c r="F32" i="9"/>
  <c r="L4" i="26"/>
  <c r="F88" i="9"/>
  <c r="D26" i="13"/>
  <c r="T36" i="22"/>
  <c r="J103" i="29"/>
  <c r="J47" i="29"/>
  <c r="J75" i="29"/>
  <c r="H49" i="24"/>
  <c r="I49" i="24" s="1"/>
  <c r="J49" i="24" s="1"/>
  <c r="K49" i="24" s="1"/>
  <c r="L49" i="24" s="1"/>
  <c r="M49" i="24" s="1"/>
  <c r="N49" i="24" s="1"/>
  <c r="O49" i="24" s="1"/>
  <c r="P49" i="24" s="1"/>
  <c r="Q49" i="24" s="1"/>
  <c r="R49" i="24" s="1"/>
  <c r="S49" i="24" s="1"/>
  <c r="T49" i="24" s="1"/>
  <c r="U49" i="24" s="1"/>
  <c r="F50" i="13"/>
  <c r="C7" i="17" s="1"/>
  <c r="C23" i="8" s="1"/>
  <c r="G52" i="13"/>
  <c r="G18" i="13"/>
  <c r="F16" i="13"/>
  <c r="C3" i="17" s="1"/>
  <c r="C19" i="8" s="1"/>
  <c r="G96" i="3"/>
  <c r="H38" i="3"/>
  <c r="V178" i="8"/>
  <c r="V187" i="8" s="1"/>
  <c r="U175" i="8"/>
  <c r="Q93" i="30"/>
  <c r="Q37" i="30"/>
  <c r="Q65" i="30"/>
  <c r="N243" i="7"/>
  <c r="N252" i="7" s="1"/>
  <c r="M239" i="7"/>
  <c r="G14" i="21"/>
  <c r="H14" i="21" s="1"/>
  <c r="I14" i="21" s="1"/>
  <c r="J14" i="21" s="1"/>
  <c r="K14" i="21" s="1"/>
  <c r="L14" i="21" s="1"/>
  <c r="M14" i="21" s="1"/>
  <c r="N14" i="21" s="1"/>
  <c r="O14" i="21" s="1"/>
  <c r="P14" i="21" s="1"/>
  <c r="Q14" i="21" s="1"/>
  <c r="R14" i="21" s="1"/>
  <c r="S14" i="21" s="1"/>
  <c r="T14" i="21" s="1"/>
  <c r="F7" i="21"/>
  <c r="F9" i="21"/>
  <c r="V36" i="22"/>
  <c r="U37" i="26"/>
  <c r="J128" i="26"/>
  <c r="F96" i="13"/>
  <c r="G54" i="24"/>
  <c r="H54" i="24" s="1"/>
  <c r="I54" i="24" s="1"/>
  <c r="J54" i="24" s="1"/>
  <c r="K54" i="24" s="1"/>
  <c r="L54" i="24" s="1"/>
  <c r="M54" i="24" s="1"/>
  <c r="N54" i="24" s="1"/>
  <c r="O54" i="24" s="1"/>
  <c r="P54" i="24" s="1"/>
  <c r="Q54" i="24" s="1"/>
  <c r="R54" i="24" s="1"/>
  <c r="S54" i="24" s="1"/>
  <c r="T54" i="24" s="1"/>
  <c r="P80" i="7"/>
  <c r="I11" i="21"/>
  <c r="X75" i="24"/>
  <c r="W75" i="24"/>
  <c r="Z75" i="24"/>
  <c r="Y75" i="24"/>
  <c r="H33" i="3"/>
  <c r="G91" i="3"/>
  <c r="V114" i="21"/>
  <c r="R41" i="22" s="1"/>
  <c r="S37" i="7" s="1"/>
  <c r="G60" i="24"/>
  <c r="H60" i="24" s="1"/>
  <c r="I60" i="24" s="1"/>
  <c r="J60" i="24" s="1"/>
  <c r="K60" i="24" s="1"/>
  <c r="L60" i="24" s="1"/>
  <c r="M60" i="24" s="1"/>
  <c r="N60" i="24" s="1"/>
  <c r="O60" i="24" s="1"/>
  <c r="P60" i="24" s="1"/>
  <c r="Q60" i="24" s="1"/>
  <c r="R60" i="24" s="1"/>
  <c r="S60" i="24" s="1"/>
  <c r="T60" i="24" s="1"/>
  <c r="J102" i="30"/>
  <c r="J46" i="30"/>
  <c r="J74" i="30"/>
  <c r="H87" i="3"/>
  <c r="I29" i="3"/>
  <c r="J288" i="7"/>
  <c r="H10" i="20"/>
  <c r="J52" i="8" s="1"/>
  <c r="M65" i="24"/>
  <c r="C90" i="24"/>
  <c r="C26" i="24"/>
  <c r="F26" i="24" s="1"/>
  <c r="N52" i="34"/>
  <c r="G41" i="21"/>
  <c r="F105" i="21"/>
  <c r="J92" i="30"/>
  <c r="J36" i="30"/>
  <c r="J64" i="30"/>
  <c r="F89" i="21"/>
  <c r="G89" i="21" s="1"/>
  <c r="H89" i="21" s="1"/>
  <c r="I89" i="21" s="1"/>
  <c r="J89" i="21" s="1"/>
  <c r="K89" i="21" s="1"/>
  <c r="L89" i="21" s="1"/>
  <c r="J100" i="30"/>
  <c r="J44" i="30"/>
  <c r="J72" i="30"/>
  <c r="F111" i="3"/>
  <c r="G111" i="3" s="1"/>
  <c r="H111" i="3" s="1"/>
  <c r="I111" i="3" s="1"/>
  <c r="J111" i="3" s="1"/>
  <c r="K111" i="3" s="1"/>
  <c r="L111" i="3" s="1"/>
  <c r="C107" i="24"/>
  <c r="C43" i="24"/>
  <c r="F43" i="24" s="1"/>
  <c r="C82" i="24"/>
  <c r="C18" i="24"/>
  <c r="F18" i="24" s="1"/>
  <c r="Z84" i="24"/>
  <c r="Y84" i="24"/>
  <c r="X84" i="24"/>
  <c r="W84" i="24"/>
  <c r="C98" i="24"/>
  <c r="C34" i="24"/>
  <c r="F34" i="24" s="1"/>
  <c r="F108" i="21"/>
  <c r="G44" i="21"/>
  <c r="X88" i="24"/>
  <c r="Y88" i="24"/>
  <c r="W88" i="24"/>
  <c r="Z88" i="24"/>
  <c r="E63" i="32"/>
  <c r="V49" i="34"/>
  <c r="Z82" i="24"/>
  <c r="W82" i="24"/>
  <c r="Y82" i="24"/>
  <c r="X82" i="24"/>
  <c r="S80" i="7"/>
  <c r="G158" i="26"/>
  <c r="G9" i="33"/>
  <c r="T9" i="33" s="1"/>
  <c r="E65" i="32"/>
  <c r="V51" i="34"/>
  <c r="P288" i="7"/>
  <c r="H42" i="13"/>
  <c r="G106" i="13"/>
  <c r="P6" i="38"/>
  <c r="B260" i="8"/>
  <c r="P6" i="12" s="1"/>
  <c r="G58" i="21"/>
  <c r="H58" i="21" s="1"/>
  <c r="I58" i="21" s="1"/>
  <c r="J58" i="21" s="1"/>
  <c r="K58" i="21" s="1"/>
  <c r="L58" i="21" s="1"/>
  <c r="M58" i="21" s="1"/>
  <c r="N58" i="21" s="1"/>
  <c r="O58" i="21" s="1"/>
  <c r="P58" i="21" s="1"/>
  <c r="Q58" i="21" s="1"/>
  <c r="R58" i="21" s="1"/>
  <c r="S58" i="21" s="1"/>
  <c r="T58" i="21" s="1"/>
  <c r="D40" i="34"/>
  <c r="D82" i="34" s="1"/>
  <c r="D55" i="13"/>
  <c r="K44" i="30"/>
  <c r="K72" i="30"/>
  <c r="K100" i="30"/>
  <c r="E64" i="32"/>
  <c r="V50" i="34"/>
  <c r="P65" i="30"/>
  <c r="P93" i="30"/>
  <c r="P37" i="30"/>
  <c r="I9" i="26"/>
  <c r="D53" i="13"/>
  <c r="C8" i="21"/>
  <c r="D60" i="13"/>
  <c r="S280" i="7"/>
  <c r="N22" i="29" s="1"/>
  <c r="H34" i="13"/>
  <c r="G32" i="13"/>
  <c r="D5" i="17" s="1"/>
  <c r="D21" i="8" s="1"/>
  <c r="G98" i="13"/>
  <c r="J95" i="29"/>
  <c r="J67" i="29"/>
  <c r="J39" i="29"/>
  <c r="B2" i="6"/>
  <c r="F8" i="3"/>
  <c r="E14" i="3"/>
  <c r="F72" i="3" s="1"/>
  <c r="W114" i="21"/>
  <c r="S41" i="22" s="1"/>
  <c r="T37" i="7" s="1"/>
  <c r="T293" i="7" s="1"/>
  <c r="O23" i="30" s="1"/>
  <c r="P93" i="31"/>
  <c r="P65" i="31"/>
  <c r="K67" i="26" s="1"/>
  <c r="P37" i="31"/>
  <c r="K9" i="26"/>
  <c r="I48" i="13"/>
  <c r="H47" i="13"/>
  <c r="E6" i="17" s="1"/>
  <c r="E22" i="8" s="1"/>
  <c r="C89" i="24"/>
  <c r="C25" i="24"/>
  <c r="F25" i="24" s="1"/>
  <c r="H41" i="13"/>
  <c r="G105" i="13"/>
  <c r="O79" i="29"/>
  <c r="O107" i="29"/>
  <c r="O51" i="29"/>
  <c r="J66" i="29"/>
  <c r="J94" i="29"/>
  <c r="J38" i="29"/>
  <c r="J30" i="21"/>
  <c r="I29" i="21"/>
  <c r="E4" i="22" s="1"/>
  <c r="F34" i="8" s="1"/>
  <c r="I94" i="21"/>
  <c r="C110" i="24"/>
  <c r="C46" i="24"/>
  <c r="C85" i="24"/>
  <c r="C21" i="24"/>
  <c r="F21" i="24" s="1"/>
  <c r="C101" i="24"/>
  <c r="C37" i="24"/>
  <c r="F37" i="24" s="1"/>
  <c r="G93" i="3"/>
  <c r="H35" i="3"/>
  <c r="E91" i="32"/>
  <c r="AD49" i="34"/>
  <c r="U92" i="26"/>
  <c r="L6" i="38"/>
  <c r="B256" i="8"/>
  <c r="L6" i="12" s="1"/>
  <c r="H47" i="34"/>
  <c r="F5" i="34"/>
  <c r="O218" i="7"/>
  <c r="N215" i="7"/>
  <c r="G37" i="26"/>
  <c r="P199" i="8"/>
  <c r="Q202" i="8"/>
  <c r="N65" i="21"/>
  <c r="I10" i="22"/>
  <c r="J40" i="8" s="1"/>
  <c r="D35" i="34"/>
  <c r="D77" i="34" s="1"/>
  <c r="D46" i="33"/>
  <c r="K46" i="33" s="1"/>
  <c r="G59" i="21"/>
  <c r="H59" i="21" s="1"/>
  <c r="I59" i="21" s="1"/>
  <c r="J59" i="21" s="1"/>
  <c r="K59" i="21" s="1"/>
  <c r="L59" i="21" s="1"/>
  <c r="M59" i="21" s="1"/>
  <c r="N59" i="21" s="1"/>
  <c r="O59" i="21" s="1"/>
  <c r="P59" i="21" s="1"/>
  <c r="Q59" i="21" s="1"/>
  <c r="R59" i="21" s="1"/>
  <c r="S59" i="21" s="1"/>
  <c r="T59" i="21" s="1"/>
  <c r="D41" i="34"/>
  <c r="D83" i="34" s="1"/>
  <c r="G90" i="3"/>
  <c r="H32" i="3"/>
  <c r="G30" i="3"/>
  <c r="C5" i="6" s="1"/>
  <c r="C7" i="8" s="1"/>
  <c r="E92" i="32"/>
  <c r="AD50" i="34"/>
  <c r="N109" i="29"/>
  <c r="N81" i="29"/>
  <c r="N53" i="29"/>
  <c r="G47" i="24"/>
  <c r="C6" i="20" s="1"/>
  <c r="E48" i="8" s="1"/>
  <c r="F60" i="8" s="1"/>
  <c r="G72" i="8" s="1"/>
  <c r="H84" i="8" s="1"/>
  <c r="I96" i="8" s="1"/>
  <c r="J108" i="8" s="1"/>
  <c r="H48" i="24"/>
  <c r="Z112" i="24"/>
  <c r="Y112" i="24"/>
  <c r="X112" i="24"/>
  <c r="W112" i="24"/>
  <c r="G12" i="24"/>
  <c r="H12" i="24" s="1"/>
  <c r="I12" i="24" s="1"/>
  <c r="J12" i="24" s="1"/>
  <c r="K12" i="24" s="1"/>
  <c r="L12" i="24" s="1"/>
  <c r="M12" i="24" s="1"/>
  <c r="N12" i="24" s="1"/>
  <c r="O12" i="24" s="1"/>
  <c r="P12" i="24" s="1"/>
  <c r="Q12" i="24" s="1"/>
  <c r="R12" i="24" s="1"/>
  <c r="S12" i="24" s="1"/>
  <c r="T12" i="24" s="1"/>
  <c r="F104" i="29"/>
  <c r="Z125" i="24"/>
  <c r="Y125" i="24"/>
  <c r="X125" i="24"/>
  <c r="V125" i="24"/>
  <c r="W125" i="24"/>
  <c r="H80" i="7"/>
  <c r="D7" i="35"/>
  <c r="E169" i="35" s="1"/>
  <c r="G288" i="7"/>
  <c r="G102" i="21"/>
  <c r="H38" i="21"/>
  <c r="G53" i="21"/>
  <c r="H53" i="21" s="1"/>
  <c r="I53" i="21" s="1"/>
  <c r="J53" i="21" s="1"/>
  <c r="K53" i="21" s="1"/>
  <c r="L53" i="21" s="1"/>
  <c r="M53" i="21" s="1"/>
  <c r="N53" i="21" s="1"/>
  <c r="O53" i="21" s="1"/>
  <c r="P53" i="21" s="1"/>
  <c r="Q53" i="21" s="1"/>
  <c r="R53" i="21" s="1"/>
  <c r="S53" i="21" s="1"/>
  <c r="T53" i="21" s="1"/>
  <c r="H11" i="3"/>
  <c r="G9" i="3"/>
  <c r="C2" i="6" s="1"/>
  <c r="G7" i="3"/>
  <c r="E15" i="3"/>
  <c r="F73" i="3" s="1"/>
  <c r="D45" i="33"/>
  <c r="K45" i="33" s="1"/>
  <c r="D34" i="34"/>
  <c r="D76" i="34" s="1"/>
  <c r="V122" i="24"/>
  <c r="Z122" i="24"/>
  <c r="X122" i="24"/>
  <c r="Y122" i="24"/>
  <c r="W122" i="24"/>
  <c r="X114" i="21"/>
  <c r="T41" i="22" s="1"/>
  <c r="U37" i="7" s="1"/>
  <c r="U293" i="7" s="1"/>
  <c r="O24" i="30" s="1"/>
  <c r="J98" i="29"/>
  <c r="J70" i="29"/>
  <c r="J42" i="29"/>
  <c r="I80" i="7"/>
  <c r="J97" i="29"/>
  <c r="J69" i="29"/>
  <c r="J41" i="29"/>
  <c r="F106" i="29"/>
  <c r="C88" i="24"/>
  <c r="C24" i="24"/>
  <c r="F24" i="24" s="1"/>
  <c r="M90" i="30"/>
  <c r="M62" i="30"/>
  <c r="M34" i="30"/>
  <c r="C20" i="24"/>
  <c r="F20" i="24" s="1"/>
  <c r="C84" i="24"/>
  <c r="G157" i="26"/>
  <c r="G8" i="33"/>
  <c r="T8" i="33" s="1"/>
  <c r="R94" i="29"/>
  <c r="R66" i="29"/>
  <c r="R38" i="29"/>
  <c r="N53" i="30"/>
  <c r="N81" i="30"/>
  <c r="N109" i="30"/>
  <c r="Z118" i="24"/>
  <c r="Y118" i="24"/>
  <c r="W118" i="24"/>
  <c r="X118" i="24"/>
  <c r="V118" i="24"/>
  <c r="J96" i="29"/>
  <c r="J68" i="29"/>
  <c r="J40" i="29"/>
  <c r="C108" i="24"/>
  <c r="C44" i="24"/>
  <c r="F44" i="24" s="1"/>
  <c r="C86" i="24"/>
  <c r="C22" i="24"/>
  <c r="F106" i="21"/>
  <c r="G42" i="21"/>
  <c r="G61" i="24"/>
  <c r="H61" i="24" s="1"/>
  <c r="I61" i="24" s="1"/>
  <c r="J61" i="24" s="1"/>
  <c r="K61" i="24" s="1"/>
  <c r="L61" i="24" s="1"/>
  <c r="M61" i="24" s="1"/>
  <c r="N61" i="24" s="1"/>
  <c r="O61" i="24" s="1"/>
  <c r="P61" i="24" s="1"/>
  <c r="Q61" i="24" s="1"/>
  <c r="R61" i="24" s="1"/>
  <c r="S61" i="24" s="1"/>
  <c r="T61" i="24" s="1"/>
  <c r="D33" i="34"/>
  <c r="D75" i="34" s="1"/>
  <c r="D44" i="33"/>
  <c r="K44" i="33" s="1"/>
  <c r="J63" i="29"/>
  <c r="J91" i="29"/>
  <c r="J35" i="29"/>
  <c r="S94" i="12"/>
  <c r="S66" i="12"/>
  <c r="S38" i="12"/>
  <c r="K109" i="38"/>
  <c r="K81" i="38"/>
  <c r="K53" i="38"/>
  <c r="H107" i="13"/>
  <c r="I43" i="13"/>
  <c r="F11" i="8"/>
  <c r="F11" i="7" s="1"/>
  <c r="F319" i="7" s="1"/>
  <c r="I93" i="35"/>
  <c r="V36" i="17"/>
  <c r="Q107" i="38"/>
  <c r="Y79" i="35" s="1"/>
  <c r="Q79" i="38"/>
  <c r="W79" i="35" s="1"/>
  <c r="Q51" i="38"/>
  <c r="E24" i="3"/>
  <c r="G16" i="21"/>
  <c r="C3" i="22" s="1"/>
  <c r="D33" i="8" s="1"/>
  <c r="D37" i="34"/>
  <c r="D79" i="34" s="1"/>
  <c r="G284" i="7"/>
  <c r="R10" i="29" s="1"/>
  <c r="J104" i="29"/>
  <c r="J76" i="29"/>
  <c r="J48" i="29"/>
  <c r="E93" i="32"/>
  <c r="AD51" i="34"/>
  <c r="U36" i="17"/>
  <c r="E49" i="3"/>
  <c r="G61" i="21"/>
  <c r="H61" i="21" s="1"/>
  <c r="I61" i="21" s="1"/>
  <c r="J61" i="21" s="1"/>
  <c r="K61" i="21" s="1"/>
  <c r="L61" i="21" s="1"/>
  <c r="M61" i="21" s="1"/>
  <c r="N61" i="21" s="1"/>
  <c r="O61" i="21" s="1"/>
  <c r="P61" i="21" s="1"/>
  <c r="Q61" i="21" s="1"/>
  <c r="R61" i="21" s="1"/>
  <c r="S61" i="21" s="1"/>
  <c r="T61" i="21" s="1"/>
  <c r="D19" i="13"/>
  <c r="H52" i="24"/>
  <c r="D24" i="13"/>
  <c r="D59" i="13"/>
  <c r="G53" i="24"/>
  <c r="H53" i="24" s="1"/>
  <c r="I53" i="24" s="1"/>
  <c r="J53" i="24" s="1"/>
  <c r="K53" i="24" s="1"/>
  <c r="L53" i="24" s="1"/>
  <c r="M53" i="24" s="1"/>
  <c r="N53" i="24" s="1"/>
  <c r="O53" i="24" s="1"/>
  <c r="P53" i="24" s="1"/>
  <c r="Q53" i="24" s="1"/>
  <c r="R53" i="24" s="1"/>
  <c r="S53" i="24" s="1"/>
  <c r="T53" i="24" s="1"/>
  <c r="F88" i="3"/>
  <c r="E55" i="3"/>
  <c r="G159" i="26"/>
  <c r="G10" i="33"/>
  <c r="T10" i="33" s="1"/>
  <c r="L276" i="7"/>
  <c r="G102" i="13"/>
  <c r="H38" i="13"/>
  <c r="Q80" i="7"/>
  <c r="E20" i="3"/>
  <c r="F104" i="31"/>
  <c r="H36" i="13"/>
  <c r="G100" i="13"/>
  <c r="Y116" i="24"/>
  <c r="X116" i="24"/>
  <c r="W116" i="24"/>
  <c r="V116" i="24"/>
  <c r="Z116" i="24"/>
  <c r="G54" i="21"/>
  <c r="H54" i="21" s="1"/>
  <c r="I54" i="21" s="1"/>
  <c r="J54" i="21" s="1"/>
  <c r="K54" i="21" s="1"/>
  <c r="L54" i="21" s="1"/>
  <c r="M54" i="21" s="1"/>
  <c r="N54" i="21" s="1"/>
  <c r="O54" i="21" s="1"/>
  <c r="P54" i="21" s="1"/>
  <c r="Q54" i="21" s="1"/>
  <c r="R54" i="21" s="1"/>
  <c r="S54" i="21" s="1"/>
  <c r="T54" i="21" s="1"/>
  <c r="Y76" i="24"/>
  <c r="X76" i="24"/>
  <c r="W76" i="24"/>
  <c r="Z76" i="24"/>
  <c r="H35" i="13"/>
  <c r="G99" i="13"/>
  <c r="E26" i="21"/>
  <c r="Y114" i="21"/>
  <c r="U41" i="22" s="1"/>
  <c r="V37" i="7" s="1"/>
  <c r="K63" i="13"/>
  <c r="G8" i="17"/>
  <c r="G261" i="8" s="1"/>
  <c r="Q11" i="12" s="1"/>
  <c r="F38" i="35" s="1"/>
  <c r="G42" i="17"/>
  <c r="F106" i="30"/>
  <c r="W113" i="24"/>
  <c r="Y113" i="24"/>
  <c r="Z113" i="24"/>
  <c r="X113" i="24"/>
  <c r="E55" i="24"/>
  <c r="C91" i="24"/>
  <c r="C27" i="24"/>
  <c r="F27" i="24" s="1"/>
  <c r="H36" i="21"/>
  <c r="G100" i="21"/>
  <c r="S4" i="7"/>
  <c r="R93" i="14" l="1"/>
  <c r="Q90" i="14"/>
  <c r="Q127" i="13" s="1"/>
  <c r="Q91" i="14"/>
  <c r="Q128" i="13" s="1"/>
  <c r="Q92" i="14"/>
  <c r="Q129" i="13" s="1"/>
  <c r="F283" i="7"/>
  <c r="Q9" i="29" s="1"/>
  <c r="F269" i="7"/>
  <c r="Q9" i="9" s="1"/>
  <c r="Q66" i="9" s="1"/>
  <c r="D35" i="35"/>
  <c r="H35" i="35" s="1"/>
  <c r="D36" i="35"/>
  <c r="H36" i="35" s="1"/>
  <c r="P40" i="29"/>
  <c r="R67" i="30"/>
  <c r="R39" i="30"/>
  <c r="P96" i="29"/>
  <c r="I24" i="7"/>
  <c r="I10" i="7"/>
  <c r="I282" i="7" s="1"/>
  <c r="P12" i="29" s="1"/>
  <c r="H25" i="7"/>
  <c r="H296" i="7"/>
  <c r="R11" i="30" s="1"/>
  <c r="R96" i="30" s="1"/>
  <c r="I26" i="7"/>
  <c r="J65" i="39"/>
  <c r="I76" i="7" s="1"/>
  <c r="J62" i="39"/>
  <c r="I40" i="7" s="1"/>
  <c r="J63" i="39"/>
  <c r="I52" i="7" s="1"/>
  <c r="I50" i="7"/>
  <c r="I74" i="7"/>
  <c r="I38" i="7"/>
  <c r="J64" i="39"/>
  <c r="I64" i="7" s="1"/>
  <c r="I62" i="7"/>
  <c r="K58" i="39"/>
  <c r="K61" i="39" s="1"/>
  <c r="K4" i="39"/>
  <c r="K7" i="39" s="1"/>
  <c r="J38" i="39"/>
  <c r="I75" i="7" s="1"/>
  <c r="J35" i="39"/>
  <c r="I39" i="7" s="1"/>
  <c r="J34" i="39"/>
  <c r="K31" i="39"/>
  <c r="J37" i="39"/>
  <c r="I63" i="7" s="1"/>
  <c r="J36" i="39"/>
  <c r="I51" i="7" s="1"/>
  <c r="K128" i="24"/>
  <c r="G43" i="20" s="1"/>
  <c r="F50" i="24"/>
  <c r="B7" i="20" s="1"/>
  <c r="D49" i="8" s="1"/>
  <c r="E61" i="8" s="1"/>
  <c r="F73" i="8" s="1"/>
  <c r="G85" i="8" s="1"/>
  <c r="H97" i="8" s="1"/>
  <c r="I109" i="8" s="1"/>
  <c r="N50" i="31"/>
  <c r="N78" i="31"/>
  <c r="E58" i="24"/>
  <c r="F122" i="24" s="1"/>
  <c r="G122" i="24" s="1"/>
  <c r="H122" i="24" s="1"/>
  <c r="I122" i="24" s="1"/>
  <c r="J122" i="24" s="1"/>
  <c r="K122" i="24" s="1"/>
  <c r="L122" i="24" s="1"/>
  <c r="K95" i="26"/>
  <c r="L64" i="24"/>
  <c r="L128" i="24" s="1"/>
  <c r="H43" i="20" s="1"/>
  <c r="S304" i="7"/>
  <c r="N22" i="31" s="1"/>
  <c r="N107" i="31" s="1"/>
  <c r="T121" i="7"/>
  <c r="K39" i="26"/>
  <c r="L128" i="21"/>
  <c r="L129" i="21"/>
  <c r="H44" i="22" s="1"/>
  <c r="L127" i="21"/>
  <c r="J42" i="6"/>
  <c r="O115" i="3"/>
  <c r="K42" i="6" s="1"/>
  <c r="L96" i="18"/>
  <c r="K92" i="18"/>
  <c r="M95" i="18"/>
  <c r="M91" i="18" s="1"/>
  <c r="I44" i="13"/>
  <c r="J44" i="13" s="1"/>
  <c r="H85" i="3"/>
  <c r="D38" i="6" s="1"/>
  <c r="D6" i="7" s="1"/>
  <c r="D278" i="7" s="1"/>
  <c r="L7" i="29" s="1"/>
  <c r="F108" i="3"/>
  <c r="G108" i="3" s="1"/>
  <c r="H108" i="3" s="1"/>
  <c r="I108" i="3" s="1"/>
  <c r="J108" i="3" s="1"/>
  <c r="K108" i="3" s="1"/>
  <c r="L108" i="3" s="1"/>
  <c r="L94" i="18"/>
  <c r="L90" i="18" s="1"/>
  <c r="N177" i="7"/>
  <c r="O189" i="7" s="1"/>
  <c r="N176" i="7"/>
  <c r="O188" i="7" s="1"/>
  <c r="N178" i="7"/>
  <c r="Q38" i="30"/>
  <c r="Q66" i="30"/>
  <c r="E14" i="21"/>
  <c r="F78" i="21" s="1"/>
  <c r="W111" i="24"/>
  <c r="S40" i="20" s="1"/>
  <c r="U48" i="7" s="1"/>
  <c r="V60" i="7" s="1"/>
  <c r="F96" i="21"/>
  <c r="E53" i="24"/>
  <c r="F117" i="24" s="1"/>
  <c r="G117" i="24" s="1"/>
  <c r="H117" i="24" s="1"/>
  <c r="I117" i="24" s="1"/>
  <c r="J117" i="24" s="1"/>
  <c r="K117" i="24" s="1"/>
  <c r="L117" i="24" s="1"/>
  <c r="G88" i="3"/>
  <c r="C39" i="6" s="1"/>
  <c r="C7" i="7" s="1"/>
  <c r="C279" i="7" s="1"/>
  <c r="M6" i="29" s="1"/>
  <c r="I93" i="21"/>
  <c r="E38" i="22" s="1"/>
  <c r="F34" i="7" s="1"/>
  <c r="E58" i="21"/>
  <c r="G43" i="22"/>
  <c r="G9" i="22"/>
  <c r="H39" i="8" s="1"/>
  <c r="L64" i="21"/>
  <c r="E61" i="21"/>
  <c r="Y111" i="24"/>
  <c r="U40" i="20" s="1"/>
  <c r="E59" i="24"/>
  <c r="F123" i="24" s="1"/>
  <c r="G123" i="24" s="1"/>
  <c r="H123" i="24" s="1"/>
  <c r="I123" i="24" s="1"/>
  <c r="J123" i="24" s="1"/>
  <c r="K123" i="24" s="1"/>
  <c r="L123" i="24" s="1"/>
  <c r="X114" i="24"/>
  <c r="T41" i="20" s="1"/>
  <c r="V49" i="7" s="1"/>
  <c r="E15" i="24"/>
  <c r="F79" i="24" s="1"/>
  <c r="S163" i="8"/>
  <c r="T166" i="8"/>
  <c r="H307" i="7"/>
  <c r="Q11" i="31" s="1"/>
  <c r="Q40" i="31" s="1"/>
  <c r="I39" i="26"/>
  <c r="I67" i="26"/>
  <c r="Q94" i="31"/>
  <c r="K96" i="26" s="1"/>
  <c r="Q66" i="31"/>
  <c r="K68" i="26" s="1"/>
  <c r="Q38" i="31"/>
  <c r="K40" i="26" s="1"/>
  <c r="K10" i="26"/>
  <c r="M91" i="12"/>
  <c r="M35" i="12"/>
  <c r="M63" i="12"/>
  <c r="O108" i="30"/>
  <c r="O80" i="30"/>
  <c r="O52" i="30"/>
  <c r="P7" i="38"/>
  <c r="C260" i="8"/>
  <c r="P7" i="12" s="1"/>
  <c r="I38" i="13"/>
  <c r="H102" i="13"/>
  <c r="F82" i="3"/>
  <c r="G82" i="3" s="1"/>
  <c r="H82" i="3" s="1"/>
  <c r="I82" i="3" s="1"/>
  <c r="J82" i="3" s="1"/>
  <c r="K82" i="3" s="1"/>
  <c r="L82" i="3" s="1"/>
  <c r="F10" i="31"/>
  <c r="F10" i="30"/>
  <c r="F10" i="29"/>
  <c r="L11" i="26"/>
  <c r="F95" i="9"/>
  <c r="F39" i="9"/>
  <c r="F67" i="9"/>
  <c r="Q211" i="8"/>
  <c r="R215" i="8"/>
  <c r="L90" i="38"/>
  <c r="L62" i="38"/>
  <c r="L34" i="38"/>
  <c r="G25" i="24"/>
  <c r="H25" i="24" s="1"/>
  <c r="I25" i="24" s="1"/>
  <c r="J25" i="24" s="1"/>
  <c r="K25" i="24" s="1"/>
  <c r="L25" i="24" s="1"/>
  <c r="M25" i="24" s="1"/>
  <c r="N25" i="24" s="1"/>
  <c r="O25" i="24" s="1"/>
  <c r="P25" i="24" s="1"/>
  <c r="Q25" i="24" s="1"/>
  <c r="R25" i="24" s="1"/>
  <c r="S25" i="24" s="1"/>
  <c r="T25" i="24" s="1"/>
  <c r="E124" i="13"/>
  <c r="F124" i="13" s="1"/>
  <c r="G124" i="13" s="1"/>
  <c r="H124" i="13" s="1"/>
  <c r="I124" i="13" s="1"/>
  <c r="J124" i="13" s="1"/>
  <c r="K124" i="13" s="1"/>
  <c r="E119" i="13"/>
  <c r="F119" i="13" s="1"/>
  <c r="G119" i="13" s="1"/>
  <c r="H119" i="13" s="1"/>
  <c r="I119" i="13" s="1"/>
  <c r="J119" i="13" s="1"/>
  <c r="K119" i="13" s="1"/>
  <c r="F122" i="21"/>
  <c r="G122" i="21" s="1"/>
  <c r="H122" i="21" s="1"/>
  <c r="I122" i="21" s="1"/>
  <c r="J122" i="21" s="1"/>
  <c r="K122" i="21" s="1"/>
  <c r="L122" i="21" s="1"/>
  <c r="G18" i="24"/>
  <c r="F16" i="24"/>
  <c r="F7" i="24"/>
  <c r="G26" i="24"/>
  <c r="H26" i="24" s="1"/>
  <c r="I26" i="24" s="1"/>
  <c r="J26" i="24" s="1"/>
  <c r="K26" i="24" s="1"/>
  <c r="L26" i="24" s="1"/>
  <c r="M26" i="24" s="1"/>
  <c r="N26" i="24" s="1"/>
  <c r="O26" i="24" s="1"/>
  <c r="P26" i="24" s="1"/>
  <c r="Q26" i="24" s="1"/>
  <c r="R26" i="24" s="1"/>
  <c r="S26" i="24" s="1"/>
  <c r="T26" i="24" s="1"/>
  <c r="S293" i="7"/>
  <c r="O22" i="30" s="1"/>
  <c r="J11" i="21"/>
  <c r="I9" i="21"/>
  <c r="E2" i="22" s="1"/>
  <c r="H96" i="3"/>
  <c r="I38" i="3"/>
  <c r="L155" i="26"/>
  <c r="L6" i="33"/>
  <c r="Y6" i="33" s="1"/>
  <c r="V4" i="26"/>
  <c r="M4" i="26"/>
  <c r="F16" i="31"/>
  <c r="F16" i="30"/>
  <c r="F16" i="29"/>
  <c r="F73" i="9"/>
  <c r="F45" i="9"/>
  <c r="L92" i="7"/>
  <c r="H97" i="3"/>
  <c r="I39" i="3"/>
  <c r="G43" i="17"/>
  <c r="G295" i="7" s="1"/>
  <c r="Q10" i="30" s="1"/>
  <c r="J7" i="29"/>
  <c r="L100" i="26"/>
  <c r="V100" i="26" s="1"/>
  <c r="F6" i="31"/>
  <c r="F6" i="30"/>
  <c r="F6" i="29"/>
  <c r="F63" i="9"/>
  <c r="F35" i="9"/>
  <c r="L7" i="26"/>
  <c r="F144" i="35"/>
  <c r="G144" i="35" s="1"/>
  <c r="F91" i="9"/>
  <c r="H16" i="3"/>
  <c r="D3" i="6" s="1"/>
  <c r="D5" i="8" s="1"/>
  <c r="I18" i="3"/>
  <c r="F5" i="31"/>
  <c r="F5" i="30"/>
  <c r="F5" i="29"/>
  <c r="F90" i="9"/>
  <c r="F143" i="35"/>
  <c r="G143" i="35" s="1"/>
  <c r="F62" i="9"/>
  <c r="L6" i="26"/>
  <c r="F34" i="9"/>
  <c r="T4" i="7"/>
  <c r="I95" i="24"/>
  <c r="J31" i="24"/>
  <c r="F112" i="3"/>
  <c r="G112" i="3" s="1"/>
  <c r="H112" i="3" s="1"/>
  <c r="I112" i="3" s="1"/>
  <c r="J112" i="3" s="1"/>
  <c r="K112" i="3" s="1"/>
  <c r="L112" i="3" s="1"/>
  <c r="F99" i="24"/>
  <c r="G35" i="24"/>
  <c r="H9" i="6"/>
  <c r="M58" i="3"/>
  <c r="M116" i="3" s="1"/>
  <c r="M227" i="7"/>
  <c r="N230" i="7"/>
  <c r="H99" i="3"/>
  <c r="I41" i="3"/>
  <c r="I35" i="21"/>
  <c r="H99" i="21"/>
  <c r="G109" i="21"/>
  <c r="H45" i="21"/>
  <c r="I38" i="21"/>
  <c r="H102" i="21"/>
  <c r="F26" i="34"/>
  <c r="F68" i="34" s="1"/>
  <c r="F37" i="33"/>
  <c r="M37" i="33" s="1"/>
  <c r="H50" i="24"/>
  <c r="D7" i="20" s="1"/>
  <c r="F49" i="8" s="1"/>
  <c r="G61" i="8" s="1"/>
  <c r="H73" i="8" s="1"/>
  <c r="I85" i="8" s="1"/>
  <c r="J97" i="8" s="1"/>
  <c r="K109" i="8" s="1"/>
  <c r="I52" i="24"/>
  <c r="H9" i="3"/>
  <c r="D2" i="6" s="1"/>
  <c r="H7" i="3"/>
  <c r="I11" i="3"/>
  <c r="K160" i="26"/>
  <c r="K11" i="33"/>
  <c r="X11" i="33" s="1"/>
  <c r="V293" i="7"/>
  <c r="O25" i="30" s="1"/>
  <c r="G50" i="24"/>
  <c r="C7" i="20" s="1"/>
  <c r="E49" i="8" s="1"/>
  <c r="F61" i="8" s="1"/>
  <c r="G73" i="8" s="1"/>
  <c r="H85" i="8" s="1"/>
  <c r="I97" i="8" s="1"/>
  <c r="J109" i="8" s="1"/>
  <c r="F14" i="31"/>
  <c r="F14" i="30"/>
  <c r="F14" i="29"/>
  <c r="F71" i="9"/>
  <c r="F43" i="9"/>
  <c r="R10" i="38"/>
  <c r="F262" i="8"/>
  <c r="R10" i="12" s="1"/>
  <c r="G37" i="35" s="1"/>
  <c r="O109" i="30"/>
  <c r="O81" i="30"/>
  <c r="O53" i="30"/>
  <c r="J92" i="7"/>
  <c r="Q94" i="9"/>
  <c r="F101" i="24"/>
  <c r="G37" i="24"/>
  <c r="F17" i="31"/>
  <c r="F17" i="30"/>
  <c r="F17" i="29"/>
  <c r="F74" i="9"/>
  <c r="F46" i="9"/>
  <c r="C72" i="24"/>
  <c r="I87" i="3"/>
  <c r="J29" i="3"/>
  <c r="L34" i="26"/>
  <c r="V32" i="9"/>
  <c r="E60" i="21"/>
  <c r="F109" i="24"/>
  <c r="G45" i="24"/>
  <c r="H9" i="17"/>
  <c r="H43" i="17"/>
  <c r="L64" i="13"/>
  <c r="O92" i="7"/>
  <c r="L165" i="26"/>
  <c r="V14" i="26"/>
  <c r="L16" i="33"/>
  <c r="Y16" i="33" s="1"/>
  <c r="I86" i="3"/>
  <c r="J28" i="3"/>
  <c r="I27" i="3"/>
  <c r="E4" i="6" s="1"/>
  <c r="E6" i="8" s="1"/>
  <c r="T32" i="7"/>
  <c r="T288" i="7" s="1"/>
  <c r="D38" i="22"/>
  <c r="E34" i="7" s="1"/>
  <c r="U92" i="7"/>
  <c r="M92" i="7"/>
  <c r="N90" i="12"/>
  <c r="N62" i="12"/>
  <c r="N34" i="12"/>
  <c r="G11" i="8"/>
  <c r="G11" i="7" s="1"/>
  <c r="G283" i="7" s="1"/>
  <c r="Q10" i="29" s="1"/>
  <c r="I94" i="35"/>
  <c r="G113" i="21"/>
  <c r="H113" i="21" s="1"/>
  <c r="I113" i="21" s="1"/>
  <c r="J113" i="21" s="1"/>
  <c r="K113" i="21" s="1"/>
  <c r="L113" i="21" s="1"/>
  <c r="M113" i="21" s="1"/>
  <c r="W3" i="9"/>
  <c r="E122" i="13"/>
  <c r="F122" i="13" s="1"/>
  <c r="G122" i="13" s="1"/>
  <c r="H122" i="13" s="1"/>
  <c r="I122" i="13" s="1"/>
  <c r="J122" i="13" s="1"/>
  <c r="K122" i="13" s="1"/>
  <c r="H109" i="13"/>
  <c r="I45" i="13"/>
  <c r="G27" i="24"/>
  <c r="H27" i="24" s="1"/>
  <c r="I27" i="24" s="1"/>
  <c r="J27" i="24" s="1"/>
  <c r="K27" i="24" s="1"/>
  <c r="L27" i="24" s="1"/>
  <c r="M27" i="24" s="1"/>
  <c r="N27" i="24" s="1"/>
  <c r="O27" i="24" s="1"/>
  <c r="P27" i="24" s="1"/>
  <c r="Q27" i="24" s="1"/>
  <c r="R27" i="24" s="1"/>
  <c r="S27" i="24" s="1"/>
  <c r="T27" i="24" s="1"/>
  <c r="Y114" i="24"/>
  <c r="U41" i="20" s="1"/>
  <c r="B39" i="6"/>
  <c r="B7" i="7" s="1"/>
  <c r="U18" i="7"/>
  <c r="F11" i="30"/>
  <c r="F11" i="31"/>
  <c r="F11" i="29"/>
  <c r="F68" i="9"/>
  <c r="F40" i="9"/>
  <c r="L12" i="26"/>
  <c r="F96" i="9"/>
  <c r="F119" i="24"/>
  <c r="G119" i="24" s="1"/>
  <c r="H119" i="24" s="1"/>
  <c r="I119" i="24" s="1"/>
  <c r="J119" i="24" s="1"/>
  <c r="K119" i="24" s="1"/>
  <c r="L119" i="24" s="1"/>
  <c r="F90" i="21"/>
  <c r="G90" i="21" s="1"/>
  <c r="H90" i="21" s="1"/>
  <c r="I90" i="21" s="1"/>
  <c r="J90" i="21" s="1"/>
  <c r="K90" i="21" s="1"/>
  <c r="L90" i="21" s="1"/>
  <c r="E54" i="21"/>
  <c r="E83" i="13"/>
  <c r="F83" i="13" s="1"/>
  <c r="G83" i="13" s="1"/>
  <c r="H83" i="13" s="1"/>
  <c r="I83" i="13" s="1"/>
  <c r="J83" i="13" s="1"/>
  <c r="K83" i="13" s="1"/>
  <c r="F108" i="24"/>
  <c r="G44" i="24"/>
  <c r="E53" i="21"/>
  <c r="J10" i="30"/>
  <c r="X111" i="24"/>
  <c r="T40" i="20" s="1"/>
  <c r="V48" i="7" s="1"/>
  <c r="F12" i="31"/>
  <c r="F12" i="30"/>
  <c r="F12" i="29"/>
  <c r="F69" i="9"/>
  <c r="F41" i="9"/>
  <c r="L13" i="26"/>
  <c r="F97" i="9"/>
  <c r="K30" i="21"/>
  <c r="J29" i="21"/>
  <c r="F4" i="22" s="1"/>
  <c r="G34" i="8" s="1"/>
  <c r="J94" i="21"/>
  <c r="G96" i="13"/>
  <c r="D39" i="17" s="1"/>
  <c r="D21" i="7" s="1"/>
  <c r="E117" i="13"/>
  <c r="F117" i="13" s="1"/>
  <c r="G117" i="13" s="1"/>
  <c r="H117" i="13" s="1"/>
  <c r="I117" i="13" s="1"/>
  <c r="J117" i="13" s="1"/>
  <c r="K117" i="13" s="1"/>
  <c r="P90" i="12"/>
  <c r="P62" i="12"/>
  <c r="P34" i="12"/>
  <c r="J19" i="30"/>
  <c r="G34" i="24"/>
  <c r="F98" i="24"/>
  <c r="F32" i="24"/>
  <c r="B5" i="20" s="1"/>
  <c r="D47" i="8" s="1"/>
  <c r="E59" i="8" s="1"/>
  <c r="F71" i="8" s="1"/>
  <c r="G83" i="8" s="1"/>
  <c r="H95" i="8" s="1"/>
  <c r="I107" i="8" s="1"/>
  <c r="F107" i="24"/>
  <c r="G43" i="24"/>
  <c r="I10" i="20"/>
  <c r="K52" i="8" s="1"/>
  <c r="N65" i="24"/>
  <c r="H91" i="3"/>
  <c r="I33" i="3"/>
  <c r="H9" i="21"/>
  <c r="D2" i="22" s="1"/>
  <c r="L62" i="26"/>
  <c r="V62" i="26" s="1"/>
  <c r="V60" i="9"/>
  <c r="I48" i="3"/>
  <c r="H46" i="3"/>
  <c r="D7" i="6" s="1"/>
  <c r="D9" i="8" s="1"/>
  <c r="Q65" i="9"/>
  <c r="Q37" i="9"/>
  <c r="Q93" i="9"/>
  <c r="Q199" i="8"/>
  <c r="R202" i="8"/>
  <c r="E15" i="21"/>
  <c r="F79" i="21" s="1"/>
  <c r="F98" i="29"/>
  <c r="F42" i="29"/>
  <c r="F70" i="29"/>
  <c r="M8" i="38"/>
  <c r="F106" i="24"/>
  <c r="G42" i="24"/>
  <c r="K81" i="29"/>
  <c r="K109" i="29"/>
  <c r="K53" i="29"/>
  <c r="B11" i="17"/>
  <c r="B18" i="8"/>
  <c r="B27" i="8" s="1"/>
  <c r="N80" i="30"/>
  <c r="N108" i="30"/>
  <c r="N52" i="30"/>
  <c r="U211" i="8"/>
  <c r="V215" i="8"/>
  <c r="V224" i="8" s="1"/>
  <c r="F114" i="3"/>
  <c r="G114" i="3" s="1"/>
  <c r="H114" i="3" s="1"/>
  <c r="I114" i="3" s="1"/>
  <c r="J114" i="3" s="1"/>
  <c r="K114" i="3" s="1"/>
  <c r="L114" i="3" s="1"/>
  <c r="K51" i="29"/>
  <c r="K79" i="29"/>
  <c r="K107" i="29"/>
  <c r="F105" i="24"/>
  <c r="G41" i="24"/>
  <c r="P92" i="7"/>
  <c r="N90" i="38"/>
  <c r="N62" i="38"/>
  <c r="N34" i="38"/>
  <c r="D34" i="35"/>
  <c r="H34" i="35" s="1"/>
  <c r="K101" i="30"/>
  <c r="K45" i="30"/>
  <c r="K73" i="30"/>
  <c r="H94" i="3"/>
  <c r="I36" i="3"/>
  <c r="E55" i="21"/>
  <c r="S95" i="12"/>
  <c r="S67" i="12"/>
  <c r="S39" i="12"/>
  <c r="P81" i="7"/>
  <c r="F102" i="24"/>
  <c r="G38" i="24"/>
  <c r="J43" i="13"/>
  <c r="I107" i="13"/>
  <c r="Q94" i="29"/>
  <c r="Q66" i="29"/>
  <c r="Q38" i="29"/>
  <c r="G40" i="26" s="1"/>
  <c r="G10" i="26"/>
  <c r="H41" i="21"/>
  <c r="G105" i="21"/>
  <c r="Y73" i="24"/>
  <c r="C278" i="7"/>
  <c r="L6" i="29" s="1"/>
  <c r="J95" i="21"/>
  <c r="K31" i="21"/>
  <c r="G294" i="7"/>
  <c r="P10" i="30" s="1"/>
  <c r="I36" i="13"/>
  <c r="H100" i="13"/>
  <c r="E61" i="24"/>
  <c r="D33" i="35"/>
  <c r="H33" i="35" s="1"/>
  <c r="Z111" i="24"/>
  <c r="V40" i="20" s="1"/>
  <c r="O227" i="7"/>
  <c r="P230" i="7"/>
  <c r="B11" i="6"/>
  <c r="G116" i="35" s="1"/>
  <c r="B4" i="8"/>
  <c r="H32" i="13"/>
  <c r="E5" i="17" s="1"/>
  <c r="E21" i="8" s="1"/>
  <c r="H98" i="13"/>
  <c r="I34" i="13"/>
  <c r="X80" i="24"/>
  <c r="T37" i="20" s="1"/>
  <c r="V45" i="7" s="1"/>
  <c r="Z73" i="24"/>
  <c r="Q92" i="7"/>
  <c r="B2" i="22"/>
  <c r="F8" i="21"/>
  <c r="H52" i="13"/>
  <c r="G50" i="13"/>
  <c r="D7" i="17" s="1"/>
  <c r="D23" i="8" s="1"/>
  <c r="U32" i="7"/>
  <c r="J11" i="30"/>
  <c r="G107" i="21"/>
  <c r="H43" i="21"/>
  <c r="D27" i="34"/>
  <c r="D69" i="34" s="1"/>
  <c r="D38" i="33"/>
  <c r="K38" i="33" s="1"/>
  <c r="G32" i="21"/>
  <c r="C5" i="22" s="1"/>
  <c r="D35" i="8" s="1"/>
  <c r="O92" i="12"/>
  <c r="O64" i="12"/>
  <c r="O36" i="12"/>
  <c r="F98" i="31"/>
  <c r="F70" i="31"/>
  <c r="F42" i="31"/>
  <c r="H95" i="13"/>
  <c r="I31" i="13"/>
  <c r="S12" i="38"/>
  <c r="H263" i="8"/>
  <c r="S12" i="12" s="1"/>
  <c r="F77" i="3"/>
  <c r="G77" i="3" s="1"/>
  <c r="H77" i="3" s="1"/>
  <c r="I77" i="3" s="1"/>
  <c r="J77" i="3" s="1"/>
  <c r="K77" i="3" s="1"/>
  <c r="L77" i="3" s="1"/>
  <c r="F79" i="3"/>
  <c r="G79" i="3" s="1"/>
  <c r="H79" i="3" s="1"/>
  <c r="I79" i="3" s="1"/>
  <c r="J79" i="3" s="1"/>
  <c r="K79" i="3" s="1"/>
  <c r="L79" i="3" s="1"/>
  <c r="O106" i="29"/>
  <c r="O50" i="29"/>
  <c r="O78" i="29"/>
  <c r="F105" i="29"/>
  <c r="S95" i="38"/>
  <c r="S39" i="38"/>
  <c r="S67" i="38"/>
  <c r="F109" i="3"/>
  <c r="G109" i="3" s="1"/>
  <c r="H109" i="3" s="1"/>
  <c r="I109" i="3" s="1"/>
  <c r="J109" i="3" s="1"/>
  <c r="K109" i="3" s="1"/>
  <c r="L109" i="3" s="1"/>
  <c r="P66" i="9"/>
  <c r="P38" i="9"/>
  <c r="P94" i="9"/>
  <c r="I37" i="13"/>
  <c r="H101" i="13"/>
  <c r="F125" i="21"/>
  <c r="G125" i="21" s="1"/>
  <c r="H125" i="21" s="1"/>
  <c r="I125" i="21" s="1"/>
  <c r="J125" i="21" s="1"/>
  <c r="K125" i="21" s="1"/>
  <c r="L125" i="21" s="1"/>
  <c r="H18" i="13"/>
  <c r="G16" i="13"/>
  <c r="D3" i="17" s="1"/>
  <c r="D19" i="8" s="1"/>
  <c r="M91" i="38"/>
  <c r="M63" i="38"/>
  <c r="M35" i="38"/>
  <c r="F78" i="3"/>
  <c r="G78" i="3" s="1"/>
  <c r="H78" i="3" s="1"/>
  <c r="I78" i="3" s="1"/>
  <c r="J78" i="3" s="1"/>
  <c r="K78" i="3" s="1"/>
  <c r="L78" i="3" s="1"/>
  <c r="Q95" i="12"/>
  <c r="Q67" i="12"/>
  <c r="Q39" i="12"/>
  <c r="V114" i="24"/>
  <c r="R41" i="20" s="1"/>
  <c r="T49" i="7" s="1"/>
  <c r="U61" i="7" s="1"/>
  <c r="R92" i="7"/>
  <c r="J15" i="29"/>
  <c r="F107" i="3"/>
  <c r="G107" i="3" s="1"/>
  <c r="H107" i="3" s="1"/>
  <c r="I107" i="3" s="1"/>
  <c r="J107" i="3" s="1"/>
  <c r="K107" i="3" s="1"/>
  <c r="L107" i="3" s="1"/>
  <c r="T68" i="7"/>
  <c r="H42" i="21"/>
  <c r="G106" i="21"/>
  <c r="G24" i="24"/>
  <c r="H24" i="24" s="1"/>
  <c r="I24" i="24" s="1"/>
  <c r="J24" i="24" s="1"/>
  <c r="K24" i="24" s="1"/>
  <c r="L24" i="24" s="1"/>
  <c r="M24" i="24" s="1"/>
  <c r="N24" i="24" s="1"/>
  <c r="O24" i="24" s="1"/>
  <c r="P24" i="24" s="1"/>
  <c r="Q24" i="24" s="1"/>
  <c r="R24" i="24" s="1"/>
  <c r="S24" i="24" s="1"/>
  <c r="T24" i="24" s="1"/>
  <c r="F18" i="31"/>
  <c r="F18" i="30"/>
  <c r="F18" i="29"/>
  <c r="F75" i="9"/>
  <c r="F47" i="9"/>
  <c r="I41" i="13"/>
  <c r="H105" i="13"/>
  <c r="N107" i="29"/>
  <c r="N51" i="29"/>
  <c r="N79" i="29"/>
  <c r="I95" i="26"/>
  <c r="I42" i="13"/>
  <c r="H106" i="13"/>
  <c r="Y80" i="24"/>
  <c r="U37" i="20" s="1"/>
  <c r="J13" i="30"/>
  <c r="W73" i="24"/>
  <c r="E54" i="24"/>
  <c r="F88" i="29"/>
  <c r="V88" i="29" s="1"/>
  <c r="W88" i="29" s="1"/>
  <c r="S89" i="29" s="1"/>
  <c r="U89" i="29" s="1"/>
  <c r="F60" i="29"/>
  <c r="V60" i="29" s="1"/>
  <c r="W60" i="29" s="1"/>
  <c r="S61" i="29" s="1"/>
  <c r="U61" i="29" s="1"/>
  <c r="F32" i="29"/>
  <c r="V32" i="29" s="1"/>
  <c r="W32" i="29" s="1"/>
  <c r="S33" i="29" s="1"/>
  <c r="U33" i="29" s="1"/>
  <c r="V3" i="29"/>
  <c r="W3" i="29" s="1"/>
  <c r="S4" i="29" s="1"/>
  <c r="U4" i="29" s="1"/>
  <c r="H8" i="22"/>
  <c r="I38" i="8" s="1"/>
  <c r="M63" i="21"/>
  <c r="J18" i="30"/>
  <c r="H98" i="21"/>
  <c r="I34" i="21"/>
  <c r="G9" i="21"/>
  <c r="C2" i="22" s="1"/>
  <c r="F81" i="3"/>
  <c r="G81" i="3" s="1"/>
  <c r="H81" i="3" s="1"/>
  <c r="I81" i="3" s="1"/>
  <c r="J81" i="3" s="1"/>
  <c r="K81" i="3" s="1"/>
  <c r="L81" i="3" s="1"/>
  <c r="O64" i="38"/>
  <c r="O36" i="38"/>
  <c r="O92" i="38"/>
  <c r="G9" i="24"/>
  <c r="C2" i="20" s="1"/>
  <c r="L72" i="26"/>
  <c r="V72" i="26" s="1"/>
  <c r="J14" i="30"/>
  <c r="G94" i="13"/>
  <c r="G93" i="13" s="1"/>
  <c r="D38" i="17" s="1"/>
  <c r="D20" i="7" s="1"/>
  <c r="D290" i="7" s="1"/>
  <c r="L7" i="30" s="1"/>
  <c r="H30" i="13"/>
  <c r="G29" i="13"/>
  <c r="D4" i="17" s="1"/>
  <c r="D20" i="8" s="1"/>
  <c r="D257" i="8" s="1"/>
  <c r="M8" i="12" s="1"/>
  <c r="C11" i="17"/>
  <c r="C18" i="8"/>
  <c r="C27" i="8" s="1"/>
  <c r="N59" i="3"/>
  <c r="N117" i="3" s="1"/>
  <c r="I10" i="6"/>
  <c r="I12" i="8" s="1"/>
  <c r="I12" i="7" s="1"/>
  <c r="I44" i="6"/>
  <c r="I68" i="7"/>
  <c r="I37" i="21"/>
  <c r="H101" i="21"/>
  <c r="F7" i="30"/>
  <c r="F7" i="31"/>
  <c r="F7" i="29"/>
  <c r="F64" i="9"/>
  <c r="F36" i="9"/>
  <c r="L8" i="26"/>
  <c r="F145" i="35"/>
  <c r="G145" i="35" s="1"/>
  <c r="F92" i="9"/>
  <c r="S288" i="7"/>
  <c r="F9" i="31"/>
  <c r="F9" i="30"/>
  <c r="F9" i="29"/>
  <c r="F147" i="35"/>
  <c r="G147" i="35" s="1"/>
  <c r="F66" i="9"/>
  <c r="F38" i="9"/>
  <c r="L10" i="26"/>
  <c r="F94" i="9"/>
  <c r="O239" i="7"/>
  <c r="P243" i="7"/>
  <c r="P252" i="7" s="1"/>
  <c r="I16" i="21"/>
  <c r="E3" i="22" s="1"/>
  <c r="F33" i="8" s="1"/>
  <c r="J18" i="21"/>
  <c r="F105" i="30"/>
  <c r="V4" i="7"/>
  <c r="J30" i="24"/>
  <c r="I94" i="24"/>
  <c r="I29" i="24"/>
  <c r="E4" i="20" s="1"/>
  <c r="G46" i="8" s="1"/>
  <c r="H58" i="8" s="1"/>
  <c r="I70" i="8" s="1"/>
  <c r="J82" i="8" s="1"/>
  <c r="K94" i="8" s="1"/>
  <c r="L106" i="8" s="1"/>
  <c r="N125" i="26"/>
  <c r="W34" i="26"/>
  <c r="I10" i="17"/>
  <c r="M65" i="13"/>
  <c r="R93" i="29"/>
  <c r="R65" i="29"/>
  <c r="R37" i="29"/>
  <c r="G19" i="24"/>
  <c r="H19" i="24" s="1"/>
  <c r="I19" i="24" s="1"/>
  <c r="J19" i="24" s="1"/>
  <c r="K19" i="24" s="1"/>
  <c r="L19" i="24" s="1"/>
  <c r="M19" i="24" s="1"/>
  <c r="N19" i="24" s="1"/>
  <c r="O19" i="24" s="1"/>
  <c r="P19" i="24" s="1"/>
  <c r="Q19" i="24" s="1"/>
  <c r="R19" i="24" s="1"/>
  <c r="S19" i="24" s="1"/>
  <c r="T19" i="24" s="1"/>
  <c r="G21" i="24"/>
  <c r="H21" i="24" s="1"/>
  <c r="I21" i="24" s="1"/>
  <c r="J21" i="24" s="1"/>
  <c r="K21" i="24" s="1"/>
  <c r="L21" i="24" s="1"/>
  <c r="M21" i="24" s="1"/>
  <c r="N21" i="24" s="1"/>
  <c r="O21" i="24" s="1"/>
  <c r="P21" i="24" s="1"/>
  <c r="Q21" i="24" s="1"/>
  <c r="R21" i="24" s="1"/>
  <c r="S21" i="24" s="1"/>
  <c r="T21" i="24" s="1"/>
  <c r="P90" i="38"/>
  <c r="P62" i="38"/>
  <c r="P34" i="38"/>
  <c r="Q93" i="29"/>
  <c r="Q65" i="29"/>
  <c r="Q37" i="29"/>
  <c r="F98" i="30"/>
  <c r="F70" i="30"/>
  <c r="F42" i="30"/>
  <c r="E89" i="13"/>
  <c r="F89" i="13" s="1"/>
  <c r="G89" i="13" s="1"/>
  <c r="H89" i="13" s="1"/>
  <c r="I89" i="13" s="1"/>
  <c r="J89" i="13" s="1"/>
  <c r="K89" i="13" s="1"/>
  <c r="F15" i="30"/>
  <c r="F15" i="31"/>
  <c r="F15" i="29"/>
  <c r="F72" i="9"/>
  <c r="F44" i="9"/>
  <c r="S276" i="7"/>
  <c r="I35" i="13"/>
  <c r="H99" i="13"/>
  <c r="L63" i="13"/>
  <c r="H42" i="17"/>
  <c r="H8" i="17"/>
  <c r="H261" i="8" s="1"/>
  <c r="Q12" i="12" s="1"/>
  <c r="F39" i="35" s="1"/>
  <c r="W114" i="24"/>
  <c r="S41" i="20" s="1"/>
  <c r="U49" i="7" s="1"/>
  <c r="V61" i="7" s="1"/>
  <c r="F113" i="3"/>
  <c r="G113" i="3" s="1"/>
  <c r="H113" i="3" s="1"/>
  <c r="I113" i="3" s="1"/>
  <c r="J113" i="3" s="1"/>
  <c r="K113" i="3" s="1"/>
  <c r="L113" i="3" s="1"/>
  <c r="E123" i="13"/>
  <c r="F123" i="13" s="1"/>
  <c r="G123" i="13" s="1"/>
  <c r="H123" i="13" s="1"/>
  <c r="I123" i="13" s="1"/>
  <c r="J123" i="13" s="1"/>
  <c r="K123" i="13" s="1"/>
  <c r="R95" i="29"/>
  <c r="R67" i="29"/>
  <c r="R39" i="29"/>
  <c r="G20" i="24"/>
  <c r="H20" i="24" s="1"/>
  <c r="I20" i="24" s="1"/>
  <c r="J20" i="24" s="1"/>
  <c r="K20" i="24" s="1"/>
  <c r="L20" i="24" s="1"/>
  <c r="M20" i="24" s="1"/>
  <c r="N20" i="24" s="1"/>
  <c r="O20" i="24" s="1"/>
  <c r="P20" i="24" s="1"/>
  <c r="Q20" i="24" s="1"/>
  <c r="R20" i="24" s="1"/>
  <c r="S20" i="24" s="1"/>
  <c r="T20" i="24" s="1"/>
  <c r="H47" i="24"/>
  <c r="D6" i="20" s="1"/>
  <c r="F48" i="8" s="1"/>
  <c r="G60" i="8" s="1"/>
  <c r="H72" i="8" s="1"/>
  <c r="I84" i="8" s="1"/>
  <c r="J96" i="8" s="1"/>
  <c r="K108" i="8" s="1"/>
  <c r="I48" i="24"/>
  <c r="N7" i="38"/>
  <c r="C258" i="8"/>
  <c r="N7" i="12" s="1"/>
  <c r="W80" i="24"/>
  <c r="S37" i="20" s="1"/>
  <c r="U45" i="7" s="1"/>
  <c r="V57" i="7" s="1"/>
  <c r="E60" i="24"/>
  <c r="X73" i="24"/>
  <c r="C39" i="17"/>
  <c r="C21" i="7" s="1"/>
  <c r="E49" i="24"/>
  <c r="E90" i="13"/>
  <c r="F90" i="13" s="1"/>
  <c r="G90" i="13" s="1"/>
  <c r="H90" i="13" s="1"/>
  <c r="I90" i="13" s="1"/>
  <c r="J90" i="13" s="1"/>
  <c r="K90" i="13" s="1"/>
  <c r="F88" i="30"/>
  <c r="V88" i="30" s="1"/>
  <c r="W88" i="30" s="1"/>
  <c r="S89" i="30" s="1"/>
  <c r="U89" i="30" s="1"/>
  <c r="F60" i="30"/>
  <c r="V60" i="30" s="1"/>
  <c r="W60" i="30" s="1"/>
  <c r="S61" i="30" s="1"/>
  <c r="U61" i="30" s="1"/>
  <c r="F32" i="30"/>
  <c r="V32" i="30" s="1"/>
  <c r="W32" i="30" s="1"/>
  <c r="S33" i="30" s="1"/>
  <c r="U33" i="30" s="1"/>
  <c r="V3" i="30"/>
  <c r="W3" i="30" s="1"/>
  <c r="S4" i="30" s="1"/>
  <c r="U4" i="30" s="1"/>
  <c r="R178" i="8"/>
  <c r="Q175" i="8"/>
  <c r="F8" i="31"/>
  <c r="F8" i="30"/>
  <c r="F8" i="29"/>
  <c r="F93" i="9"/>
  <c r="F65" i="9"/>
  <c r="F37" i="9"/>
  <c r="F146" i="35"/>
  <c r="G146" i="35" s="1"/>
  <c r="L9" i="26"/>
  <c r="I11" i="24"/>
  <c r="H9" i="24"/>
  <c r="D2" i="20" s="1"/>
  <c r="Q68" i="7"/>
  <c r="L44" i="26"/>
  <c r="P93" i="29"/>
  <c r="P65" i="29"/>
  <c r="P37" i="29"/>
  <c r="G9" i="26"/>
  <c r="H11" i="13"/>
  <c r="G9" i="13"/>
  <c r="D2" i="17" s="1"/>
  <c r="G7" i="13"/>
  <c r="I34" i="3"/>
  <c r="H92" i="3"/>
  <c r="H44" i="6"/>
  <c r="H98" i="3"/>
  <c r="I40" i="3"/>
  <c r="S93" i="12"/>
  <c r="S65" i="12"/>
  <c r="S37" i="12"/>
  <c r="E37" i="32" s="1"/>
  <c r="F52" i="34"/>
  <c r="E8" i="32"/>
  <c r="E84" i="13"/>
  <c r="F84" i="13" s="1"/>
  <c r="G84" i="13" s="1"/>
  <c r="H84" i="13" s="1"/>
  <c r="I84" i="13" s="1"/>
  <c r="J84" i="13" s="1"/>
  <c r="K84" i="13" s="1"/>
  <c r="O9" i="38"/>
  <c r="E259" i="8"/>
  <c r="O9" i="12" s="1"/>
  <c r="C38" i="20"/>
  <c r="E46" i="7" s="1"/>
  <c r="F58" i="7" s="1"/>
  <c r="H100" i="3"/>
  <c r="I42" i="3"/>
  <c r="F105" i="31"/>
  <c r="I47" i="21"/>
  <c r="E6" i="22" s="1"/>
  <c r="F36" i="8" s="1"/>
  <c r="J48" i="21"/>
  <c r="U276" i="7"/>
  <c r="H93" i="24"/>
  <c r="D38" i="20" s="1"/>
  <c r="F46" i="7" s="1"/>
  <c r="G58" i="7" s="1"/>
  <c r="V32" i="7"/>
  <c r="P94" i="30"/>
  <c r="I96" i="26" s="1"/>
  <c r="P38" i="30"/>
  <c r="P66" i="30"/>
  <c r="I10" i="26"/>
  <c r="N82" i="30"/>
  <c r="N110" i="30"/>
  <c r="N54" i="30"/>
  <c r="I160" i="26"/>
  <c r="I11" i="33"/>
  <c r="V11" i="33" s="1"/>
  <c r="T92" i="7"/>
  <c r="B39" i="22"/>
  <c r="C35" i="7" s="1"/>
  <c r="Z114" i="24"/>
  <c r="V41" i="20" s="1"/>
  <c r="I36" i="21"/>
  <c r="H100" i="21"/>
  <c r="E88" i="13"/>
  <c r="F88" i="13" s="1"/>
  <c r="G88" i="13" s="1"/>
  <c r="H88" i="13" s="1"/>
  <c r="I88" i="13" s="1"/>
  <c r="J88" i="13" s="1"/>
  <c r="K88" i="13" s="1"/>
  <c r="L68" i="7"/>
  <c r="V18" i="7"/>
  <c r="C4" i="8"/>
  <c r="C11" i="6"/>
  <c r="G117" i="35" s="1"/>
  <c r="I92" i="7"/>
  <c r="E12" i="24"/>
  <c r="F76" i="24" s="1"/>
  <c r="H90" i="3"/>
  <c r="I32" i="3"/>
  <c r="H30" i="3"/>
  <c r="D5" i="6" s="1"/>
  <c r="D7" i="8" s="1"/>
  <c r="E59" i="21"/>
  <c r="O65" i="21"/>
  <c r="J10" i="22"/>
  <c r="K40" i="8" s="1"/>
  <c r="L90" i="12"/>
  <c r="L62" i="12"/>
  <c r="L34" i="12"/>
  <c r="I35" i="3"/>
  <c r="H93" i="3"/>
  <c r="J48" i="13"/>
  <c r="I47" i="13"/>
  <c r="F6" i="17" s="1"/>
  <c r="F22" i="8" s="1"/>
  <c r="Z80" i="24"/>
  <c r="V37" i="20" s="1"/>
  <c r="G108" i="21"/>
  <c r="H44" i="21"/>
  <c r="L90" i="26"/>
  <c r="V90" i="26" s="1"/>
  <c r="V88" i="9"/>
  <c r="F88" i="31"/>
  <c r="V88" i="31" s="1"/>
  <c r="W88" i="31" s="1"/>
  <c r="S89" i="31" s="1"/>
  <c r="U89" i="31" s="1"/>
  <c r="F60" i="31"/>
  <c r="V60" i="31" s="1"/>
  <c r="W60" i="31" s="1"/>
  <c r="S61" i="31" s="1"/>
  <c r="U61" i="31" s="1"/>
  <c r="F32" i="31"/>
  <c r="V32" i="31" s="1"/>
  <c r="W32" i="31" s="1"/>
  <c r="S33" i="31" s="1"/>
  <c r="U33" i="31" s="1"/>
  <c r="V3" i="31"/>
  <c r="W3" i="31" s="1"/>
  <c r="S4" i="31" s="1"/>
  <c r="U4" i="31" s="1"/>
  <c r="F100" i="24"/>
  <c r="G36" i="24"/>
  <c r="K110" i="30"/>
  <c r="K82" i="30"/>
  <c r="K54" i="30"/>
  <c r="P93" i="9"/>
  <c r="P65" i="9"/>
  <c r="P37" i="9"/>
  <c r="C38" i="17"/>
  <c r="C20" i="7" s="1"/>
  <c r="C290" i="7" s="1"/>
  <c r="L6" i="30" s="1"/>
  <c r="K54" i="29"/>
  <c r="K82" i="29"/>
  <c r="K110" i="29"/>
  <c r="Q178" i="8"/>
  <c r="P175" i="8"/>
  <c r="L7" i="38"/>
  <c r="C256" i="8"/>
  <c r="L7" i="12" s="1"/>
  <c r="S93" i="38"/>
  <c r="Z65" i="35" s="1"/>
  <c r="S65" i="38"/>
  <c r="X65" i="35" s="1"/>
  <c r="S37" i="38"/>
  <c r="V65" i="35" s="1"/>
  <c r="G7" i="21"/>
  <c r="K44" i="3"/>
  <c r="J43" i="3"/>
  <c r="F6" i="6" s="1"/>
  <c r="F8" i="8" s="1"/>
  <c r="R66" i="9"/>
  <c r="R38" i="9"/>
  <c r="R94" i="9"/>
  <c r="Q67" i="31"/>
  <c r="Q95" i="31"/>
  <c r="Q39" i="31"/>
  <c r="N53" i="34"/>
  <c r="R65" i="9"/>
  <c r="R37" i="9"/>
  <c r="R93" i="9"/>
  <c r="F83" i="3"/>
  <c r="G83" i="3" s="1"/>
  <c r="H83" i="3" s="1"/>
  <c r="I83" i="3" s="1"/>
  <c r="J83" i="3" s="1"/>
  <c r="K83" i="3" s="1"/>
  <c r="L83" i="3" s="1"/>
  <c r="H52" i="21"/>
  <c r="G50" i="21"/>
  <c r="C7" i="22" s="1"/>
  <c r="D37" i="8" s="1"/>
  <c r="D44" i="8"/>
  <c r="S93" i="14" l="1"/>
  <c r="R90" i="14"/>
  <c r="R127" i="13" s="1"/>
  <c r="R91" i="14"/>
  <c r="R128" i="13" s="1"/>
  <c r="R92" i="14"/>
  <c r="R129" i="13" s="1"/>
  <c r="Q38" i="9"/>
  <c r="R68" i="30"/>
  <c r="R40" i="30"/>
  <c r="P97" i="29"/>
  <c r="P41" i="29"/>
  <c r="P69" i="29"/>
  <c r="J24" i="7"/>
  <c r="J10" i="7"/>
  <c r="J282" i="7" s="1"/>
  <c r="P13" i="29" s="1"/>
  <c r="I25" i="7"/>
  <c r="J26" i="7"/>
  <c r="J86" i="7"/>
  <c r="J74" i="7"/>
  <c r="K66" i="39"/>
  <c r="J88" i="7" s="1"/>
  <c r="J38" i="7"/>
  <c r="J62" i="7"/>
  <c r="K62" i="39"/>
  <c r="J40" i="7" s="1"/>
  <c r="K63" i="39"/>
  <c r="J52" i="7" s="1"/>
  <c r="J50" i="7"/>
  <c r="K64" i="39"/>
  <c r="J64" i="7" s="1"/>
  <c r="K65" i="39"/>
  <c r="J76" i="7" s="1"/>
  <c r="L58" i="39"/>
  <c r="L61" i="39" s="1"/>
  <c r="L4" i="39"/>
  <c r="L7" i="39" s="1"/>
  <c r="K39" i="39"/>
  <c r="J87" i="7" s="1"/>
  <c r="K34" i="39"/>
  <c r="L31" i="39"/>
  <c r="K37" i="39"/>
  <c r="J63" i="7" s="1"/>
  <c r="K36" i="39"/>
  <c r="J51" i="7" s="1"/>
  <c r="K38" i="39"/>
  <c r="J75" i="7" s="1"/>
  <c r="K35" i="39"/>
  <c r="J39" i="7" s="1"/>
  <c r="K130" i="26"/>
  <c r="N79" i="31"/>
  <c r="N51" i="31"/>
  <c r="H9" i="20"/>
  <c r="J51" i="8" s="1"/>
  <c r="M64" i="24"/>
  <c r="M128" i="24" s="1"/>
  <c r="U134" i="7"/>
  <c r="V148" i="7" s="1"/>
  <c r="T304" i="7"/>
  <c r="N23" i="31" s="1"/>
  <c r="M127" i="21"/>
  <c r="I42" i="22" s="1"/>
  <c r="J44" i="17"/>
  <c r="M129" i="21"/>
  <c r="I44" i="22" s="1"/>
  <c r="M128" i="21"/>
  <c r="P115" i="3"/>
  <c r="L42" i="6" s="1"/>
  <c r="M96" i="18"/>
  <c r="L92" i="18"/>
  <c r="N95" i="18"/>
  <c r="N91" i="18" s="1"/>
  <c r="G269" i="7"/>
  <c r="Q10" i="9" s="1"/>
  <c r="Q67" i="9" s="1"/>
  <c r="I108" i="13"/>
  <c r="U304" i="7"/>
  <c r="N24" i="31" s="1"/>
  <c r="N81" i="31" s="1"/>
  <c r="M94" i="18"/>
  <c r="M90" i="18" s="1"/>
  <c r="O190" i="7"/>
  <c r="G319" i="7"/>
  <c r="I68" i="26"/>
  <c r="I40" i="26"/>
  <c r="I93" i="24"/>
  <c r="E38" i="20" s="1"/>
  <c r="G46" i="7" s="1"/>
  <c r="H58" i="7" s="1"/>
  <c r="I70" i="7" s="1"/>
  <c r="J82" i="7" s="1"/>
  <c r="K94" i="7" s="1"/>
  <c r="L106" i="7" s="1"/>
  <c r="M119" i="7" s="1"/>
  <c r="N132" i="7" s="1"/>
  <c r="O146" i="7" s="1"/>
  <c r="H295" i="7"/>
  <c r="Q11" i="30" s="1"/>
  <c r="Q68" i="30" s="1"/>
  <c r="H88" i="3"/>
  <c r="D39" i="6" s="1"/>
  <c r="D7" i="7" s="1"/>
  <c r="E21" i="24"/>
  <c r="F85" i="24" s="1"/>
  <c r="G85" i="24" s="1"/>
  <c r="H85" i="24" s="1"/>
  <c r="I85" i="24" s="1"/>
  <c r="J85" i="24" s="1"/>
  <c r="K85" i="24" s="1"/>
  <c r="L85" i="24" s="1"/>
  <c r="E27" i="24"/>
  <c r="F91" i="24" s="1"/>
  <c r="G91" i="24" s="1"/>
  <c r="H91" i="24" s="1"/>
  <c r="I91" i="24" s="1"/>
  <c r="J91" i="24" s="1"/>
  <c r="K91" i="24" s="1"/>
  <c r="L91" i="24" s="1"/>
  <c r="H9" i="22"/>
  <c r="I39" i="8" s="1"/>
  <c r="M64" i="21"/>
  <c r="H43" i="22"/>
  <c r="E20" i="24"/>
  <c r="F84" i="24" s="1"/>
  <c r="G84" i="24" s="1"/>
  <c r="H84" i="24" s="1"/>
  <c r="I84" i="24" s="1"/>
  <c r="J84" i="24" s="1"/>
  <c r="K84" i="24" s="1"/>
  <c r="L84" i="24" s="1"/>
  <c r="E19" i="24"/>
  <c r="F83" i="24" s="1"/>
  <c r="G96" i="21"/>
  <c r="C39" i="22" s="1"/>
  <c r="D35" i="7" s="1"/>
  <c r="D291" i="7" s="1"/>
  <c r="M7" i="30" s="1"/>
  <c r="H96" i="13"/>
  <c r="E39" i="17" s="1"/>
  <c r="E21" i="7" s="1"/>
  <c r="E25" i="24"/>
  <c r="F89" i="24" s="1"/>
  <c r="G89" i="24" s="1"/>
  <c r="H89" i="24" s="1"/>
  <c r="I89" i="24" s="1"/>
  <c r="J89" i="24" s="1"/>
  <c r="K89" i="24" s="1"/>
  <c r="L89" i="24" s="1"/>
  <c r="I130" i="26"/>
  <c r="Q96" i="31"/>
  <c r="U178" i="8"/>
  <c r="T175" i="8"/>
  <c r="Q68" i="31"/>
  <c r="C315" i="7"/>
  <c r="I307" i="7"/>
  <c r="Q12" i="31" s="1"/>
  <c r="Q41" i="31" s="1"/>
  <c r="K12" i="33"/>
  <c r="X12" i="33" s="1"/>
  <c r="K161" i="26"/>
  <c r="K131" i="26"/>
  <c r="M36" i="12"/>
  <c r="M64" i="12"/>
  <c r="M92" i="12"/>
  <c r="J24" i="29"/>
  <c r="L135" i="26"/>
  <c r="V44" i="26"/>
  <c r="F44" i="8"/>
  <c r="F93" i="29"/>
  <c r="F65" i="29"/>
  <c r="F37" i="29"/>
  <c r="F124" i="24"/>
  <c r="G124" i="24" s="1"/>
  <c r="H124" i="24" s="1"/>
  <c r="I124" i="24" s="1"/>
  <c r="J124" i="24" s="1"/>
  <c r="K124" i="24" s="1"/>
  <c r="L124" i="24" s="1"/>
  <c r="Q40" i="12"/>
  <c r="Q96" i="12"/>
  <c r="Q68" i="12"/>
  <c r="L40" i="26"/>
  <c r="J22" i="30"/>
  <c r="F64" i="31"/>
  <c r="F92" i="31"/>
  <c r="F36" i="31"/>
  <c r="S13" i="38"/>
  <c r="I263" i="8"/>
  <c r="S13" i="12" s="1"/>
  <c r="J99" i="30"/>
  <c r="J71" i="30"/>
  <c r="J43" i="30"/>
  <c r="S104" i="7"/>
  <c r="T117" i="7" s="1"/>
  <c r="U130" i="7" s="1"/>
  <c r="V144" i="7" s="1"/>
  <c r="I95" i="13"/>
  <c r="J31" i="13"/>
  <c r="D314" i="7"/>
  <c r="I41" i="21"/>
  <c r="H105" i="21"/>
  <c r="E32" i="8"/>
  <c r="F69" i="31"/>
  <c r="F97" i="31"/>
  <c r="F41" i="31"/>
  <c r="L98" i="26"/>
  <c r="V98" i="26" s="1"/>
  <c r="H7" i="21"/>
  <c r="F102" i="30"/>
  <c r="F99" i="30"/>
  <c r="F71" i="30"/>
  <c r="I50" i="24"/>
  <c r="E7" i="20" s="1"/>
  <c r="G49" i="8" s="1"/>
  <c r="H61" i="8" s="1"/>
  <c r="I73" i="8" s="1"/>
  <c r="J85" i="8" s="1"/>
  <c r="K97" i="8" s="1"/>
  <c r="L109" i="8" s="1"/>
  <c r="J52" i="24"/>
  <c r="L157" i="26"/>
  <c r="L8" i="33"/>
  <c r="Y8" i="33" s="1"/>
  <c r="V6" i="26"/>
  <c r="I16" i="3"/>
  <c r="E3" i="6" s="1"/>
  <c r="E5" i="8" s="1"/>
  <c r="J18" i="3"/>
  <c r="F91" i="29"/>
  <c r="F63" i="29"/>
  <c r="F35" i="29"/>
  <c r="Q95" i="30"/>
  <c r="Q39" i="30"/>
  <c r="Q67" i="30"/>
  <c r="I96" i="3"/>
  <c r="J38" i="3"/>
  <c r="L97" i="26"/>
  <c r="V97" i="26" s="1"/>
  <c r="J22" i="29"/>
  <c r="I284" i="7"/>
  <c r="R12" i="29" s="1"/>
  <c r="H16" i="13"/>
  <c r="E3" i="17" s="1"/>
  <c r="E19" i="8" s="1"/>
  <c r="I18" i="13"/>
  <c r="I43" i="21"/>
  <c r="H107" i="21"/>
  <c r="F125" i="24"/>
  <c r="G125" i="24" s="1"/>
  <c r="H125" i="24" s="1"/>
  <c r="I125" i="24" s="1"/>
  <c r="J125" i="24" s="1"/>
  <c r="K125" i="24" s="1"/>
  <c r="L125" i="24" s="1"/>
  <c r="G106" i="24"/>
  <c r="H42" i="24"/>
  <c r="L36" i="26"/>
  <c r="H108" i="21"/>
  <c r="I44" i="21"/>
  <c r="I100" i="3"/>
  <c r="J42" i="3"/>
  <c r="I98" i="3"/>
  <c r="J40" i="3"/>
  <c r="D11" i="17"/>
  <c r="D18" i="8"/>
  <c r="D27" i="8" s="1"/>
  <c r="J11" i="24"/>
  <c r="I9" i="24"/>
  <c r="E2" i="20" s="1"/>
  <c r="F65" i="30"/>
  <c r="F93" i="30"/>
  <c r="F37" i="30"/>
  <c r="N91" i="12"/>
  <c r="N63" i="12"/>
  <c r="N35" i="12"/>
  <c r="H294" i="7"/>
  <c r="P11" i="30" s="1"/>
  <c r="L68" i="26"/>
  <c r="V68" i="26" s="1"/>
  <c r="F92" i="30"/>
  <c r="F64" i="30"/>
  <c r="F36" i="30"/>
  <c r="J10" i="6"/>
  <c r="J12" i="8" s="1"/>
  <c r="J12" i="7" s="1"/>
  <c r="O59" i="3"/>
  <c r="O117" i="3" s="1"/>
  <c r="J44" i="6"/>
  <c r="C11" i="22"/>
  <c r="D32" i="8"/>
  <c r="D41" i="8" s="1"/>
  <c r="J42" i="30"/>
  <c r="J70" i="30"/>
  <c r="J98" i="30"/>
  <c r="F103" i="29"/>
  <c r="E24" i="24"/>
  <c r="T305" i="7"/>
  <c r="O23" i="31" s="1"/>
  <c r="V73" i="7"/>
  <c r="K6" i="38"/>
  <c r="B255" i="8"/>
  <c r="B13" i="8"/>
  <c r="J36" i="13"/>
  <c r="I100" i="13"/>
  <c r="D264" i="7"/>
  <c r="L7" i="9" s="1"/>
  <c r="G161" i="26"/>
  <c r="G12" i="33"/>
  <c r="T12" i="33" s="1"/>
  <c r="G102" i="24"/>
  <c r="H38" i="24"/>
  <c r="I91" i="3"/>
  <c r="J33" i="3"/>
  <c r="V304" i="7"/>
  <c r="N25" i="31" s="1"/>
  <c r="L163" i="26"/>
  <c r="L14" i="33"/>
  <c r="Y14" i="33" s="1"/>
  <c r="V12" i="26"/>
  <c r="N104" i="7"/>
  <c r="O117" i="7" s="1"/>
  <c r="P130" i="7" s="1"/>
  <c r="Q144" i="7" s="1"/>
  <c r="R158" i="7" s="1"/>
  <c r="S170" i="7" s="1"/>
  <c r="T182" i="7" s="1"/>
  <c r="U194" i="7" s="1"/>
  <c r="V206" i="7" s="1"/>
  <c r="J87" i="3"/>
  <c r="K29" i="3"/>
  <c r="F102" i="31"/>
  <c r="F99" i="31"/>
  <c r="F71" i="31"/>
  <c r="J95" i="24"/>
  <c r="K31" i="24"/>
  <c r="L64" i="26"/>
  <c r="V64" i="26" s="1"/>
  <c r="L8" i="38"/>
  <c r="F91" i="30"/>
  <c r="F35" i="30"/>
  <c r="F63" i="30"/>
  <c r="F101" i="29"/>
  <c r="E26" i="24"/>
  <c r="L162" i="26"/>
  <c r="V11" i="26"/>
  <c r="L13" i="33"/>
  <c r="Y13" i="33" s="1"/>
  <c r="J38" i="13"/>
  <c r="I102" i="13"/>
  <c r="H50" i="21"/>
  <c r="D7" i="22" s="1"/>
  <c r="E37" i="8" s="1"/>
  <c r="I52" i="21"/>
  <c r="R190" i="8"/>
  <c r="Q187" i="8"/>
  <c r="T36" i="20"/>
  <c r="L161" i="26"/>
  <c r="L12" i="33"/>
  <c r="Y12" i="33" s="1"/>
  <c r="V10" i="26"/>
  <c r="G108" i="24"/>
  <c r="H44" i="24"/>
  <c r="O107" i="30"/>
  <c r="O79" i="30"/>
  <c r="O51" i="30"/>
  <c r="J47" i="13"/>
  <c r="G6" i="17" s="1"/>
  <c r="G22" i="8" s="1"/>
  <c r="K48" i="13"/>
  <c r="J104" i="7"/>
  <c r="K117" i="7" s="1"/>
  <c r="L130" i="7" s="1"/>
  <c r="M144" i="7" s="1"/>
  <c r="N158" i="7" s="1"/>
  <c r="O170" i="7" s="1"/>
  <c r="P182" i="7" s="1"/>
  <c r="Q194" i="7" s="1"/>
  <c r="H9" i="13"/>
  <c r="E2" i="17" s="1"/>
  <c r="H7" i="13"/>
  <c r="I11" i="13"/>
  <c r="L160" i="26"/>
  <c r="L11" i="33"/>
  <c r="Y11" i="33" s="1"/>
  <c r="V9" i="26"/>
  <c r="F65" i="31"/>
  <c r="F37" i="31"/>
  <c r="F93" i="31"/>
  <c r="U301" i="7"/>
  <c r="K24" i="31" s="1"/>
  <c r="V301" i="7"/>
  <c r="K25" i="31" s="1"/>
  <c r="N63" i="38"/>
  <c r="N35" i="38"/>
  <c r="N91" i="38"/>
  <c r="M63" i="13"/>
  <c r="I42" i="17"/>
  <c r="I8" i="17"/>
  <c r="I261" i="8" s="1"/>
  <c r="Q13" i="12" s="1"/>
  <c r="F40" i="35" s="1"/>
  <c r="L94" i="26"/>
  <c r="V94" i="26" s="1"/>
  <c r="I98" i="21"/>
  <c r="J34" i="21"/>
  <c r="J75" i="30"/>
  <c r="J103" i="30"/>
  <c r="J47" i="30"/>
  <c r="F103" i="30"/>
  <c r="U80" i="7"/>
  <c r="N54" i="34"/>
  <c r="J96" i="30"/>
  <c r="J40" i="30"/>
  <c r="J68" i="30"/>
  <c r="B11" i="22"/>
  <c r="C32" i="8"/>
  <c r="C41" i="8" s="1"/>
  <c r="H89" i="35"/>
  <c r="J89" i="35" s="1"/>
  <c r="L89" i="35" s="1"/>
  <c r="I116" i="35"/>
  <c r="J116" i="35" s="1"/>
  <c r="L63" i="29"/>
  <c r="L91" i="29"/>
  <c r="L35" i="29"/>
  <c r="L99" i="26"/>
  <c r="V99" i="26" s="1"/>
  <c r="L42" i="26"/>
  <c r="U288" i="7"/>
  <c r="I109" i="13"/>
  <c r="J45" i="13"/>
  <c r="R11" i="38"/>
  <c r="G262" i="8"/>
  <c r="R11" i="12" s="1"/>
  <c r="G38" i="35" s="1"/>
  <c r="P104" i="7"/>
  <c r="Q117" i="7" s="1"/>
  <c r="R130" i="7" s="1"/>
  <c r="S144" i="7" s="1"/>
  <c r="T158" i="7" s="1"/>
  <c r="U170" i="7" s="1"/>
  <c r="V182" i="7" s="1"/>
  <c r="F124" i="21"/>
  <c r="G124" i="21" s="1"/>
  <c r="H124" i="21" s="1"/>
  <c r="I124" i="21" s="1"/>
  <c r="J124" i="21" s="1"/>
  <c r="K124" i="21" s="1"/>
  <c r="L124" i="21" s="1"/>
  <c r="R94" i="12"/>
  <c r="R66" i="12"/>
  <c r="R38" i="12"/>
  <c r="E38" i="32" s="1"/>
  <c r="E9" i="32"/>
  <c r="F53" i="34"/>
  <c r="I7" i="3"/>
  <c r="J11" i="3"/>
  <c r="I9" i="3"/>
  <c r="E2" i="6" s="1"/>
  <c r="I99" i="21"/>
  <c r="J35" i="21"/>
  <c r="G99" i="24"/>
  <c r="H35" i="24"/>
  <c r="F91" i="31"/>
  <c r="F63" i="31"/>
  <c r="V63" i="31" s="1"/>
  <c r="F35" i="31"/>
  <c r="V35" i="31" s="1"/>
  <c r="I97" i="3"/>
  <c r="J39" i="3"/>
  <c r="F101" i="30"/>
  <c r="F95" i="29"/>
  <c r="F67" i="29"/>
  <c r="F39" i="29"/>
  <c r="I92" i="3"/>
  <c r="J34" i="3"/>
  <c r="S36" i="20"/>
  <c r="F97" i="30"/>
  <c r="F41" i="30"/>
  <c r="F69" i="30"/>
  <c r="F96" i="30"/>
  <c r="F68" i="30"/>
  <c r="F40" i="30"/>
  <c r="F102" i="29"/>
  <c r="K10" i="22"/>
  <c r="L40" i="8" s="1"/>
  <c r="P65" i="21"/>
  <c r="H90" i="35"/>
  <c r="J90" i="35" s="1"/>
  <c r="L90" i="35" s="1"/>
  <c r="I117" i="35"/>
  <c r="J117" i="35" s="1"/>
  <c r="G160" i="26"/>
  <c r="G11" i="33"/>
  <c r="T11" i="33" s="1"/>
  <c r="G113" i="24"/>
  <c r="H113" i="24" s="1"/>
  <c r="I113" i="24" s="1"/>
  <c r="J113" i="24" s="1"/>
  <c r="K113" i="24" s="1"/>
  <c r="L113" i="24" s="1"/>
  <c r="M113" i="24" s="1"/>
  <c r="I47" i="24"/>
  <c r="E6" i="20" s="1"/>
  <c r="G48" i="8" s="1"/>
  <c r="H60" i="8" s="1"/>
  <c r="I72" i="8" s="1"/>
  <c r="J84" i="8" s="1"/>
  <c r="K96" i="8" s="1"/>
  <c r="L108" i="8" s="1"/>
  <c r="J48" i="24"/>
  <c r="J37" i="21"/>
  <c r="I101" i="21"/>
  <c r="E44" i="8"/>
  <c r="H42" i="22"/>
  <c r="J41" i="13"/>
  <c r="I105" i="13"/>
  <c r="F103" i="31"/>
  <c r="S96" i="12"/>
  <c r="S68" i="12"/>
  <c r="S40" i="12"/>
  <c r="C314" i="7"/>
  <c r="F119" i="21"/>
  <c r="G119" i="21" s="1"/>
  <c r="H119" i="21" s="1"/>
  <c r="I119" i="21" s="1"/>
  <c r="J119" i="21" s="1"/>
  <c r="K119" i="21" s="1"/>
  <c r="L119" i="21" s="1"/>
  <c r="M64" i="38"/>
  <c r="M92" i="38"/>
  <c r="M36" i="38"/>
  <c r="P8" i="38"/>
  <c r="D260" i="8"/>
  <c r="P8" i="12" s="1"/>
  <c r="F96" i="24"/>
  <c r="L164" i="26"/>
  <c r="L15" i="33"/>
  <c r="Y15" i="33" s="1"/>
  <c r="V13" i="26"/>
  <c r="J95" i="30"/>
  <c r="J39" i="30"/>
  <c r="J67" i="30"/>
  <c r="F118" i="21"/>
  <c r="G118" i="21" s="1"/>
  <c r="H118" i="21" s="1"/>
  <c r="I118" i="21" s="1"/>
  <c r="J118" i="21" s="1"/>
  <c r="K118" i="21" s="1"/>
  <c r="L118" i="21" s="1"/>
  <c r="L70" i="26"/>
  <c r="V70" i="26" s="1"/>
  <c r="M9" i="38"/>
  <c r="I9" i="17"/>
  <c r="M64" i="13"/>
  <c r="M34" i="26"/>
  <c r="N26" i="34"/>
  <c r="W32" i="9"/>
  <c r="G101" i="24"/>
  <c r="H37" i="24"/>
  <c r="R94" i="38"/>
  <c r="Z66" i="35" s="1"/>
  <c r="R66" i="38"/>
  <c r="X66" i="35" s="1"/>
  <c r="R38" i="38"/>
  <c r="L93" i="26"/>
  <c r="V93" i="26" s="1"/>
  <c r="F101" i="31"/>
  <c r="F32" i="8"/>
  <c r="R224" i="8"/>
  <c r="S228" i="8"/>
  <c r="F95" i="30"/>
  <c r="F39" i="30"/>
  <c r="F67" i="30"/>
  <c r="P91" i="12"/>
  <c r="P63" i="12"/>
  <c r="P35" i="12"/>
  <c r="H11" i="8"/>
  <c r="H11" i="7" s="1"/>
  <c r="I95" i="35"/>
  <c r="F90" i="31"/>
  <c r="F62" i="31"/>
  <c r="V62" i="31" s="1"/>
  <c r="F34" i="31"/>
  <c r="V34" i="31" s="1"/>
  <c r="E56" i="8"/>
  <c r="L35" i="12"/>
  <c r="L91" i="12"/>
  <c r="L63" i="12"/>
  <c r="L91" i="30"/>
  <c r="L35" i="30"/>
  <c r="L63" i="30"/>
  <c r="M90" i="26"/>
  <c r="AD26" i="34"/>
  <c r="W88" i="9"/>
  <c r="F123" i="21"/>
  <c r="G123" i="21" s="1"/>
  <c r="H123" i="21" s="1"/>
  <c r="I123" i="21" s="1"/>
  <c r="J123" i="21" s="1"/>
  <c r="K123" i="21" s="1"/>
  <c r="L123" i="21" s="1"/>
  <c r="K7" i="38"/>
  <c r="C13" i="8"/>
  <c r="J36" i="21"/>
  <c r="I100" i="21"/>
  <c r="U104" i="7"/>
  <c r="V117" i="7" s="1"/>
  <c r="K48" i="21"/>
  <c r="J47" i="21"/>
  <c r="F6" i="22" s="1"/>
  <c r="G36" i="8" s="1"/>
  <c r="G70" i="7"/>
  <c r="H82" i="7" s="1"/>
  <c r="I94" i="7" s="1"/>
  <c r="J106" i="7" s="1"/>
  <c r="K119" i="7" s="1"/>
  <c r="L132" i="7" s="1"/>
  <c r="M146" i="7" s="1"/>
  <c r="E302" i="7"/>
  <c r="L8" i="31" s="1"/>
  <c r="H284" i="7"/>
  <c r="R11" i="29" s="1"/>
  <c r="G39" i="26"/>
  <c r="L39" i="26"/>
  <c r="R187" i="8"/>
  <c r="S190" i="8"/>
  <c r="J94" i="24"/>
  <c r="J29" i="24"/>
  <c r="F4" i="20" s="1"/>
  <c r="H46" i="8" s="1"/>
  <c r="I58" i="8" s="1"/>
  <c r="J70" i="8" s="1"/>
  <c r="K82" i="8" s="1"/>
  <c r="L94" i="8" s="1"/>
  <c r="M106" i="8" s="1"/>
  <c r="K30" i="24"/>
  <c r="K18" i="21"/>
  <c r="J16" i="21"/>
  <c r="F3" i="22" s="1"/>
  <c r="G33" i="8" s="1"/>
  <c r="F94" i="29"/>
  <c r="F38" i="29"/>
  <c r="F66" i="29"/>
  <c r="L159" i="26"/>
  <c r="V8" i="26"/>
  <c r="L10" i="33"/>
  <c r="Y10" i="33" s="1"/>
  <c r="H32" i="21"/>
  <c r="D5" i="22" s="1"/>
  <c r="E35" i="8" s="1"/>
  <c r="I8" i="22"/>
  <c r="J38" i="8" s="1"/>
  <c r="N63" i="21"/>
  <c r="J42" i="13"/>
  <c r="I106" i="13"/>
  <c r="J37" i="13"/>
  <c r="I101" i="13"/>
  <c r="S68" i="38"/>
  <c r="S40" i="38"/>
  <c r="S96" i="38"/>
  <c r="R104" i="7"/>
  <c r="S117" i="7" s="1"/>
  <c r="T130" i="7" s="1"/>
  <c r="U144" i="7" s="1"/>
  <c r="V158" i="7" s="1"/>
  <c r="P239" i="7"/>
  <c r="Q243" i="7"/>
  <c r="Q252" i="7" s="1"/>
  <c r="P67" i="30"/>
  <c r="P95" i="30"/>
  <c r="P39" i="30"/>
  <c r="I11" i="26"/>
  <c r="C264" i="7"/>
  <c r="L6" i="9" s="1"/>
  <c r="Q104" i="7"/>
  <c r="J48" i="3"/>
  <c r="I46" i="3"/>
  <c r="E7" i="6" s="1"/>
  <c r="E9" i="8" s="1"/>
  <c r="J10" i="20"/>
  <c r="L52" i="8" s="1"/>
  <c r="O65" i="24"/>
  <c r="H34" i="24"/>
  <c r="G98" i="24"/>
  <c r="G32" i="24"/>
  <c r="C5" i="20" s="1"/>
  <c r="E47" i="8" s="1"/>
  <c r="F59" i="8" s="1"/>
  <c r="G71" i="8" s="1"/>
  <c r="H83" i="8" s="1"/>
  <c r="I95" i="8" s="1"/>
  <c r="J107" i="8" s="1"/>
  <c r="L43" i="26"/>
  <c r="F117" i="21"/>
  <c r="G117" i="21" s="1"/>
  <c r="H117" i="21" s="1"/>
  <c r="I117" i="21" s="1"/>
  <c r="J117" i="21" s="1"/>
  <c r="K117" i="21" s="1"/>
  <c r="L117" i="21" s="1"/>
  <c r="V104" i="7"/>
  <c r="K28" i="3"/>
  <c r="J27" i="3"/>
  <c r="F4" i="6" s="1"/>
  <c r="F6" i="8" s="1"/>
  <c r="J86" i="3"/>
  <c r="L125" i="26"/>
  <c r="V34" i="26"/>
  <c r="D4" i="8"/>
  <c r="D11" i="6"/>
  <c r="G118" i="35" s="1"/>
  <c r="I99" i="3"/>
  <c r="J41" i="3"/>
  <c r="L92" i="26"/>
  <c r="V92" i="26" s="1"/>
  <c r="M155" i="26"/>
  <c r="M6" i="33"/>
  <c r="Z6" i="33" s="1"/>
  <c r="K11" i="21"/>
  <c r="J9" i="21"/>
  <c r="F2" i="22" s="1"/>
  <c r="F95" i="31"/>
  <c r="F67" i="31"/>
  <c r="F39" i="31"/>
  <c r="P91" i="38"/>
  <c r="P63" i="38"/>
  <c r="P35" i="38"/>
  <c r="AD52" i="34"/>
  <c r="E94" i="32"/>
  <c r="L95" i="26"/>
  <c r="V95" i="26" s="1"/>
  <c r="F100" i="30"/>
  <c r="J23" i="30"/>
  <c r="F64" i="29"/>
  <c r="F92" i="29"/>
  <c r="F36" i="29"/>
  <c r="I52" i="13"/>
  <c r="H50" i="13"/>
  <c r="E7" i="17" s="1"/>
  <c r="E23" i="8" s="1"/>
  <c r="L92" i="29"/>
  <c r="L64" i="29"/>
  <c r="L36" i="29"/>
  <c r="L30" i="21"/>
  <c r="K29" i="21"/>
  <c r="G4" i="22" s="1"/>
  <c r="H34" i="8" s="1"/>
  <c r="K94" i="21"/>
  <c r="F71" i="29"/>
  <c r="F99" i="29"/>
  <c r="L65" i="26"/>
  <c r="V65" i="26" s="1"/>
  <c r="Q95" i="29"/>
  <c r="Q67" i="29"/>
  <c r="Q39" i="29"/>
  <c r="G41" i="26" s="1"/>
  <c r="G11" i="26"/>
  <c r="O10" i="38"/>
  <c r="F259" i="8"/>
  <c r="O10" i="12" s="1"/>
  <c r="L63" i="38"/>
  <c r="L91" i="38"/>
  <c r="L35" i="38"/>
  <c r="G100" i="24"/>
  <c r="H36" i="24"/>
  <c r="I93" i="3"/>
  <c r="J35" i="3"/>
  <c r="N8" i="38"/>
  <c r="D258" i="8"/>
  <c r="N8" i="12" s="1"/>
  <c r="M80" i="7"/>
  <c r="I161" i="26"/>
  <c r="I12" i="33"/>
  <c r="V12" i="33" s="1"/>
  <c r="O93" i="12"/>
  <c r="O65" i="12"/>
  <c r="O37" i="12"/>
  <c r="R80" i="7"/>
  <c r="L67" i="26"/>
  <c r="V67" i="26" s="1"/>
  <c r="C291" i="7"/>
  <c r="M6" i="30" s="1"/>
  <c r="I99" i="13"/>
  <c r="J35" i="13"/>
  <c r="F100" i="29"/>
  <c r="I44" i="17"/>
  <c r="I296" i="7" s="1"/>
  <c r="R12" i="30" s="1"/>
  <c r="V276" i="7"/>
  <c r="F38" i="30"/>
  <c r="F94" i="30"/>
  <c r="F66" i="30"/>
  <c r="L38" i="26"/>
  <c r="H94" i="13"/>
  <c r="H93" i="13" s="1"/>
  <c r="I30" i="13"/>
  <c r="H29" i="13"/>
  <c r="E4" i="17" s="1"/>
  <c r="E20" i="8" s="1"/>
  <c r="E257" i="8" s="1"/>
  <c r="M9" i="12" s="1"/>
  <c r="F118" i="24"/>
  <c r="G118" i="24" s="1"/>
  <c r="H118" i="24" s="1"/>
  <c r="I118" i="24" s="1"/>
  <c r="J118" i="24" s="1"/>
  <c r="K118" i="24" s="1"/>
  <c r="L118" i="24" s="1"/>
  <c r="I42" i="21"/>
  <c r="H106" i="21"/>
  <c r="L31" i="21"/>
  <c r="K95" i="21"/>
  <c r="J36" i="3"/>
  <c r="I94" i="3"/>
  <c r="G105" i="24"/>
  <c r="H41" i="24"/>
  <c r="R211" i="8"/>
  <c r="S215" i="8"/>
  <c r="M62" i="26"/>
  <c r="V26" i="34"/>
  <c r="W60" i="9"/>
  <c r="J93" i="21"/>
  <c r="L71" i="26"/>
  <c r="V71" i="26" s="1"/>
  <c r="C265" i="7"/>
  <c r="M6" i="9" s="1"/>
  <c r="F96" i="29"/>
  <c r="F68" i="29"/>
  <c r="F40" i="29"/>
  <c r="B279" i="7"/>
  <c r="M5" i="29" s="1"/>
  <c r="B315" i="7"/>
  <c r="B265" i="7"/>
  <c r="M5" i="9" s="1"/>
  <c r="I85" i="3"/>
  <c r="O110" i="30"/>
  <c r="O54" i="30"/>
  <c r="O82" i="30"/>
  <c r="J38" i="21"/>
  <c r="I102" i="21"/>
  <c r="I43" i="6"/>
  <c r="N58" i="3"/>
  <c r="N116" i="3" s="1"/>
  <c r="I9" i="6"/>
  <c r="T276" i="7"/>
  <c r="F62" i="29"/>
  <c r="F90" i="29"/>
  <c r="F34" i="29"/>
  <c r="L158" i="26"/>
  <c r="L9" i="33"/>
  <c r="Y9" i="33" s="1"/>
  <c r="V7" i="26"/>
  <c r="M104" i="7"/>
  <c r="N117" i="7" s="1"/>
  <c r="O130" i="7" s="1"/>
  <c r="P144" i="7" s="1"/>
  <c r="Q158" i="7" s="1"/>
  <c r="R170" i="7" s="1"/>
  <c r="S182" i="7" s="1"/>
  <c r="T194" i="7" s="1"/>
  <c r="U206" i="7" s="1"/>
  <c r="V218" i="7" s="1"/>
  <c r="B3" i="20"/>
  <c r="F8" i="24"/>
  <c r="L69" i="26"/>
  <c r="V69" i="26" s="1"/>
  <c r="D279" i="7"/>
  <c r="M7" i="29" s="1"/>
  <c r="U305" i="7"/>
  <c r="O24" i="31" s="1"/>
  <c r="Q93" i="7"/>
  <c r="G109" i="24"/>
  <c r="H45" i="24"/>
  <c r="H18" i="24"/>
  <c r="G16" i="24"/>
  <c r="C3" i="20" s="1"/>
  <c r="E45" i="8" s="1"/>
  <c r="F57" i="8" s="1"/>
  <c r="G69" i="8" s="1"/>
  <c r="H81" i="8" s="1"/>
  <c r="I93" i="8" s="1"/>
  <c r="J105" i="8" s="1"/>
  <c r="K43" i="3"/>
  <c r="G6" i="6" s="1"/>
  <c r="G8" i="8" s="1"/>
  <c r="L44" i="3"/>
  <c r="I30" i="3"/>
  <c r="E5" i="6" s="1"/>
  <c r="E7" i="8" s="1"/>
  <c r="I90" i="3"/>
  <c r="J32" i="3"/>
  <c r="V288" i="7"/>
  <c r="F302" i="7"/>
  <c r="L9" i="31" s="1"/>
  <c r="H70" i="7"/>
  <c r="I82" i="7" s="1"/>
  <c r="J94" i="7" s="1"/>
  <c r="K106" i="7" s="1"/>
  <c r="L119" i="7" s="1"/>
  <c r="M132" i="7" s="1"/>
  <c r="N146" i="7" s="1"/>
  <c r="O160" i="7" s="1"/>
  <c r="P172" i="7" s="1"/>
  <c r="Q184" i="7" s="1"/>
  <c r="R196" i="7" s="1"/>
  <c r="S208" i="7" s="1"/>
  <c r="T220" i="7" s="1"/>
  <c r="U232" i="7" s="1"/>
  <c r="V245" i="7" s="1"/>
  <c r="O93" i="38"/>
  <c r="O65" i="38"/>
  <c r="O37" i="38"/>
  <c r="E66" i="32"/>
  <c r="V52" i="34"/>
  <c r="F100" i="31"/>
  <c r="J10" i="17"/>
  <c r="N65" i="13"/>
  <c r="L96" i="26"/>
  <c r="V96" i="26" s="1"/>
  <c r="F66" i="31"/>
  <c r="F94" i="31"/>
  <c r="F38" i="31"/>
  <c r="L66" i="26"/>
  <c r="V66" i="26" s="1"/>
  <c r="J80" i="7"/>
  <c r="L64" i="30"/>
  <c r="L36" i="30"/>
  <c r="L92" i="30"/>
  <c r="J100" i="29"/>
  <c r="J44" i="29"/>
  <c r="J72" i="29"/>
  <c r="K44" i="13"/>
  <c r="J108" i="13"/>
  <c r="G7" i="24"/>
  <c r="F4" i="31"/>
  <c r="F4" i="30"/>
  <c r="F4" i="29"/>
  <c r="F61" i="9"/>
  <c r="F33" i="9"/>
  <c r="L5" i="26"/>
  <c r="F89" i="9"/>
  <c r="V4" i="9"/>
  <c r="F142" i="35"/>
  <c r="G142" i="35" s="1"/>
  <c r="V36" i="20"/>
  <c r="I32" i="13"/>
  <c r="F5" i="17" s="1"/>
  <c r="F21" i="8" s="1"/>
  <c r="I98" i="13"/>
  <c r="J34" i="13"/>
  <c r="U36" i="20"/>
  <c r="K43" i="13"/>
  <c r="J107" i="13"/>
  <c r="G107" i="24"/>
  <c r="H43" i="24"/>
  <c r="J104" i="30"/>
  <c r="J48" i="30"/>
  <c r="J76" i="30"/>
  <c r="F97" i="29"/>
  <c r="F69" i="29"/>
  <c r="F41" i="29"/>
  <c r="M63" i="29"/>
  <c r="M91" i="29"/>
  <c r="M35" i="29"/>
  <c r="F96" i="31"/>
  <c r="F68" i="31"/>
  <c r="F40" i="31"/>
  <c r="O4" i="26"/>
  <c r="G26" i="34"/>
  <c r="G68" i="34" s="1"/>
  <c r="S4" i="9"/>
  <c r="G37" i="33"/>
  <c r="N37" i="33" s="1"/>
  <c r="K104" i="7"/>
  <c r="L117" i="7" s="1"/>
  <c r="M130" i="7" s="1"/>
  <c r="N144" i="7" s="1"/>
  <c r="O158" i="7" s="1"/>
  <c r="P170" i="7" s="1"/>
  <c r="Q182" i="7" s="1"/>
  <c r="R194" i="7" s="1"/>
  <c r="S206" i="7" s="1"/>
  <c r="T218" i="7" s="1"/>
  <c r="H109" i="21"/>
  <c r="I45" i="21"/>
  <c r="N239" i="7"/>
  <c r="O243" i="7"/>
  <c r="O252" i="7" s="1"/>
  <c r="H43" i="6"/>
  <c r="F62" i="30"/>
  <c r="F90" i="30"/>
  <c r="F34" i="30"/>
  <c r="L37" i="26"/>
  <c r="J92" i="29"/>
  <c r="J64" i="29"/>
  <c r="J36" i="29"/>
  <c r="L41" i="26"/>
  <c r="T93" i="14" l="1"/>
  <c r="S90" i="14"/>
  <c r="S127" i="13" s="1"/>
  <c r="S91" i="14"/>
  <c r="S128" i="13" s="1"/>
  <c r="S92" i="14"/>
  <c r="S129" i="13" s="1"/>
  <c r="U66" i="35"/>
  <c r="D11" i="35" s="1"/>
  <c r="E173" i="35" s="1"/>
  <c r="V66" i="35"/>
  <c r="J307" i="7"/>
  <c r="Q13" i="31" s="1"/>
  <c r="Q70" i="31" s="1"/>
  <c r="P98" i="29"/>
  <c r="P42" i="29"/>
  <c r="P70" i="29"/>
  <c r="K10" i="7"/>
  <c r="K282" i="7" s="1"/>
  <c r="P14" i="29" s="1"/>
  <c r="K24" i="7"/>
  <c r="J25" i="7"/>
  <c r="K26" i="7"/>
  <c r="L66" i="39"/>
  <c r="K88" i="7" s="1"/>
  <c r="L63" i="39"/>
  <c r="K52" i="7" s="1"/>
  <c r="K38" i="7"/>
  <c r="L65" i="39"/>
  <c r="K76" i="7" s="1"/>
  <c r="K74" i="7"/>
  <c r="K98" i="7"/>
  <c r="L64" i="39"/>
  <c r="K64" i="7" s="1"/>
  <c r="L62" i="39"/>
  <c r="K40" i="7" s="1"/>
  <c r="L67" i="39"/>
  <c r="K100" i="7" s="1"/>
  <c r="K86" i="7"/>
  <c r="K62" i="7"/>
  <c r="K50" i="7"/>
  <c r="M58" i="39"/>
  <c r="M61" i="39" s="1"/>
  <c r="M4" i="39"/>
  <c r="M7" i="39" s="1"/>
  <c r="L39" i="39"/>
  <c r="K87" i="7" s="1"/>
  <c r="L34" i="39"/>
  <c r="M31" i="39"/>
  <c r="L37" i="39"/>
  <c r="K63" i="7" s="1"/>
  <c r="L40" i="39"/>
  <c r="K99" i="7" s="1"/>
  <c r="L36" i="39"/>
  <c r="K51" i="7" s="1"/>
  <c r="L38" i="39"/>
  <c r="K75" i="7" s="1"/>
  <c r="L35" i="39"/>
  <c r="K39" i="7" s="1"/>
  <c r="N64" i="24"/>
  <c r="I9" i="20"/>
  <c r="K51" i="8" s="1"/>
  <c r="N53" i="31"/>
  <c r="Q300" i="7"/>
  <c r="J20" i="31" s="1"/>
  <c r="R117" i="7"/>
  <c r="S130" i="7" s="1"/>
  <c r="T144" i="7" s="1"/>
  <c r="U158" i="7" s="1"/>
  <c r="V170" i="7" s="1"/>
  <c r="N108" i="31"/>
  <c r="N52" i="31"/>
  <c r="N80" i="31"/>
  <c r="J296" i="7"/>
  <c r="R13" i="30" s="1"/>
  <c r="R98" i="30" s="1"/>
  <c r="N127" i="21"/>
  <c r="J42" i="22" s="1"/>
  <c r="K44" i="17"/>
  <c r="N129" i="21"/>
  <c r="J44" i="22" s="1"/>
  <c r="N128" i="21"/>
  <c r="Q115" i="3"/>
  <c r="M42" i="6" s="1"/>
  <c r="O95" i="18"/>
  <c r="O91" i="18" s="1"/>
  <c r="Q95" i="9"/>
  <c r="N96" i="18"/>
  <c r="M92" i="18"/>
  <c r="Q39" i="9"/>
  <c r="N109" i="31"/>
  <c r="J85" i="3"/>
  <c r="F38" i="6" s="1"/>
  <c r="F6" i="7" s="1"/>
  <c r="N94" i="18"/>
  <c r="N90" i="18" s="1"/>
  <c r="Q201" i="7"/>
  <c r="R213" i="7" s="1"/>
  <c r="S225" i="7" s="1"/>
  <c r="T237" i="7" s="1"/>
  <c r="Q202" i="7"/>
  <c r="R214" i="7" s="1"/>
  <c r="Q40" i="30"/>
  <c r="I131" i="26"/>
  <c r="Q96" i="30"/>
  <c r="P202" i="7"/>
  <c r="Q214" i="7" s="1"/>
  <c r="P201" i="7"/>
  <c r="Q213" i="7" s="1"/>
  <c r="R225" i="7" s="1"/>
  <c r="Q200" i="7"/>
  <c r="R212" i="7" s="1"/>
  <c r="P200" i="7"/>
  <c r="Q212" i="7" s="1"/>
  <c r="R224" i="7" s="1"/>
  <c r="I69" i="26"/>
  <c r="H96" i="21"/>
  <c r="D39" i="22" s="1"/>
  <c r="E35" i="7" s="1"/>
  <c r="E291" i="7" s="1"/>
  <c r="M8" i="30" s="1"/>
  <c r="C255" i="8"/>
  <c r="C264" i="8" s="1"/>
  <c r="N160" i="7"/>
  <c r="O172" i="7" s="1"/>
  <c r="P184" i="7" s="1"/>
  <c r="Q196" i="7" s="1"/>
  <c r="R208" i="7" s="1"/>
  <c r="S220" i="7" s="1"/>
  <c r="T232" i="7" s="1"/>
  <c r="U245" i="7" s="1"/>
  <c r="N64" i="21"/>
  <c r="I9" i="22"/>
  <c r="J39" i="8" s="1"/>
  <c r="I43" i="22"/>
  <c r="G83" i="24"/>
  <c r="H83" i="24" s="1"/>
  <c r="I83" i="24" s="1"/>
  <c r="J83" i="24" s="1"/>
  <c r="K83" i="24" s="1"/>
  <c r="L83" i="24" s="1"/>
  <c r="P160" i="7"/>
  <c r="Q172" i="7" s="1"/>
  <c r="R184" i="7" s="1"/>
  <c r="S196" i="7" s="1"/>
  <c r="T208" i="7" s="1"/>
  <c r="U220" i="7" s="1"/>
  <c r="V232" i="7" s="1"/>
  <c r="I7" i="21"/>
  <c r="I97" i="26"/>
  <c r="M125" i="26"/>
  <c r="V190" i="8"/>
  <c r="V199" i="8" s="1"/>
  <c r="U187" i="8"/>
  <c r="Q69" i="31"/>
  <c r="Q97" i="31"/>
  <c r="I41" i="26"/>
  <c r="K54" i="31"/>
  <c r="K82" i="31"/>
  <c r="K110" i="31"/>
  <c r="M65" i="12"/>
  <c r="M37" i="12"/>
  <c r="M93" i="12"/>
  <c r="L94" i="31"/>
  <c r="L66" i="31"/>
  <c r="L38" i="31"/>
  <c r="I41" i="24"/>
  <c r="H105" i="24"/>
  <c r="L64" i="9"/>
  <c r="L36" i="9"/>
  <c r="L92" i="9"/>
  <c r="H106" i="24"/>
  <c r="I42" i="24"/>
  <c r="V41" i="26"/>
  <c r="L132" i="26"/>
  <c r="F33" i="30"/>
  <c r="V33" i="30" s="1"/>
  <c r="W33" i="30" s="1"/>
  <c r="S34" i="30" s="1"/>
  <c r="U34" i="30" s="1"/>
  <c r="F61" i="30"/>
  <c r="V61" i="30" s="1"/>
  <c r="W61" i="30" s="1"/>
  <c r="S62" i="30" s="1"/>
  <c r="U62" i="30" s="1"/>
  <c r="F89" i="30"/>
  <c r="V89" i="30" s="1"/>
  <c r="W89" i="30" s="1"/>
  <c r="S90" i="30" s="1"/>
  <c r="U90" i="30" s="1"/>
  <c r="V4" i="30"/>
  <c r="W4" i="30" s="1"/>
  <c r="S5" i="30" s="1"/>
  <c r="U5" i="30" s="1"/>
  <c r="I11" i="8"/>
  <c r="I11" i="7" s="1"/>
  <c r="I96" i="35"/>
  <c r="M90" i="29"/>
  <c r="M62" i="29"/>
  <c r="M34" i="29"/>
  <c r="F38" i="22"/>
  <c r="G34" i="7" s="1"/>
  <c r="E38" i="17"/>
  <c r="E20" i="7" s="1"/>
  <c r="E290" i="7" s="1"/>
  <c r="L8" i="30" s="1"/>
  <c r="J25" i="29"/>
  <c r="J99" i="13"/>
  <c r="K35" i="13"/>
  <c r="J93" i="3"/>
  <c r="K35" i="3"/>
  <c r="O66" i="38"/>
  <c r="O94" i="38"/>
  <c r="O38" i="38"/>
  <c r="J99" i="3"/>
  <c r="K41" i="3"/>
  <c r="M10" i="38"/>
  <c r="L134" i="26"/>
  <c r="V43" i="26"/>
  <c r="P9" i="38"/>
  <c r="E260" i="8"/>
  <c r="P9" i="12" s="1"/>
  <c r="R12" i="38"/>
  <c r="H262" i="8"/>
  <c r="R12" i="12" s="1"/>
  <c r="G39" i="35" s="1"/>
  <c r="S237" i="8"/>
  <c r="T241" i="8"/>
  <c r="T250" i="8" s="1"/>
  <c r="J9" i="17"/>
  <c r="N64" i="13"/>
  <c r="J43" i="17"/>
  <c r="B39" i="20"/>
  <c r="D47" i="7" s="1"/>
  <c r="E59" i="7" s="1"/>
  <c r="J105" i="13"/>
  <c r="K41" i="13"/>
  <c r="K37" i="21"/>
  <c r="J101" i="21"/>
  <c r="L10" i="22"/>
  <c r="M40" i="8" s="1"/>
  <c r="Q65" i="21"/>
  <c r="J99" i="21"/>
  <c r="K35" i="21"/>
  <c r="E67" i="32"/>
  <c r="V53" i="34"/>
  <c r="J98" i="21"/>
  <c r="K34" i="21"/>
  <c r="K81" i="31"/>
  <c r="K109" i="31"/>
  <c r="K53" i="31"/>
  <c r="J284" i="7"/>
  <c r="R13" i="29" s="1"/>
  <c r="J98" i="3"/>
  <c r="K40" i="3"/>
  <c r="L127" i="26"/>
  <c r="V36" i="26"/>
  <c r="O38" i="12"/>
  <c r="O94" i="12"/>
  <c r="O66" i="12"/>
  <c r="I162" i="26"/>
  <c r="I13" i="33"/>
  <c r="V13" i="33" s="1"/>
  <c r="L48" i="21"/>
  <c r="K47" i="21"/>
  <c r="G6" i="22" s="1"/>
  <c r="H36" i="8" s="1"/>
  <c r="J8" i="17"/>
  <c r="J261" i="8" s="1"/>
  <c r="Q14" i="12" s="1"/>
  <c r="F41" i="35" s="1"/>
  <c r="N63" i="13"/>
  <c r="H319" i="7"/>
  <c r="H269" i="7"/>
  <c r="Q11" i="9" s="1"/>
  <c r="H283" i="7"/>
  <c r="Q11" i="29" s="1"/>
  <c r="L43" i="13"/>
  <c r="K107" i="13"/>
  <c r="F61" i="31"/>
  <c r="V61" i="31" s="1"/>
  <c r="W61" i="31" s="1"/>
  <c r="S62" i="31" s="1"/>
  <c r="U62" i="31" s="1"/>
  <c r="W62" i="31" s="1"/>
  <c r="S63" i="31" s="1"/>
  <c r="U63" i="31" s="1"/>
  <c r="W63" i="31" s="1"/>
  <c r="S64" i="31" s="1"/>
  <c r="U64" i="31" s="1"/>
  <c r="F33" i="31"/>
  <c r="V33" i="31" s="1"/>
  <c r="W33" i="31" s="1"/>
  <c r="S34" i="31" s="1"/>
  <c r="U34" i="31" s="1"/>
  <c r="W34" i="31" s="1"/>
  <c r="S35" i="31" s="1"/>
  <c r="U35" i="31" s="1"/>
  <c r="W35" i="31" s="1"/>
  <c r="S36" i="31" s="1"/>
  <c r="U36" i="31" s="1"/>
  <c r="F89" i="31"/>
  <c r="V89" i="31" s="1"/>
  <c r="W89" i="31" s="1"/>
  <c r="S90" i="31" s="1"/>
  <c r="U90" i="31" s="1"/>
  <c r="V4" i="31"/>
  <c r="W4" i="31" s="1"/>
  <c r="S5" i="31" s="1"/>
  <c r="U5" i="31" s="1"/>
  <c r="J25" i="30"/>
  <c r="V305" i="7"/>
  <c r="O25" i="31" s="1"/>
  <c r="D45" i="8"/>
  <c r="B11" i="20"/>
  <c r="O58" i="3"/>
  <c r="O116" i="3" s="1"/>
  <c r="J9" i="6"/>
  <c r="W26" i="34"/>
  <c r="S61" i="9"/>
  <c r="O62" i="26"/>
  <c r="G162" i="26"/>
  <c r="G13" i="33"/>
  <c r="T13" i="33" s="1"/>
  <c r="J52" i="30"/>
  <c r="J108" i="30"/>
  <c r="J80" i="30"/>
  <c r="G32" i="8"/>
  <c r="K27" i="3"/>
  <c r="G4" i="6" s="1"/>
  <c r="G6" i="8" s="1"/>
  <c r="L28" i="3"/>
  <c r="K86" i="3"/>
  <c r="M92" i="30"/>
  <c r="M64" i="30"/>
  <c r="M36" i="30"/>
  <c r="J46" i="3"/>
  <c r="F7" i="6" s="1"/>
  <c r="F9" i="8" s="1"/>
  <c r="K48" i="3"/>
  <c r="K42" i="13"/>
  <c r="J106" i="13"/>
  <c r="S89" i="9"/>
  <c r="AE26" i="34"/>
  <c r="O90" i="26"/>
  <c r="F68" i="8"/>
  <c r="I43" i="17"/>
  <c r="I295" i="7" s="1"/>
  <c r="Q12" i="30" s="1"/>
  <c r="AD53" i="34"/>
  <c r="E95" i="32"/>
  <c r="R95" i="12"/>
  <c r="R67" i="12"/>
  <c r="R39" i="12"/>
  <c r="E39" i="32" s="1"/>
  <c r="E10" i="32"/>
  <c r="F54" i="34"/>
  <c r="L133" i="26"/>
  <c r="V42" i="26"/>
  <c r="I7" i="13"/>
  <c r="J11" i="13"/>
  <c r="I9" i="13"/>
  <c r="F2" i="17" s="1"/>
  <c r="V44" i="7"/>
  <c r="J91" i="3"/>
  <c r="K33" i="3"/>
  <c r="K36" i="13"/>
  <c r="J100" i="13"/>
  <c r="K10" i="6"/>
  <c r="K12" i="8" s="1"/>
  <c r="K12" i="7" s="1"/>
  <c r="P59" i="3"/>
  <c r="P117" i="3" s="1"/>
  <c r="R97" i="29"/>
  <c r="R69" i="29"/>
  <c r="R41" i="29"/>
  <c r="K52" i="24"/>
  <c r="J50" i="24"/>
  <c r="F7" i="20" s="1"/>
  <c r="H49" i="8" s="1"/>
  <c r="I61" i="8" s="1"/>
  <c r="J73" i="8" s="1"/>
  <c r="K85" i="8" s="1"/>
  <c r="L97" i="8" s="1"/>
  <c r="M109" i="8" s="1"/>
  <c r="J30" i="13"/>
  <c r="I29" i="13"/>
  <c r="F4" i="17" s="1"/>
  <c r="F20" i="8" s="1"/>
  <c r="F257" i="8" s="1"/>
  <c r="M10" i="12" s="1"/>
  <c r="I94" i="13"/>
  <c r="I93" i="13" s="1"/>
  <c r="F38" i="17" s="1"/>
  <c r="F20" i="7" s="1"/>
  <c r="F290" i="7" s="1"/>
  <c r="L9" i="30" s="1"/>
  <c r="N92" i="38"/>
  <c r="N64" i="38"/>
  <c r="N36" i="38"/>
  <c r="F278" i="7"/>
  <c r="L9" i="29" s="1"/>
  <c r="K38" i="13"/>
  <c r="J102" i="13"/>
  <c r="F38" i="33"/>
  <c r="M38" i="33" s="1"/>
  <c r="F27" i="34"/>
  <c r="F69" i="34" s="1"/>
  <c r="K92" i="7"/>
  <c r="R105" i="7"/>
  <c r="S118" i="7" s="1"/>
  <c r="Q301" i="7"/>
  <c r="K20" i="31" s="1"/>
  <c r="O109" i="31"/>
  <c r="O81" i="31"/>
  <c r="O53" i="31"/>
  <c r="I283" i="7"/>
  <c r="Q12" i="29" s="1"/>
  <c r="J42" i="21"/>
  <c r="I106" i="21"/>
  <c r="L129" i="26"/>
  <c r="V38" i="26"/>
  <c r="M35" i="30"/>
  <c r="M91" i="30"/>
  <c r="M63" i="30"/>
  <c r="S92" i="7"/>
  <c r="H100" i="24"/>
  <c r="I36" i="24"/>
  <c r="K9" i="21"/>
  <c r="G2" i="22" s="1"/>
  <c r="L11" i="21"/>
  <c r="H91" i="35"/>
  <c r="J91" i="35" s="1"/>
  <c r="L91" i="35" s="1"/>
  <c r="I118" i="35"/>
  <c r="J118" i="35" s="1"/>
  <c r="K16" i="21"/>
  <c r="G3" i="22" s="1"/>
  <c r="H33" i="8" s="1"/>
  <c r="L18" i="21"/>
  <c r="R68" i="29"/>
  <c r="R40" i="29"/>
  <c r="R96" i="29"/>
  <c r="G302" i="7"/>
  <c r="L10" i="31" s="1"/>
  <c r="E11" i="6"/>
  <c r="E4" i="8"/>
  <c r="G119" i="35"/>
  <c r="R67" i="38"/>
  <c r="X67" i="35" s="1"/>
  <c r="R39" i="38"/>
  <c r="R95" i="38"/>
  <c r="Z67" i="35" s="1"/>
  <c r="V92" i="7"/>
  <c r="I32" i="21"/>
  <c r="E5" i="22" s="1"/>
  <c r="S14" i="38"/>
  <c r="J263" i="8"/>
  <c r="S14" i="12" s="1"/>
  <c r="J96" i="3"/>
  <c r="K38" i="3"/>
  <c r="E41" i="8"/>
  <c r="J97" i="3"/>
  <c r="K39" i="3"/>
  <c r="J24" i="30"/>
  <c r="N110" i="31"/>
  <c r="N82" i="31"/>
  <c r="N54" i="31"/>
  <c r="V37" i="26"/>
  <c r="L128" i="26"/>
  <c r="C27" i="34"/>
  <c r="C69" i="34" s="1"/>
  <c r="U4" i="9"/>
  <c r="C38" i="33"/>
  <c r="J38" i="33" s="1"/>
  <c r="L91" i="26"/>
  <c r="V91" i="26" s="1"/>
  <c r="V89" i="9"/>
  <c r="J30" i="3"/>
  <c r="F5" i="6" s="1"/>
  <c r="F7" i="8" s="1"/>
  <c r="J90" i="3"/>
  <c r="K32" i="3"/>
  <c r="I18" i="24"/>
  <c r="H16" i="24"/>
  <c r="D3" i="20" s="1"/>
  <c r="H7" i="24"/>
  <c r="M64" i="29"/>
  <c r="M92" i="29"/>
  <c r="M36" i="29"/>
  <c r="J94" i="3"/>
  <c r="K36" i="3"/>
  <c r="I50" i="13"/>
  <c r="F7" i="17" s="1"/>
  <c r="F23" i="8" s="1"/>
  <c r="J52" i="13"/>
  <c r="K8" i="38"/>
  <c r="D13" i="8"/>
  <c r="D255" i="8"/>
  <c r="G96" i="24"/>
  <c r="C39" i="20" s="1"/>
  <c r="E47" i="7" s="1"/>
  <c r="F59" i="7" s="1"/>
  <c r="J100" i="21"/>
  <c r="K36" i="21"/>
  <c r="H101" i="24"/>
  <c r="I37" i="24"/>
  <c r="P92" i="12"/>
  <c r="P64" i="12"/>
  <c r="P36" i="12"/>
  <c r="K11" i="3"/>
  <c r="J9" i="3"/>
  <c r="F2" i="6" s="1"/>
  <c r="J7" i="3"/>
  <c r="E11" i="17"/>
  <c r="E18" i="8"/>
  <c r="E27" i="8" s="1"/>
  <c r="S202" i="8"/>
  <c r="R199" i="8"/>
  <c r="F90" i="24"/>
  <c r="G90" i="24" s="1"/>
  <c r="H90" i="24" s="1"/>
  <c r="I90" i="24" s="1"/>
  <c r="J90" i="24" s="1"/>
  <c r="K90" i="24" s="1"/>
  <c r="L90" i="24" s="1"/>
  <c r="L92" i="38"/>
  <c r="L64" i="38"/>
  <c r="L36" i="38"/>
  <c r="H102" i="24"/>
  <c r="I38" i="24"/>
  <c r="P96" i="30"/>
  <c r="P68" i="30"/>
  <c r="I70" i="26" s="1"/>
  <c r="P40" i="30"/>
  <c r="I12" i="26"/>
  <c r="J100" i="3"/>
  <c r="K42" i="3"/>
  <c r="J107" i="29"/>
  <c r="J79" i="29"/>
  <c r="J51" i="29"/>
  <c r="D11" i="22"/>
  <c r="J109" i="29"/>
  <c r="J53" i="29"/>
  <c r="J81" i="29"/>
  <c r="R97" i="30"/>
  <c r="R69" i="30"/>
  <c r="R41" i="30"/>
  <c r="K93" i="21"/>
  <c r="G38" i="22" s="1"/>
  <c r="H34" i="7" s="1"/>
  <c r="H98" i="24"/>
  <c r="I34" i="24"/>
  <c r="H32" i="24"/>
  <c r="D5" i="20" s="1"/>
  <c r="F47" i="8" s="1"/>
  <c r="G59" i="8" s="1"/>
  <c r="H71" i="8" s="1"/>
  <c r="I83" i="8" s="1"/>
  <c r="J95" i="8" s="1"/>
  <c r="K107" i="8" s="1"/>
  <c r="K94" i="24"/>
  <c r="L30" i="24"/>
  <c r="K29" i="24"/>
  <c r="G4" i="20" s="1"/>
  <c r="I46" i="8" s="1"/>
  <c r="J58" i="8" s="1"/>
  <c r="K70" i="8" s="1"/>
  <c r="L82" i="8" s="1"/>
  <c r="M94" i="8" s="1"/>
  <c r="N106" i="8" s="1"/>
  <c r="S199" i="8"/>
  <c r="T202" i="8"/>
  <c r="L93" i="31"/>
  <c r="L65" i="31"/>
  <c r="L37" i="31"/>
  <c r="M93" i="38"/>
  <c r="M65" i="38"/>
  <c r="M37" i="38"/>
  <c r="P92" i="38"/>
  <c r="P64" i="38"/>
  <c r="P36" i="38"/>
  <c r="F56" i="8"/>
  <c r="E53" i="8"/>
  <c r="U44" i="7"/>
  <c r="V56" i="7" s="1"/>
  <c r="J109" i="13"/>
  <c r="K45" i="13"/>
  <c r="J52" i="21"/>
  <c r="I50" i="21"/>
  <c r="E7" i="22" s="1"/>
  <c r="F37" i="8" s="1"/>
  <c r="G44" i="8"/>
  <c r="J44" i="21"/>
  <c r="I108" i="21"/>
  <c r="J9" i="20"/>
  <c r="L51" i="8" s="1"/>
  <c r="N128" i="24"/>
  <c r="J43" i="20" s="1"/>
  <c r="O64" i="24"/>
  <c r="J43" i="21"/>
  <c r="I107" i="21"/>
  <c r="K18" i="3"/>
  <c r="J16" i="3"/>
  <c r="F3" i="6" s="1"/>
  <c r="F5" i="8" s="1"/>
  <c r="J51" i="30"/>
  <c r="J107" i="30"/>
  <c r="J79" i="30"/>
  <c r="O11" i="38"/>
  <c r="G259" i="8"/>
  <c r="O11" i="12" s="1"/>
  <c r="I109" i="21"/>
  <c r="J45" i="21"/>
  <c r="L156" i="26"/>
  <c r="L7" i="33"/>
  <c r="Y7" i="33" s="1"/>
  <c r="V5" i="26"/>
  <c r="M5" i="26"/>
  <c r="K10" i="17"/>
  <c r="O65" i="13"/>
  <c r="R206" i="7"/>
  <c r="J23" i="29"/>
  <c r="S224" i="8"/>
  <c r="T228" i="8"/>
  <c r="H107" i="24"/>
  <c r="I43" i="24"/>
  <c r="I96" i="13"/>
  <c r="L35" i="26"/>
  <c r="V33" i="9"/>
  <c r="L44" i="13"/>
  <c r="K108" i="13"/>
  <c r="N9" i="38"/>
  <c r="E258" i="8"/>
  <c r="N9" i="12" s="1"/>
  <c r="H109" i="24"/>
  <c r="I45" i="24"/>
  <c r="E38" i="6"/>
  <c r="E6" i="7" s="1"/>
  <c r="M91" i="9"/>
  <c r="M35" i="9"/>
  <c r="M63" i="9"/>
  <c r="M31" i="21"/>
  <c r="L95" i="21"/>
  <c r="N92" i="7"/>
  <c r="P65" i="24"/>
  <c r="K10" i="20"/>
  <c r="M52" i="8" s="1"/>
  <c r="K37" i="13"/>
  <c r="J101" i="13"/>
  <c r="J8" i="22"/>
  <c r="K38" i="8" s="1"/>
  <c r="O63" i="21"/>
  <c r="O34" i="26"/>
  <c r="O26" i="34"/>
  <c r="S33" i="9"/>
  <c r="C11" i="20"/>
  <c r="K48" i="24"/>
  <c r="J47" i="24"/>
  <c r="F6" i="20" s="1"/>
  <c r="H48" i="8" s="1"/>
  <c r="I60" i="8" s="1"/>
  <c r="J72" i="8" s="1"/>
  <c r="K84" i="8" s="1"/>
  <c r="L96" i="8" s="1"/>
  <c r="M108" i="8" s="1"/>
  <c r="H99" i="24"/>
  <c r="I35" i="24"/>
  <c r="Q69" i="12"/>
  <c r="Q41" i="12"/>
  <c r="Q97" i="12"/>
  <c r="K87" i="3"/>
  <c r="L29" i="3"/>
  <c r="B264" i="8"/>
  <c r="K6" i="12"/>
  <c r="O108" i="31"/>
  <c r="O52" i="31"/>
  <c r="O80" i="31"/>
  <c r="J9" i="24"/>
  <c r="F2" i="20" s="1"/>
  <c r="K11" i="24"/>
  <c r="I16" i="13"/>
  <c r="F3" i="17" s="1"/>
  <c r="F19" i="8" s="1"/>
  <c r="J18" i="13"/>
  <c r="L9" i="38"/>
  <c r="J41" i="21"/>
  <c r="I105" i="21"/>
  <c r="J95" i="13"/>
  <c r="K31" i="13"/>
  <c r="S97" i="12"/>
  <c r="S41" i="12"/>
  <c r="S69" i="12"/>
  <c r="N55" i="34"/>
  <c r="F33" i="29"/>
  <c r="V33" i="29" s="1"/>
  <c r="W33" i="29" s="1"/>
  <c r="S34" i="29" s="1"/>
  <c r="U34" i="29" s="1"/>
  <c r="F61" i="29"/>
  <c r="V61" i="29" s="1"/>
  <c r="W61" i="29" s="1"/>
  <c r="S62" i="29" s="1"/>
  <c r="U62" i="29" s="1"/>
  <c r="F89" i="29"/>
  <c r="V89" i="29" s="1"/>
  <c r="W89" i="29" s="1"/>
  <c r="S90" i="29" s="1"/>
  <c r="U90" i="29" s="1"/>
  <c r="V4" i="29"/>
  <c r="W4" i="29" s="1"/>
  <c r="S5" i="29" s="1"/>
  <c r="U5" i="29" s="1"/>
  <c r="L130" i="26"/>
  <c r="V39" i="26"/>
  <c r="J98" i="13"/>
  <c r="K34" i="13"/>
  <c r="J32" i="13"/>
  <c r="G5" i="17" s="1"/>
  <c r="G21" i="8" s="1"/>
  <c r="I88" i="3"/>
  <c r="K38" i="21"/>
  <c r="J102" i="21"/>
  <c r="U230" i="7"/>
  <c r="L63" i="26"/>
  <c r="V63" i="26" s="1"/>
  <c r="V61" i="9"/>
  <c r="L43" i="3"/>
  <c r="H6" i="6" s="1"/>
  <c r="H8" i="8" s="1"/>
  <c r="M44" i="3"/>
  <c r="M62" i="9"/>
  <c r="M34" i="9"/>
  <c r="M90" i="9"/>
  <c r="N92" i="12"/>
  <c r="N36" i="12"/>
  <c r="N64" i="12"/>
  <c r="M30" i="21"/>
  <c r="L29" i="21"/>
  <c r="H4" i="22" s="1"/>
  <c r="I34" i="8" s="1"/>
  <c r="L94" i="21"/>
  <c r="L91" i="9"/>
  <c r="L63" i="9"/>
  <c r="L35" i="9"/>
  <c r="J93" i="24"/>
  <c r="K91" i="38"/>
  <c r="K63" i="38"/>
  <c r="U7" i="38"/>
  <c r="V7" i="38" s="1"/>
  <c r="K35" i="38"/>
  <c r="J92" i="3"/>
  <c r="K34" i="3"/>
  <c r="I294" i="7"/>
  <c r="P12" i="30" s="1"/>
  <c r="K47" i="13"/>
  <c r="H6" i="17" s="1"/>
  <c r="H22" i="8" s="1"/>
  <c r="L48" i="13"/>
  <c r="H108" i="24"/>
  <c r="I44" i="24"/>
  <c r="K95" i="24"/>
  <c r="L31" i="24"/>
  <c r="K62" i="38"/>
  <c r="K90" i="38"/>
  <c r="K34" i="38"/>
  <c r="U6" i="38"/>
  <c r="V6" i="38" s="1"/>
  <c r="F88" i="24"/>
  <c r="G88" i="24" s="1"/>
  <c r="H88" i="24" s="1"/>
  <c r="I88" i="24" s="1"/>
  <c r="J88" i="24" s="1"/>
  <c r="K88" i="24" s="1"/>
  <c r="L88" i="24" s="1"/>
  <c r="I43" i="20"/>
  <c r="S97" i="38"/>
  <c r="S69" i="38"/>
  <c r="S41" i="38"/>
  <c r="L131" i="26"/>
  <c r="V40" i="26"/>
  <c r="G56" i="8"/>
  <c r="T92" i="14" l="1"/>
  <c r="T129" i="13" s="1"/>
  <c r="U93" i="14"/>
  <c r="T90" i="14"/>
  <c r="T127" i="13" s="1"/>
  <c r="T91" i="14"/>
  <c r="T128" i="13" s="1"/>
  <c r="D37" i="35"/>
  <c r="H37" i="35" s="1"/>
  <c r="U67" i="35"/>
  <c r="D12" i="35" s="1"/>
  <c r="E174" i="35" s="1"/>
  <c r="V67" i="35"/>
  <c r="K296" i="7"/>
  <c r="R14" i="30" s="1"/>
  <c r="R71" i="30" s="1"/>
  <c r="Q98" i="31"/>
  <c r="Q42" i="31"/>
  <c r="L10" i="7"/>
  <c r="L282" i="7" s="1"/>
  <c r="P15" i="29" s="1"/>
  <c r="L24" i="7"/>
  <c r="P99" i="29"/>
  <c r="P71" i="29"/>
  <c r="P43" i="29"/>
  <c r="K25" i="7"/>
  <c r="L26" i="7"/>
  <c r="L98" i="7"/>
  <c r="M65" i="39"/>
  <c r="L76" i="7" s="1"/>
  <c r="M66" i="39"/>
  <c r="L88" i="7" s="1"/>
  <c r="M67" i="39"/>
  <c r="L100" i="7" s="1"/>
  <c r="M68" i="39"/>
  <c r="L112" i="7" s="1"/>
  <c r="L62" i="7"/>
  <c r="L50" i="7"/>
  <c r="L110" i="7"/>
  <c r="L86" i="7"/>
  <c r="M64" i="39"/>
  <c r="L64" i="7" s="1"/>
  <c r="M63" i="39"/>
  <c r="L52" i="7" s="1"/>
  <c r="L74" i="7"/>
  <c r="L38" i="7"/>
  <c r="M62" i="39"/>
  <c r="L40" i="7" s="1"/>
  <c r="N58" i="39"/>
  <c r="N61" i="39" s="1"/>
  <c r="N4" i="39"/>
  <c r="N7" i="39" s="1"/>
  <c r="M35" i="39"/>
  <c r="L39" i="7" s="1"/>
  <c r="N31" i="39"/>
  <c r="M40" i="39"/>
  <c r="L99" i="7" s="1"/>
  <c r="M37" i="39"/>
  <c r="L63" i="7" s="1"/>
  <c r="M36" i="39"/>
  <c r="L51" i="7" s="1"/>
  <c r="M38" i="39"/>
  <c r="L75" i="7" s="1"/>
  <c r="M41" i="39"/>
  <c r="L111" i="7" s="1"/>
  <c r="M39" i="39"/>
  <c r="L87" i="7" s="1"/>
  <c r="M34" i="39"/>
  <c r="P95" i="18"/>
  <c r="P91" i="18" s="1"/>
  <c r="T131" i="7"/>
  <c r="U145" i="7" s="1"/>
  <c r="V159" i="7" s="1"/>
  <c r="S301" i="7"/>
  <c r="K22" i="31" s="1"/>
  <c r="R300" i="7"/>
  <c r="J21" i="31" s="1"/>
  <c r="R70" i="30"/>
  <c r="R42" i="30"/>
  <c r="O128" i="21"/>
  <c r="O127" i="21"/>
  <c r="L44" i="17"/>
  <c r="O129" i="21"/>
  <c r="K44" i="22" s="1"/>
  <c r="R115" i="3"/>
  <c r="N42" i="6" s="1"/>
  <c r="O96" i="18"/>
  <c r="N92" i="18"/>
  <c r="K7" i="12"/>
  <c r="E50" i="34" s="1"/>
  <c r="O94" i="18"/>
  <c r="O90" i="18" s="1"/>
  <c r="S224" i="7"/>
  <c r="T236" i="7" s="1"/>
  <c r="I42" i="26"/>
  <c r="I98" i="26"/>
  <c r="S237" i="7"/>
  <c r="S236" i="7"/>
  <c r="S226" i="7"/>
  <c r="T238" i="7" s="1"/>
  <c r="R226" i="7"/>
  <c r="I96" i="21"/>
  <c r="E39" i="22" s="1"/>
  <c r="F35" i="7" s="1"/>
  <c r="J88" i="3"/>
  <c r="F39" i="6" s="1"/>
  <c r="F7" i="7" s="1"/>
  <c r="F279" i="7" s="1"/>
  <c r="M9" i="29" s="1"/>
  <c r="J32" i="21"/>
  <c r="F5" i="22" s="1"/>
  <c r="G35" i="8" s="1"/>
  <c r="J295" i="7"/>
  <c r="Q13" i="30" s="1"/>
  <c r="Q98" i="30" s="1"/>
  <c r="J9" i="22"/>
  <c r="K39" i="8" s="1"/>
  <c r="J43" i="22"/>
  <c r="O64" i="21"/>
  <c r="J96" i="13"/>
  <c r="G39" i="17" s="1"/>
  <c r="G21" i="7" s="1"/>
  <c r="I132" i="26"/>
  <c r="O125" i="26"/>
  <c r="F314" i="7"/>
  <c r="I269" i="7"/>
  <c r="Q12" i="9" s="1"/>
  <c r="Q97" i="9" s="1"/>
  <c r="I319" i="7"/>
  <c r="F264" i="7"/>
  <c r="L9" i="9" s="1"/>
  <c r="L94" i="9" s="1"/>
  <c r="L95" i="24"/>
  <c r="M31" i="24"/>
  <c r="P41" i="30"/>
  <c r="P97" i="30"/>
  <c r="P69" i="30"/>
  <c r="I13" i="26"/>
  <c r="U35" i="38"/>
  <c r="V35" i="38" s="1"/>
  <c r="N30" i="21"/>
  <c r="M29" i="21"/>
  <c r="I4" i="22" s="1"/>
  <c r="J34" i="8" s="1"/>
  <c r="M94" i="21"/>
  <c r="V243" i="7"/>
  <c r="L11" i="24"/>
  <c r="K9" i="24"/>
  <c r="G2" i="20" s="1"/>
  <c r="U33" i="9"/>
  <c r="K27" i="34"/>
  <c r="B159" i="15"/>
  <c r="E314" i="7"/>
  <c r="E264" i="7"/>
  <c r="L8" i="9" s="1"/>
  <c r="E278" i="7"/>
  <c r="L8" i="29" s="1"/>
  <c r="L126" i="26"/>
  <c r="V35" i="26"/>
  <c r="M7" i="33"/>
  <c r="Z7" i="33" s="1"/>
  <c r="M156" i="26"/>
  <c r="O95" i="38"/>
  <c r="O67" i="38"/>
  <c r="O39" i="38"/>
  <c r="L10" i="38"/>
  <c r="K44" i="21"/>
  <c r="J108" i="21"/>
  <c r="T211" i="8"/>
  <c r="U215" i="8"/>
  <c r="I98" i="24"/>
  <c r="J34" i="24"/>
  <c r="I32" i="24"/>
  <c r="E5" i="20" s="1"/>
  <c r="G47" i="8" s="1"/>
  <c r="H59" i="8" s="1"/>
  <c r="I71" i="8" s="1"/>
  <c r="J83" i="8" s="1"/>
  <c r="K95" i="8" s="1"/>
  <c r="L107" i="8" s="1"/>
  <c r="L11" i="3"/>
  <c r="K9" i="3"/>
  <c r="G2" i="6" s="1"/>
  <c r="K7" i="3"/>
  <c r="K97" i="3"/>
  <c r="L39" i="3"/>
  <c r="T104" i="7"/>
  <c r="U117" i="7" s="1"/>
  <c r="V130" i="7" s="1"/>
  <c r="S300" i="7"/>
  <c r="L44" i="6"/>
  <c r="L10" i="6"/>
  <c r="L12" i="8" s="1"/>
  <c r="L12" i="7" s="1"/>
  <c r="Q59" i="3"/>
  <c r="Q117" i="3" s="1"/>
  <c r="K91" i="3"/>
  <c r="L33" i="3"/>
  <c r="K11" i="13"/>
  <c r="J7" i="13"/>
  <c r="J9" i="13"/>
  <c r="G2" i="17" s="1"/>
  <c r="K46" i="3"/>
  <c r="G7" i="6" s="1"/>
  <c r="G9" i="8" s="1"/>
  <c r="L48" i="3"/>
  <c r="E57" i="8"/>
  <c r="D256" i="8"/>
  <c r="L8" i="12" s="1"/>
  <c r="D53" i="8"/>
  <c r="J42" i="17"/>
  <c r="K99" i="13"/>
  <c r="L35" i="13"/>
  <c r="P63" i="21"/>
  <c r="K8" i="22"/>
  <c r="L38" i="8" s="1"/>
  <c r="I109" i="24"/>
  <c r="J45" i="24"/>
  <c r="F39" i="17"/>
  <c r="F21" i="7" s="1"/>
  <c r="L18" i="3"/>
  <c r="K16" i="3"/>
  <c r="G3" i="6" s="1"/>
  <c r="G5" i="8" s="1"/>
  <c r="H56" i="8"/>
  <c r="H96" i="24"/>
  <c r="D39" i="20" s="1"/>
  <c r="F47" i="7" s="1"/>
  <c r="G59" i="7" s="1"/>
  <c r="K92" i="38"/>
  <c r="K64" i="38"/>
  <c r="K36" i="38"/>
  <c r="U8" i="38"/>
  <c r="V8" i="38" s="1"/>
  <c r="F45" i="8"/>
  <c r="D11" i="20"/>
  <c r="S42" i="12"/>
  <c r="S98" i="12"/>
  <c r="S70" i="12"/>
  <c r="S15" i="38"/>
  <c r="K263" i="8"/>
  <c r="S15" i="12" s="1"/>
  <c r="E68" i="32"/>
  <c r="V54" i="34"/>
  <c r="AA27" i="34"/>
  <c r="D159" i="15"/>
  <c r="U89" i="9"/>
  <c r="P10" i="38"/>
  <c r="F260" i="8"/>
  <c r="P10" i="12" s="1"/>
  <c r="S27" i="34"/>
  <c r="U61" i="9"/>
  <c r="C159" i="15"/>
  <c r="O110" i="31"/>
  <c r="O82" i="31"/>
  <c r="O54" i="31"/>
  <c r="M43" i="13"/>
  <c r="L107" i="13"/>
  <c r="R98" i="29"/>
  <c r="R70" i="29"/>
  <c r="R42" i="29"/>
  <c r="K99" i="21"/>
  <c r="L35" i="21"/>
  <c r="K101" i="21"/>
  <c r="L37" i="21"/>
  <c r="P93" i="12"/>
  <c r="P65" i="12"/>
  <c r="P37" i="12"/>
  <c r="J7" i="21"/>
  <c r="K92" i="3"/>
  <c r="L34" i="3"/>
  <c r="U63" i="38"/>
  <c r="V63" i="38" s="1"/>
  <c r="N44" i="3"/>
  <c r="M43" i="3"/>
  <c r="I6" i="6" s="1"/>
  <c r="I8" i="8" s="1"/>
  <c r="H44" i="8"/>
  <c r="I99" i="24"/>
  <c r="J35" i="24"/>
  <c r="K100" i="3"/>
  <c r="L42" i="3"/>
  <c r="I102" i="24"/>
  <c r="J38" i="24"/>
  <c r="T215" i="8"/>
  <c r="S211" i="8"/>
  <c r="I101" i="24"/>
  <c r="J37" i="24"/>
  <c r="J18" i="24"/>
  <c r="I16" i="24"/>
  <c r="E3" i="20" s="1"/>
  <c r="I7" i="24"/>
  <c r="AD27" i="34"/>
  <c r="M91" i="26"/>
  <c r="S70" i="38"/>
  <c r="S42" i="38"/>
  <c r="S98" i="38"/>
  <c r="I100" i="24"/>
  <c r="J36" i="24"/>
  <c r="AD54" i="34"/>
  <c r="E96" i="32"/>
  <c r="J82" i="30"/>
  <c r="J54" i="30"/>
  <c r="J110" i="30"/>
  <c r="K105" i="13"/>
  <c r="L41" i="13"/>
  <c r="P65" i="38"/>
  <c r="P37" i="38"/>
  <c r="P93" i="38"/>
  <c r="U91" i="38"/>
  <c r="V91" i="38" s="1"/>
  <c r="O12" i="38"/>
  <c r="H259" i="8"/>
  <c r="O12" i="12" s="1"/>
  <c r="K95" i="13"/>
  <c r="L31" i="13"/>
  <c r="N31" i="21"/>
  <c r="M95" i="21"/>
  <c r="N37" i="12"/>
  <c r="N65" i="12"/>
  <c r="N93" i="12"/>
  <c r="I107" i="24"/>
  <c r="J43" i="24"/>
  <c r="K43" i="21"/>
  <c r="J107" i="21"/>
  <c r="L45" i="13"/>
  <c r="K109" i="13"/>
  <c r="L94" i="24"/>
  <c r="M30" i="24"/>
  <c r="L29" i="24"/>
  <c r="H4" i="20" s="1"/>
  <c r="J46" i="8" s="1"/>
  <c r="K58" i="8" s="1"/>
  <c r="L70" i="8" s="1"/>
  <c r="M82" i="8" s="1"/>
  <c r="N94" i="8" s="1"/>
  <c r="O106" i="8" s="1"/>
  <c r="K52" i="13"/>
  <c r="J50" i="13"/>
  <c r="G7" i="17" s="1"/>
  <c r="G23" i="8" s="1"/>
  <c r="L95" i="31"/>
  <c r="L67" i="31"/>
  <c r="L39" i="31"/>
  <c r="L94" i="30"/>
  <c r="L38" i="30"/>
  <c r="L66" i="30"/>
  <c r="J43" i="6"/>
  <c r="K98" i="21"/>
  <c r="L34" i="21"/>
  <c r="J110" i="29"/>
  <c r="J54" i="29"/>
  <c r="J82" i="29"/>
  <c r="I105" i="24"/>
  <c r="J41" i="24"/>
  <c r="I108" i="24"/>
  <c r="J44" i="24"/>
  <c r="J108" i="29"/>
  <c r="J80" i="29"/>
  <c r="J52" i="29"/>
  <c r="U34" i="38"/>
  <c r="V34" i="38" s="1"/>
  <c r="M48" i="13"/>
  <c r="L47" i="13"/>
  <c r="I6" i="17" s="1"/>
  <c r="I22" i="8" s="1"/>
  <c r="F38" i="20"/>
  <c r="H46" i="7" s="1"/>
  <c r="I58" i="7" s="1"/>
  <c r="L38" i="21"/>
  <c r="K102" i="21"/>
  <c r="L93" i="38"/>
  <c r="L65" i="38"/>
  <c r="L37" i="38"/>
  <c r="K101" i="13"/>
  <c r="L37" i="13"/>
  <c r="N65" i="38"/>
  <c r="N93" i="38"/>
  <c r="N37" i="38"/>
  <c r="S218" i="7"/>
  <c r="K9" i="20"/>
  <c r="M51" i="8" s="1"/>
  <c r="O128" i="24"/>
  <c r="P64" i="24"/>
  <c r="G68" i="8"/>
  <c r="F65" i="8"/>
  <c r="K93" i="24"/>
  <c r="G38" i="20" s="1"/>
  <c r="I46" i="7" s="1"/>
  <c r="J58" i="7" s="1"/>
  <c r="I163" i="26"/>
  <c r="I14" i="33"/>
  <c r="V14" i="33" s="1"/>
  <c r="K100" i="21"/>
  <c r="L36" i="21"/>
  <c r="K90" i="3"/>
  <c r="L32" i="3"/>
  <c r="K30" i="3"/>
  <c r="G5" i="6" s="1"/>
  <c r="G7" i="8" s="1"/>
  <c r="H92" i="35"/>
  <c r="J92" i="35" s="1"/>
  <c r="L92" i="35" s="1"/>
  <c r="I119" i="35"/>
  <c r="J119" i="35" s="1"/>
  <c r="Q97" i="29"/>
  <c r="Q69" i="29"/>
  <c r="Q41" i="29"/>
  <c r="G43" i="26" s="1"/>
  <c r="G13" i="26"/>
  <c r="L38" i="13"/>
  <c r="K102" i="13"/>
  <c r="Q97" i="30"/>
  <c r="Q41" i="30"/>
  <c r="Q69" i="30"/>
  <c r="J11" i="8"/>
  <c r="J11" i="7" s="1"/>
  <c r="I97" i="35"/>
  <c r="Q96" i="29"/>
  <c r="Q40" i="29"/>
  <c r="Q68" i="29"/>
  <c r="G12" i="26"/>
  <c r="R13" i="38"/>
  <c r="I262" i="8"/>
  <c r="R13" i="12" s="1"/>
  <c r="G40" i="35" s="1"/>
  <c r="I106" i="24"/>
  <c r="J42" i="24"/>
  <c r="M93" i="30"/>
  <c r="M37" i="30"/>
  <c r="M65" i="30"/>
  <c r="U90" i="38"/>
  <c r="V90" i="38" s="1"/>
  <c r="M63" i="26"/>
  <c r="V27" i="34"/>
  <c r="E39" i="6"/>
  <c r="E7" i="7" s="1"/>
  <c r="K18" i="13"/>
  <c r="J16" i="13"/>
  <c r="G3" i="17" s="1"/>
  <c r="G19" i="8" s="1"/>
  <c r="M29" i="3"/>
  <c r="L87" i="3"/>
  <c r="U7" i="12"/>
  <c r="V7" i="12" s="1"/>
  <c r="G50" i="34" s="1"/>
  <c r="H50" i="34" s="1"/>
  <c r="R99" i="30"/>
  <c r="K45" i="21"/>
  <c r="J109" i="21"/>
  <c r="F35" i="8"/>
  <c r="F41" i="8" s="1"/>
  <c r="E11" i="22"/>
  <c r="K9" i="38"/>
  <c r="E255" i="8"/>
  <c r="E13" i="8"/>
  <c r="M11" i="21"/>
  <c r="L9" i="21"/>
  <c r="H2" i="22" s="1"/>
  <c r="K49" i="31"/>
  <c r="K77" i="31"/>
  <c r="K105" i="31"/>
  <c r="K30" i="13"/>
  <c r="J94" i="13"/>
  <c r="J93" i="13" s="1"/>
  <c r="G38" i="17" s="1"/>
  <c r="G20" i="7" s="1"/>
  <c r="G290" i="7" s="1"/>
  <c r="L10" i="30" s="1"/>
  <c r="J29" i="13"/>
  <c r="G4" i="17" s="1"/>
  <c r="G20" i="8" s="1"/>
  <c r="K85" i="3"/>
  <c r="K9" i="6"/>
  <c r="K11" i="8" s="1"/>
  <c r="K11" i="7" s="1"/>
  <c r="P58" i="3"/>
  <c r="P116" i="3" s="1"/>
  <c r="Q68" i="9"/>
  <c r="Q40" i="9"/>
  <c r="Q96" i="9"/>
  <c r="M10" i="22"/>
  <c r="N40" i="8" s="1"/>
  <c r="R65" i="21"/>
  <c r="D303" i="7"/>
  <c r="M7" i="31" s="1"/>
  <c r="F71" i="7"/>
  <c r="G83" i="7" s="1"/>
  <c r="H95" i="7" s="1"/>
  <c r="I107" i="7" s="1"/>
  <c r="J120" i="7" s="1"/>
  <c r="K133" i="7" s="1"/>
  <c r="L147" i="7" s="1"/>
  <c r="M161" i="7" s="1"/>
  <c r="N173" i="7" s="1"/>
  <c r="O185" i="7" s="1"/>
  <c r="P197" i="7" s="1"/>
  <c r="Q209" i="7" s="1"/>
  <c r="R221" i="7" s="1"/>
  <c r="S233" i="7" s="1"/>
  <c r="T246" i="7" s="1"/>
  <c r="D265" i="7"/>
  <c r="M7" i="9" s="1"/>
  <c r="D315" i="7"/>
  <c r="R96" i="12"/>
  <c r="R40" i="12"/>
  <c r="E40" i="32" s="1"/>
  <c r="R68" i="12"/>
  <c r="E11" i="32"/>
  <c r="F55" i="34"/>
  <c r="M94" i="12"/>
  <c r="M66" i="12"/>
  <c r="M38" i="12"/>
  <c r="K93" i="3"/>
  <c r="L35" i="3"/>
  <c r="L93" i="30"/>
  <c r="L37" i="30"/>
  <c r="L65" i="30"/>
  <c r="H68" i="8"/>
  <c r="U62" i="38"/>
  <c r="V62" i="38" s="1"/>
  <c r="L93" i="21"/>
  <c r="H38" i="22" s="1"/>
  <c r="I34" i="7" s="1"/>
  <c r="J105" i="21"/>
  <c r="K41" i="21"/>
  <c r="K47" i="24"/>
  <c r="G6" i="20" s="1"/>
  <c r="I48" i="8" s="1"/>
  <c r="J60" i="8" s="1"/>
  <c r="K72" i="8" s="1"/>
  <c r="L84" i="8" s="1"/>
  <c r="M96" i="8" s="1"/>
  <c r="N108" i="8" s="1"/>
  <c r="L48" i="24"/>
  <c r="M44" i="13"/>
  <c r="L108" i="13"/>
  <c r="T237" i="8"/>
  <c r="U241" i="8"/>
  <c r="U250" i="8" s="1"/>
  <c r="L10" i="17"/>
  <c r="P65" i="13"/>
  <c r="U300" i="7"/>
  <c r="E303" i="7"/>
  <c r="M8" i="31" s="1"/>
  <c r="G71" i="7"/>
  <c r="H83" i="7" s="1"/>
  <c r="I95" i="7" s="1"/>
  <c r="J107" i="7" s="1"/>
  <c r="K120" i="7" s="1"/>
  <c r="L133" i="7" s="1"/>
  <c r="M147" i="7" s="1"/>
  <c r="K94" i="3"/>
  <c r="L36" i="3"/>
  <c r="N10" i="38"/>
  <c r="N5" i="26"/>
  <c r="W5" i="26" s="1"/>
  <c r="E27" i="34"/>
  <c r="E69" i="34" s="1"/>
  <c r="W4" i="9"/>
  <c r="E38" i="33"/>
  <c r="L38" i="33" s="1"/>
  <c r="J105" i="31"/>
  <c r="J77" i="31"/>
  <c r="J49" i="31"/>
  <c r="K96" i="3"/>
  <c r="L38" i="3"/>
  <c r="M18" i="21"/>
  <c r="L16" i="21"/>
  <c r="H3" i="22" s="1"/>
  <c r="I33" i="8" s="1"/>
  <c r="H32" i="8"/>
  <c r="R301" i="7"/>
  <c r="K21" i="31" s="1"/>
  <c r="L104" i="7"/>
  <c r="M117" i="7" s="1"/>
  <c r="K300" i="7"/>
  <c r="L66" i="29"/>
  <c r="L94" i="29"/>
  <c r="L38" i="29"/>
  <c r="L52" i="24"/>
  <c r="K50" i="24"/>
  <c r="G7" i="20" s="1"/>
  <c r="I49" i="8" s="1"/>
  <c r="J61" i="8" s="1"/>
  <c r="K73" i="8" s="1"/>
  <c r="L85" i="8" s="1"/>
  <c r="M97" i="8" s="1"/>
  <c r="N109" i="8" s="1"/>
  <c r="G80" i="8"/>
  <c r="L42" i="13"/>
  <c r="K106" i="13"/>
  <c r="L86" i="3"/>
  <c r="L27" i="3"/>
  <c r="H4" i="6" s="1"/>
  <c r="H6" i="8" s="1"/>
  <c r="M28" i="3"/>
  <c r="K8" i="17"/>
  <c r="K261" i="8" s="1"/>
  <c r="Q15" i="12" s="1"/>
  <c r="F42" i="35" s="1"/>
  <c r="O63" i="13"/>
  <c r="L47" i="21"/>
  <c r="H6" i="22" s="1"/>
  <c r="I36" i="8" s="1"/>
  <c r="M48" i="21"/>
  <c r="K98" i="3"/>
  <c r="L40" i="3"/>
  <c r="R96" i="38"/>
  <c r="Z68" i="35" s="1"/>
  <c r="R68" i="38"/>
  <c r="X68" i="35" s="1"/>
  <c r="R40" i="38"/>
  <c r="M94" i="38"/>
  <c r="M66" i="38"/>
  <c r="M38" i="38"/>
  <c r="K307" i="7"/>
  <c r="Q14" i="31" s="1"/>
  <c r="K98" i="13"/>
  <c r="L34" i="13"/>
  <c r="K32" i="13"/>
  <c r="H5" i="17" s="1"/>
  <c r="H21" i="8" s="1"/>
  <c r="D5" i="32"/>
  <c r="K34" i="12"/>
  <c r="G33" i="35"/>
  <c r="U6" i="12"/>
  <c r="V6" i="12" s="1"/>
  <c r="G49" i="34" s="1"/>
  <c r="H49" i="34" s="1"/>
  <c r="E49" i="34"/>
  <c r="K90" i="12"/>
  <c r="K62" i="12"/>
  <c r="N56" i="34"/>
  <c r="L10" i="20"/>
  <c r="N52" i="8" s="1"/>
  <c r="Q65" i="24"/>
  <c r="O104" i="7"/>
  <c r="P117" i="7" s="1"/>
  <c r="N300" i="7"/>
  <c r="M35" i="26"/>
  <c r="N27" i="34"/>
  <c r="O67" i="12"/>
  <c r="O39" i="12"/>
  <c r="O95" i="12"/>
  <c r="K52" i="21"/>
  <c r="J50" i="21"/>
  <c r="F7" i="22" s="1"/>
  <c r="G37" i="8" s="1"/>
  <c r="F11" i="6"/>
  <c r="F13" i="6"/>
  <c r="F4" i="8"/>
  <c r="G120" i="35"/>
  <c r="K8" i="12"/>
  <c r="J109" i="30"/>
  <c r="J81" i="30"/>
  <c r="J53" i="30"/>
  <c r="K42" i="21"/>
  <c r="J106" i="21"/>
  <c r="K44" i="6"/>
  <c r="K100" i="13"/>
  <c r="L36" i="13"/>
  <c r="F11" i="17"/>
  <c r="F18" i="8"/>
  <c r="F27" i="8" s="1"/>
  <c r="M11" i="38"/>
  <c r="G257" i="8"/>
  <c r="M11" i="12" s="1"/>
  <c r="Q98" i="12"/>
  <c r="Q70" i="12"/>
  <c r="Q42" i="12"/>
  <c r="K9" i="17"/>
  <c r="O64" i="13"/>
  <c r="K99" i="3"/>
  <c r="L41" i="3"/>
  <c r="D38" i="35" l="1"/>
  <c r="H38" i="35" s="1"/>
  <c r="U92" i="14"/>
  <c r="U129" i="13" s="1"/>
  <c r="U91" i="14"/>
  <c r="U128" i="13" s="1"/>
  <c r="V93" i="14"/>
  <c r="U90" i="14"/>
  <c r="U127" i="13" s="1"/>
  <c r="Q95" i="18"/>
  <c r="Q91" i="18" s="1"/>
  <c r="U68" i="35"/>
  <c r="D13" i="35" s="1"/>
  <c r="E175" i="35" s="1"/>
  <c r="V68" i="35"/>
  <c r="R43" i="30"/>
  <c r="M24" i="7"/>
  <c r="M10" i="7"/>
  <c r="M282" i="7" s="1"/>
  <c r="P16" i="29" s="1"/>
  <c r="P100" i="29"/>
  <c r="P72" i="29"/>
  <c r="P44" i="29"/>
  <c r="L25" i="7"/>
  <c r="L296" i="7"/>
  <c r="R15" i="30" s="1"/>
  <c r="R44" i="30" s="1"/>
  <c r="M26" i="7"/>
  <c r="M98" i="7"/>
  <c r="M86" i="7"/>
  <c r="N67" i="39"/>
  <c r="M100" i="7" s="1"/>
  <c r="M123" i="7"/>
  <c r="N66" i="39"/>
  <c r="M88" i="7" s="1"/>
  <c r="N69" i="39"/>
  <c r="M125" i="7" s="1"/>
  <c r="M62" i="7"/>
  <c r="M50" i="7"/>
  <c r="N64" i="39"/>
  <c r="M64" i="7" s="1"/>
  <c r="N63" i="39"/>
  <c r="M52" i="7" s="1"/>
  <c r="M74" i="7"/>
  <c r="M38" i="7"/>
  <c r="N65" i="39"/>
  <c r="M76" i="7" s="1"/>
  <c r="N62" i="39"/>
  <c r="M40" i="7" s="1"/>
  <c r="M110" i="7"/>
  <c r="N68" i="39"/>
  <c r="M112" i="7" s="1"/>
  <c r="O58" i="39"/>
  <c r="O61" i="39" s="1"/>
  <c r="O4" i="39"/>
  <c r="O7" i="39" s="1"/>
  <c r="O31" i="39"/>
  <c r="N41" i="39"/>
  <c r="M111" i="7" s="1"/>
  <c r="N40" i="39"/>
  <c r="M99" i="7" s="1"/>
  <c r="N42" i="39"/>
  <c r="M124" i="7" s="1"/>
  <c r="N37" i="39"/>
  <c r="M63" i="7" s="1"/>
  <c r="N36" i="39"/>
  <c r="M51" i="7" s="1"/>
  <c r="N38" i="39"/>
  <c r="M75" i="7" s="1"/>
  <c r="N35" i="39"/>
  <c r="M39" i="7" s="1"/>
  <c r="N39" i="39"/>
  <c r="M87" i="7" s="1"/>
  <c r="N34" i="39"/>
  <c r="L38" i="9"/>
  <c r="N130" i="7"/>
  <c r="O144" i="7" s="1"/>
  <c r="P158" i="7" s="1"/>
  <c r="Q170" i="7" s="1"/>
  <c r="R182" i="7" s="1"/>
  <c r="S194" i="7" s="1"/>
  <c r="T206" i="7" s="1"/>
  <c r="U218" i="7" s="1"/>
  <c r="M300" i="7"/>
  <c r="J16" i="31" s="1"/>
  <c r="J45" i="31" s="1"/>
  <c r="Q130" i="7"/>
  <c r="R144" i="7" s="1"/>
  <c r="S158" i="7" s="1"/>
  <c r="T170" i="7" s="1"/>
  <c r="U182" i="7" s="1"/>
  <c r="V194" i="7" s="1"/>
  <c r="P300" i="7"/>
  <c r="J19" i="31" s="1"/>
  <c r="J104" i="31" s="1"/>
  <c r="K79" i="31"/>
  <c r="K107" i="31"/>
  <c r="K51" i="31"/>
  <c r="P129" i="21"/>
  <c r="L44" i="22" s="1"/>
  <c r="P128" i="21"/>
  <c r="P127" i="21"/>
  <c r="S115" i="3"/>
  <c r="P96" i="18"/>
  <c r="O92" i="18"/>
  <c r="K35" i="12"/>
  <c r="G41" i="8"/>
  <c r="K63" i="12"/>
  <c r="D6" i="32"/>
  <c r="K91" i="12"/>
  <c r="G34" i="35"/>
  <c r="L85" i="3"/>
  <c r="H38" i="6" s="1"/>
  <c r="H6" i="7" s="1"/>
  <c r="P94" i="18"/>
  <c r="P90" i="18" s="1"/>
  <c r="S238" i="7"/>
  <c r="I133" i="26"/>
  <c r="J96" i="21"/>
  <c r="F39" i="22" s="1"/>
  <c r="G35" i="7" s="1"/>
  <c r="G291" i="7" s="1"/>
  <c r="M10" i="30" s="1"/>
  <c r="M67" i="30" s="1"/>
  <c r="Q42" i="30"/>
  <c r="Q70" i="30"/>
  <c r="E7" i="35"/>
  <c r="D169" i="35" s="1"/>
  <c r="D264" i="8"/>
  <c r="L93" i="24"/>
  <c r="H38" i="20" s="1"/>
  <c r="J46" i="7" s="1"/>
  <c r="K58" i="7" s="1"/>
  <c r="L70" i="7" s="1"/>
  <c r="M82" i="7" s="1"/>
  <c r="N94" i="7" s="1"/>
  <c r="O106" i="7" s="1"/>
  <c r="P119" i="7" s="1"/>
  <c r="Q132" i="7" s="1"/>
  <c r="R146" i="7" s="1"/>
  <c r="K43" i="22"/>
  <c r="K9" i="22"/>
  <c r="L39" i="8" s="1"/>
  <c r="P64" i="21"/>
  <c r="F258" i="8"/>
  <c r="N10" i="12" s="1"/>
  <c r="N66" i="12" s="1"/>
  <c r="K32" i="21"/>
  <c r="G5" i="22" s="1"/>
  <c r="H35" i="8" s="1"/>
  <c r="N161" i="7"/>
  <c r="O173" i="7" s="1"/>
  <c r="P185" i="7" s="1"/>
  <c r="Q197" i="7" s="1"/>
  <c r="R209" i="7" s="1"/>
  <c r="S221" i="7" s="1"/>
  <c r="T233" i="7" s="1"/>
  <c r="U246" i="7" s="1"/>
  <c r="M93" i="21"/>
  <c r="I38" i="22" s="1"/>
  <c r="Q41" i="9"/>
  <c r="Q69" i="9"/>
  <c r="L66" i="9"/>
  <c r="F291" i="7"/>
  <c r="M9" i="30" s="1"/>
  <c r="M38" i="30" s="1"/>
  <c r="I43" i="26"/>
  <c r="F315" i="7"/>
  <c r="M31" i="13"/>
  <c r="L95" i="13"/>
  <c r="L100" i="3"/>
  <c r="M42" i="3"/>
  <c r="O13" i="38"/>
  <c r="I259" i="8"/>
  <c r="O13" i="12" s="1"/>
  <c r="L99" i="21"/>
  <c r="M35" i="21"/>
  <c r="U92" i="38"/>
  <c r="V92" i="38" s="1"/>
  <c r="L11" i="38"/>
  <c r="K42" i="22"/>
  <c r="J294" i="7"/>
  <c r="P13" i="30" s="1"/>
  <c r="P11" i="38"/>
  <c r="G260" i="8"/>
  <c r="P11" i="12" s="1"/>
  <c r="R59" i="3"/>
  <c r="R117" i="3" s="1"/>
  <c r="M10" i="6"/>
  <c r="M12" i="8" s="1"/>
  <c r="M12" i="7" s="1"/>
  <c r="L99" i="3"/>
  <c r="M41" i="3"/>
  <c r="M126" i="26"/>
  <c r="D34" i="32"/>
  <c r="M49" i="34"/>
  <c r="U34" i="12"/>
  <c r="V34" i="12" s="1"/>
  <c r="O49" i="34" s="1"/>
  <c r="P49" i="34" s="1"/>
  <c r="Q71" i="31"/>
  <c r="Q99" i="31"/>
  <c r="Q43" i="31"/>
  <c r="H278" i="7"/>
  <c r="L11" i="29" s="1"/>
  <c r="L300" i="7"/>
  <c r="M48" i="24"/>
  <c r="L47" i="24"/>
  <c r="H6" i="20" s="1"/>
  <c r="J48" i="8" s="1"/>
  <c r="K60" i="8" s="1"/>
  <c r="L72" i="8" s="1"/>
  <c r="M84" i="8" s="1"/>
  <c r="N96" i="8" s="1"/>
  <c r="O108" i="8" s="1"/>
  <c r="D92" i="32"/>
  <c r="AC50" i="34"/>
  <c r="U91" i="12"/>
  <c r="V91" i="12" s="1"/>
  <c r="AE50" i="34" s="1"/>
  <c r="AF50" i="34" s="1"/>
  <c r="G42" i="26"/>
  <c r="G164" i="26"/>
  <c r="G15" i="33"/>
  <c r="T15" i="33" s="1"/>
  <c r="L90" i="3"/>
  <c r="M32" i="3"/>
  <c r="L30" i="3"/>
  <c r="H5" i="6" s="1"/>
  <c r="H7" i="8" s="1"/>
  <c r="G77" i="8"/>
  <c r="H80" i="8"/>
  <c r="M34" i="21"/>
  <c r="L98" i="21"/>
  <c r="L43" i="21"/>
  <c r="K107" i="21"/>
  <c r="J100" i="24"/>
  <c r="K36" i="24"/>
  <c r="N43" i="3"/>
  <c r="J6" i="6" s="1"/>
  <c r="J8" i="8" s="1"/>
  <c r="O44" i="3"/>
  <c r="F303" i="7"/>
  <c r="M9" i="31" s="1"/>
  <c r="H71" i="7"/>
  <c r="I83" i="7" s="1"/>
  <c r="J95" i="7" s="1"/>
  <c r="K107" i="7" s="1"/>
  <c r="L120" i="7" s="1"/>
  <c r="M133" i="7" s="1"/>
  <c r="N147" i="7" s="1"/>
  <c r="L16" i="3"/>
  <c r="H3" i="6" s="1"/>
  <c r="H5" i="8" s="1"/>
  <c r="M18" i="3"/>
  <c r="V230" i="7"/>
  <c r="S16" i="38"/>
  <c r="L263" i="8"/>
  <c r="S16" i="12" s="1"/>
  <c r="L97" i="3"/>
  <c r="M39" i="3"/>
  <c r="I96" i="24"/>
  <c r="I44" i="8"/>
  <c r="M95" i="24"/>
  <c r="N31" i="24"/>
  <c r="L100" i="13"/>
  <c r="M36" i="13"/>
  <c r="M12" i="38"/>
  <c r="L94" i="3"/>
  <c r="M36" i="3"/>
  <c r="G38" i="6"/>
  <c r="G6" i="7" s="1"/>
  <c r="J108" i="24"/>
  <c r="K44" i="24"/>
  <c r="O31" i="21"/>
  <c r="N95" i="21"/>
  <c r="L8" i="17"/>
  <c r="L261" i="8" s="1"/>
  <c r="Q16" i="12" s="1"/>
  <c r="F43" i="35" s="1"/>
  <c r="P63" i="13"/>
  <c r="M52" i="24"/>
  <c r="L50" i="24"/>
  <c r="H7" i="20" s="1"/>
  <c r="J49" i="8" s="1"/>
  <c r="K61" i="8" s="1"/>
  <c r="L73" i="8" s="1"/>
  <c r="M85" i="8" s="1"/>
  <c r="N97" i="8" s="1"/>
  <c r="O109" i="8" s="1"/>
  <c r="S5" i="9"/>
  <c r="G38" i="33"/>
  <c r="N38" i="33" s="1"/>
  <c r="O5" i="26"/>
  <c r="G27" i="34"/>
  <c r="G69" i="34" s="1"/>
  <c r="M10" i="17"/>
  <c r="M44" i="17"/>
  <c r="Q65" i="13"/>
  <c r="M64" i="9"/>
  <c r="M36" i="9"/>
  <c r="M92" i="9"/>
  <c r="L67" i="30"/>
  <c r="L95" i="30"/>
  <c r="L39" i="30"/>
  <c r="K9" i="12"/>
  <c r="L307" i="7"/>
  <c r="Q15" i="31" s="1"/>
  <c r="K88" i="3"/>
  <c r="L9" i="20"/>
  <c r="N51" i="8" s="1"/>
  <c r="P128" i="24"/>
  <c r="Q64" i="24"/>
  <c r="L102" i="21"/>
  <c r="M38" i="21"/>
  <c r="J107" i="24"/>
  <c r="K43" i="24"/>
  <c r="O96" i="12"/>
  <c r="O68" i="12"/>
  <c r="O40" i="12"/>
  <c r="N63" i="26"/>
  <c r="W63" i="26" s="1"/>
  <c r="W61" i="9"/>
  <c r="U27" i="34"/>
  <c r="G11" i="17"/>
  <c r="G18" i="8"/>
  <c r="G27" i="8" s="1"/>
  <c r="L284" i="7"/>
  <c r="R15" i="29" s="1"/>
  <c r="V228" i="8"/>
  <c r="V237" i="8" s="1"/>
  <c r="U224" i="8"/>
  <c r="M11" i="24"/>
  <c r="L9" i="24"/>
  <c r="H2" i="20" s="1"/>
  <c r="N94" i="21"/>
  <c r="O30" i="21"/>
  <c r="N29" i="21"/>
  <c r="J4" i="22" s="1"/>
  <c r="K34" i="8" s="1"/>
  <c r="F11" i="22"/>
  <c r="J106" i="24"/>
  <c r="K42" i="24"/>
  <c r="L43" i="17"/>
  <c r="P64" i="13"/>
  <c r="L9" i="17"/>
  <c r="M95" i="12"/>
  <c r="M67" i="12"/>
  <c r="M39" i="12"/>
  <c r="K284" i="7"/>
  <c r="R14" i="29" s="1"/>
  <c r="J17" i="31"/>
  <c r="K42" i="17"/>
  <c r="L106" i="13"/>
  <c r="M42" i="13"/>
  <c r="K106" i="31"/>
  <c r="K78" i="31"/>
  <c r="K50" i="31"/>
  <c r="N18" i="21"/>
  <c r="M16" i="21"/>
  <c r="I3" i="22" s="1"/>
  <c r="J33" i="8" s="1"/>
  <c r="M93" i="31"/>
  <c r="M65" i="31"/>
  <c r="M37" i="31"/>
  <c r="L30" i="13"/>
  <c r="K29" i="13"/>
  <c r="H4" i="17" s="1"/>
  <c r="H20" i="8" s="1"/>
  <c r="H257" i="8" s="1"/>
  <c r="M12" i="12" s="1"/>
  <c r="K94" i="13"/>
  <c r="K93" i="13" s="1"/>
  <c r="H38" i="17" s="1"/>
  <c r="H20" i="7" s="1"/>
  <c r="H290" i="7" s="1"/>
  <c r="L11" i="30" s="1"/>
  <c r="K93" i="38"/>
  <c r="K65" i="38"/>
  <c r="K37" i="38"/>
  <c r="U9" i="38"/>
  <c r="V9" i="38" s="1"/>
  <c r="N29" i="3"/>
  <c r="M87" i="3"/>
  <c r="R41" i="12"/>
  <c r="E41" i="32" s="1"/>
  <c r="R97" i="12"/>
  <c r="R69" i="12"/>
  <c r="F56" i="34"/>
  <c r="E12" i="32"/>
  <c r="L100" i="21"/>
  <c r="M36" i="21"/>
  <c r="K43" i="20"/>
  <c r="J73" i="31"/>
  <c r="J105" i="24"/>
  <c r="K41" i="24"/>
  <c r="M94" i="24"/>
  <c r="N30" i="24"/>
  <c r="M29" i="24"/>
  <c r="I4" i="20" s="1"/>
  <c r="K46" i="8" s="1"/>
  <c r="L58" i="8" s="1"/>
  <c r="M70" i="8" s="1"/>
  <c r="N82" i="8" s="1"/>
  <c r="O94" i="8" s="1"/>
  <c r="P106" i="8" s="1"/>
  <c r="O96" i="38"/>
  <c r="O68" i="38"/>
  <c r="O40" i="38"/>
  <c r="S71" i="12"/>
  <c r="S43" i="12"/>
  <c r="S99" i="12"/>
  <c r="E8" i="35"/>
  <c r="D170" i="35" s="1"/>
  <c r="E97" i="32"/>
  <c r="AD55" i="34"/>
  <c r="N11" i="21"/>
  <c r="M9" i="21"/>
  <c r="I2" i="22" s="1"/>
  <c r="L52" i="13"/>
  <c r="K50" i="13"/>
  <c r="H7" i="17" s="1"/>
  <c r="H23" i="8" s="1"/>
  <c r="K43" i="17"/>
  <c r="K295" i="7" s="1"/>
  <c r="Q14" i="30" s="1"/>
  <c r="M95" i="38"/>
  <c r="M67" i="38"/>
  <c r="M39" i="38"/>
  <c r="D7" i="32"/>
  <c r="K92" i="12"/>
  <c r="K64" i="12"/>
  <c r="K36" i="12"/>
  <c r="U8" i="12"/>
  <c r="V8" i="12" s="1"/>
  <c r="G51" i="34" s="1"/>
  <c r="H51" i="34" s="1"/>
  <c r="E51" i="34"/>
  <c r="G35" i="35"/>
  <c r="L52" i="21"/>
  <c r="K50" i="21"/>
  <c r="G7" i="22" s="1"/>
  <c r="H37" i="8" s="1"/>
  <c r="D63" i="32"/>
  <c r="U49" i="34"/>
  <c r="U62" i="12"/>
  <c r="V62" i="12" s="1"/>
  <c r="W49" i="34" s="1"/>
  <c r="X49" i="34" s="1"/>
  <c r="Q99" i="12"/>
  <c r="Q71" i="12"/>
  <c r="Q43" i="12"/>
  <c r="H92" i="8"/>
  <c r="L96" i="3"/>
  <c r="M38" i="3"/>
  <c r="K105" i="21"/>
  <c r="L41" i="21"/>
  <c r="M92" i="31"/>
  <c r="M64" i="31"/>
  <c r="M36" i="31"/>
  <c r="L45" i="21"/>
  <c r="K109" i="21"/>
  <c r="R69" i="38"/>
  <c r="X69" i="35" s="1"/>
  <c r="R97" i="38"/>
  <c r="Z69" i="35" s="1"/>
  <c r="R41" i="38"/>
  <c r="V300" i="7"/>
  <c r="L101" i="13"/>
  <c r="M37" i="13"/>
  <c r="G45" i="8"/>
  <c r="E11" i="20"/>
  <c r="T224" i="8"/>
  <c r="U228" i="8"/>
  <c r="J99" i="24"/>
  <c r="K35" i="24"/>
  <c r="P94" i="12"/>
  <c r="P66" i="12"/>
  <c r="P38" i="12"/>
  <c r="S99" i="38"/>
  <c r="S71" i="38"/>
  <c r="S43" i="38"/>
  <c r="G57" i="8"/>
  <c r="F53" i="8"/>
  <c r="J109" i="24"/>
  <c r="K45" i="24"/>
  <c r="L64" i="12"/>
  <c r="L36" i="12"/>
  <c r="L92" i="12"/>
  <c r="L11" i="13"/>
  <c r="K9" i="13"/>
  <c r="H2" i="17" s="1"/>
  <c r="K7" i="13"/>
  <c r="J22" i="31"/>
  <c r="E159" i="15"/>
  <c r="J98" i="24"/>
  <c r="J32" i="24"/>
  <c r="F5" i="20" s="1"/>
  <c r="H47" i="8" s="1"/>
  <c r="I59" i="8" s="1"/>
  <c r="J71" i="8" s="1"/>
  <c r="K83" i="8" s="1"/>
  <c r="L95" i="8" s="1"/>
  <c r="M107" i="8" s="1"/>
  <c r="K34" i="24"/>
  <c r="O300" i="7"/>
  <c r="D91" i="32"/>
  <c r="AC49" i="34"/>
  <c r="U90" i="12"/>
  <c r="V90" i="12" s="1"/>
  <c r="AE49" i="34" s="1"/>
  <c r="AF49" i="34" s="1"/>
  <c r="N10" i="22"/>
  <c r="O40" i="8" s="1"/>
  <c r="S65" i="21"/>
  <c r="L9" i="6"/>
  <c r="L11" i="8" s="1"/>
  <c r="L11" i="7" s="1"/>
  <c r="Q58" i="3"/>
  <c r="Q116" i="3" s="1"/>
  <c r="D35" i="32"/>
  <c r="U35" i="12"/>
  <c r="V35" i="12" s="1"/>
  <c r="O50" i="34" s="1"/>
  <c r="P50" i="34" s="1"/>
  <c r="M50" i="34"/>
  <c r="L18" i="13"/>
  <c r="K16" i="13"/>
  <c r="H3" i="17" s="1"/>
  <c r="H19" i="8" s="1"/>
  <c r="R14" i="38"/>
  <c r="J262" i="8"/>
  <c r="R14" i="12" s="1"/>
  <c r="G41" i="35" s="1"/>
  <c r="T230" i="7"/>
  <c r="H302" i="7"/>
  <c r="L11" i="31" s="1"/>
  <c r="J70" i="7"/>
  <c r="K82" i="7" s="1"/>
  <c r="L94" i="7" s="1"/>
  <c r="M106" i="7" s="1"/>
  <c r="N119" i="7" s="1"/>
  <c r="O132" i="7" s="1"/>
  <c r="P146" i="7" s="1"/>
  <c r="L105" i="13"/>
  <c r="M41" i="13"/>
  <c r="J16" i="24"/>
  <c r="F3" i="20" s="1"/>
  <c r="K18" i="24"/>
  <c r="J7" i="24"/>
  <c r="J102" i="24"/>
  <c r="K38" i="24"/>
  <c r="L92" i="3"/>
  <c r="M34" i="3"/>
  <c r="L101" i="21"/>
  <c r="M37" i="21"/>
  <c r="M107" i="13"/>
  <c r="N43" i="13"/>
  <c r="P94" i="38"/>
  <c r="P66" i="38"/>
  <c r="P38" i="38"/>
  <c r="L99" i="13"/>
  <c r="M35" i="13"/>
  <c r="F69" i="8"/>
  <c r="F256" i="8" s="1"/>
  <c r="L10" i="12" s="1"/>
  <c r="E65" i="8"/>
  <c r="E256" i="8"/>
  <c r="L9" i="12" s="1"/>
  <c r="G13" i="6"/>
  <c r="G11" i="6"/>
  <c r="G4" i="8"/>
  <c r="G121" i="35"/>
  <c r="L44" i="21"/>
  <c r="K108" i="21"/>
  <c r="I164" i="26"/>
  <c r="I15" i="33"/>
  <c r="V15" i="33" s="1"/>
  <c r="M47" i="21"/>
  <c r="I6" i="22" s="1"/>
  <c r="J36" i="8" s="1"/>
  <c r="N48" i="21"/>
  <c r="M108" i="13"/>
  <c r="N44" i="13"/>
  <c r="N11" i="38"/>
  <c r="G258" i="8"/>
  <c r="N11" i="12" s="1"/>
  <c r="K106" i="21"/>
  <c r="L42" i="21"/>
  <c r="H93" i="35"/>
  <c r="J93" i="35" s="1"/>
  <c r="L93" i="35" s="1"/>
  <c r="I120" i="35"/>
  <c r="J120" i="35" s="1"/>
  <c r="L32" i="13"/>
  <c r="I5" i="17" s="1"/>
  <c r="I21" i="8" s="1"/>
  <c r="L98" i="13"/>
  <c r="M34" i="13"/>
  <c r="M40" i="3"/>
  <c r="L98" i="3"/>
  <c r="N94" i="38"/>
  <c r="N66" i="38"/>
  <c r="N38" i="38"/>
  <c r="E69" i="32"/>
  <c r="V55" i="34"/>
  <c r="K43" i="6"/>
  <c r="I32" i="8"/>
  <c r="M66" i="29"/>
  <c r="M38" i="29"/>
  <c r="M94" i="29"/>
  <c r="D64" i="32"/>
  <c r="U50" i="34"/>
  <c r="U63" i="12"/>
  <c r="V63" i="12" s="1"/>
  <c r="W50" i="34" s="1"/>
  <c r="X50" i="34" s="1"/>
  <c r="L102" i="13"/>
  <c r="M38" i="13"/>
  <c r="J319" i="7"/>
  <c r="J269" i="7"/>
  <c r="Q13" i="9" s="1"/>
  <c r="J283" i="7"/>
  <c r="Q13" i="29" s="1"/>
  <c r="M45" i="13"/>
  <c r="L109" i="13"/>
  <c r="I56" i="8"/>
  <c r="N91" i="26"/>
  <c r="W91" i="26" s="1"/>
  <c r="AC27" i="34"/>
  <c r="W89" i="9"/>
  <c r="U36" i="38"/>
  <c r="V36" i="38" s="1"/>
  <c r="L91" i="3"/>
  <c r="M33" i="3"/>
  <c r="T300" i="7"/>
  <c r="L9" i="3"/>
  <c r="H2" i="6" s="1"/>
  <c r="L7" i="3"/>
  <c r="M11" i="3"/>
  <c r="N35" i="26"/>
  <c r="W33" i="9"/>
  <c r="M27" i="34"/>
  <c r="I71" i="26"/>
  <c r="L65" i="9"/>
  <c r="L37" i="9"/>
  <c r="L93" i="9"/>
  <c r="N57" i="34"/>
  <c r="K7" i="21"/>
  <c r="K10" i="38"/>
  <c r="F255" i="8"/>
  <c r="F13" i="8"/>
  <c r="M10" i="20"/>
  <c r="O52" i="8" s="1"/>
  <c r="R65" i="24"/>
  <c r="K96" i="13"/>
  <c r="M86" i="3"/>
  <c r="M85" i="3" s="1"/>
  <c r="N28" i="3"/>
  <c r="M27" i="3"/>
  <c r="I4" i="6" s="1"/>
  <c r="I6" i="8" s="1"/>
  <c r="J14" i="31"/>
  <c r="J106" i="31"/>
  <c r="J78" i="31"/>
  <c r="J50" i="31"/>
  <c r="J24" i="31"/>
  <c r="I80" i="8"/>
  <c r="L93" i="3"/>
  <c r="M35" i="3"/>
  <c r="R15" i="38"/>
  <c r="K262" i="8"/>
  <c r="R15" i="12" s="1"/>
  <c r="F265" i="7"/>
  <c r="M9" i="9" s="1"/>
  <c r="E315" i="7"/>
  <c r="E265" i="7"/>
  <c r="M8" i="9" s="1"/>
  <c r="E279" i="7"/>
  <c r="M8" i="29" s="1"/>
  <c r="G163" i="26"/>
  <c r="G14" i="33"/>
  <c r="T14" i="33" s="1"/>
  <c r="K70" i="7"/>
  <c r="L82" i="7" s="1"/>
  <c r="M94" i="7" s="1"/>
  <c r="N106" i="7" s="1"/>
  <c r="O119" i="7" s="1"/>
  <c r="P132" i="7" s="1"/>
  <c r="Q146" i="7" s="1"/>
  <c r="M47" i="13"/>
  <c r="J6" i="17" s="1"/>
  <c r="J22" i="8" s="1"/>
  <c r="N48" i="13"/>
  <c r="J101" i="24"/>
  <c r="K37" i="24"/>
  <c r="U64" i="38"/>
  <c r="V64" i="38" s="1"/>
  <c r="I68" i="8"/>
  <c r="Q63" i="21"/>
  <c r="L8" i="22"/>
  <c r="M38" i="8" s="1"/>
  <c r="M48" i="3"/>
  <c r="L46" i="3"/>
  <c r="H7" i="6" s="1"/>
  <c r="H9" i="8" s="1"/>
  <c r="L94" i="38"/>
  <c r="L66" i="38"/>
  <c r="L38" i="38"/>
  <c r="L93" i="29"/>
  <c r="L37" i="29"/>
  <c r="L65" i="29"/>
  <c r="I99" i="26"/>
  <c r="R95" i="18" l="1"/>
  <c r="R91" i="18" s="1"/>
  <c r="V91" i="14"/>
  <c r="V128" i="13" s="1"/>
  <c r="V92" i="14"/>
  <c r="V129" i="13" s="1"/>
  <c r="W93" i="14"/>
  <c r="V90" i="14"/>
  <c r="V127" i="13" s="1"/>
  <c r="U69" i="35"/>
  <c r="D14" i="35" s="1"/>
  <c r="E176" i="35" s="1"/>
  <c r="V69" i="35"/>
  <c r="D39" i="35"/>
  <c r="H39" i="35" s="1"/>
  <c r="E14" i="32"/>
  <c r="G42" i="35"/>
  <c r="R72" i="30"/>
  <c r="R100" i="30"/>
  <c r="M296" i="7"/>
  <c r="R16" i="30" s="1"/>
  <c r="R101" i="30" s="1"/>
  <c r="N24" i="7"/>
  <c r="N10" i="7"/>
  <c r="N282" i="7" s="1"/>
  <c r="P17" i="29" s="1"/>
  <c r="P73" i="29"/>
  <c r="P45" i="29"/>
  <c r="P101" i="29"/>
  <c r="M25" i="7"/>
  <c r="N26" i="7"/>
  <c r="O67" i="39"/>
  <c r="N100" i="7" s="1"/>
  <c r="N123" i="7"/>
  <c r="O69" i="39"/>
  <c r="N125" i="7" s="1"/>
  <c r="N62" i="7"/>
  <c r="N50" i="7"/>
  <c r="N98" i="7"/>
  <c r="O64" i="39"/>
  <c r="N64" i="7" s="1"/>
  <c r="O63" i="39"/>
  <c r="N52" i="7" s="1"/>
  <c r="N74" i="7"/>
  <c r="N38" i="7"/>
  <c r="O65" i="39"/>
  <c r="N76" i="7" s="1"/>
  <c r="O62" i="39"/>
  <c r="N40" i="7" s="1"/>
  <c r="N110" i="7"/>
  <c r="O66" i="39"/>
  <c r="N88" i="7" s="1"/>
  <c r="O68" i="39"/>
  <c r="N112" i="7" s="1"/>
  <c r="N86" i="7"/>
  <c r="P58" i="39"/>
  <c r="P4" i="39"/>
  <c r="O40" i="39"/>
  <c r="N99" i="7" s="1"/>
  <c r="O36" i="39"/>
  <c r="N51" i="7" s="1"/>
  <c r="O42" i="39"/>
  <c r="N124" i="7" s="1"/>
  <c r="O37" i="39"/>
  <c r="N63" i="7" s="1"/>
  <c r="O38" i="39"/>
  <c r="N75" i="7" s="1"/>
  <c r="O35" i="39"/>
  <c r="N39" i="7" s="1"/>
  <c r="O41" i="39"/>
  <c r="N111" i="7" s="1"/>
  <c r="O39" i="39"/>
  <c r="N87" i="7" s="1"/>
  <c r="O34" i="39"/>
  <c r="P31" i="39"/>
  <c r="Q31" i="39" s="1"/>
  <c r="J76" i="31"/>
  <c r="J48" i="31"/>
  <c r="J101" i="31"/>
  <c r="Q127" i="21"/>
  <c r="Q129" i="21"/>
  <c r="M44" i="22" s="1"/>
  <c r="N44" i="17"/>
  <c r="Q128" i="21"/>
  <c r="O42" i="6"/>
  <c r="T115" i="3"/>
  <c r="P42" i="6" s="1"/>
  <c r="Q96" i="18"/>
  <c r="P92" i="18"/>
  <c r="Q94" i="18"/>
  <c r="Q90" i="18" s="1"/>
  <c r="S95" i="18"/>
  <c r="S91" i="18" s="1"/>
  <c r="T251" i="7"/>
  <c r="T250" i="7"/>
  <c r="U249" i="7"/>
  <c r="V251" i="7"/>
  <c r="U250" i="7"/>
  <c r="U251" i="7"/>
  <c r="V250" i="7"/>
  <c r="T249" i="7"/>
  <c r="V249" i="7"/>
  <c r="M39" i="30"/>
  <c r="N94" i="12"/>
  <c r="M95" i="30"/>
  <c r="N38" i="12"/>
  <c r="M66" i="30"/>
  <c r="L295" i="7"/>
  <c r="Q15" i="30" s="1"/>
  <c r="Q100" i="30" s="1"/>
  <c r="L7" i="21"/>
  <c r="M93" i="24"/>
  <c r="I38" i="20" s="1"/>
  <c r="H41" i="8"/>
  <c r="N93" i="21"/>
  <c r="J38" i="22" s="1"/>
  <c r="F7" i="35"/>
  <c r="F169" i="35" s="1"/>
  <c r="E33" i="35"/>
  <c r="I33" i="35" s="1"/>
  <c r="J33" i="35" s="1"/>
  <c r="S160" i="7"/>
  <c r="T172" i="7" s="1"/>
  <c r="U184" i="7" s="1"/>
  <c r="V196" i="7" s="1"/>
  <c r="M94" i="30"/>
  <c r="O161" i="7"/>
  <c r="P173" i="7" s="1"/>
  <c r="Q185" i="7" s="1"/>
  <c r="R197" i="7" s="1"/>
  <c r="S209" i="7" s="1"/>
  <c r="T221" i="7" s="1"/>
  <c r="U233" i="7" s="1"/>
  <c r="V246" i="7" s="1"/>
  <c r="K96" i="21"/>
  <c r="G39" i="22" s="1"/>
  <c r="H35" i="7" s="1"/>
  <c r="G11" i="22"/>
  <c r="L43" i="22"/>
  <c r="Q64" i="21"/>
  <c r="L9" i="22"/>
  <c r="M39" i="8" s="1"/>
  <c r="L32" i="21"/>
  <c r="H5" i="22" s="1"/>
  <c r="I35" i="8" s="1"/>
  <c r="R160" i="7"/>
  <c r="S172" i="7" s="1"/>
  <c r="T184" i="7" s="1"/>
  <c r="U196" i="7" s="1"/>
  <c r="V208" i="7" s="1"/>
  <c r="Q160" i="7"/>
  <c r="R172" i="7" s="1"/>
  <c r="S184" i="7" s="1"/>
  <c r="T196" i="7" s="1"/>
  <c r="U208" i="7" s="1"/>
  <c r="V220" i="7" s="1"/>
  <c r="I134" i="26"/>
  <c r="H264" i="7"/>
  <c r="L11" i="9" s="1"/>
  <c r="L40" i="9" s="1"/>
  <c r="H314" i="7"/>
  <c r="L94" i="12"/>
  <c r="L66" i="12"/>
  <c r="L38" i="12"/>
  <c r="L42" i="22"/>
  <c r="J99" i="31"/>
  <c r="J43" i="31"/>
  <c r="J71" i="31"/>
  <c r="M98" i="3"/>
  <c r="N40" i="3"/>
  <c r="O97" i="38"/>
  <c r="O69" i="38"/>
  <c r="O41" i="38"/>
  <c r="M96" i="12"/>
  <c r="M68" i="12"/>
  <c r="M40" i="12"/>
  <c r="O43" i="3"/>
  <c r="K6" i="6" s="1"/>
  <c r="K8" i="8" s="1"/>
  <c r="P44" i="3"/>
  <c r="L95" i="38"/>
  <c r="L67" i="38"/>
  <c r="L39" i="38"/>
  <c r="M8" i="22"/>
  <c r="N38" i="8" s="1"/>
  <c r="R63" i="21"/>
  <c r="K101" i="24"/>
  <c r="L37" i="24"/>
  <c r="I302" i="7"/>
  <c r="L12" i="31" s="1"/>
  <c r="R99" i="12"/>
  <c r="AD58" i="34" s="1"/>
  <c r="R71" i="12"/>
  <c r="V58" i="34" s="1"/>
  <c r="R43" i="12"/>
  <c r="E43" i="32" s="1"/>
  <c r="O28" i="3"/>
  <c r="N27" i="3"/>
  <c r="J4" i="6" s="1"/>
  <c r="J6" i="8" s="1"/>
  <c r="N86" i="3"/>
  <c r="K94" i="38"/>
  <c r="K66" i="38"/>
  <c r="U10" i="38"/>
  <c r="V10" i="38" s="1"/>
  <c r="K38" i="38"/>
  <c r="M91" i="3"/>
  <c r="N33" i="3"/>
  <c r="J68" i="8"/>
  <c r="L96" i="13"/>
  <c r="I39" i="17" s="1"/>
  <c r="I21" i="7" s="1"/>
  <c r="N95" i="38"/>
  <c r="N67" i="38"/>
  <c r="N39" i="38"/>
  <c r="K16" i="24"/>
  <c r="G3" i="20" s="1"/>
  <c r="L18" i="24"/>
  <c r="K7" i="24"/>
  <c r="L96" i="31"/>
  <c r="L68" i="31"/>
  <c r="L40" i="31"/>
  <c r="L16" i="13"/>
  <c r="I3" i="17" s="1"/>
  <c r="I19" i="8" s="1"/>
  <c r="M18" i="13"/>
  <c r="K98" i="24"/>
  <c r="K32" i="24"/>
  <c r="G5" i="20" s="1"/>
  <c r="I47" i="8" s="1"/>
  <c r="J59" i="8" s="1"/>
  <c r="K71" i="8" s="1"/>
  <c r="L83" i="8" s="1"/>
  <c r="M95" i="8" s="1"/>
  <c r="N107" i="8" s="1"/>
  <c r="L34" i="24"/>
  <c r="J107" i="31"/>
  <c r="J79" i="31"/>
  <c r="J51" i="31"/>
  <c r="M45" i="21"/>
  <c r="L109" i="21"/>
  <c r="D36" i="32"/>
  <c r="U36" i="12"/>
  <c r="V36" i="12" s="1"/>
  <c r="O51" i="34" s="1"/>
  <c r="P51" i="34" s="1"/>
  <c r="M51" i="34"/>
  <c r="Q71" i="30"/>
  <c r="Q99" i="30"/>
  <c r="Q43" i="30"/>
  <c r="O11" i="21"/>
  <c r="N9" i="21"/>
  <c r="J2" i="22" s="1"/>
  <c r="K105" i="24"/>
  <c r="L41" i="24"/>
  <c r="E98" i="32"/>
  <c r="AD56" i="34"/>
  <c r="L96" i="30"/>
  <c r="L40" i="30"/>
  <c r="L68" i="30"/>
  <c r="M102" i="21"/>
  <c r="N38" i="21"/>
  <c r="Q100" i="31"/>
  <c r="Q72" i="31"/>
  <c r="Q44" i="31"/>
  <c r="C39" i="33"/>
  <c r="J39" i="33" s="1"/>
  <c r="C28" i="34"/>
  <c r="C70" i="34" s="1"/>
  <c r="U5" i="9"/>
  <c r="O95" i="21"/>
  <c r="P31" i="21"/>
  <c r="M96" i="38"/>
  <c r="M68" i="38"/>
  <c r="M40" i="38"/>
  <c r="E39" i="20"/>
  <c r="G47" i="7" s="1"/>
  <c r="H59" i="7" s="1"/>
  <c r="L12" i="38"/>
  <c r="O14" i="38"/>
  <c r="J259" i="8"/>
  <c r="O14" i="12" s="1"/>
  <c r="I92" i="8"/>
  <c r="H89" i="8"/>
  <c r="V312" i="7"/>
  <c r="M47" i="24"/>
  <c r="I6" i="20" s="1"/>
  <c r="K48" i="8" s="1"/>
  <c r="L60" i="8" s="1"/>
  <c r="M72" i="8" s="1"/>
  <c r="N84" i="8" s="1"/>
  <c r="O96" i="8" s="1"/>
  <c r="P108" i="8" s="1"/>
  <c r="N48" i="24"/>
  <c r="H57" i="8"/>
  <c r="G53" i="8"/>
  <c r="R99" i="29"/>
  <c r="R71" i="29"/>
  <c r="R43" i="29"/>
  <c r="K107" i="24"/>
  <c r="L43" i="24"/>
  <c r="M102" i="13"/>
  <c r="N38" i="13"/>
  <c r="M100" i="21"/>
  <c r="N36" i="21"/>
  <c r="U93" i="38"/>
  <c r="V93" i="38" s="1"/>
  <c r="N18" i="3"/>
  <c r="M16" i="3"/>
  <c r="I3" i="6" s="1"/>
  <c r="I5" i="8" s="1"/>
  <c r="N34" i="21"/>
  <c r="M98" i="21"/>
  <c r="J80" i="8"/>
  <c r="R99" i="38"/>
  <c r="Z71" i="35" s="1"/>
  <c r="R71" i="38"/>
  <c r="X71" i="35" s="1"/>
  <c r="R43" i="38"/>
  <c r="I38" i="6"/>
  <c r="N11" i="3"/>
  <c r="M7" i="3"/>
  <c r="M9" i="3"/>
  <c r="I2" i="6" s="1"/>
  <c r="N45" i="13"/>
  <c r="M109" i="13"/>
  <c r="N108" i="13"/>
  <c r="O44" i="13"/>
  <c r="M44" i="21"/>
  <c r="L108" i="21"/>
  <c r="G81" i="8"/>
  <c r="G256" i="8" s="1"/>
  <c r="L11" i="12" s="1"/>
  <c r="F77" i="8"/>
  <c r="M101" i="21"/>
  <c r="N37" i="21"/>
  <c r="H45" i="8"/>
  <c r="F11" i="20"/>
  <c r="U243" i="7"/>
  <c r="K99" i="24"/>
  <c r="L35" i="24"/>
  <c r="D65" i="32"/>
  <c r="U51" i="34"/>
  <c r="U64" i="12"/>
  <c r="V64" i="12" s="1"/>
  <c r="W51" i="34" s="1"/>
  <c r="X51" i="34" s="1"/>
  <c r="K106" i="24"/>
  <c r="L42" i="24"/>
  <c r="N11" i="24"/>
  <c r="M9" i="24"/>
  <c r="I2" i="20" s="1"/>
  <c r="D8" i="32"/>
  <c r="K93" i="12"/>
  <c r="K65" i="12"/>
  <c r="K37" i="12"/>
  <c r="U9" i="12"/>
  <c r="V9" i="12" s="1"/>
  <c r="G52" i="34" s="1"/>
  <c r="H52" i="34" s="1"/>
  <c r="E52" i="34"/>
  <c r="G36" i="35"/>
  <c r="L44" i="24"/>
  <c r="K108" i="24"/>
  <c r="M100" i="13"/>
  <c r="N36" i="13"/>
  <c r="M97" i="3"/>
  <c r="N39" i="3"/>
  <c r="K100" i="24"/>
  <c r="L36" i="24"/>
  <c r="N41" i="3"/>
  <c r="M99" i="3"/>
  <c r="V262" i="7"/>
  <c r="M94" i="9"/>
  <c r="M66" i="9"/>
  <c r="M38" i="9"/>
  <c r="O27" i="34"/>
  <c r="S34" i="9"/>
  <c r="O35" i="26"/>
  <c r="U65" i="38"/>
  <c r="V65" i="38" s="1"/>
  <c r="P39" i="12"/>
  <c r="P95" i="12"/>
  <c r="P67" i="12"/>
  <c r="J109" i="31"/>
  <c r="J81" i="31"/>
  <c r="J53" i="31"/>
  <c r="M96" i="3"/>
  <c r="N38" i="3"/>
  <c r="J32" i="8"/>
  <c r="V56" i="34"/>
  <c r="E70" i="32"/>
  <c r="J44" i="8"/>
  <c r="O63" i="26"/>
  <c r="S62" i="9"/>
  <c r="W27" i="34"/>
  <c r="M100" i="3"/>
  <c r="N42" i="3"/>
  <c r="M93" i="3"/>
  <c r="N35" i="3"/>
  <c r="H39" i="17"/>
  <c r="H21" i="7" s="1"/>
  <c r="E9" i="35"/>
  <c r="D171" i="35" s="1"/>
  <c r="H94" i="35"/>
  <c r="J94" i="35" s="1"/>
  <c r="L94" i="35" s="1"/>
  <c r="I121" i="35"/>
  <c r="J121" i="35" s="1"/>
  <c r="N35" i="13"/>
  <c r="M99" i="13"/>
  <c r="J96" i="24"/>
  <c r="F39" i="20" s="1"/>
  <c r="H47" i="7" s="1"/>
  <c r="I59" i="7" s="1"/>
  <c r="H11" i="17"/>
  <c r="H18" i="8"/>
  <c r="H27" i="8" s="1"/>
  <c r="H69" i="8"/>
  <c r="G65" i="8"/>
  <c r="I104" i="8"/>
  <c r="D93" i="32"/>
  <c r="AC51" i="34"/>
  <c r="U92" i="12"/>
  <c r="V92" i="12" s="1"/>
  <c r="AE51" i="34" s="1"/>
  <c r="AF51" i="34" s="1"/>
  <c r="J34" i="7"/>
  <c r="M30" i="13"/>
  <c r="L29" i="13"/>
  <c r="I4" i="17" s="1"/>
  <c r="I20" i="8" s="1"/>
  <c r="I257" i="8" s="1"/>
  <c r="M13" i="12" s="1"/>
  <c r="L94" i="13"/>
  <c r="K294" i="7"/>
  <c r="P14" i="30" s="1"/>
  <c r="I15" i="26" s="1"/>
  <c r="M9" i="20"/>
  <c r="O51" i="8" s="1"/>
  <c r="Q128" i="24"/>
  <c r="R64" i="24"/>
  <c r="E264" i="8"/>
  <c r="N10" i="17"/>
  <c r="R65" i="13"/>
  <c r="N52" i="24"/>
  <c r="M50" i="24"/>
  <c r="I7" i="20" s="1"/>
  <c r="K49" i="8" s="1"/>
  <c r="L61" i="8" s="1"/>
  <c r="M73" i="8" s="1"/>
  <c r="N85" i="8" s="1"/>
  <c r="O97" i="8" s="1"/>
  <c r="P109" i="8" s="1"/>
  <c r="M66" i="31"/>
  <c r="M94" i="31"/>
  <c r="M38" i="31"/>
  <c r="N12" i="38"/>
  <c r="H258" i="8"/>
  <c r="N12" i="12" s="1"/>
  <c r="P98" i="30"/>
  <c r="I100" i="26" s="1"/>
  <c r="P42" i="30"/>
  <c r="I44" i="26" s="1"/>
  <c r="P70" i="30"/>
  <c r="I72" i="26" s="1"/>
  <c r="I14" i="26"/>
  <c r="N31" i="13"/>
  <c r="M95" i="13"/>
  <c r="N126" i="26"/>
  <c r="W35" i="26"/>
  <c r="N95" i="12"/>
  <c r="N67" i="12"/>
  <c r="N39" i="12"/>
  <c r="N107" i="13"/>
  <c r="O43" i="13"/>
  <c r="T65" i="21"/>
  <c r="O10" i="22"/>
  <c r="P40" i="8" s="1"/>
  <c r="K109" i="24"/>
  <c r="L45" i="24"/>
  <c r="M106" i="13"/>
  <c r="N42" i="13"/>
  <c r="P67" i="38"/>
  <c r="P95" i="38"/>
  <c r="P39" i="38"/>
  <c r="M93" i="29"/>
  <c r="M65" i="29"/>
  <c r="M37" i="29"/>
  <c r="N10" i="20"/>
  <c r="P52" i="8" s="1"/>
  <c r="S65" i="24"/>
  <c r="H13" i="6"/>
  <c r="H11" i="6"/>
  <c r="H4" i="8"/>
  <c r="G122" i="35"/>
  <c r="Q70" i="29"/>
  <c r="Q98" i="29"/>
  <c r="Q42" i="29"/>
  <c r="G44" i="26" s="1"/>
  <c r="G14" i="26"/>
  <c r="K319" i="7"/>
  <c r="K269" i="7"/>
  <c r="K283" i="7"/>
  <c r="Q14" i="29" s="1"/>
  <c r="G15" i="26" s="1"/>
  <c r="K11" i="38"/>
  <c r="G13" i="8"/>
  <c r="G255" i="8"/>
  <c r="M92" i="3"/>
  <c r="N34" i="3"/>
  <c r="L9" i="13"/>
  <c r="I2" i="17" s="1"/>
  <c r="L7" i="13"/>
  <c r="M11" i="13"/>
  <c r="V241" i="8"/>
  <c r="V250" i="8" s="1"/>
  <c r="U237" i="8"/>
  <c r="J302" i="7"/>
  <c r="L13" i="31" s="1"/>
  <c r="J25" i="31"/>
  <c r="N58" i="34"/>
  <c r="N87" i="3"/>
  <c r="O29" i="3"/>
  <c r="O18" i="21"/>
  <c r="N16" i="21"/>
  <c r="J3" i="22" s="1"/>
  <c r="K33" i="8" s="1"/>
  <c r="L43" i="20"/>
  <c r="L42" i="17"/>
  <c r="S100" i="12"/>
  <c r="S72" i="12"/>
  <c r="S44" i="12"/>
  <c r="M30" i="3"/>
  <c r="I5" i="6" s="1"/>
  <c r="I7" i="8" s="1"/>
  <c r="M90" i="3"/>
  <c r="N32" i="3"/>
  <c r="J15" i="31"/>
  <c r="M44" i="6"/>
  <c r="N35" i="21"/>
  <c r="M99" i="21"/>
  <c r="R16" i="38"/>
  <c r="L262" i="8"/>
  <c r="R16" i="12" s="1"/>
  <c r="M307" i="7"/>
  <c r="Q16" i="31" s="1"/>
  <c r="J56" i="8"/>
  <c r="F264" i="8"/>
  <c r="K10" i="12"/>
  <c r="L93" i="12"/>
  <c r="L65" i="12"/>
  <c r="L37" i="12"/>
  <c r="P12" i="38"/>
  <c r="H260" i="8"/>
  <c r="P12" i="12" s="1"/>
  <c r="M65" i="9"/>
  <c r="M37" i="9"/>
  <c r="M93" i="9"/>
  <c r="J23" i="31"/>
  <c r="O91" i="26"/>
  <c r="AE27" i="34"/>
  <c r="S90" i="9"/>
  <c r="Q98" i="9"/>
  <c r="Q70" i="9"/>
  <c r="Q42" i="9"/>
  <c r="L106" i="21"/>
  <c r="M42" i="21"/>
  <c r="N47" i="21"/>
  <c r="J6" i="22" s="1"/>
  <c r="K36" i="8" s="1"/>
  <c r="O48" i="21"/>
  <c r="R70" i="12"/>
  <c r="R42" i="12"/>
  <c r="E42" i="32" s="1"/>
  <c r="R98" i="12"/>
  <c r="F57" i="34"/>
  <c r="E13" i="32"/>
  <c r="R58" i="3"/>
  <c r="R116" i="3" s="1"/>
  <c r="M9" i="6"/>
  <c r="M11" i="8" s="1"/>
  <c r="M11" i="7" s="1"/>
  <c r="L105" i="21"/>
  <c r="M41" i="21"/>
  <c r="F58" i="34"/>
  <c r="M52" i="21"/>
  <c r="L50" i="21"/>
  <c r="H7" i="22" s="1"/>
  <c r="I37" i="8" s="1"/>
  <c r="M52" i="13"/>
  <c r="L50" i="13"/>
  <c r="I7" i="17" s="1"/>
  <c r="I23" i="8" s="1"/>
  <c r="R100" i="29"/>
  <c r="R72" i="29"/>
  <c r="R44" i="29"/>
  <c r="M8" i="17"/>
  <c r="M261" i="8" s="1"/>
  <c r="Q17" i="12" s="1"/>
  <c r="F44" i="35" s="1"/>
  <c r="Q63" i="13"/>
  <c r="G278" i="7"/>
  <c r="L10" i="29" s="1"/>
  <c r="G314" i="7"/>
  <c r="G264" i="7"/>
  <c r="N95" i="24"/>
  <c r="O31" i="24"/>
  <c r="S100" i="38"/>
  <c r="S72" i="38"/>
  <c r="S44" i="38"/>
  <c r="L107" i="21"/>
  <c r="M43" i="21"/>
  <c r="L88" i="3"/>
  <c r="H39" i="6" s="1"/>
  <c r="H7" i="7" s="1"/>
  <c r="S17" i="38"/>
  <c r="M263" i="8"/>
  <c r="S17" i="12" s="1"/>
  <c r="M105" i="13"/>
  <c r="N41" i="13"/>
  <c r="M13" i="38"/>
  <c r="N34" i="13"/>
  <c r="M32" i="13"/>
  <c r="J5" i="17" s="1"/>
  <c r="J21" i="8" s="1"/>
  <c r="M98" i="13"/>
  <c r="N48" i="3"/>
  <c r="M46" i="3"/>
  <c r="I7" i="6" s="1"/>
  <c r="I9" i="8" s="1"/>
  <c r="N47" i="13"/>
  <c r="K6" i="17" s="1"/>
  <c r="K22" i="8" s="1"/>
  <c r="O48" i="13"/>
  <c r="J92" i="8"/>
  <c r="L38" i="24"/>
  <c r="K102" i="24"/>
  <c r="R98" i="38"/>
  <c r="Z70" i="35" s="1"/>
  <c r="R70" i="38"/>
  <c r="X70" i="35" s="1"/>
  <c r="R42" i="38"/>
  <c r="L43" i="6"/>
  <c r="J18" i="31"/>
  <c r="M101" i="13"/>
  <c r="N37" i="13"/>
  <c r="E34" i="35"/>
  <c r="I34" i="35" s="1"/>
  <c r="J34" i="35" s="1"/>
  <c r="F8" i="35"/>
  <c r="F170" i="35" s="1"/>
  <c r="N94" i="24"/>
  <c r="O30" i="24"/>
  <c r="N29" i="24"/>
  <c r="J4" i="20" s="1"/>
  <c r="L46" i="8" s="1"/>
  <c r="M58" i="8" s="1"/>
  <c r="N70" i="8" s="1"/>
  <c r="O82" i="8" s="1"/>
  <c r="P94" i="8" s="1"/>
  <c r="Q106" i="8" s="1"/>
  <c r="U37" i="38"/>
  <c r="V37" i="38" s="1"/>
  <c r="J46" i="31"/>
  <c r="J102" i="31"/>
  <c r="J74" i="31"/>
  <c r="M43" i="17"/>
  <c r="Q64" i="13"/>
  <c r="M9" i="17"/>
  <c r="O94" i="21"/>
  <c r="P30" i="21"/>
  <c r="O29" i="21"/>
  <c r="K4" i="22" s="1"/>
  <c r="L34" i="8" s="1"/>
  <c r="G39" i="6"/>
  <c r="G7" i="7" s="1"/>
  <c r="Q100" i="12"/>
  <c r="Q72" i="12"/>
  <c r="Q44" i="12"/>
  <c r="M94" i="3"/>
  <c r="N36" i="3"/>
  <c r="L96" i="29"/>
  <c r="L68" i="29"/>
  <c r="L40" i="29"/>
  <c r="N10" i="6"/>
  <c r="N12" i="8" s="1"/>
  <c r="N12" i="7" s="1"/>
  <c r="S59" i="3"/>
  <c r="S117" i="3" s="1"/>
  <c r="N44" i="6"/>
  <c r="O97" i="12"/>
  <c r="O69" i="12"/>
  <c r="O41" i="12"/>
  <c r="W91" i="14" l="1"/>
  <c r="W128" i="13" s="1"/>
  <c r="W90" i="14"/>
  <c r="W127" i="13" s="1"/>
  <c r="W92" i="14"/>
  <c r="W129" i="13" s="1"/>
  <c r="X93" i="14"/>
  <c r="D40" i="35"/>
  <c r="H40" i="35" s="1"/>
  <c r="U70" i="35"/>
  <c r="D15" i="35" s="1"/>
  <c r="E177" i="35" s="1"/>
  <c r="V70" i="35"/>
  <c r="G166" i="26"/>
  <c r="G17" i="33"/>
  <c r="T17" i="33" s="1"/>
  <c r="S15" i="26"/>
  <c r="V71" i="35"/>
  <c r="E16" i="35" s="1"/>
  <c r="U71" i="35"/>
  <c r="D16" i="35" s="1"/>
  <c r="I17" i="33"/>
  <c r="V17" i="33" s="1"/>
  <c r="I166" i="26"/>
  <c r="T15" i="26"/>
  <c r="E15" i="32"/>
  <c r="G43" i="35"/>
  <c r="R73" i="30"/>
  <c r="R45" i="30"/>
  <c r="P102" i="29"/>
  <c r="P46" i="29"/>
  <c r="P74" i="29"/>
  <c r="N25" i="7"/>
  <c r="N296" i="7"/>
  <c r="R17" i="30" s="1"/>
  <c r="R102" i="30" s="1"/>
  <c r="R31" i="39"/>
  <c r="Q63" i="39"/>
  <c r="P52" i="7" s="1"/>
  <c r="P50" i="7"/>
  <c r="Q36" i="39"/>
  <c r="P51" i="7" s="1"/>
  <c r="Q62" i="39"/>
  <c r="P40" i="7" s="1"/>
  <c r="P38" i="7"/>
  <c r="Q35" i="39"/>
  <c r="P39" i="7" s="1"/>
  <c r="Q34" i="39"/>
  <c r="Q69" i="39"/>
  <c r="P125" i="7" s="1"/>
  <c r="P123" i="7"/>
  <c r="Q42" i="39"/>
  <c r="P124" i="7" s="1"/>
  <c r="Q68" i="39"/>
  <c r="P112" i="7" s="1"/>
  <c r="P110" i="7"/>
  <c r="Q41" i="39"/>
  <c r="P111" i="7" s="1"/>
  <c r="P86" i="7"/>
  <c r="Q67" i="39"/>
  <c r="P100" i="7" s="1"/>
  <c r="P98" i="7"/>
  <c r="Q40" i="39"/>
  <c r="P99" i="7" s="1"/>
  <c r="Q65" i="39"/>
  <c r="P76" i="7" s="1"/>
  <c r="P74" i="7"/>
  <c r="Q38" i="39"/>
  <c r="P75" i="7" s="1"/>
  <c r="Q64" i="39"/>
  <c r="P64" i="7" s="1"/>
  <c r="P62" i="7"/>
  <c r="Q37" i="39"/>
  <c r="P63" i="7" s="1"/>
  <c r="Q66" i="39"/>
  <c r="P88" i="7" s="1"/>
  <c r="Q39" i="39"/>
  <c r="P87" i="7" s="1"/>
  <c r="P61" i="39"/>
  <c r="Q58" i="39"/>
  <c r="P7" i="39"/>
  <c r="Q4" i="39"/>
  <c r="P69" i="39"/>
  <c r="O125" i="7" s="1"/>
  <c r="O62" i="7"/>
  <c r="O50" i="7"/>
  <c r="O123" i="7"/>
  <c r="P64" i="39"/>
  <c r="O64" i="7" s="1"/>
  <c r="P63" i="39"/>
  <c r="O52" i="7" s="1"/>
  <c r="O74" i="7"/>
  <c r="O38" i="7"/>
  <c r="O98" i="7"/>
  <c r="P65" i="39"/>
  <c r="O76" i="7" s="1"/>
  <c r="P62" i="39"/>
  <c r="O40" i="7" s="1"/>
  <c r="O110" i="7"/>
  <c r="P67" i="39"/>
  <c r="O100" i="7" s="1"/>
  <c r="P68" i="39"/>
  <c r="O112" i="7" s="1"/>
  <c r="O86" i="7"/>
  <c r="P66" i="39"/>
  <c r="O88" i="7" s="1"/>
  <c r="P42" i="39"/>
  <c r="O124" i="7" s="1"/>
  <c r="P38" i="39"/>
  <c r="O75" i="7" s="1"/>
  <c r="P37" i="39"/>
  <c r="O63" i="7" s="1"/>
  <c r="P36" i="39"/>
  <c r="O51" i="7" s="1"/>
  <c r="P35" i="39"/>
  <c r="O39" i="7" s="1"/>
  <c r="P34" i="39"/>
  <c r="P41" i="39"/>
  <c r="O111" i="7" s="1"/>
  <c r="P39" i="39"/>
  <c r="O87" i="7" s="1"/>
  <c r="P40" i="39"/>
  <c r="O99" i="7" s="1"/>
  <c r="E100" i="32"/>
  <c r="R129" i="21"/>
  <c r="N44" i="22" s="1"/>
  <c r="O44" i="17"/>
  <c r="R128" i="21"/>
  <c r="R127" i="21"/>
  <c r="U115" i="3"/>
  <c r="Q42" i="6" s="1"/>
  <c r="R96" i="18"/>
  <c r="Q92" i="18"/>
  <c r="E10" i="35"/>
  <c r="D172" i="35" s="1"/>
  <c r="R94" i="18"/>
  <c r="R90" i="18" s="1"/>
  <c r="T95" i="18"/>
  <c r="T91" i="18" s="1"/>
  <c r="M295" i="7"/>
  <c r="Q16" i="30" s="1"/>
  <c r="Q101" i="30" s="1"/>
  <c r="Q44" i="30"/>
  <c r="Q72" i="30"/>
  <c r="I41" i="8"/>
  <c r="E72" i="32"/>
  <c r="M32" i="21"/>
  <c r="I5" i="22" s="1"/>
  <c r="J35" i="8" s="1"/>
  <c r="M88" i="3"/>
  <c r="I39" i="6" s="1"/>
  <c r="I7" i="7" s="1"/>
  <c r="I279" i="7" s="1"/>
  <c r="M12" i="29" s="1"/>
  <c r="H291" i="7"/>
  <c r="M11" i="30" s="1"/>
  <c r="M40" i="30" s="1"/>
  <c r="L96" i="21"/>
  <c r="H39" i="22" s="1"/>
  <c r="I35" i="7" s="1"/>
  <c r="I291" i="7" s="1"/>
  <c r="M12" i="30" s="1"/>
  <c r="N93" i="24"/>
  <c r="J38" i="20" s="1"/>
  <c r="M9" i="22"/>
  <c r="N39" i="8" s="1"/>
  <c r="M43" i="22"/>
  <c r="R64" i="21"/>
  <c r="F59" i="34"/>
  <c r="L96" i="9"/>
  <c r="L68" i="9"/>
  <c r="I135" i="26"/>
  <c r="M97" i="12"/>
  <c r="M69" i="12"/>
  <c r="M41" i="12"/>
  <c r="L95" i="12"/>
  <c r="L67" i="12"/>
  <c r="L39" i="12"/>
  <c r="Q71" i="29"/>
  <c r="Q99" i="29"/>
  <c r="Q43" i="29"/>
  <c r="G45" i="26" s="1"/>
  <c r="S101" i="12"/>
  <c r="S73" i="12"/>
  <c r="S45" i="12"/>
  <c r="Q14" i="9"/>
  <c r="O10" i="17"/>
  <c r="S65" i="13"/>
  <c r="D94" i="32"/>
  <c r="AC52" i="34"/>
  <c r="U93" i="12"/>
  <c r="V93" i="12" s="1"/>
  <c r="AE52" i="34" s="1"/>
  <c r="AF52" i="34" s="1"/>
  <c r="I13" i="6"/>
  <c r="I11" i="6"/>
  <c r="I4" i="8"/>
  <c r="G123" i="35"/>
  <c r="N47" i="24"/>
  <c r="J6" i="20" s="1"/>
  <c r="L48" i="8" s="1"/>
  <c r="M60" i="8" s="1"/>
  <c r="N72" i="8" s="1"/>
  <c r="O84" i="8" s="1"/>
  <c r="P96" i="8" s="1"/>
  <c r="Q108" i="8" s="1"/>
  <c r="O48" i="24"/>
  <c r="L96" i="38"/>
  <c r="L68" i="38"/>
  <c r="L40" i="38"/>
  <c r="E39" i="33"/>
  <c r="L39" i="33" s="1"/>
  <c r="E28" i="34"/>
  <c r="E70" i="34" s="1"/>
  <c r="N6" i="26"/>
  <c r="W6" i="26" s="1"/>
  <c r="N45" i="21"/>
  <c r="M109" i="21"/>
  <c r="N18" i="13"/>
  <c r="M16" i="13"/>
  <c r="J3" i="17" s="1"/>
  <c r="J19" i="8" s="1"/>
  <c r="U38" i="38"/>
  <c r="V38" i="38" s="1"/>
  <c r="N101" i="13"/>
  <c r="O37" i="13"/>
  <c r="N8" i="17"/>
  <c r="N261" i="8" s="1"/>
  <c r="Q18" i="12" s="1"/>
  <c r="F45" i="35" s="1"/>
  <c r="R63" i="13"/>
  <c r="R100" i="38"/>
  <c r="Z72" i="35" s="1"/>
  <c r="R72" i="38"/>
  <c r="X72" i="35" s="1"/>
  <c r="R44" i="38"/>
  <c r="K46" i="7"/>
  <c r="L58" i="7" s="1"/>
  <c r="O52" i="24"/>
  <c r="N50" i="24"/>
  <c r="J7" i="20" s="1"/>
  <c r="L49" i="8" s="1"/>
  <c r="M61" i="8" s="1"/>
  <c r="N73" i="8" s="1"/>
  <c r="O85" i="8" s="1"/>
  <c r="P97" i="8" s="1"/>
  <c r="Q109" i="8" s="1"/>
  <c r="O35" i="13"/>
  <c r="N99" i="13"/>
  <c r="D66" i="32"/>
  <c r="U52" i="34"/>
  <c r="U65" i="12"/>
  <c r="V65" i="12" s="1"/>
  <c r="W52" i="34" s="1"/>
  <c r="X52" i="34" s="1"/>
  <c r="O108" i="13"/>
  <c r="P44" i="13"/>
  <c r="O18" i="3"/>
  <c r="N16" i="3"/>
  <c r="J3" i="6" s="1"/>
  <c r="J5" i="8" s="1"/>
  <c r="P68" i="12"/>
  <c r="P40" i="12"/>
  <c r="P96" i="12"/>
  <c r="L99" i="24"/>
  <c r="M35" i="24"/>
  <c r="O47" i="13"/>
  <c r="L6" i="17" s="1"/>
  <c r="L22" i="8" s="1"/>
  <c r="P48" i="13"/>
  <c r="S101" i="38"/>
  <c r="S73" i="38"/>
  <c r="S45" i="38"/>
  <c r="O95" i="24"/>
  <c r="P31" i="24"/>
  <c r="R17" i="38"/>
  <c r="M262" i="8"/>
  <c r="R17" i="12" s="1"/>
  <c r="P96" i="38"/>
  <c r="P68" i="38"/>
  <c r="P40" i="38"/>
  <c r="K68" i="8"/>
  <c r="O35" i="21"/>
  <c r="N99" i="21"/>
  <c r="N96" i="12"/>
  <c r="N68" i="12"/>
  <c r="N40" i="12"/>
  <c r="O42" i="3"/>
  <c r="N100" i="3"/>
  <c r="O126" i="26"/>
  <c r="N99" i="3"/>
  <c r="O41" i="3"/>
  <c r="N101" i="21"/>
  <c r="O37" i="21"/>
  <c r="K92" i="8"/>
  <c r="O87" i="3"/>
  <c r="P29" i="3"/>
  <c r="M50" i="13"/>
  <c r="J7" i="17" s="1"/>
  <c r="J23" i="8" s="1"/>
  <c r="N52" i="13"/>
  <c r="M106" i="21"/>
  <c r="N42" i="21"/>
  <c r="N94" i="3"/>
  <c r="O36" i="3"/>
  <c r="H315" i="7"/>
  <c r="H265" i="7"/>
  <c r="H279" i="7"/>
  <c r="M11" i="29" s="1"/>
  <c r="M50" i="21"/>
  <c r="I7" i="22" s="1"/>
  <c r="J37" i="8" s="1"/>
  <c r="N52" i="21"/>
  <c r="M43" i="6"/>
  <c r="J108" i="31"/>
  <c r="J52" i="31"/>
  <c r="J80" i="31"/>
  <c r="N11" i="13"/>
  <c r="M7" i="13"/>
  <c r="M9" i="13"/>
  <c r="J2" i="17" s="1"/>
  <c r="G264" i="8"/>
  <c r="K11" i="12"/>
  <c r="G165" i="26"/>
  <c r="G16" i="33"/>
  <c r="T16" i="33" s="1"/>
  <c r="O10" i="20"/>
  <c r="Q52" i="8" s="1"/>
  <c r="T65" i="24"/>
  <c r="U65" i="21"/>
  <c r="P10" i="22"/>
  <c r="Q40" i="8" s="1"/>
  <c r="N96" i="38"/>
  <c r="N68" i="38"/>
  <c r="N40" i="38"/>
  <c r="P99" i="30"/>
  <c r="I101" i="26" s="1"/>
  <c r="T101" i="26" s="1"/>
  <c r="P43" i="30"/>
  <c r="I45" i="26" s="1"/>
  <c r="P71" i="30"/>
  <c r="I73" i="26" s="1"/>
  <c r="T73" i="26" s="1"/>
  <c r="I81" i="8"/>
  <c r="H77" i="8"/>
  <c r="K28" i="34"/>
  <c r="U34" i="9"/>
  <c r="B160" i="15"/>
  <c r="L108" i="24"/>
  <c r="M44" i="24"/>
  <c r="O11" i="3"/>
  <c r="N9" i="3"/>
  <c r="J2" i="6" s="1"/>
  <c r="N7" i="3"/>
  <c r="O36" i="21"/>
  <c r="N100" i="21"/>
  <c r="N102" i="13"/>
  <c r="O38" i="13"/>
  <c r="G303" i="7"/>
  <c r="M10" i="31" s="1"/>
  <c r="I71" i="7"/>
  <c r="J83" i="7" s="1"/>
  <c r="K95" i="7" s="1"/>
  <c r="L107" i="7" s="1"/>
  <c r="M120" i="7" s="1"/>
  <c r="N133" i="7" s="1"/>
  <c r="O147" i="7" s="1"/>
  <c r="U66" i="38"/>
  <c r="V66" i="38" s="1"/>
  <c r="L97" i="31"/>
  <c r="L69" i="31"/>
  <c r="L41" i="31"/>
  <c r="D9" i="32"/>
  <c r="K94" i="12"/>
  <c r="K66" i="12"/>
  <c r="U10" i="12"/>
  <c r="V10" i="12" s="1"/>
  <c r="G53" i="34" s="1"/>
  <c r="H53" i="34" s="1"/>
  <c r="E53" i="34"/>
  <c r="K38" i="12"/>
  <c r="J25" i="9"/>
  <c r="I57" i="8"/>
  <c r="H53" i="8"/>
  <c r="I69" i="8"/>
  <c r="H65" i="8"/>
  <c r="K96" i="24"/>
  <c r="G39" i="20" s="1"/>
  <c r="I47" i="7" s="1"/>
  <c r="J59" i="7" s="1"/>
  <c r="K104" i="8"/>
  <c r="E71" i="32"/>
  <c r="V57" i="34"/>
  <c r="N13" i="38"/>
  <c r="I258" i="8"/>
  <c r="N13" i="12" s="1"/>
  <c r="N92" i="3"/>
  <c r="O34" i="3"/>
  <c r="N284" i="7"/>
  <c r="R17" i="29" s="1"/>
  <c r="G315" i="7"/>
  <c r="G265" i="7"/>
  <c r="G279" i="7"/>
  <c r="M10" i="29" s="1"/>
  <c r="P94" i="21"/>
  <c r="Q30" i="21"/>
  <c r="P29" i="21"/>
  <c r="L4" i="22" s="1"/>
  <c r="M34" i="8" s="1"/>
  <c r="J103" i="31"/>
  <c r="J75" i="31"/>
  <c r="J47" i="31"/>
  <c r="M96" i="13"/>
  <c r="J39" i="17" s="1"/>
  <c r="J21" i="7" s="1"/>
  <c r="O10" i="6"/>
  <c r="O12" i="8" s="1"/>
  <c r="T59" i="3"/>
  <c r="T117" i="3" s="1"/>
  <c r="O44" i="6"/>
  <c r="O93" i="21"/>
  <c r="O41" i="13"/>
  <c r="N105" i="13"/>
  <c r="M107" i="21"/>
  <c r="N43" i="21"/>
  <c r="L10" i="9"/>
  <c r="S58" i="3"/>
  <c r="S116" i="3" s="1"/>
  <c r="N9" i="6"/>
  <c r="N11" i="8" s="1"/>
  <c r="N11" i="7" s="1"/>
  <c r="M284" i="7"/>
  <c r="R16" i="29" s="1"/>
  <c r="N307" i="7"/>
  <c r="Q17" i="31" s="1"/>
  <c r="L93" i="13"/>
  <c r="N93" i="3"/>
  <c r="O35" i="3"/>
  <c r="L100" i="24"/>
  <c r="M36" i="24"/>
  <c r="K44" i="8"/>
  <c r="K32" i="8"/>
  <c r="M18" i="24"/>
  <c r="L16" i="24"/>
  <c r="H3" i="20" s="1"/>
  <c r="L7" i="24"/>
  <c r="K80" i="8"/>
  <c r="U94" i="38"/>
  <c r="V94" i="38" s="1"/>
  <c r="L101" i="24"/>
  <c r="M37" i="24"/>
  <c r="P43" i="3"/>
  <c r="L6" i="6" s="1"/>
  <c r="L8" i="8" s="1"/>
  <c r="Q44" i="3"/>
  <c r="E35" i="35"/>
  <c r="I35" i="35" s="1"/>
  <c r="J35" i="35" s="1"/>
  <c r="F9" i="35"/>
  <c r="F171" i="35" s="1"/>
  <c r="S18" i="38"/>
  <c r="N263" i="8"/>
  <c r="S18" i="12" s="1"/>
  <c r="L319" i="7"/>
  <c r="L269" i="7"/>
  <c r="L283" i="7"/>
  <c r="Q15" i="29" s="1"/>
  <c r="G16" i="26" s="1"/>
  <c r="L102" i="24"/>
  <c r="M38" i="24"/>
  <c r="O34" i="13"/>
  <c r="N98" i="13"/>
  <c r="N32" i="13"/>
  <c r="K5" i="17" s="1"/>
  <c r="K21" i="8" s="1"/>
  <c r="Q101" i="31"/>
  <c r="Q45" i="31"/>
  <c r="Q73" i="31"/>
  <c r="I11" i="17"/>
  <c r="I18" i="8"/>
  <c r="I27" i="8" s="1"/>
  <c r="K95" i="38"/>
  <c r="U11" i="38"/>
  <c r="V11" i="38" s="1"/>
  <c r="K39" i="38"/>
  <c r="K67" i="38"/>
  <c r="N106" i="13"/>
  <c r="O42" i="13"/>
  <c r="O107" i="13"/>
  <c r="P43" i="13"/>
  <c r="O31" i="13"/>
  <c r="N95" i="13"/>
  <c r="R128" i="24"/>
  <c r="S64" i="24"/>
  <c r="N9" i="20"/>
  <c r="P51" i="8" s="1"/>
  <c r="U62" i="9"/>
  <c r="C160" i="15"/>
  <c r="S28" i="34"/>
  <c r="O38" i="3"/>
  <c r="N96" i="3"/>
  <c r="I6" i="7"/>
  <c r="I101" i="8"/>
  <c r="J104" i="8"/>
  <c r="J113" i="8" s="1"/>
  <c r="I45" i="8"/>
  <c r="G11" i="20"/>
  <c r="N85" i="3"/>
  <c r="O15" i="38"/>
  <c r="K259" i="8"/>
  <c r="O15" i="12" s="1"/>
  <c r="L98" i="31"/>
  <c r="L70" i="31"/>
  <c r="L42" i="31"/>
  <c r="K12" i="38"/>
  <c r="H255" i="8"/>
  <c r="H13" i="8"/>
  <c r="M45" i="24"/>
  <c r="L109" i="24"/>
  <c r="N100" i="13"/>
  <c r="O36" i="13"/>
  <c r="O45" i="13"/>
  <c r="N109" i="13"/>
  <c r="Q101" i="12"/>
  <c r="Q73" i="12"/>
  <c r="Q45" i="12"/>
  <c r="N59" i="34"/>
  <c r="P13" i="38"/>
  <c r="I260" i="8"/>
  <c r="P13" i="12" s="1"/>
  <c r="M105" i="21"/>
  <c r="N41" i="21"/>
  <c r="M7" i="21"/>
  <c r="H93" i="8"/>
  <c r="G89" i="8"/>
  <c r="P11" i="21"/>
  <c r="O9" i="21"/>
  <c r="K2" i="22" s="1"/>
  <c r="N9" i="17"/>
  <c r="R64" i="13"/>
  <c r="N43" i="17"/>
  <c r="N46" i="3"/>
  <c r="J7" i="6" s="1"/>
  <c r="J9" i="8" s="1"/>
  <c r="O48" i="3"/>
  <c r="L95" i="29"/>
  <c r="L67" i="29"/>
  <c r="L39" i="29"/>
  <c r="O47" i="21"/>
  <c r="K6" i="22" s="1"/>
  <c r="L36" i="8" s="1"/>
  <c r="P48" i="21"/>
  <c r="J100" i="31"/>
  <c r="J72" i="31"/>
  <c r="J44" i="31"/>
  <c r="I165" i="26"/>
  <c r="I16" i="33"/>
  <c r="V16" i="33" s="1"/>
  <c r="M43" i="20"/>
  <c r="N30" i="13"/>
  <c r="M29" i="13"/>
  <c r="J4" i="17" s="1"/>
  <c r="J20" i="8" s="1"/>
  <c r="J257" i="8" s="1"/>
  <c r="M14" i="12" s="1"/>
  <c r="M94" i="13"/>
  <c r="H303" i="7"/>
  <c r="M11" i="31" s="1"/>
  <c r="J71" i="7"/>
  <c r="K83" i="7" s="1"/>
  <c r="L95" i="7" s="1"/>
  <c r="M107" i="7" s="1"/>
  <c r="N120" i="7" s="1"/>
  <c r="O133" i="7" s="1"/>
  <c r="P147" i="7" s="1"/>
  <c r="Q161" i="7" s="1"/>
  <c r="R173" i="7" s="1"/>
  <c r="S185" i="7" s="1"/>
  <c r="T197" i="7" s="1"/>
  <c r="U209" i="7" s="1"/>
  <c r="V221" i="7" s="1"/>
  <c r="K34" i="7"/>
  <c r="O39" i="3"/>
  <c r="N97" i="3"/>
  <c r="O11" i="24"/>
  <c r="N9" i="24"/>
  <c r="J2" i="20" s="1"/>
  <c r="U262" i="7"/>
  <c r="U312" i="7"/>
  <c r="H11" i="22"/>
  <c r="O34" i="21"/>
  <c r="N98" i="21"/>
  <c r="O98" i="12"/>
  <c r="O70" i="12"/>
  <c r="O42" i="12"/>
  <c r="L105" i="24"/>
  <c r="M41" i="24"/>
  <c r="L98" i="24"/>
  <c r="M34" i="24"/>
  <c r="L32" i="24"/>
  <c r="H5" i="20" s="1"/>
  <c r="J47" i="8" s="1"/>
  <c r="K59" i="8" s="1"/>
  <c r="L71" i="8" s="1"/>
  <c r="M83" i="8" s="1"/>
  <c r="N95" i="8" s="1"/>
  <c r="O107" i="8" s="1"/>
  <c r="M14" i="38"/>
  <c r="M42" i="22"/>
  <c r="N98" i="3"/>
  <c r="O40" i="3"/>
  <c r="O94" i="24"/>
  <c r="P30" i="24"/>
  <c r="O29" i="24"/>
  <c r="K4" i="20" s="1"/>
  <c r="M46" i="8" s="1"/>
  <c r="N58" i="8" s="1"/>
  <c r="O70" i="8" s="1"/>
  <c r="P82" i="8" s="1"/>
  <c r="Q94" i="8" s="1"/>
  <c r="R106" i="8" s="1"/>
  <c r="M97" i="38"/>
  <c r="M41" i="38"/>
  <c r="M69" i="38"/>
  <c r="M42" i="17"/>
  <c r="E99" i="32"/>
  <c r="AD57" i="34"/>
  <c r="D160" i="15"/>
  <c r="U90" i="9"/>
  <c r="AA28" i="34"/>
  <c r="R100" i="12"/>
  <c r="E101" i="32" s="1"/>
  <c r="R72" i="12"/>
  <c r="V59" i="34" s="1"/>
  <c r="R44" i="12"/>
  <c r="E44" i="32" s="1"/>
  <c r="N30" i="3"/>
  <c r="J5" i="6" s="1"/>
  <c r="J7" i="8" s="1"/>
  <c r="N90" i="3"/>
  <c r="O32" i="3"/>
  <c r="L294" i="7"/>
  <c r="P15" i="30" s="1"/>
  <c r="I16" i="26" s="1"/>
  <c r="P18" i="21"/>
  <c r="O16" i="21"/>
  <c r="K3" i="22" s="1"/>
  <c r="L33" i="8" s="1"/>
  <c r="J110" i="31"/>
  <c r="J82" i="31"/>
  <c r="J54" i="31"/>
  <c r="H95" i="35"/>
  <c r="J95" i="35" s="1"/>
  <c r="L95" i="35" s="1"/>
  <c r="I122" i="35"/>
  <c r="J122" i="35" s="1"/>
  <c r="K56" i="8"/>
  <c r="D37" i="32"/>
  <c r="U37" i="12"/>
  <c r="V37" i="12" s="1"/>
  <c r="O52" i="34" s="1"/>
  <c r="P52" i="34" s="1"/>
  <c r="M52" i="34"/>
  <c r="L106" i="24"/>
  <c r="M42" i="24"/>
  <c r="M108" i="21"/>
  <c r="N44" i="21"/>
  <c r="L13" i="38"/>
  <c r="L107" i="24"/>
  <c r="M43" i="24"/>
  <c r="O98" i="38"/>
  <c r="O70" i="38"/>
  <c r="O42" i="38"/>
  <c r="P95" i="21"/>
  <c r="Q31" i="21"/>
  <c r="N102" i="21"/>
  <c r="O38" i="21"/>
  <c r="N91" i="3"/>
  <c r="O33" i="3"/>
  <c r="O86" i="3"/>
  <c r="O85" i="3" s="1"/>
  <c r="O27" i="3"/>
  <c r="K4" i="6" s="1"/>
  <c r="K6" i="8" s="1"/>
  <c r="P28" i="3"/>
  <c r="N8" i="22"/>
  <c r="O38" i="8" s="1"/>
  <c r="S63" i="21"/>
  <c r="X90" i="14" l="1"/>
  <c r="X127" i="13" s="1"/>
  <c r="X91" i="14"/>
  <c r="X128" i="13" s="1"/>
  <c r="X92" i="14"/>
  <c r="X129" i="13" s="1"/>
  <c r="Y93" i="14"/>
  <c r="V72" i="35"/>
  <c r="E17" i="35" s="1"/>
  <c r="U72" i="35"/>
  <c r="D17" i="35" s="1"/>
  <c r="S45" i="26"/>
  <c r="G136" i="26"/>
  <c r="E178" i="35"/>
  <c r="D42" i="35"/>
  <c r="H42" i="35" s="1"/>
  <c r="F16" i="35"/>
  <c r="F178" i="35" s="1"/>
  <c r="D178" i="35"/>
  <c r="E42" i="35"/>
  <c r="I42" i="35" s="1"/>
  <c r="S16" i="26"/>
  <c r="G18" i="33"/>
  <c r="T18" i="33" s="1"/>
  <c r="G167" i="26"/>
  <c r="D41" i="35"/>
  <c r="H41" i="35" s="1"/>
  <c r="F60" i="34"/>
  <c r="G44" i="35"/>
  <c r="I18" i="33"/>
  <c r="V18" i="33" s="1"/>
  <c r="T16" i="26"/>
  <c r="I167" i="26"/>
  <c r="T45" i="26"/>
  <c r="I136" i="26"/>
  <c r="E36" i="35"/>
  <c r="I36" i="35" s="1"/>
  <c r="J36" i="35" s="1"/>
  <c r="F10" i="35"/>
  <c r="F172" i="35" s="1"/>
  <c r="R74" i="30"/>
  <c r="R46" i="30"/>
  <c r="O24" i="7"/>
  <c r="O10" i="7"/>
  <c r="O282" i="7" s="1"/>
  <c r="P18" i="29" s="1"/>
  <c r="O25" i="7"/>
  <c r="P25" i="7"/>
  <c r="O26" i="7"/>
  <c r="O296" i="7" s="1"/>
  <c r="R18" i="30" s="1"/>
  <c r="R75" i="30" s="1"/>
  <c r="O12" i="7"/>
  <c r="O284" i="7" s="1"/>
  <c r="R18" i="29" s="1"/>
  <c r="S31" i="39"/>
  <c r="R64" i="39"/>
  <c r="Q64" i="7" s="1"/>
  <c r="Q62" i="7"/>
  <c r="R37" i="39"/>
  <c r="Q63" i="7" s="1"/>
  <c r="R67" i="39"/>
  <c r="Q100" i="7" s="1"/>
  <c r="R63" i="39"/>
  <c r="Q52" i="7" s="1"/>
  <c r="Q50" i="7"/>
  <c r="R36" i="39"/>
  <c r="Q51" i="7" s="1"/>
  <c r="R62" i="39"/>
  <c r="Q40" i="7" s="1"/>
  <c r="Q38" i="7"/>
  <c r="R35" i="39"/>
  <c r="Q39" i="7" s="1"/>
  <c r="R34" i="39"/>
  <c r="Q98" i="7"/>
  <c r="R69" i="39"/>
  <c r="Q125" i="7" s="1"/>
  <c r="Q123" i="7"/>
  <c r="R42" i="39"/>
  <c r="Q124" i="7" s="1"/>
  <c r="R40" i="39"/>
  <c r="Q99" i="7" s="1"/>
  <c r="R68" i="39"/>
  <c r="Q112" i="7" s="1"/>
  <c r="Q110" i="7"/>
  <c r="R41" i="39"/>
  <c r="Q111" i="7" s="1"/>
  <c r="R66" i="39"/>
  <c r="Q88" i="7" s="1"/>
  <c r="Q86" i="7"/>
  <c r="R39" i="39"/>
  <c r="Q87" i="7" s="1"/>
  <c r="R65" i="39"/>
  <c r="Q76" i="7" s="1"/>
  <c r="Q74" i="7"/>
  <c r="R38" i="39"/>
  <c r="Q75" i="7" s="1"/>
  <c r="R58" i="39"/>
  <c r="Q61" i="39"/>
  <c r="R4" i="39"/>
  <c r="Q7" i="39"/>
  <c r="S127" i="21"/>
  <c r="S129" i="21"/>
  <c r="O44" i="22" s="1"/>
  <c r="P44" i="17"/>
  <c r="S128" i="21"/>
  <c r="V115" i="3"/>
  <c r="R42" i="6" s="1"/>
  <c r="S96" i="18"/>
  <c r="R92" i="18"/>
  <c r="Q45" i="30"/>
  <c r="Q73" i="30"/>
  <c r="M96" i="30"/>
  <c r="M68" i="30"/>
  <c r="O93" i="24"/>
  <c r="K38" i="20" s="1"/>
  <c r="S94" i="18"/>
  <c r="S90" i="18" s="1"/>
  <c r="U95" i="18"/>
  <c r="U91" i="18" s="1"/>
  <c r="N295" i="7"/>
  <c r="Q17" i="30" s="1"/>
  <c r="Q102" i="30" s="1"/>
  <c r="L96" i="24"/>
  <c r="H39" i="20" s="1"/>
  <c r="J47" i="7" s="1"/>
  <c r="K59" i="7" s="1"/>
  <c r="L71" i="7" s="1"/>
  <c r="M83" i="7" s="1"/>
  <c r="N95" i="7" s="1"/>
  <c r="O107" i="7" s="1"/>
  <c r="P120" i="7" s="1"/>
  <c r="Q133" i="7" s="1"/>
  <c r="R147" i="7" s="1"/>
  <c r="N32" i="21"/>
  <c r="J5" i="22" s="1"/>
  <c r="K35" i="8" s="1"/>
  <c r="E16" i="32"/>
  <c r="N65" i="3"/>
  <c r="N43" i="22"/>
  <c r="S64" i="21"/>
  <c r="N9" i="22"/>
  <c r="O39" i="8" s="1"/>
  <c r="N96" i="13"/>
  <c r="K39" i="17" s="1"/>
  <c r="K21" i="7" s="1"/>
  <c r="M96" i="21"/>
  <c r="I39" i="22" s="1"/>
  <c r="J41" i="8"/>
  <c r="P161" i="7"/>
  <c r="Q173" i="7" s="1"/>
  <c r="R185" i="7" s="1"/>
  <c r="S197" i="7" s="1"/>
  <c r="T209" i="7" s="1"/>
  <c r="U221" i="7" s="1"/>
  <c r="V233" i="7" s="1"/>
  <c r="N7" i="21"/>
  <c r="E73" i="32"/>
  <c r="S102" i="38"/>
  <c r="S74" i="38"/>
  <c r="S46" i="38"/>
  <c r="E11" i="35"/>
  <c r="D173" i="35" s="1"/>
  <c r="Q71" i="9"/>
  <c r="Q43" i="9"/>
  <c r="Q99" i="9"/>
  <c r="I265" i="7"/>
  <c r="L44" i="8"/>
  <c r="O99" i="38"/>
  <c r="O43" i="38"/>
  <c r="O71" i="38"/>
  <c r="J69" i="8"/>
  <c r="I65" i="8"/>
  <c r="V65" i="21"/>
  <c r="Q10" i="22"/>
  <c r="R40" i="8" s="1"/>
  <c r="M11" i="9"/>
  <c r="P35" i="21"/>
  <c r="O99" i="21"/>
  <c r="P95" i="24"/>
  <c r="Q31" i="24"/>
  <c r="O8" i="22"/>
  <c r="P38" i="8" s="1"/>
  <c r="T63" i="21"/>
  <c r="O102" i="21"/>
  <c r="P38" i="21"/>
  <c r="P44" i="30"/>
  <c r="I46" i="26" s="1"/>
  <c r="P100" i="30"/>
  <c r="I102" i="26" s="1"/>
  <c r="T102" i="26" s="1"/>
  <c r="P72" i="30"/>
  <c r="I74" i="26" s="1"/>
  <c r="T74" i="26" s="1"/>
  <c r="N92" i="26"/>
  <c r="W92" i="26" s="1"/>
  <c r="AC28" i="34"/>
  <c r="P34" i="21"/>
  <c r="O98" i="21"/>
  <c r="P11" i="24"/>
  <c r="O9" i="24"/>
  <c r="K2" i="20" s="1"/>
  <c r="O41" i="21"/>
  <c r="N105" i="21"/>
  <c r="J38" i="6"/>
  <c r="I278" i="7"/>
  <c r="O95" i="13"/>
  <c r="P31" i="13"/>
  <c r="U95" i="38"/>
  <c r="V95" i="38" s="1"/>
  <c r="P34" i="13"/>
  <c r="O32" i="13"/>
  <c r="L5" i="17" s="1"/>
  <c r="L21" i="8" s="1"/>
  <c r="O98" i="13"/>
  <c r="O93" i="3"/>
  <c r="P35" i="3"/>
  <c r="P36" i="21"/>
  <c r="O100" i="21"/>
  <c r="E160" i="15"/>
  <c r="N50" i="13"/>
  <c r="K7" i="17" s="1"/>
  <c r="K23" i="8" s="1"/>
  <c r="O52" i="13"/>
  <c r="O100" i="3"/>
  <c r="P42" i="3"/>
  <c r="M99" i="24"/>
  <c r="N35" i="24"/>
  <c r="H96" i="35"/>
  <c r="J96" i="35" s="1"/>
  <c r="L96" i="35" s="1"/>
  <c r="I123" i="35"/>
  <c r="J123" i="35" s="1"/>
  <c r="T65" i="13"/>
  <c r="P10" i="17"/>
  <c r="M69" i="29"/>
  <c r="M97" i="29"/>
  <c r="M41" i="29"/>
  <c r="N42" i="22"/>
  <c r="M106" i="24"/>
  <c r="N42" i="24"/>
  <c r="M96" i="31"/>
  <c r="M68" i="31"/>
  <c r="M40" i="31"/>
  <c r="P9" i="21"/>
  <c r="L2" i="22" s="1"/>
  <c r="Q11" i="21"/>
  <c r="O90" i="3"/>
  <c r="P32" i="3"/>
  <c r="O30" i="3"/>
  <c r="K5" i="6" s="1"/>
  <c r="K7" i="8" s="1"/>
  <c r="M105" i="24"/>
  <c r="N41" i="24"/>
  <c r="M93" i="13"/>
  <c r="M71" i="13"/>
  <c r="Q48" i="21"/>
  <c r="P47" i="21"/>
  <c r="L6" i="22" s="1"/>
  <c r="M36" i="8" s="1"/>
  <c r="P41" i="13"/>
  <c r="O105" i="13"/>
  <c r="I25" i="31"/>
  <c r="I110" i="31" s="1"/>
  <c r="I25" i="30"/>
  <c r="I25" i="29"/>
  <c r="J82" i="9"/>
  <c r="J110" i="9"/>
  <c r="J54" i="9"/>
  <c r="D67" i="32"/>
  <c r="U53" i="34"/>
  <c r="U66" i="12"/>
  <c r="V66" i="12" s="1"/>
  <c r="W53" i="34" s="1"/>
  <c r="X53" i="34" s="1"/>
  <c r="N36" i="26"/>
  <c r="M28" i="34"/>
  <c r="L104" i="8"/>
  <c r="P35" i="13"/>
  <c r="O99" i="13"/>
  <c r="O8" i="17"/>
  <c r="O261" i="8" s="1"/>
  <c r="Q19" i="12" s="1"/>
  <c r="F46" i="35" s="1"/>
  <c r="S63" i="13"/>
  <c r="M97" i="30"/>
  <c r="M41" i="30"/>
  <c r="M69" i="30"/>
  <c r="I315" i="7"/>
  <c r="P86" i="3"/>
  <c r="Q28" i="3"/>
  <c r="P27" i="3"/>
  <c r="L4" i="6" s="1"/>
  <c r="L6" i="8" s="1"/>
  <c r="Q95" i="21"/>
  <c r="R31" i="21"/>
  <c r="N88" i="3"/>
  <c r="J39" i="6" s="1"/>
  <c r="J7" i="7" s="1"/>
  <c r="P94" i="24"/>
  <c r="P29" i="24"/>
  <c r="L4" i="20" s="1"/>
  <c r="N46" i="8" s="1"/>
  <c r="O58" i="8" s="1"/>
  <c r="P70" i="8" s="1"/>
  <c r="Q82" i="8" s="1"/>
  <c r="R94" i="8" s="1"/>
  <c r="S106" i="8" s="1"/>
  <c r="Q30" i="24"/>
  <c r="O97" i="3"/>
  <c r="P39" i="3"/>
  <c r="P97" i="12"/>
  <c r="P69" i="12"/>
  <c r="P41" i="12"/>
  <c r="M109" i="24"/>
  <c r="N45" i="24"/>
  <c r="J57" i="8"/>
  <c r="I53" i="8"/>
  <c r="O9" i="20"/>
  <c r="Q51" i="8" s="1"/>
  <c r="S128" i="24"/>
  <c r="T64" i="24"/>
  <c r="L92" i="8"/>
  <c r="R18" i="38"/>
  <c r="N262" i="8"/>
  <c r="R18" i="12" s="1"/>
  <c r="G45" i="35" s="1"/>
  <c r="K38" i="22"/>
  <c r="D95" i="32"/>
  <c r="U94" i="12"/>
  <c r="V94" i="12" s="1"/>
  <c r="AE53" i="34" s="1"/>
  <c r="AF53" i="34" s="1"/>
  <c r="AC53" i="34"/>
  <c r="J11" i="6"/>
  <c r="J13" i="6"/>
  <c r="J4" i="8"/>
  <c r="P87" i="3"/>
  <c r="Q29" i="3"/>
  <c r="P37" i="21"/>
  <c r="O101" i="21"/>
  <c r="P18" i="3"/>
  <c r="O16" i="3"/>
  <c r="K3" i="6" s="1"/>
  <c r="K5" i="8" s="1"/>
  <c r="N42" i="17"/>
  <c r="M107" i="24"/>
  <c r="N43" i="24"/>
  <c r="Q43" i="13"/>
  <c r="P107" i="13"/>
  <c r="M102" i="24"/>
  <c r="N38" i="24"/>
  <c r="N43" i="6"/>
  <c r="R102" i="29"/>
  <c r="R46" i="29"/>
  <c r="R74" i="29"/>
  <c r="P10" i="20"/>
  <c r="R52" i="8" s="1"/>
  <c r="U65" i="24"/>
  <c r="L80" i="8"/>
  <c r="L14" i="38"/>
  <c r="K13" i="38"/>
  <c r="I255" i="8"/>
  <c r="I13" i="8"/>
  <c r="M15" i="38"/>
  <c r="L69" i="38"/>
  <c r="L41" i="38"/>
  <c r="L97" i="38"/>
  <c r="N14" i="38"/>
  <c r="J258" i="8"/>
  <c r="N14" i="12" s="1"/>
  <c r="M98" i="12"/>
  <c r="M70" i="12"/>
  <c r="M42" i="12"/>
  <c r="J24" i="9"/>
  <c r="N94" i="13"/>
  <c r="N29" i="13"/>
  <c r="K4" i="17" s="1"/>
  <c r="K20" i="8" s="1"/>
  <c r="K257" i="8" s="1"/>
  <c r="M15" i="12" s="1"/>
  <c r="O30" i="13"/>
  <c r="I105" i="8"/>
  <c r="I113" i="8" s="1"/>
  <c r="H101" i="8"/>
  <c r="P97" i="38"/>
  <c r="P69" i="38"/>
  <c r="P41" i="38"/>
  <c r="N43" i="20"/>
  <c r="O106" i="13"/>
  <c r="P42" i="13"/>
  <c r="Q100" i="29"/>
  <c r="Q72" i="29"/>
  <c r="Q44" i="29"/>
  <c r="G46" i="26" s="1"/>
  <c r="O9" i="6"/>
  <c r="O11" i="8" s="1"/>
  <c r="O11" i="7" s="1"/>
  <c r="T58" i="3"/>
  <c r="T116" i="3" s="1"/>
  <c r="Q29" i="21"/>
  <c r="M4" i="22" s="1"/>
  <c r="N34" i="8" s="1"/>
  <c r="Q94" i="21"/>
  <c r="R30" i="21"/>
  <c r="P34" i="3"/>
  <c r="O92" i="3"/>
  <c r="I303" i="7"/>
  <c r="M12" i="31" s="1"/>
  <c r="K71" i="7"/>
  <c r="L83" i="7" s="1"/>
  <c r="M95" i="7" s="1"/>
  <c r="N107" i="7" s="1"/>
  <c r="O120" i="7" s="1"/>
  <c r="P133" i="7" s="1"/>
  <c r="Q147" i="7" s="1"/>
  <c r="M67" i="31"/>
  <c r="M39" i="31"/>
  <c r="M95" i="31"/>
  <c r="P11" i="3"/>
  <c r="O9" i="3"/>
  <c r="K2" i="6" s="1"/>
  <c r="O7" i="3"/>
  <c r="J11" i="17"/>
  <c r="J18" i="8"/>
  <c r="J27" i="8" s="1"/>
  <c r="M319" i="7"/>
  <c r="M283" i="7"/>
  <c r="Q16" i="29" s="1"/>
  <c r="G17" i="26" s="1"/>
  <c r="M269" i="7"/>
  <c r="P108" i="13"/>
  <c r="Q44" i="13"/>
  <c r="O50" i="24"/>
  <c r="K7" i="20" s="1"/>
  <c r="M49" i="8" s="1"/>
  <c r="N61" i="8" s="1"/>
  <c r="O73" i="8" s="1"/>
  <c r="P85" i="8" s="1"/>
  <c r="Q97" i="8" s="1"/>
  <c r="R109" i="8" s="1"/>
  <c r="P52" i="24"/>
  <c r="Q102" i="12"/>
  <c r="Q74" i="12"/>
  <c r="Q46" i="12"/>
  <c r="O18" i="13"/>
  <c r="N16" i="13"/>
  <c r="K3" i="17" s="1"/>
  <c r="K19" i="8" s="1"/>
  <c r="U28" i="34"/>
  <c r="N64" i="26"/>
  <c r="W64" i="26" s="1"/>
  <c r="K38" i="6"/>
  <c r="N108" i="21"/>
  <c r="O44" i="21"/>
  <c r="M70" i="38"/>
  <c r="M42" i="38"/>
  <c r="M98" i="38"/>
  <c r="O109" i="13"/>
  <c r="P45" i="13"/>
  <c r="O96" i="3"/>
  <c r="P38" i="3"/>
  <c r="Q15" i="9"/>
  <c r="R44" i="3"/>
  <c r="Q43" i="3"/>
  <c r="M6" i="6" s="1"/>
  <c r="M8" i="8" s="1"/>
  <c r="L56" i="8"/>
  <c r="Q102" i="31"/>
  <c r="Q46" i="31"/>
  <c r="Q74" i="31"/>
  <c r="P44" i="6"/>
  <c r="U59" i="3"/>
  <c r="U117" i="3" s="1"/>
  <c r="P10" i="6"/>
  <c r="P12" i="8" s="1"/>
  <c r="N50" i="21"/>
  <c r="J7" i="22" s="1"/>
  <c r="K37" i="8" s="1"/>
  <c r="K41" i="8" s="1"/>
  <c r="O52" i="21"/>
  <c r="O94" i="3"/>
  <c r="P36" i="3"/>
  <c r="AD59" i="34"/>
  <c r="O99" i="3"/>
  <c r="P41" i="3"/>
  <c r="Q48" i="13"/>
  <c r="P47" i="13"/>
  <c r="M6" i="17" s="1"/>
  <c r="M22" i="8" s="1"/>
  <c r="P37" i="13"/>
  <c r="O101" i="13"/>
  <c r="H256" i="8"/>
  <c r="L12" i="12" s="1"/>
  <c r="P40" i="3"/>
  <c r="O98" i="3"/>
  <c r="P14" i="38"/>
  <c r="J260" i="8"/>
  <c r="P14" i="12" s="1"/>
  <c r="O9" i="17"/>
  <c r="O43" i="17"/>
  <c r="S64" i="13"/>
  <c r="L68" i="8"/>
  <c r="K12" i="12"/>
  <c r="I38" i="17"/>
  <c r="P93" i="21"/>
  <c r="P33" i="3"/>
  <c r="O91" i="3"/>
  <c r="P16" i="21"/>
  <c r="L3" i="22" s="1"/>
  <c r="M33" i="8" s="1"/>
  <c r="Q18" i="21"/>
  <c r="M294" i="7"/>
  <c r="P16" i="30" s="1"/>
  <c r="I17" i="26" s="1"/>
  <c r="O307" i="7"/>
  <c r="Q18" i="31" s="1"/>
  <c r="P36" i="13"/>
  <c r="O100" i="13"/>
  <c r="K68" i="38"/>
  <c r="K40" i="38"/>
  <c r="K96" i="38"/>
  <c r="U12" i="38"/>
  <c r="V12" i="38" s="1"/>
  <c r="L46" i="7"/>
  <c r="M58" i="7" s="1"/>
  <c r="U67" i="38"/>
  <c r="V67" i="38" s="1"/>
  <c r="O16" i="38"/>
  <c r="L259" i="8"/>
  <c r="O16" i="12" s="1"/>
  <c r="J45" i="8"/>
  <c r="H11" i="20"/>
  <c r="R101" i="29"/>
  <c r="R73" i="29"/>
  <c r="R45" i="29"/>
  <c r="L67" i="9"/>
  <c r="L39" i="9"/>
  <c r="L95" i="9"/>
  <c r="S19" i="38"/>
  <c r="O263" i="8"/>
  <c r="S19" i="12" s="1"/>
  <c r="M95" i="29"/>
  <c r="M67" i="29"/>
  <c r="M39" i="29"/>
  <c r="N97" i="12"/>
  <c r="N69" i="12"/>
  <c r="N41" i="12"/>
  <c r="J81" i="8"/>
  <c r="I77" i="8"/>
  <c r="O102" i="13"/>
  <c r="P38" i="13"/>
  <c r="J93" i="8"/>
  <c r="I89" i="8"/>
  <c r="D10" i="32"/>
  <c r="K95" i="12"/>
  <c r="U11" i="12"/>
  <c r="V11" i="12" s="1"/>
  <c r="G54" i="34" s="1"/>
  <c r="H54" i="34" s="1"/>
  <c r="E54" i="34"/>
  <c r="K67" i="12"/>
  <c r="K39" i="12"/>
  <c r="O11" i="13"/>
  <c r="N9" i="13"/>
  <c r="K2" i="17" s="1"/>
  <c r="N7" i="13"/>
  <c r="R101" i="12"/>
  <c r="AD60" i="34" s="1"/>
  <c r="R73" i="12"/>
  <c r="E74" i="32" s="1"/>
  <c r="R45" i="12"/>
  <c r="E45" i="32" s="1"/>
  <c r="K302" i="7"/>
  <c r="L14" i="31" s="1"/>
  <c r="N109" i="21"/>
  <c r="O45" i="21"/>
  <c r="O47" i="24"/>
  <c r="K6" i="20" s="1"/>
  <c r="M48" i="8" s="1"/>
  <c r="N60" i="8" s="1"/>
  <c r="O72" i="8" s="1"/>
  <c r="P84" i="8" s="1"/>
  <c r="Q96" i="8" s="1"/>
  <c r="R108" i="8" s="1"/>
  <c r="P48" i="24"/>
  <c r="I11" i="22"/>
  <c r="M98" i="24"/>
  <c r="N34" i="24"/>
  <c r="M32" i="24"/>
  <c r="I5" i="20" s="1"/>
  <c r="K47" i="8" s="1"/>
  <c r="L59" i="8" s="1"/>
  <c r="M71" i="8" s="1"/>
  <c r="N83" i="8" s="1"/>
  <c r="O95" i="8" s="1"/>
  <c r="P107" i="8" s="1"/>
  <c r="O46" i="3"/>
  <c r="K7" i="6" s="1"/>
  <c r="K9" i="8" s="1"/>
  <c r="P48" i="3"/>
  <c r="L32" i="8"/>
  <c r="N60" i="34"/>
  <c r="O99" i="12"/>
  <c r="O71" i="12"/>
  <c r="O43" i="12"/>
  <c r="U39" i="38"/>
  <c r="V39" i="38" s="1"/>
  <c r="S102" i="12"/>
  <c r="S74" i="12"/>
  <c r="S46" i="12"/>
  <c r="M101" i="24"/>
  <c r="N37" i="24"/>
  <c r="N18" i="24"/>
  <c r="M16" i="24"/>
  <c r="I3" i="20" s="1"/>
  <c r="M7" i="24"/>
  <c r="M100" i="24"/>
  <c r="N36" i="24"/>
  <c r="N107" i="21"/>
  <c r="O43" i="21"/>
  <c r="M10" i="9"/>
  <c r="N97" i="38"/>
  <c r="N69" i="38"/>
  <c r="N41" i="38"/>
  <c r="D38" i="32"/>
  <c r="U38" i="12"/>
  <c r="V38" i="12" s="1"/>
  <c r="O53" i="34" s="1"/>
  <c r="P53" i="34" s="1"/>
  <c r="M53" i="34"/>
  <c r="M108" i="24"/>
  <c r="N44" i="24"/>
  <c r="M96" i="29"/>
  <c r="M68" i="29"/>
  <c r="M40" i="29"/>
  <c r="N106" i="21"/>
  <c r="O42" i="21"/>
  <c r="R101" i="38"/>
  <c r="Z73" i="35" s="1"/>
  <c r="R73" i="38"/>
  <c r="X73" i="35" s="1"/>
  <c r="R45" i="38"/>
  <c r="Y90" i="14" l="1"/>
  <c r="Y127" i="13" s="1"/>
  <c r="D127" i="13" s="1"/>
  <c r="Y91" i="14"/>
  <c r="Y128" i="13" s="1"/>
  <c r="D128" i="13" s="1"/>
  <c r="Y92" i="14"/>
  <c r="Y129" i="13" s="1"/>
  <c r="D129" i="13" s="1"/>
  <c r="G168" i="26"/>
  <c r="G19" i="33"/>
  <c r="T19" i="33" s="1"/>
  <c r="S17" i="26"/>
  <c r="V73" i="35"/>
  <c r="E18" i="35" s="1"/>
  <c r="U73" i="35"/>
  <c r="D18" i="35" s="1"/>
  <c r="J42" i="35"/>
  <c r="E179" i="35"/>
  <c r="D43" i="35"/>
  <c r="H43" i="35" s="1"/>
  <c r="F17" i="35"/>
  <c r="F179" i="35" s="1"/>
  <c r="S46" i="26"/>
  <c r="G137" i="26"/>
  <c r="D179" i="35"/>
  <c r="E43" i="35"/>
  <c r="I43" i="35" s="1"/>
  <c r="I168" i="26"/>
  <c r="T17" i="26"/>
  <c r="M17" i="26"/>
  <c r="I19" i="33"/>
  <c r="V19" i="33" s="1"/>
  <c r="T46" i="26"/>
  <c r="I137" i="26"/>
  <c r="E12" i="35"/>
  <c r="D174" i="35" s="1"/>
  <c r="E37" i="35"/>
  <c r="I37" i="35" s="1"/>
  <c r="J37" i="35" s="1"/>
  <c r="P24" i="7"/>
  <c r="P10" i="7"/>
  <c r="P282" i="7" s="1"/>
  <c r="P19" i="29" s="1"/>
  <c r="P75" i="29"/>
  <c r="P103" i="29"/>
  <c r="P47" i="29"/>
  <c r="Q25" i="7"/>
  <c r="P12" i="7"/>
  <c r="P284" i="7" s="1"/>
  <c r="R19" i="29" s="1"/>
  <c r="P26" i="7"/>
  <c r="P296" i="7" s="1"/>
  <c r="R19" i="30" s="1"/>
  <c r="R104" i="30" s="1"/>
  <c r="R47" i="30"/>
  <c r="R103" i="30"/>
  <c r="T31" i="39"/>
  <c r="S65" i="39"/>
  <c r="R76" i="7" s="1"/>
  <c r="R74" i="7"/>
  <c r="S38" i="39"/>
  <c r="R75" i="7" s="1"/>
  <c r="S64" i="39"/>
  <c r="R64" i="7" s="1"/>
  <c r="R62" i="7"/>
  <c r="S37" i="39"/>
  <c r="R63" i="7" s="1"/>
  <c r="S41" i="39"/>
  <c r="R111" i="7" s="1"/>
  <c r="S63" i="39"/>
  <c r="R52" i="7" s="1"/>
  <c r="R50" i="7"/>
  <c r="S36" i="39"/>
  <c r="R51" i="7" s="1"/>
  <c r="S68" i="39"/>
  <c r="R112" i="7" s="1"/>
  <c r="S62" i="39"/>
  <c r="R40" i="7" s="1"/>
  <c r="R38" i="7"/>
  <c r="S35" i="39"/>
  <c r="R39" i="7" s="1"/>
  <c r="S34" i="39"/>
  <c r="S69" i="39"/>
  <c r="R125" i="7" s="1"/>
  <c r="R123" i="7"/>
  <c r="S42" i="39"/>
  <c r="R124" i="7" s="1"/>
  <c r="S67" i="39"/>
  <c r="R100" i="7" s="1"/>
  <c r="R98" i="7"/>
  <c r="S40" i="39"/>
  <c r="R99" i="7" s="1"/>
  <c r="R110" i="7"/>
  <c r="S66" i="39"/>
  <c r="R88" i="7" s="1"/>
  <c r="R86" i="7"/>
  <c r="S39" i="39"/>
  <c r="R87" i="7" s="1"/>
  <c r="S58" i="39"/>
  <c r="R61" i="39"/>
  <c r="S4" i="39"/>
  <c r="R7" i="39"/>
  <c r="T129" i="21"/>
  <c r="P44" i="22" s="1"/>
  <c r="Q44" i="17"/>
  <c r="T127" i="21"/>
  <c r="T128" i="21"/>
  <c r="W115" i="3"/>
  <c r="S42" i="6" s="1"/>
  <c r="T96" i="18"/>
  <c r="S92" i="18"/>
  <c r="T94" i="18"/>
  <c r="T90" i="18" s="1"/>
  <c r="V95" i="18"/>
  <c r="V91" i="18" s="1"/>
  <c r="Q46" i="30"/>
  <c r="Q74" i="30"/>
  <c r="O295" i="7"/>
  <c r="Q18" i="30" s="1"/>
  <c r="Q75" i="30" s="1"/>
  <c r="J303" i="7"/>
  <c r="M13" i="31" s="1"/>
  <c r="M98" i="31" s="1"/>
  <c r="O7" i="21"/>
  <c r="O65" i="3"/>
  <c r="J11" i="22"/>
  <c r="J256" i="8"/>
  <c r="L14" i="12" s="1"/>
  <c r="L98" i="12" s="1"/>
  <c r="R161" i="7"/>
  <c r="S173" i="7" s="1"/>
  <c r="T185" i="7" s="1"/>
  <c r="U197" i="7" s="1"/>
  <c r="V209" i="7" s="1"/>
  <c r="Q93" i="21"/>
  <c r="M38" i="22" s="1"/>
  <c r="O9" i="22"/>
  <c r="P39" i="8" s="1"/>
  <c r="O43" i="22"/>
  <c r="T64" i="21"/>
  <c r="N71" i="21"/>
  <c r="H264" i="8"/>
  <c r="I256" i="8"/>
  <c r="L13" i="12" s="1"/>
  <c r="L97" i="12" s="1"/>
  <c r="N96" i="21"/>
  <c r="J39" i="22" s="1"/>
  <c r="S161" i="7"/>
  <c r="T173" i="7" s="1"/>
  <c r="U185" i="7" s="1"/>
  <c r="V197" i="7" s="1"/>
  <c r="M99" i="12"/>
  <c r="M43" i="12"/>
  <c r="M71" i="12"/>
  <c r="P91" i="3"/>
  <c r="Q33" i="3"/>
  <c r="P94" i="3"/>
  <c r="Q36" i="3"/>
  <c r="P18" i="13"/>
  <c r="O16" i="13"/>
  <c r="L3" i="17" s="1"/>
  <c r="L19" i="8" s="1"/>
  <c r="P97" i="3"/>
  <c r="Q39" i="3"/>
  <c r="J38" i="17"/>
  <c r="M72" i="13"/>
  <c r="M44" i="8"/>
  <c r="Q95" i="24"/>
  <c r="R31" i="24"/>
  <c r="K45" i="8"/>
  <c r="I11" i="20"/>
  <c r="Q47" i="31"/>
  <c r="Q103" i="31"/>
  <c r="Q75" i="31"/>
  <c r="L38" i="22"/>
  <c r="P98" i="38"/>
  <c r="P70" i="38"/>
  <c r="P42" i="38"/>
  <c r="N61" i="34"/>
  <c r="K13" i="6"/>
  <c r="K11" i="6"/>
  <c r="K4" i="8"/>
  <c r="P92" i="3"/>
  <c r="Q34" i="3"/>
  <c r="P9" i="6"/>
  <c r="P11" i="8" s="1"/>
  <c r="P11" i="7" s="1"/>
  <c r="U58" i="3"/>
  <c r="U116" i="3" s="1"/>
  <c r="P307" i="7"/>
  <c r="Q19" i="31" s="1"/>
  <c r="N93" i="13"/>
  <c r="N71" i="13"/>
  <c r="N98" i="12"/>
  <c r="N70" i="12"/>
  <c r="N42" i="12"/>
  <c r="N102" i="24"/>
  <c r="O38" i="24"/>
  <c r="Q37" i="21"/>
  <c r="P101" i="21"/>
  <c r="R102" i="12"/>
  <c r="E103" i="32" s="1"/>
  <c r="R74" i="12"/>
  <c r="E75" i="32" s="1"/>
  <c r="R46" i="12"/>
  <c r="E46" i="32" s="1"/>
  <c r="R95" i="21"/>
  <c r="S31" i="21"/>
  <c r="Q35" i="13"/>
  <c r="P99" i="13"/>
  <c r="N105" i="24"/>
  <c r="O41" i="24"/>
  <c r="O96" i="13"/>
  <c r="L39" i="17" s="1"/>
  <c r="L21" i="7" s="1"/>
  <c r="L12" i="29"/>
  <c r="Q11" i="24"/>
  <c r="P9" i="24"/>
  <c r="L2" i="20" s="1"/>
  <c r="N108" i="24"/>
  <c r="O44" i="24"/>
  <c r="Q10" i="20"/>
  <c r="S52" i="8" s="1"/>
  <c r="V65" i="24"/>
  <c r="P42" i="21"/>
  <c r="O106" i="21"/>
  <c r="O109" i="21"/>
  <c r="P45" i="21"/>
  <c r="U96" i="38"/>
  <c r="V96" i="38" s="1"/>
  <c r="O18" i="24"/>
  <c r="N16" i="24"/>
  <c r="J3" i="20" s="1"/>
  <c r="N7" i="24"/>
  <c r="N98" i="24"/>
  <c r="O34" i="24"/>
  <c r="N32" i="24"/>
  <c r="J5" i="20" s="1"/>
  <c r="L47" i="8" s="1"/>
  <c r="M59" i="8" s="1"/>
  <c r="N71" i="8" s="1"/>
  <c r="O83" i="8" s="1"/>
  <c r="P95" i="8" s="1"/>
  <c r="Q107" i="8" s="1"/>
  <c r="O72" i="38"/>
  <c r="O44" i="38"/>
  <c r="O100" i="38"/>
  <c r="U40" i="38"/>
  <c r="V40" i="38" s="1"/>
  <c r="O50" i="21"/>
  <c r="K7" i="22" s="1"/>
  <c r="L37" i="8" s="1"/>
  <c r="P52" i="21"/>
  <c r="P109" i="13"/>
  <c r="Q45" i="13"/>
  <c r="K6" i="7"/>
  <c r="P9" i="3"/>
  <c r="L2" i="6" s="1"/>
  <c r="P7" i="3"/>
  <c r="Q11" i="3"/>
  <c r="S30" i="21"/>
  <c r="R29" i="21"/>
  <c r="N4" i="22" s="1"/>
  <c r="O34" i="8" s="1"/>
  <c r="R94" i="21"/>
  <c r="R19" i="38"/>
  <c r="O262" i="8"/>
  <c r="R19" i="12" s="1"/>
  <c r="N98" i="38"/>
  <c r="N42" i="38"/>
  <c r="N70" i="38"/>
  <c r="K13" i="12"/>
  <c r="N107" i="24"/>
  <c r="O43" i="24"/>
  <c r="Q87" i="3"/>
  <c r="R29" i="3"/>
  <c r="R102" i="38"/>
  <c r="Z74" i="35" s="1"/>
  <c r="R46" i="38"/>
  <c r="R74" i="38"/>
  <c r="X74" i="35" s="1"/>
  <c r="K69" i="8"/>
  <c r="J65" i="8"/>
  <c r="P100" i="3"/>
  <c r="Q42" i="3"/>
  <c r="P41" i="21"/>
  <c r="O105" i="21"/>
  <c r="K81" i="8"/>
  <c r="J77" i="8"/>
  <c r="V60" i="34"/>
  <c r="F11" i="35"/>
  <c r="F173" i="35" s="1"/>
  <c r="D68" i="32"/>
  <c r="U54" i="34"/>
  <c r="U67" i="12"/>
  <c r="V67" i="12" s="1"/>
  <c r="W54" i="34" s="1"/>
  <c r="X54" i="34" s="1"/>
  <c r="P98" i="12"/>
  <c r="P70" i="12"/>
  <c r="P42" i="12"/>
  <c r="P96" i="3"/>
  <c r="Q38" i="3"/>
  <c r="M43" i="38"/>
  <c r="M99" i="38"/>
  <c r="M71" i="38"/>
  <c r="L34" i="7"/>
  <c r="M32" i="8"/>
  <c r="N101" i="24"/>
  <c r="O37" i="24"/>
  <c r="M96" i="24"/>
  <c r="K11" i="17"/>
  <c r="K18" i="8"/>
  <c r="K27" i="8" s="1"/>
  <c r="U68" i="38"/>
  <c r="V68" i="38" s="1"/>
  <c r="P98" i="3"/>
  <c r="Q40" i="3"/>
  <c r="Q47" i="13"/>
  <c r="N6" i="17" s="1"/>
  <c r="N22" i="8" s="1"/>
  <c r="R48" i="13"/>
  <c r="M68" i="8"/>
  <c r="Q16" i="9"/>
  <c r="I24" i="31"/>
  <c r="I109" i="31" s="1"/>
  <c r="I24" i="30"/>
  <c r="I24" i="29"/>
  <c r="J109" i="9"/>
  <c r="J81" i="9"/>
  <c r="J53" i="9"/>
  <c r="K97" i="38"/>
  <c r="K69" i="38"/>
  <c r="K41" i="38"/>
  <c r="U13" i="38"/>
  <c r="V13" i="38" s="1"/>
  <c r="N109" i="24"/>
  <c r="O45" i="24"/>
  <c r="Q94" i="24"/>
  <c r="Q29" i="24"/>
  <c r="M4" i="20" s="1"/>
  <c r="O46" i="8" s="1"/>
  <c r="P58" i="8" s="1"/>
  <c r="Q70" i="8" s="1"/>
  <c r="R82" i="8" s="1"/>
  <c r="S94" i="8" s="1"/>
  <c r="T106" i="8" s="1"/>
  <c r="R30" i="24"/>
  <c r="M16" i="38"/>
  <c r="N15" i="38"/>
  <c r="K258" i="8"/>
  <c r="N15" i="12" s="1"/>
  <c r="Q36" i="21"/>
  <c r="P100" i="21"/>
  <c r="P32" i="13"/>
  <c r="M5" i="17" s="1"/>
  <c r="M21" i="8" s="1"/>
  <c r="Q34" i="13"/>
  <c r="P98" i="13"/>
  <c r="O32" i="21"/>
  <c r="K5" i="22" s="1"/>
  <c r="Q38" i="21"/>
  <c r="P102" i="21"/>
  <c r="Q35" i="21"/>
  <c r="P99" i="21"/>
  <c r="S103" i="38"/>
  <c r="S47" i="38"/>
  <c r="S75" i="38"/>
  <c r="M46" i="7"/>
  <c r="N58" i="7" s="1"/>
  <c r="I110" i="30"/>
  <c r="I82" i="30"/>
  <c r="I54" i="30"/>
  <c r="E102" i="32"/>
  <c r="W65" i="21"/>
  <c r="R10" i="22"/>
  <c r="S40" i="8" s="1"/>
  <c r="O107" i="21"/>
  <c r="P43" i="21"/>
  <c r="D96" i="32"/>
  <c r="U95" i="12"/>
  <c r="V95" i="12" s="1"/>
  <c r="AE54" i="34" s="1"/>
  <c r="AF54" i="34" s="1"/>
  <c r="AC54" i="34"/>
  <c r="Q48" i="3"/>
  <c r="P46" i="3"/>
  <c r="L7" i="6" s="1"/>
  <c r="L9" i="8" s="1"/>
  <c r="M70" i="7"/>
  <c r="P11" i="13"/>
  <c r="O9" i="13"/>
  <c r="L2" i="17" s="1"/>
  <c r="O7" i="13"/>
  <c r="K105" i="8"/>
  <c r="K113" i="8" s="1"/>
  <c r="J101" i="8"/>
  <c r="P45" i="30"/>
  <c r="I47" i="26" s="1"/>
  <c r="P73" i="30"/>
  <c r="I75" i="26" s="1"/>
  <c r="T75" i="26" s="1"/>
  <c r="P101" i="30"/>
  <c r="I103" i="26" s="1"/>
  <c r="T103" i="26" s="1"/>
  <c r="I20" i="7"/>
  <c r="M80" i="8"/>
  <c r="L96" i="12"/>
  <c r="L68" i="12"/>
  <c r="L40" i="12"/>
  <c r="S20" i="38"/>
  <c r="P263" i="8"/>
  <c r="S20" i="12" s="1"/>
  <c r="O17" i="38"/>
  <c r="M259" i="8"/>
  <c r="O17" i="12" s="1"/>
  <c r="F61" i="34"/>
  <c r="Q101" i="29"/>
  <c r="Q73" i="29"/>
  <c r="Q45" i="29"/>
  <c r="G47" i="26" s="1"/>
  <c r="R43" i="13"/>
  <c r="Q107" i="13"/>
  <c r="Q86" i="3"/>
  <c r="R28" i="3"/>
  <c r="Q27" i="3"/>
  <c r="M4" i="6" s="1"/>
  <c r="M6" i="8" s="1"/>
  <c r="Q41" i="13"/>
  <c r="P105" i="13"/>
  <c r="P90" i="3"/>
  <c r="Q32" i="3"/>
  <c r="P30" i="3"/>
  <c r="L5" i="6" s="1"/>
  <c r="L7" i="8" s="1"/>
  <c r="N106" i="24"/>
  <c r="O42" i="24"/>
  <c r="Q10" i="17"/>
  <c r="U65" i="13"/>
  <c r="P52" i="13"/>
  <c r="O50" i="13"/>
  <c r="L7" i="17" s="1"/>
  <c r="L23" i="8" s="1"/>
  <c r="N66" i="3"/>
  <c r="P98" i="21"/>
  <c r="Q34" i="21"/>
  <c r="M56" i="8"/>
  <c r="K93" i="8"/>
  <c r="J89" i="8"/>
  <c r="K57" i="8"/>
  <c r="J53" i="8"/>
  <c r="D11" i="32"/>
  <c r="U12" i="12"/>
  <c r="V12" i="12" s="1"/>
  <c r="G55" i="34" s="1"/>
  <c r="H55" i="34" s="1"/>
  <c r="E55" i="34"/>
  <c r="K96" i="12"/>
  <c r="K68" i="12"/>
  <c r="K40" i="12"/>
  <c r="R44" i="13"/>
  <c r="Q108" i="13"/>
  <c r="O43" i="6"/>
  <c r="N99" i="24"/>
  <c r="O35" i="24"/>
  <c r="O100" i="12"/>
  <c r="O72" i="12"/>
  <c r="O44" i="12"/>
  <c r="N100" i="24"/>
  <c r="O36" i="24"/>
  <c r="P15" i="38"/>
  <c r="K260" i="8"/>
  <c r="P15" i="12" s="1"/>
  <c r="L71" i="31"/>
  <c r="L99" i="31"/>
  <c r="L43" i="31"/>
  <c r="D39" i="32"/>
  <c r="U39" i="12"/>
  <c r="V39" i="12" s="1"/>
  <c r="O54" i="34" s="1"/>
  <c r="P54" i="34" s="1"/>
  <c r="M54" i="34"/>
  <c r="Q38" i="13"/>
  <c r="P102" i="13"/>
  <c r="Q36" i="13"/>
  <c r="P100" i="13"/>
  <c r="Q16" i="21"/>
  <c r="M3" i="22" s="1"/>
  <c r="N33" i="8" s="1"/>
  <c r="R18" i="21"/>
  <c r="P9" i="17"/>
  <c r="P43" i="17"/>
  <c r="T64" i="13"/>
  <c r="P99" i="3"/>
  <c r="Q41" i="3"/>
  <c r="V59" i="3"/>
  <c r="V117" i="3" s="1"/>
  <c r="Q10" i="6"/>
  <c r="Q12" i="8" s="1"/>
  <c r="Q44" i="6"/>
  <c r="S44" i="3"/>
  <c r="R43" i="3"/>
  <c r="N6" i="6" s="1"/>
  <c r="N8" i="8" s="1"/>
  <c r="E17" i="32"/>
  <c r="R103" i="29"/>
  <c r="R47" i="29"/>
  <c r="R75" i="29"/>
  <c r="L98" i="38"/>
  <c r="L70" i="38"/>
  <c r="L42" i="38"/>
  <c r="N294" i="7"/>
  <c r="P17" i="30" s="1"/>
  <c r="I18" i="26" s="1"/>
  <c r="M104" i="8"/>
  <c r="P93" i="24"/>
  <c r="P85" i="3"/>
  <c r="O42" i="17"/>
  <c r="O88" i="3"/>
  <c r="J6" i="7"/>
  <c r="J45" i="6"/>
  <c r="O42" i="22"/>
  <c r="M96" i="9"/>
  <c r="M40" i="9"/>
  <c r="M68" i="9"/>
  <c r="J279" i="7"/>
  <c r="M13" i="29" s="1"/>
  <c r="P8" i="17"/>
  <c r="P261" i="8" s="1"/>
  <c r="Q20" i="12" s="1"/>
  <c r="F47" i="35" s="1"/>
  <c r="T63" i="13"/>
  <c r="R11" i="21"/>
  <c r="Q9" i="21"/>
  <c r="M2" i="22" s="1"/>
  <c r="Q35" i="3"/>
  <c r="P93" i="3"/>
  <c r="P95" i="13"/>
  <c r="Q31" i="13"/>
  <c r="P8" i="22"/>
  <c r="Q38" i="8" s="1"/>
  <c r="U63" i="21"/>
  <c r="M12" i="9"/>
  <c r="Q37" i="13"/>
  <c r="P101" i="13"/>
  <c r="P50" i="24"/>
  <c r="L7" i="20" s="1"/>
  <c r="N49" i="8" s="1"/>
  <c r="O61" i="8" s="1"/>
  <c r="P73" i="8" s="1"/>
  <c r="Q85" i="8" s="1"/>
  <c r="R97" i="8" s="1"/>
  <c r="S109" i="8" s="1"/>
  <c r="Q52" i="24"/>
  <c r="Q42" i="13"/>
  <c r="P106" i="13"/>
  <c r="L15" i="38"/>
  <c r="H97" i="35"/>
  <c r="J97" i="35" s="1"/>
  <c r="L97" i="35" s="1"/>
  <c r="I124" i="35"/>
  <c r="J124" i="35" s="1"/>
  <c r="P9" i="20"/>
  <c r="R51" i="8" s="1"/>
  <c r="T128" i="24"/>
  <c r="U64" i="24"/>
  <c r="Q47" i="21"/>
  <c r="M6" i="22" s="1"/>
  <c r="N36" i="8" s="1"/>
  <c r="R48" i="21"/>
  <c r="M67" i="9"/>
  <c r="M39" i="9"/>
  <c r="M95" i="9"/>
  <c r="P47" i="24"/>
  <c r="L6" i="20" s="1"/>
  <c r="N48" i="8" s="1"/>
  <c r="O60" i="8" s="1"/>
  <c r="P72" i="8" s="1"/>
  <c r="Q84" i="8" s="1"/>
  <c r="R96" i="8" s="1"/>
  <c r="S108" i="8" s="1"/>
  <c r="Q48" i="24"/>
  <c r="S103" i="12"/>
  <c r="S75" i="12"/>
  <c r="S47" i="12"/>
  <c r="L302" i="7"/>
  <c r="L15" i="31" s="1"/>
  <c r="Q100" i="9"/>
  <c r="Q72" i="9"/>
  <c r="Q44" i="9"/>
  <c r="O108" i="21"/>
  <c r="P44" i="21"/>
  <c r="M97" i="31"/>
  <c r="M69" i="31"/>
  <c r="M41" i="31"/>
  <c r="O94" i="13"/>
  <c r="O29" i="13"/>
  <c r="L4" i="17" s="1"/>
  <c r="L20" i="8" s="1"/>
  <c r="L257" i="8" s="1"/>
  <c r="M16" i="12" s="1"/>
  <c r="P30" i="13"/>
  <c r="M92" i="8"/>
  <c r="N283" i="7"/>
  <c r="Q17" i="29" s="1"/>
  <c r="G18" i="26" s="1"/>
  <c r="N269" i="7"/>
  <c r="N319" i="7"/>
  <c r="P16" i="3"/>
  <c r="L3" i="6" s="1"/>
  <c r="L5" i="8" s="1"/>
  <c r="Q18" i="3"/>
  <c r="K14" i="38"/>
  <c r="J255" i="8"/>
  <c r="J13" i="8"/>
  <c r="O43" i="20"/>
  <c r="Q103" i="12"/>
  <c r="Q75" i="12"/>
  <c r="Q47" i="12"/>
  <c r="W36" i="26"/>
  <c r="N127" i="26"/>
  <c r="I110" i="29"/>
  <c r="I54" i="29"/>
  <c r="I82" i="29"/>
  <c r="J35" i="7"/>
  <c r="J43" i="35" l="1"/>
  <c r="E180" i="35"/>
  <c r="D44" i="35"/>
  <c r="H44" i="35" s="1"/>
  <c r="F18" i="35"/>
  <c r="F180" i="35" s="1"/>
  <c r="V74" i="35"/>
  <c r="E19" i="35" s="1"/>
  <c r="U74" i="35"/>
  <c r="D19" i="35" s="1"/>
  <c r="D180" i="35"/>
  <c r="E44" i="35"/>
  <c r="I44" i="35" s="1"/>
  <c r="J44" i="35" s="1"/>
  <c r="G20" i="33"/>
  <c r="T20" i="33" s="1"/>
  <c r="G169" i="26"/>
  <c r="S18" i="26"/>
  <c r="S47" i="26"/>
  <c r="G138" i="26"/>
  <c r="I138" i="26"/>
  <c r="T47" i="26"/>
  <c r="M18" i="26"/>
  <c r="I20" i="33"/>
  <c r="V20" i="33" s="1"/>
  <c r="T18" i="26"/>
  <c r="I169" i="26"/>
  <c r="E18" i="32"/>
  <c r="G46" i="35"/>
  <c r="M19" i="33"/>
  <c r="Z19" i="33" s="1"/>
  <c r="M168" i="26"/>
  <c r="E13" i="35"/>
  <c r="D175" i="35" s="1"/>
  <c r="E38" i="35"/>
  <c r="I38" i="35" s="1"/>
  <c r="J38" i="35" s="1"/>
  <c r="F12" i="35"/>
  <c r="F174" i="35" s="1"/>
  <c r="P104" i="29"/>
  <c r="P48" i="29"/>
  <c r="P76" i="29"/>
  <c r="Q24" i="7"/>
  <c r="Q10" i="7"/>
  <c r="Q282" i="7" s="1"/>
  <c r="P20" i="29" s="1"/>
  <c r="R25" i="7"/>
  <c r="Q12" i="7"/>
  <c r="Q284" i="7" s="1"/>
  <c r="R20" i="29" s="1"/>
  <c r="Q26" i="7"/>
  <c r="Q296" i="7" s="1"/>
  <c r="R20" i="30" s="1"/>
  <c r="R49" i="30" s="1"/>
  <c r="U31" i="39"/>
  <c r="T66" i="39"/>
  <c r="S88" i="7" s="1"/>
  <c r="S86" i="7"/>
  <c r="T39" i="39"/>
  <c r="S87" i="7" s="1"/>
  <c r="T65" i="39"/>
  <c r="S76" i="7" s="1"/>
  <c r="S74" i="7"/>
  <c r="T38" i="39"/>
  <c r="S75" i="7" s="1"/>
  <c r="T69" i="39"/>
  <c r="S125" i="7" s="1"/>
  <c r="S123" i="7"/>
  <c r="T64" i="39"/>
  <c r="S64" i="7" s="1"/>
  <c r="S62" i="7"/>
  <c r="T37" i="39"/>
  <c r="S63" i="7" s="1"/>
  <c r="T63" i="39"/>
  <c r="S52" i="7" s="1"/>
  <c r="S50" i="7"/>
  <c r="T36" i="39"/>
  <c r="S51" i="7" s="1"/>
  <c r="T62" i="39"/>
  <c r="S40" i="7" s="1"/>
  <c r="S38" i="7"/>
  <c r="T35" i="39"/>
  <c r="S39" i="7" s="1"/>
  <c r="T34" i="39"/>
  <c r="T42" i="39"/>
  <c r="S124" i="7" s="1"/>
  <c r="T68" i="39"/>
  <c r="S112" i="7" s="1"/>
  <c r="S110" i="7"/>
  <c r="T41" i="39"/>
  <c r="S111" i="7" s="1"/>
  <c r="T67" i="39"/>
  <c r="S100" i="7" s="1"/>
  <c r="S98" i="7"/>
  <c r="T40" i="39"/>
  <c r="S99" i="7" s="1"/>
  <c r="T58" i="39"/>
  <c r="S61" i="39"/>
  <c r="T4" i="39"/>
  <c r="S7" i="39"/>
  <c r="F62" i="34"/>
  <c r="M42" i="31"/>
  <c r="R44" i="17"/>
  <c r="U129" i="21"/>
  <c r="Q44" i="22" s="1"/>
  <c r="U128" i="21"/>
  <c r="U127" i="21"/>
  <c r="R76" i="30"/>
  <c r="R48" i="30"/>
  <c r="X115" i="3"/>
  <c r="T42" i="6" s="1"/>
  <c r="U96" i="18"/>
  <c r="T92" i="18"/>
  <c r="P32" i="21"/>
  <c r="L5" i="22" s="1"/>
  <c r="I264" i="8"/>
  <c r="L70" i="12"/>
  <c r="U94" i="18"/>
  <c r="U90" i="18" s="1"/>
  <c r="W95" i="18"/>
  <c r="W91" i="18" s="1"/>
  <c r="Q103" i="30"/>
  <c r="Q47" i="30"/>
  <c r="P295" i="7"/>
  <c r="Q19" i="30" s="1"/>
  <c r="Q76" i="30" s="1"/>
  <c r="M70" i="31"/>
  <c r="O71" i="21"/>
  <c r="K256" i="8"/>
  <c r="L15" i="12" s="1"/>
  <c r="L43" i="12" s="1"/>
  <c r="L42" i="12"/>
  <c r="L41" i="12"/>
  <c r="O96" i="21"/>
  <c r="O72" i="21" s="1"/>
  <c r="N72" i="21"/>
  <c r="P9" i="22"/>
  <c r="Q39" i="8" s="1"/>
  <c r="P43" i="22"/>
  <c r="U64" i="21"/>
  <c r="L69" i="12"/>
  <c r="R93" i="21"/>
  <c r="N38" i="22" s="1"/>
  <c r="AD61" i="34"/>
  <c r="M35" i="8"/>
  <c r="M44" i="12"/>
  <c r="M100" i="12"/>
  <c r="M72" i="12"/>
  <c r="J291" i="7"/>
  <c r="M13" i="30" s="1"/>
  <c r="R38" i="21"/>
  <c r="Q102" i="21"/>
  <c r="R10" i="20"/>
  <c r="T52" i="8" s="1"/>
  <c r="W65" i="24"/>
  <c r="R35" i="13"/>
  <c r="Q99" i="13"/>
  <c r="K15" i="38"/>
  <c r="K255" i="8"/>
  <c r="K13" i="8"/>
  <c r="P7" i="21"/>
  <c r="Q16" i="3"/>
  <c r="M3" i="6" s="1"/>
  <c r="M5" i="8" s="1"/>
  <c r="R18" i="3"/>
  <c r="Q47" i="24"/>
  <c r="M6" i="20" s="1"/>
  <c r="O48" i="8" s="1"/>
  <c r="P60" i="8" s="1"/>
  <c r="Q72" i="8" s="1"/>
  <c r="R84" i="8" s="1"/>
  <c r="S96" i="8" s="1"/>
  <c r="T108" i="8" s="1"/>
  <c r="R48" i="24"/>
  <c r="P43" i="20"/>
  <c r="L71" i="38"/>
  <c r="L43" i="38"/>
  <c r="L99" i="38"/>
  <c r="U63" i="13"/>
  <c r="Q8" i="17"/>
  <c r="Q261" i="8" s="1"/>
  <c r="Q21" i="12" s="1"/>
  <c r="F48" i="35" s="1"/>
  <c r="K39" i="6"/>
  <c r="O66" i="3"/>
  <c r="Q99" i="3"/>
  <c r="R41" i="3"/>
  <c r="R16" i="21"/>
  <c r="N3" i="22" s="1"/>
  <c r="O33" i="8" s="1"/>
  <c r="S18" i="21"/>
  <c r="P99" i="38"/>
  <c r="P71" i="38"/>
  <c r="P43" i="38"/>
  <c r="R10" i="17"/>
  <c r="V65" i="13"/>
  <c r="R41" i="13"/>
  <c r="Q105" i="13"/>
  <c r="P16" i="38"/>
  <c r="L260" i="8"/>
  <c r="P16" i="12" s="1"/>
  <c r="L35" i="8"/>
  <c r="L41" i="8" s="1"/>
  <c r="K11" i="22"/>
  <c r="I109" i="29"/>
  <c r="I53" i="29"/>
  <c r="I81" i="29"/>
  <c r="O107" i="24"/>
  <c r="P43" i="24"/>
  <c r="R103" i="12"/>
  <c r="E104" i="32" s="1"/>
  <c r="R75" i="12"/>
  <c r="E76" i="32" s="1"/>
  <c r="R47" i="12"/>
  <c r="E47" i="32" s="1"/>
  <c r="V61" i="34"/>
  <c r="O98" i="24"/>
  <c r="P34" i="24"/>
  <c r="O32" i="24"/>
  <c r="K5" i="20" s="1"/>
  <c r="M47" i="8" s="1"/>
  <c r="N59" i="8" s="1"/>
  <c r="O71" i="8" s="1"/>
  <c r="P83" i="8" s="1"/>
  <c r="Q95" i="8" s="1"/>
  <c r="R107" i="8" s="1"/>
  <c r="P109" i="21"/>
  <c r="Q45" i="21"/>
  <c r="R11" i="24"/>
  <c r="Q9" i="24"/>
  <c r="M2" i="20" s="1"/>
  <c r="T31" i="21"/>
  <c r="S95" i="21"/>
  <c r="M34" i="7"/>
  <c r="N56" i="8"/>
  <c r="P42" i="17"/>
  <c r="P99" i="12"/>
  <c r="P71" i="12"/>
  <c r="P43" i="12"/>
  <c r="D97" i="32"/>
  <c r="AC55" i="34"/>
  <c r="U96" i="12"/>
  <c r="V96" i="12" s="1"/>
  <c r="AE55" i="34" s="1"/>
  <c r="AF55" i="34" s="1"/>
  <c r="N82" i="7"/>
  <c r="N71" i="38"/>
  <c r="N43" i="38"/>
  <c r="N99" i="38"/>
  <c r="N44" i="8"/>
  <c r="K38" i="17"/>
  <c r="N72" i="13"/>
  <c r="L16" i="38"/>
  <c r="O93" i="13"/>
  <c r="O71" i="13"/>
  <c r="R37" i="13"/>
  <c r="Q101" i="13"/>
  <c r="Q48" i="12"/>
  <c r="Q104" i="12"/>
  <c r="Q76" i="12"/>
  <c r="O100" i="24"/>
  <c r="P36" i="24"/>
  <c r="Q98" i="21"/>
  <c r="R34" i="21"/>
  <c r="R48" i="3"/>
  <c r="Q46" i="3"/>
  <c r="M7" i="6" s="1"/>
  <c r="M9" i="8" s="1"/>
  <c r="Q43" i="21"/>
  <c r="P107" i="21"/>
  <c r="P96" i="13"/>
  <c r="M39" i="17" s="1"/>
  <c r="M21" i="7" s="1"/>
  <c r="U41" i="38"/>
  <c r="V41" i="38" s="1"/>
  <c r="I109" i="30"/>
  <c r="I81" i="30"/>
  <c r="I53" i="30"/>
  <c r="N80" i="8"/>
  <c r="R75" i="38"/>
  <c r="X75" i="35" s="1"/>
  <c r="R47" i="38"/>
  <c r="R103" i="38"/>
  <c r="Z75" i="35" s="1"/>
  <c r="N96" i="24"/>
  <c r="Q48" i="31"/>
  <c r="Q76" i="31"/>
  <c r="Q104" i="31"/>
  <c r="Q9" i="20"/>
  <c r="S51" i="8" s="1"/>
  <c r="U128" i="24"/>
  <c r="V64" i="24"/>
  <c r="Q95" i="13"/>
  <c r="R31" i="13"/>
  <c r="R10" i="6"/>
  <c r="R12" i="8" s="1"/>
  <c r="W59" i="3"/>
  <c r="W117" i="3" s="1"/>
  <c r="R44" i="6"/>
  <c r="O99" i="24"/>
  <c r="P35" i="24"/>
  <c r="N68" i="8"/>
  <c r="Q100" i="3"/>
  <c r="R42" i="3"/>
  <c r="L13" i="6"/>
  <c r="L11" i="6"/>
  <c r="L4" i="8"/>
  <c r="O102" i="24"/>
  <c r="P38" i="24"/>
  <c r="R42" i="13"/>
  <c r="Q106" i="13"/>
  <c r="R35" i="3"/>
  <c r="Q93" i="3"/>
  <c r="J265" i="7"/>
  <c r="P102" i="30"/>
  <c r="I104" i="26" s="1"/>
  <c r="T104" i="26" s="1"/>
  <c r="P46" i="30"/>
  <c r="I48" i="26" s="1"/>
  <c r="P74" i="30"/>
  <c r="I76" i="26" s="1"/>
  <c r="T76" i="26" s="1"/>
  <c r="Q9" i="17"/>
  <c r="Q43" i="17"/>
  <c r="U64" i="13"/>
  <c r="O319" i="7"/>
  <c r="O283" i="7"/>
  <c r="Q18" i="29" s="1"/>
  <c r="G19" i="26" s="1"/>
  <c r="O269" i="7"/>
  <c r="O106" i="24"/>
  <c r="P42" i="24"/>
  <c r="M17" i="38"/>
  <c r="Q32" i="13"/>
  <c r="N5" i="17" s="1"/>
  <c r="N21" i="8" s="1"/>
  <c r="Q98" i="13"/>
  <c r="R34" i="13"/>
  <c r="M72" i="38"/>
  <c r="M44" i="38"/>
  <c r="M100" i="38"/>
  <c r="U69" i="38"/>
  <c r="V69" i="38" s="1"/>
  <c r="L93" i="8"/>
  <c r="K89" i="8"/>
  <c r="L81" i="8"/>
  <c r="K77" i="8"/>
  <c r="D12" i="32"/>
  <c r="U13" i="12"/>
  <c r="V13" i="12" s="1"/>
  <c r="G56" i="34" s="1"/>
  <c r="H56" i="34" s="1"/>
  <c r="E56" i="34"/>
  <c r="K97" i="12"/>
  <c r="K69" i="12"/>
  <c r="K41" i="12"/>
  <c r="K278" i="7"/>
  <c r="L97" i="29"/>
  <c r="L41" i="29"/>
  <c r="L69" i="29"/>
  <c r="V58" i="3"/>
  <c r="V116" i="3" s="1"/>
  <c r="Q9" i="6"/>
  <c r="Q11" i="8" s="1"/>
  <c r="Q11" i="7" s="1"/>
  <c r="P16" i="13"/>
  <c r="M3" i="17" s="1"/>
  <c r="M19" i="8" s="1"/>
  <c r="Q18" i="13"/>
  <c r="K70" i="38"/>
  <c r="K42" i="38"/>
  <c r="K98" i="38"/>
  <c r="U14" i="38"/>
  <c r="V14" i="38" s="1"/>
  <c r="N70" i="7"/>
  <c r="R52" i="24"/>
  <c r="Q50" i="24"/>
  <c r="M7" i="20" s="1"/>
  <c r="O49" i="8" s="1"/>
  <c r="P61" i="8" s="1"/>
  <c r="Q73" i="8" s="1"/>
  <c r="R85" i="8" s="1"/>
  <c r="S97" i="8" s="1"/>
  <c r="T109" i="8" s="1"/>
  <c r="N32" i="8"/>
  <c r="O18" i="38"/>
  <c r="N259" i="8"/>
  <c r="O18" i="12" s="1"/>
  <c r="O101" i="12"/>
  <c r="O45" i="12"/>
  <c r="O73" i="12"/>
  <c r="N92" i="8"/>
  <c r="U97" i="38"/>
  <c r="V97" i="38" s="1"/>
  <c r="Q42" i="21"/>
  <c r="P106" i="21"/>
  <c r="O108" i="24"/>
  <c r="P44" i="24"/>
  <c r="P43" i="6"/>
  <c r="J20" i="7"/>
  <c r="J264" i="7" s="1"/>
  <c r="J45" i="17"/>
  <c r="Q94" i="3"/>
  <c r="R36" i="3"/>
  <c r="P94" i="13"/>
  <c r="Q30" i="13"/>
  <c r="P29" i="13"/>
  <c r="M4" i="17" s="1"/>
  <c r="M20" i="8" s="1"/>
  <c r="M257" i="8" s="1"/>
  <c r="M17" i="12" s="1"/>
  <c r="M69" i="9"/>
  <c r="M41" i="9"/>
  <c r="M97" i="9"/>
  <c r="M98" i="29"/>
  <c r="M70" i="29"/>
  <c r="M42" i="29"/>
  <c r="O294" i="7"/>
  <c r="P18" i="30" s="1"/>
  <c r="I19" i="26" s="1"/>
  <c r="R36" i="13"/>
  <c r="Q100" i="13"/>
  <c r="S28" i="3"/>
  <c r="R27" i="3"/>
  <c r="N4" i="6" s="1"/>
  <c r="N6" i="8" s="1"/>
  <c r="R86" i="3"/>
  <c r="K35" i="7"/>
  <c r="J45" i="22"/>
  <c r="R94" i="24"/>
  <c r="R29" i="24"/>
  <c r="N4" i="20" s="1"/>
  <c r="P46" i="8" s="1"/>
  <c r="Q58" i="8" s="1"/>
  <c r="R70" i="8" s="1"/>
  <c r="S82" i="8" s="1"/>
  <c r="T94" i="8" s="1"/>
  <c r="U106" i="8" s="1"/>
  <c r="S30" i="24"/>
  <c r="R47" i="13"/>
  <c r="O6" i="17" s="1"/>
  <c r="O22" i="8" s="1"/>
  <c r="S48" i="13"/>
  <c r="Q307" i="7"/>
  <c r="Q20" i="31" s="1"/>
  <c r="Q74" i="29"/>
  <c r="Q46" i="29"/>
  <c r="G48" i="26" s="1"/>
  <c r="Q102" i="29"/>
  <c r="L72" i="31"/>
  <c r="L100" i="31"/>
  <c r="L44" i="31"/>
  <c r="P42" i="22"/>
  <c r="S11" i="21"/>
  <c r="R9" i="21"/>
  <c r="N2" i="22" s="1"/>
  <c r="J315" i="7"/>
  <c r="J278" i="7"/>
  <c r="J13" i="7"/>
  <c r="L38" i="6"/>
  <c r="S43" i="3"/>
  <c r="O6" i="6" s="1"/>
  <c r="O8" i="8" s="1"/>
  <c r="T44" i="3"/>
  <c r="S44" i="13"/>
  <c r="R108" i="13"/>
  <c r="L69" i="8"/>
  <c r="K65" i="8"/>
  <c r="N16" i="38"/>
  <c r="Q85" i="3"/>
  <c r="O45" i="38"/>
  <c r="O101" i="38"/>
  <c r="O73" i="38"/>
  <c r="L11" i="17"/>
  <c r="L18" i="8"/>
  <c r="L27" i="8" s="1"/>
  <c r="N34" i="7"/>
  <c r="I39" i="20"/>
  <c r="T30" i="21"/>
  <c r="S29" i="21"/>
  <c r="O4" i="22" s="1"/>
  <c r="P34" i="8" s="1"/>
  <c r="S94" i="21"/>
  <c r="Q109" i="13"/>
  <c r="R45" i="13"/>
  <c r="L45" i="8"/>
  <c r="J11" i="20"/>
  <c r="O105" i="24"/>
  <c r="P41" i="24"/>
  <c r="R20" i="38"/>
  <c r="P262" i="8"/>
  <c r="R20" i="12" s="1"/>
  <c r="G47" i="35" s="1"/>
  <c r="Q97" i="3"/>
  <c r="R39" i="3"/>
  <c r="Q17" i="9"/>
  <c r="D40" i="32"/>
  <c r="U40" i="12"/>
  <c r="V40" i="12" s="1"/>
  <c r="O55" i="34" s="1"/>
  <c r="P55" i="34" s="1"/>
  <c r="M55" i="34"/>
  <c r="Q30" i="3"/>
  <c r="M5" i="6" s="1"/>
  <c r="M7" i="8" s="1"/>
  <c r="Q90" i="3"/>
  <c r="R32" i="3"/>
  <c r="I290" i="7"/>
  <c r="L12" i="30" s="1"/>
  <c r="I314" i="7"/>
  <c r="I264" i="7"/>
  <c r="S10" i="22"/>
  <c r="T40" i="8" s="1"/>
  <c r="X65" i="21"/>
  <c r="R36" i="21"/>
  <c r="Q100" i="21"/>
  <c r="Q93" i="24"/>
  <c r="Q98" i="3"/>
  <c r="R40" i="3"/>
  <c r="P37" i="24"/>
  <c r="O101" i="24"/>
  <c r="Q7" i="3"/>
  <c r="R11" i="3"/>
  <c r="Q9" i="3"/>
  <c r="M2" i="6" s="1"/>
  <c r="P18" i="24"/>
  <c r="O16" i="24"/>
  <c r="K3" i="20" s="1"/>
  <c r="O7" i="24"/>
  <c r="Q92" i="3"/>
  <c r="R34" i="3"/>
  <c r="L57" i="8"/>
  <c r="K53" i="8"/>
  <c r="Q91" i="3"/>
  <c r="R33" i="3"/>
  <c r="P108" i="21"/>
  <c r="Q44" i="21"/>
  <c r="S48" i="21"/>
  <c r="R47" i="21"/>
  <c r="N6" i="22" s="1"/>
  <c r="O36" i="8" s="1"/>
  <c r="V63" i="21"/>
  <c r="Q8" i="22"/>
  <c r="R38" i="8" s="1"/>
  <c r="L38" i="20"/>
  <c r="R38" i="13"/>
  <c r="Q102" i="13"/>
  <c r="S104" i="12"/>
  <c r="S76" i="12"/>
  <c r="S48" i="12"/>
  <c r="P9" i="13"/>
  <c r="M2" i="17" s="1"/>
  <c r="P7" i="13"/>
  <c r="Q11" i="13"/>
  <c r="Q99" i="21"/>
  <c r="R35" i="21"/>
  <c r="N62" i="34"/>
  <c r="J264" i="8"/>
  <c r="K14" i="12"/>
  <c r="N104" i="8"/>
  <c r="R76" i="29"/>
  <c r="R104" i="29"/>
  <c r="R48" i="29"/>
  <c r="S21" i="38"/>
  <c r="Q263" i="8"/>
  <c r="S21" i="12" s="1"/>
  <c r="D69" i="32"/>
  <c r="U55" i="34"/>
  <c r="U68" i="12"/>
  <c r="V68" i="12" s="1"/>
  <c r="W55" i="34" s="1"/>
  <c r="X55" i="34" s="1"/>
  <c r="L105" i="8"/>
  <c r="L113" i="8" s="1"/>
  <c r="K101" i="8"/>
  <c r="Q52" i="13"/>
  <c r="P50" i="13"/>
  <c r="M7" i="17" s="1"/>
  <c r="M23" i="8" s="1"/>
  <c r="P88" i="3"/>
  <c r="L39" i="6" s="1"/>
  <c r="L7" i="7" s="1"/>
  <c r="P65" i="3"/>
  <c r="S43" i="13"/>
  <c r="R107" i="13"/>
  <c r="S76" i="38"/>
  <c r="S48" i="38"/>
  <c r="S104" i="38"/>
  <c r="M302" i="7"/>
  <c r="L16" i="31" s="1"/>
  <c r="N99" i="12"/>
  <c r="N71" i="12"/>
  <c r="N43" i="12"/>
  <c r="O109" i="24"/>
  <c r="P45" i="24"/>
  <c r="Q101" i="9"/>
  <c r="Q73" i="9"/>
  <c r="Q45" i="9"/>
  <c r="R38" i="3"/>
  <c r="Q96" i="3"/>
  <c r="Q41" i="21"/>
  <c r="P105" i="21"/>
  <c r="R87" i="3"/>
  <c r="S29" i="3"/>
  <c r="P50" i="21"/>
  <c r="L7" i="22" s="1"/>
  <c r="M37" i="8" s="1"/>
  <c r="Q52" i="21"/>
  <c r="R37" i="21"/>
  <c r="Q101" i="21"/>
  <c r="R95" i="24"/>
  <c r="S31" i="24"/>
  <c r="V75" i="35" l="1"/>
  <c r="E20" i="35" s="1"/>
  <c r="U75" i="35"/>
  <c r="D20" i="35" s="1"/>
  <c r="E181" i="35"/>
  <c r="D45" i="35"/>
  <c r="H45" i="35" s="1"/>
  <c r="F19" i="35"/>
  <c r="F181" i="35" s="1"/>
  <c r="D181" i="35"/>
  <c r="E45" i="35"/>
  <c r="I45" i="35" s="1"/>
  <c r="G21" i="33"/>
  <c r="T21" i="33" s="1"/>
  <c r="S19" i="26"/>
  <c r="G170" i="26"/>
  <c r="S48" i="26"/>
  <c r="G139" i="26"/>
  <c r="E39" i="35"/>
  <c r="I39" i="35" s="1"/>
  <c r="J39" i="35" s="1"/>
  <c r="F13" i="35"/>
  <c r="F175" i="35" s="1"/>
  <c r="T48" i="26"/>
  <c r="I139" i="26"/>
  <c r="M169" i="26"/>
  <c r="M20" i="33"/>
  <c r="Z20" i="33" s="1"/>
  <c r="I170" i="26"/>
  <c r="M19" i="26"/>
  <c r="I21" i="33"/>
  <c r="V21" i="33" s="1"/>
  <c r="T19" i="26"/>
  <c r="E14" i="35"/>
  <c r="D176" i="35" s="1"/>
  <c r="P49" i="29"/>
  <c r="P77" i="29"/>
  <c r="P105" i="29"/>
  <c r="R10" i="7"/>
  <c r="R282" i="7" s="1"/>
  <c r="P21" i="29" s="1"/>
  <c r="R24" i="7"/>
  <c r="S25" i="7"/>
  <c r="R12" i="7"/>
  <c r="R284" i="7" s="1"/>
  <c r="R21" i="29" s="1"/>
  <c r="R26" i="7"/>
  <c r="R296" i="7" s="1"/>
  <c r="R21" i="30" s="1"/>
  <c r="R50" i="30" s="1"/>
  <c r="R77" i="30"/>
  <c r="R105" i="30"/>
  <c r="V31" i="39"/>
  <c r="U67" i="39"/>
  <c r="T100" i="7" s="1"/>
  <c r="T98" i="7"/>
  <c r="U40" i="39"/>
  <c r="T99" i="7" s="1"/>
  <c r="U66" i="39"/>
  <c r="T88" i="7" s="1"/>
  <c r="T86" i="7"/>
  <c r="U39" i="39"/>
  <c r="T87" i="7" s="1"/>
  <c r="U65" i="39"/>
  <c r="T76" i="7" s="1"/>
  <c r="T74" i="7"/>
  <c r="U38" i="39"/>
  <c r="T75" i="7" s="1"/>
  <c r="U64" i="39"/>
  <c r="T64" i="7" s="1"/>
  <c r="T62" i="7"/>
  <c r="U37" i="39"/>
  <c r="T63" i="7" s="1"/>
  <c r="U63" i="39"/>
  <c r="T52" i="7" s="1"/>
  <c r="T50" i="7"/>
  <c r="U36" i="39"/>
  <c r="T51" i="7" s="1"/>
  <c r="U62" i="39"/>
  <c r="T40" i="7" s="1"/>
  <c r="T38" i="7"/>
  <c r="U35" i="39"/>
  <c r="T39" i="7" s="1"/>
  <c r="U69" i="39"/>
  <c r="T125" i="7" s="1"/>
  <c r="T123" i="7"/>
  <c r="U42" i="39"/>
  <c r="T124" i="7" s="1"/>
  <c r="U34" i="39"/>
  <c r="U68" i="39"/>
  <c r="T112" i="7" s="1"/>
  <c r="T110" i="7"/>
  <c r="U41" i="39"/>
  <c r="T111" i="7" s="1"/>
  <c r="U58" i="39"/>
  <c r="T61" i="39"/>
  <c r="U4" i="39"/>
  <c r="T7" i="39"/>
  <c r="V129" i="21"/>
  <c r="R44" i="22" s="1"/>
  <c r="V127" i="21"/>
  <c r="V128" i="21"/>
  <c r="Y115" i="3"/>
  <c r="U42" i="6" s="1"/>
  <c r="V96" i="18"/>
  <c r="U92" i="18"/>
  <c r="V62" i="34"/>
  <c r="L71" i="12"/>
  <c r="L99" i="12"/>
  <c r="Q65" i="3"/>
  <c r="V94" i="18"/>
  <c r="V90" i="18" s="1"/>
  <c r="Q48" i="30"/>
  <c r="Q104" i="30"/>
  <c r="J314" i="7"/>
  <c r="K39" i="22"/>
  <c r="K45" i="22" s="1"/>
  <c r="M41" i="8"/>
  <c r="L258" i="8"/>
  <c r="N16" i="12" s="1"/>
  <c r="N100" i="12" s="1"/>
  <c r="S93" i="21"/>
  <c r="O38" i="22" s="1"/>
  <c r="Q295" i="7"/>
  <c r="Q20" i="30" s="1"/>
  <c r="Q105" i="30" s="1"/>
  <c r="P66" i="3"/>
  <c r="Q9" i="22"/>
  <c r="R39" i="8" s="1"/>
  <c r="Q43" i="22"/>
  <c r="V64" i="21"/>
  <c r="Q32" i="21"/>
  <c r="M5" i="22" s="1"/>
  <c r="N35" i="8" s="1"/>
  <c r="P96" i="21"/>
  <c r="L39" i="22" s="1"/>
  <c r="L13" i="9"/>
  <c r="L12" i="9"/>
  <c r="M57" i="8"/>
  <c r="L53" i="8"/>
  <c r="R91" i="3"/>
  <c r="S33" i="3"/>
  <c r="R109" i="13"/>
  <c r="S45" i="13"/>
  <c r="L6" i="7"/>
  <c r="L45" i="6"/>
  <c r="Q16" i="13"/>
  <c r="N3" i="17" s="1"/>
  <c r="N19" i="8" s="1"/>
  <c r="R18" i="13"/>
  <c r="S42" i="13"/>
  <c r="R106" i="13"/>
  <c r="L38" i="17"/>
  <c r="O72" i="13"/>
  <c r="P100" i="12"/>
  <c r="P72" i="12"/>
  <c r="P44" i="12"/>
  <c r="S48" i="24"/>
  <c r="R47" i="24"/>
  <c r="N6" i="20" s="1"/>
  <c r="P48" i="8" s="1"/>
  <c r="Q60" i="8" s="1"/>
  <c r="R72" i="8" s="1"/>
  <c r="S84" i="8" s="1"/>
  <c r="T96" i="8" s="1"/>
  <c r="U108" i="8" s="1"/>
  <c r="S105" i="12"/>
  <c r="S49" i="12"/>
  <c r="S77" i="12"/>
  <c r="S38" i="13"/>
  <c r="R102" i="13"/>
  <c r="Q42" i="22"/>
  <c r="M13" i="6"/>
  <c r="M11" i="6"/>
  <c r="M4" i="8"/>
  <c r="M38" i="20"/>
  <c r="S9" i="21"/>
  <c r="O2" i="22" s="1"/>
  <c r="T11" i="21"/>
  <c r="R93" i="24"/>
  <c r="R94" i="3"/>
  <c r="S36" i="3"/>
  <c r="S52" i="24"/>
  <c r="R50" i="24"/>
  <c r="N7" i="20" s="1"/>
  <c r="P49" i="8" s="1"/>
  <c r="Q61" i="8" s="1"/>
  <c r="R73" i="8" s="1"/>
  <c r="S85" i="8" s="1"/>
  <c r="T97" i="8" s="1"/>
  <c r="U109" i="8" s="1"/>
  <c r="O34" i="7"/>
  <c r="M93" i="8"/>
  <c r="L89" i="8"/>
  <c r="P71" i="21"/>
  <c r="P102" i="24"/>
  <c r="Q38" i="24"/>
  <c r="R98" i="21"/>
  <c r="S34" i="21"/>
  <c r="L256" i="8"/>
  <c r="L16" i="12" s="1"/>
  <c r="P107" i="24"/>
  <c r="Q43" i="24"/>
  <c r="P100" i="38"/>
  <c r="P44" i="38"/>
  <c r="P72" i="38"/>
  <c r="Q42" i="17"/>
  <c r="K264" i="8"/>
  <c r="K15" i="12"/>
  <c r="S38" i="21"/>
  <c r="R102" i="21"/>
  <c r="N44" i="38"/>
  <c r="N100" i="38"/>
  <c r="N72" i="38"/>
  <c r="R100" i="13"/>
  <c r="S36" i="13"/>
  <c r="P93" i="13"/>
  <c r="P71" i="13"/>
  <c r="O68" i="8"/>
  <c r="Q109" i="21"/>
  <c r="R45" i="21"/>
  <c r="S87" i="3"/>
  <c r="T29" i="3"/>
  <c r="O70" i="7"/>
  <c r="L101" i="31"/>
  <c r="L73" i="31"/>
  <c r="L45" i="31"/>
  <c r="S49" i="38"/>
  <c r="S105" i="38"/>
  <c r="S77" i="38"/>
  <c r="Q7" i="13"/>
  <c r="R11" i="13"/>
  <c r="Q9" i="13"/>
  <c r="N2" i="17" s="1"/>
  <c r="S11" i="3"/>
  <c r="R9" i="3"/>
  <c r="N2" i="6" s="1"/>
  <c r="R7" i="3"/>
  <c r="L97" i="30"/>
  <c r="L69" i="30"/>
  <c r="L41" i="30"/>
  <c r="R104" i="12"/>
  <c r="E105" i="32" s="1"/>
  <c r="R48" i="12"/>
  <c r="E48" i="32" s="1"/>
  <c r="R76" i="12"/>
  <c r="E77" i="32" s="1"/>
  <c r="M81" i="8"/>
  <c r="L77" i="8"/>
  <c r="L13" i="29"/>
  <c r="J285" i="7"/>
  <c r="R21" i="38"/>
  <c r="Q262" i="8"/>
  <c r="R21" i="12" s="1"/>
  <c r="D41" i="32"/>
  <c r="U41" i="12"/>
  <c r="V41" i="12" s="1"/>
  <c r="O56" i="34" s="1"/>
  <c r="P56" i="34" s="1"/>
  <c r="M56" i="34"/>
  <c r="R98" i="13"/>
  <c r="S34" i="13"/>
  <c r="R32" i="13"/>
  <c r="O5" i="17" s="1"/>
  <c r="O21" i="8" s="1"/>
  <c r="R95" i="13"/>
  <c r="S31" i="13"/>
  <c r="L100" i="38"/>
  <c r="L72" i="38"/>
  <c r="L44" i="38"/>
  <c r="S16" i="21"/>
  <c r="O3" i="22" s="1"/>
  <c r="P33" i="8" s="1"/>
  <c r="T18" i="21"/>
  <c r="V63" i="13"/>
  <c r="R8" i="17"/>
  <c r="R261" i="8" s="1"/>
  <c r="Q22" i="12" s="1"/>
  <c r="F49" i="35" s="1"/>
  <c r="K99" i="38"/>
  <c r="U99" i="38" s="1"/>
  <c r="V99" i="38" s="1"/>
  <c r="K71" i="38"/>
  <c r="U71" i="38" s="1"/>
  <c r="V71" i="38" s="1"/>
  <c r="K43" i="38"/>
  <c r="U43" i="38" s="1"/>
  <c r="V43" i="38" s="1"/>
  <c r="U15" i="38"/>
  <c r="V15" i="38" s="1"/>
  <c r="T43" i="13"/>
  <c r="S107" i="13"/>
  <c r="R99" i="21"/>
  <c r="S35" i="21"/>
  <c r="R8" i="22"/>
  <c r="S38" i="8" s="1"/>
  <c r="W63" i="21"/>
  <c r="Q18" i="24"/>
  <c r="P16" i="24"/>
  <c r="L3" i="20" s="1"/>
  <c r="P7" i="24"/>
  <c r="R97" i="3"/>
  <c r="S39" i="3"/>
  <c r="O32" i="8"/>
  <c r="O104" i="8"/>
  <c r="S22" i="38"/>
  <c r="R263" i="8"/>
  <c r="S22" i="12" s="1"/>
  <c r="Q77" i="12"/>
  <c r="Q49" i="12"/>
  <c r="Q105" i="12"/>
  <c r="L279" i="7"/>
  <c r="M15" i="29" s="1"/>
  <c r="S95" i="24"/>
  <c r="T31" i="24"/>
  <c r="P109" i="24"/>
  <c r="Q45" i="24"/>
  <c r="Q50" i="13"/>
  <c r="N7" i="17" s="1"/>
  <c r="N23" i="8" s="1"/>
  <c r="R52" i="13"/>
  <c r="T48" i="21"/>
  <c r="S47" i="21"/>
  <c r="O6" i="22" s="1"/>
  <c r="P36" i="8" s="1"/>
  <c r="M69" i="8"/>
  <c r="L65" i="8"/>
  <c r="R100" i="21"/>
  <c r="S36" i="21"/>
  <c r="R30" i="3"/>
  <c r="N5" i="6" s="1"/>
  <c r="N7" i="8" s="1"/>
  <c r="R90" i="3"/>
  <c r="S32" i="3"/>
  <c r="R105" i="29"/>
  <c r="R49" i="29"/>
  <c r="R77" i="29"/>
  <c r="R48" i="38"/>
  <c r="R104" i="38"/>
  <c r="Z76" i="35" s="1"/>
  <c r="R76" i="38"/>
  <c r="X76" i="35" s="1"/>
  <c r="K291" i="7"/>
  <c r="M14" i="30" s="1"/>
  <c r="K41" i="7"/>
  <c r="R42" i="21"/>
  <c r="Q106" i="21"/>
  <c r="O82" i="7"/>
  <c r="W58" i="3"/>
  <c r="W116" i="3" s="1"/>
  <c r="R9" i="6"/>
  <c r="R11" i="8" s="1"/>
  <c r="R11" i="7" s="1"/>
  <c r="D70" i="32"/>
  <c r="U56" i="34"/>
  <c r="U69" i="12"/>
  <c r="V69" i="12" s="1"/>
  <c r="W56" i="34" s="1"/>
  <c r="X56" i="34" s="1"/>
  <c r="M105" i="8"/>
  <c r="M113" i="8" s="1"/>
  <c r="L101" i="8"/>
  <c r="Q96" i="13"/>
  <c r="N39" i="17" s="1"/>
  <c r="N21" i="7" s="1"/>
  <c r="Q18" i="9"/>
  <c r="K16" i="38"/>
  <c r="L255" i="8"/>
  <c r="L13" i="8"/>
  <c r="O80" i="8"/>
  <c r="O94" i="7"/>
  <c r="P294" i="7"/>
  <c r="P19" i="30" s="1"/>
  <c r="I20" i="26" s="1"/>
  <c r="P98" i="24"/>
  <c r="Q34" i="24"/>
  <c r="P32" i="24"/>
  <c r="L5" i="20" s="1"/>
  <c r="N47" i="8" s="1"/>
  <c r="O59" i="8" s="1"/>
  <c r="P71" i="8" s="1"/>
  <c r="Q83" i="8" s="1"/>
  <c r="R95" i="8" s="1"/>
  <c r="S107" i="8" s="1"/>
  <c r="S41" i="13"/>
  <c r="R105" i="13"/>
  <c r="S18" i="3"/>
  <c r="R16" i="3"/>
  <c r="N3" i="6" s="1"/>
  <c r="N5" i="8" s="1"/>
  <c r="P108" i="24"/>
  <c r="Q44" i="24"/>
  <c r="R46" i="3"/>
  <c r="N7" i="6" s="1"/>
  <c r="N9" i="8" s="1"/>
  <c r="S48" i="3"/>
  <c r="R41" i="21"/>
  <c r="Q105" i="21"/>
  <c r="Q7" i="21"/>
  <c r="D13" i="32"/>
  <c r="K42" i="12"/>
  <c r="U14" i="12"/>
  <c r="V14" i="12" s="1"/>
  <c r="G57" i="34" s="1"/>
  <c r="H57" i="34" s="1"/>
  <c r="E57" i="34"/>
  <c r="K98" i="12"/>
  <c r="K70" i="12"/>
  <c r="M11" i="17"/>
  <c r="M18" i="8"/>
  <c r="M27" i="8" s="1"/>
  <c r="R44" i="21"/>
  <c r="Q108" i="21"/>
  <c r="R92" i="3"/>
  <c r="S34" i="3"/>
  <c r="Q88" i="3"/>
  <c r="M39" i="6" s="1"/>
  <c r="M7" i="7" s="1"/>
  <c r="Q41" i="24"/>
  <c r="P105" i="24"/>
  <c r="U30" i="21"/>
  <c r="T29" i="21"/>
  <c r="P4" i="22" s="1"/>
  <c r="Q34" i="8" s="1"/>
  <c r="T94" i="21"/>
  <c r="T44" i="13"/>
  <c r="S108" i="13"/>
  <c r="Q105" i="31"/>
  <c r="Q77" i="31"/>
  <c r="Q49" i="31"/>
  <c r="R85" i="3"/>
  <c r="J290" i="7"/>
  <c r="J27" i="7"/>
  <c r="O46" i="12"/>
  <c r="O102" i="12"/>
  <c r="O74" i="12"/>
  <c r="Q43" i="6"/>
  <c r="D98" i="32"/>
  <c r="AC56" i="34"/>
  <c r="U97" i="12"/>
  <c r="V97" i="12" s="1"/>
  <c r="AE56" i="34" s="1"/>
  <c r="AF56" i="34" s="1"/>
  <c r="Q103" i="29"/>
  <c r="Q47" i="29"/>
  <c r="G49" i="26" s="1"/>
  <c r="Q75" i="29"/>
  <c r="M13" i="9"/>
  <c r="Q35" i="24"/>
  <c r="P99" i="24"/>
  <c r="R9" i="20"/>
  <c r="T51" i="8" s="1"/>
  <c r="V128" i="24"/>
  <c r="W64" i="24"/>
  <c r="Q36" i="24"/>
  <c r="P100" i="24"/>
  <c r="E19" i="32"/>
  <c r="K20" i="7"/>
  <c r="K45" i="17"/>
  <c r="U31" i="21"/>
  <c r="T95" i="21"/>
  <c r="O96" i="24"/>
  <c r="R99" i="3"/>
  <c r="S41" i="3"/>
  <c r="L17" i="38"/>
  <c r="R99" i="13"/>
  <c r="S35" i="13"/>
  <c r="R52" i="21"/>
  <c r="Q50" i="21"/>
  <c r="M7" i="22" s="1"/>
  <c r="N37" i="8" s="1"/>
  <c r="M45" i="8"/>
  <c r="K11" i="20"/>
  <c r="Q74" i="9"/>
  <c r="Q46" i="9"/>
  <c r="Q102" i="9"/>
  <c r="P101" i="24"/>
  <c r="Q37" i="24"/>
  <c r="T10" i="22"/>
  <c r="U40" i="8" s="1"/>
  <c r="Y65" i="21"/>
  <c r="T43" i="3"/>
  <c r="P6" i="6" s="1"/>
  <c r="P8" i="8" s="1"/>
  <c r="U44" i="3"/>
  <c r="S47" i="13"/>
  <c r="P6" i="17" s="1"/>
  <c r="P22" i="8" s="1"/>
  <c r="T48" i="13"/>
  <c r="O74" i="38"/>
  <c r="O46" i="38"/>
  <c r="O102" i="38"/>
  <c r="U98" i="38"/>
  <c r="V98" i="38" s="1"/>
  <c r="L14" i="29"/>
  <c r="M73" i="12"/>
  <c r="M45" i="12"/>
  <c r="M101" i="12"/>
  <c r="Q43" i="20"/>
  <c r="O56" i="8"/>
  <c r="S10" i="17"/>
  <c r="W65" i="13"/>
  <c r="S44" i="17"/>
  <c r="AD62" i="34"/>
  <c r="S10" i="20"/>
  <c r="U52" i="8" s="1"/>
  <c r="X65" i="24"/>
  <c r="S37" i="21"/>
  <c r="R101" i="21"/>
  <c r="N46" i="7"/>
  <c r="O58" i="7" s="1"/>
  <c r="N17" i="38"/>
  <c r="M258" i="8"/>
  <c r="N17" i="12" s="1"/>
  <c r="M18" i="38"/>
  <c r="R96" i="3"/>
  <c r="S38" i="3"/>
  <c r="R98" i="3"/>
  <c r="S40" i="3"/>
  <c r="K47" i="7"/>
  <c r="L59" i="7" s="1"/>
  <c r="M38" i="6"/>
  <c r="O19" i="38"/>
  <c r="O259" i="8"/>
  <c r="O19" i="12" s="1"/>
  <c r="T28" i="3"/>
  <c r="S27" i="3"/>
  <c r="O4" i="6" s="1"/>
  <c r="O6" i="8" s="1"/>
  <c r="S86" i="3"/>
  <c r="P103" i="30"/>
  <c r="I105" i="26" s="1"/>
  <c r="T105" i="26" s="1"/>
  <c r="P47" i="30"/>
  <c r="I49" i="26" s="1"/>
  <c r="P75" i="30"/>
  <c r="I77" i="26" s="1"/>
  <c r="T77" i="26" s="1"/>
  <c r="P319" i="7"/>
  <c r="P269" i="7"/>
  <c r="P283" i="7"/>
  <c r="Q19" i="29" s="1"/>
  <c r="G20" i="26" s="1"/>
  <c r="U42" i="38"/>
  <c r="V42" i="38" s="1"/>
  <c r="E15" i="35"/>
  <c r="D177" i="35" s="1"/>
  <c r="M101" i="38"/>
  <c r="M73" i="38"/>
  <c r="M45" i="38"/>
  <c r="V64" i="13"/>
  <c r="R9" i="17"/>
  <c r="R43" i="17"/>
  <c r="R93" i="3"/>
  <c r="S35" i="3"/>
  <c r="R100" i="3"/>
  <c r="S42" i="3"/>
  <c r="J39" i="20"/>
  <c r="N72" i="24"/>
  <c r="O92" i="8"/>
  <c r="R43" i="21"/>
  <c r="Q107" i="21"/>
  <c r="S37" i="13"/>
  <c r="R101" i="13"/>
  <c r="O44" i="8"/>
  <c r="M70" i="30"/>
  <c r="M98" i="30"/>
  <c r="M42" i="30"/>
  <c r="L11" i="22"/>
  <c r="S94" i="24"/>
  <c r="T30" i="24"/>
  <c r="S29" i="24"/>
  <c r="O4" i="20" s="1"/>
  <c r="Q46" i="8" s="1"/>
  <c r="R58" i="8" s="1"/>
  <c r="S70" i="8" s="1"/>
  <c r="T82" i="8" s="1"/>
  <c r="U94" i="8" s="1"/>
  <c r="V106" i="8" s="1"/>
  <c r="R30" i="13"/>
  <c r="Q29" i="13"/>
  <c r="N4" i="17" s="1"/>
  <c r="N20" i="8" s="1"/>
  <c r="N257" i="8" s="1"/>
  <c r="M18" i="12" s="1"/>
  <c r="Q94" i="13"/>
  <c r="U70" i="38"/>
  <c r="V70" i="38" s="1"/>
  <c r="P106" i="24"/>
  <c r="Q42" i="24"/>
  <c r="S10" i="6"/>
  <c r="S12" i="8" s="1"/>
  <c r="X59" i="3"/>
  <c r="X117" i="3" s="1"/>
  <c r="S44" i="6"/>
  <c r="P17" i="38"/>
  <c r="M260" i="8"/>
  <c r="P17" i="12" s="1"/>
  <c r="R9" i="24"/>
  <c r="N2" i="20" s="1"/>
  <c r="S11" i="24"/>
  <c r="K7" i="7"/>
  <c r="K45" i="6"/>
  <c r="R307" i="7"/>
  <c r="Q21" i="31" s="1"/>
  <c r="V76" i="35" l="1"/>
  <c r="E21" i="35" s="1"/>
  <c r="U76" i="35"/>
  <c r="D21" i="35" s="1"/>
  <c r="G171" i="26"/>
  <c r="G22" i="33"/>
  <c r="T22" i="33" s="1"/>
  <c r="S20" i="26"/>
  <c r="G140" i="26"/>
  <c r="S49" i="26"/>
  <c r="J45" i="35"/>
  <c r="E182" i="35"/>
  <c r="D46" i="35"/>
  <c r="H46" i="35" s="1"/>
  <c r="F20" i="35"/>
  <c r="F182" i="35" s="1"/>
  <c r="D182" i="35"/>
  <c r="E46" i="35"/>
  <c r="I46" i="35" s="1"/>
  <c r="J46" i="35" s="1"/>
  <c r="M21" i="33"/>
  <c r="Z21" i="33" s="1"/>
  <c r="M170" i="26"/>
  <c r="E20" i="32"/>
  <c r="G48" i="35"/>
  <c r="M20" i="26"/>
  <c r="I22" i="33"/>
  <c r="V22" i="33" s="1"/>
  <c r="I171" i="26"/>
  <c r="T20" i="26"/>
  <c r="I140" i="26"/>
  <c r="T49" i="26"/>
  <c r="E41" i="35"/>
  <c r="I41" i="35" s="1"/>
  <c r="J41" i="35" s="1"/>
  <c r="F15" i="35"/>
  <c r="F177" i="35" s="1"/>
  <c r="E40" i="35"/>
  <c r="I40" i="35" s="1"/>
  <c r="J40" i="35" s="1"/>
  <c r="F14" i="35"/>
  <c r="F176" i="35" s="1"/>
  <c r="R78" i="30"/>
  <c r="R106" i="30"/>
  <c r="P50" i="29"/>
  <c r="P78" i="29"/>
  <c r="P106" i="29"/>
  <c r="S10" i="7"/>
  <c r="S282" i="7" s="1"/>
  <c r="P22" i="29" s="1"/>
  <c r="S24" i="7"/>
  <c r="T25" i="7"/>
  <c r="S12" i="7"/>
  <c r="S284" i="7" s="1"/>
  <c r="R22" i="29" s="1"/>
  <c r="S26" i="7"/>
  <c r="S296" i="7" s="1"/>
  <c r="R22" i="30" s="1"/>
  <c r="W31" i="39"/>
  <c r="V68" i="39"/>
  <c r="U112" i="7" s="1"/>
  <c r="U110" i="7"/>
  <c r="V41" i="39"/>
  <c r="U111" i="7" s="1"/>
  <c r="U50" i="7"/>
  <c r="V36" i="39"/>
  <c r="U51" i="7" s="1"/>
  <c r="V67" i="39"/>
  <c r="U100" i="7" s="1"/>
  <c r="U98" i="7"/>
  <c r="V40" i="39"/>
  <c r="U99" i="7" s="1"/>
  <c r="V66" i="39"/>
  <c r="U88" i="7" s="1"/>
  <c r="U86" i="7"/>
  <c r="V39" i="39"/>
  <c r="U87" i="7" s="1"/>
  <c r="V65" i="39"/>
  <c r="U76" i="7" s="1"/>
  <c r="U74" i="7"/>
  <c r="V38" i="39"/>
  <c r="U75" i="7" s="1"/>
  <c r="V64" i="39"/>
  <c r="U64" i="7" s="1"/>
  <c r="U62" i="7"/>
  <c r="V37" i="39"/>
  <c r="U63" i="7" s="1"/>
  <c r="V62" i="39"/>
  <c r="U40" i="7" s="1"/>
  <c r="U38" i="7"/>
  <c r="V35" i="39"/>
  <c r="U39" i="7" s="1"/>
  <c r="V34" i="39"/>
  <c r="V63" i="39"/>
  <c r="U52" i="7" s="1"/>
  <c r="V69" i="39"/>
  <c r="U125" i="7" s="1"/>
  <c r="U123" i="7"/>
  <c r="V42" i="39"/>
  <c r="U124" i="7" s="1"/>
  <c r="V58" i="39"/>
  <c r="U61" i="39"/>
  <c r="V4" i="39"/>
  <c r="U7" i="39"/>
  <c r="W129" i="21"/>
  <c r="S44" i="22" s="1"/>
  <c r="W128" i="21"/>
  <c r="W127" i="21"/>
  <c r="Z115" i="3"/>
  <c r="W96" i="18"/>
  <c r="W92" i="18" s="1"/>
  <c r="V92" i="18"/>
  <c r="L35" i="7"/>
  <c r="N41" i="8"/>
  <c r="N72" i="12"/>
  <c r="N44" i="12"/>
  <c r="W94" i="18"/>
  <c r="W90" i="18" s="1"/>
  <c r="Q49" i="30"/>
  <c r="Q77" i="30"/>
  <c r="Q96" i="21"/>
  <c r="M39" i="22" s="1"/>
  <c r="M256" i="8"/>
  <c r="L17" i="12" s="1"/>
  <c r="L73" i="12" s="1"/>
  <c r="P72" i="21"/>
  <c r="R295" i="7"/>
  <c r="Q21" i="30" s="1"/>
  <c r="Q106" i="30" s="1"/>
  <c r="S93" i="24"/>
  <c r="O38" i="20" s="1"/>
  <c r="Q66" i="3"/>
  <c r="S85" i="3"/>
  <c r="O38" i="6" s="1"/>
  <c r="R32" i="21"/>
  <c r="N5" i="22" s="1"/>
  <c r="O35" i="8" s="1"/>
  <c r="R9" i="22"/>
  <c r="S39" i="8" s="1"/>
  <c r="R43" i="22"/>
  <c r="W64" i="21"/>
  <c r="Q71" i="21"/>
  <c r="M102" i="12"/>
  <c r="M74" i="12"/>
  <c r="M46" i="12"/>
  <c r="L47" i="7"/>
  <c r="M59" i="7" s="1"/>
  <c r="M99" i="30"/>
  <c r="M71" i="30"/>
  <c r="M43" i="30"/>
  <c r="S52" i="13"/>
  <c r="R50" i="13"/>
  <c r="O7" i="17" s="1"/>
  <c r="O23" i="8" s="1"/>
  <c r="N11" i="17"/>
  <c r="N18" i="8"/>
  <c r="N27" i="8" s="1"/>
  <c r="L72" i="12"/>
  <c r="L44" i="12"/>
  <c r="L100" i="12"/>
  <c r="S94" i="3"/>
  <c r="T36" i="3"/>
  <c r="S101" i="13"/>
  <c r="T37" i="13"/>
  <c r="R106" i="29"/>
  <c r="R78" i="29"/>
  <c r="R50" i="29"/>
  <c r="S43" i="17"/>
  <c r="S9" i="17"/>
  <c r="W64" i="13"/>
  <c r="Q19" i="9"/>
  <c r="O75" i="12"/>
  <c r="O47" i="12"/>
  <c r="O103" i="12"/>
  <c r="S96" i="3"/>
  <c r="T38" i="3"/>
  <c r="S99" i="13"/>
  <c r="T35" i="13"/>
  <c r="T93" i="21"/>
  <c r="D42" i="32"/>
  <c r="M57" i="34"/>
  <c r="U42" i="12"/>
  <c r="V42" i="12" s="1"/>
  <c r="O57" i="34" s="1"/>
  <c r="P57" i="34" s="1"/>
  <c r="Q108" i="24"/>
  <c r="R44" i="24"/>
  <c r="Q98" i="24"/>
  <c r="R34" i="24"/>
  <c r="Q32" i="24"/>
  <c r="M5" i="20" s="1"/>
  <c r="O47" i="8" s="1"/>
  <c r="P59" i="8" s="1"/>
  <c r="Q71" i="8" s="1"/>
  <c r="R83" i="8" s="1"/>
  <c r="S95" i="8" s="1"/>
  <c r="T107" i="8" s="1"/>
  <c r="P92" i="8"/>
  <c r="R43" i="6"/>
  <c r="N18" i="38"/>
  <c r="N258" i="8"/>
  <c r="N18" i="12" s="1"/>
  <c r="R42" i="22"/>
  <c r="R42" i="17"/>
  <c r="N93" i="8"/>
  <c r="M89" i="8"/>
  <c r="S11" i="13"/>
  <c r="R7" i="13"/>
  <c r="R9" i="13"/>
  <c r="O2" i="17" s="1"/>
  <c r="P80" i="8"/>
  <c r="N105" i="8"/>
  <c r="N113" i="8" s="1"/>
  <c r="M101" i="8"/>
  <c r="T38" i="13"/>
  <c r="S102" i="13"/>
  <c r="L278" i="7"/>
  <c r="L13" i="7"/>
  <c r="L97" i="9"/>
  <c r="L69" i="9"/>
  <c r="L41" i="9"/>
  <c r="S23" i="38"/>
  <c r="S263" i="8"/>
  <c r="S23" i="12" s="1"/>
  <c r="T11" i="24"/>
  <c r="S9" i="24"/>
  <c r="O2" i="20" s="1"/>
  <c r="Q93" i="13"/>
  <c r="Q71" i="13"/>
  <c r="T86" i="3"/>
  <c r="U28" i="3"/>
  <c r="T27" i="3"/>
  <c r="P4" i="6" s="1"/>
  <c r="P6" i="8" s="1"/>
  <c r="U44" i="13"/>
  <c r="T108" i="13"/>
  <c r="R88" i="3"/>
  <c r="N39" i="6" s="1"/>
  <c r="N7" i="7" s="1"/>
  <c r="R65" i="3"/>
  <c r="S8" i="17"/>
  <c r="S261" i="8" s="1"/>
  <c r="Q23" i="12" s="1"/>
  <c r="F50" i="35" s="1"/>
  <c r="W63" i="13"/>
  <c r="L13" i="30"/>
  <c r="S44" i="21"/>
  <c r="R108" i="21"/>
  <c r="S9" i="6"/>
  <c r="S11" i="8" s="1"/>
  <c r="S11" i="7" s="1"/>
  <c r="X58" i="3"/>
  <c r="X116" i="3" s="1"/>
  <c r="S100" i="21"/>
  <c r="T36" i="21"/>
  <c r="S8" i="22"/>
  <c r="T38" i="8" s="1"/>
  <c r="X63" i="21"/>
  <c r="T107" i="13"/>
  <c r="U43" i="13"/>
  <c r="T16" i="21"/>
  <c r="P3" i="22" s="1"/>
  <c r="Q33" i="8" s="1"/>
  <c r="E18" i="21"/>
  <c r="Q294" i="7"/>
  <c r="P20" i="30" s="1"/>
  <c r="I21" i="26" s="1"/>
  <c r="N38" i="20"/>
  <c r="O46" i="7"/>
  <c r="P58" i="7" s="1"/>
  <c r="T45" i="13"/>
  <c r="S109" i="13"/>
  <c r="Q104" i="29"/>
  <c r="Q76" i="29"/>
  <c r="Q48" i="29"/>
  <c r="G50" i="26" s="1"/>
  <c r="R43" i="20"/>
  <c r="P18" i="38"/>
  <c r="N260" i="8"/>
  <c r="P18" i="12" s="1"/>
  <c r="R22" i="38"/>
  <c r="R262" i="8"/>
  <c r="R22" i="12" s="1"/>
  <c r="R18" i="24"/>
  <c r="Q16" i="24"/>
  <c r="M3" i="20" s="1"/>
  <c r="Q7" i="24"/>
  <c r="P44" i="8"/>
  <c r="S30" i="13"/>
  <c r="R29" i="13"/>
  <c r="O4" i="17" s="1"/>
  <c r="O20" i="8" s="1"/>
  <c r="O257" i="8" s="1"/>
  <c r="M19" i="12" s="1"/>
  <c r="R94" i="13"/>
  <c r="O103" i="38"/>
  <c r="O75" i="38"/>
  <c r="O47" i="38"/>
  <c r="S101" i="21"/>
  <c r="T37" i="21"/>
  <c r="T10" i="17"/>
  <c r="T44" i="17"/>
  <c r="X65" i="13"/>
  <c r="R36" i="24"/>
  <c r="Q100" i="24"/>
  <c r="P96" i="24"/>
  <c r="Q109" i="24"/>
  <c r="R45" i="24"/>
  <c r="P101" i="12"/>
  <c r="P73" i="12"/>
  <c r="P45" i="12"/>
  <c r="R42" i="24"/>
  <c r="Q106" i="24"/>
  <c r="S43" i="21"/>
  <c r="R107" i="21"/>
  <c r="S100" i="3"/>
  <c r="T42" i="3"/>
  <c r="M6" i="7"/>
  <c r="M45" i="6"/>
  <c r="U10" i="22"/>
  <c r="V40" i="8" s="1"/>
  <c r="Z65" i="21"/>
  <c r="K39" i="20"/>
  <c r="O72" i="24"/>
  <c r="Q99" i="24"/>
  <c r="R35" i="24"/>
  <c r="N38" i="6"/>
  <c r="R66" i="3"/>
  <c r="V30" i="21"/>
  <c r="U29" i="21"/>
  <c r="Q4" i="22" s="1"/>
  <c r="U94" i="21"/>
  <c r="S95" i="13"/>
  <c r="T31" i="13"/>
  <c r="P34" i="7"/>
  <c r="N11" i="6"/>
  <c r="N13" i="6"/>
  <c r="N4" i="8"/>
  <c r="P82" i="7"/>
  <c r="S98" i="21"/>
  <c r="T34" i="21"/>
  <c r="T9" i="21"/>
  <c r="P2" i="22" s="1"/>
  <c r="E11" i="21"/>
  <c r="K17" i="38"/>
  <c r="M255" i="8"/>
  <c r="M13" i="8"/>
  <c r="L45" i="17"/>
  <c r="L20" i="7"/>
  <c r="L264" i="7" s="1"/>
  <c r="L70" i="9"/>
  <c r="L42" i="9"/>
  <c r="L98" i="9"/>
  <c r="K315" i="7"/>
  <c r="K279" i="7"/>
  <c r="K265" i="7"/>
  <c r="K13" i="7"/>
  <c r="P104" i="8"/>
  <c r="M102" i="38"/>
  <c r="M74" i="38"/>
  <c r="M46" i="38"/>
  <c r="L264" i="8"/>
  <c r="K16" i="12"/>
  <c r="P94" i="7"/>
  <c r="T95" i="24"/>
  <c r="U31" i="24"/>
  <c r="S97" i="3"/>
  <c r="T39" i="3"/>
  <c r="S99" i="21"/>
  <c r="T35" i="21"/>
  <c r="R49" i="12"/>
  <c r="E49" i="32" s="1"/>
  <c r="R105" i="12"/>
  <c r="E106" i="32" s="1"/>
  <c r="R77" i="12"/>
  <c r="E78" i="32" s="1"/>
  <c r="T11" i="3"/>
  <c r="S9" i="3"/>
  <c r="O2" i="6" s="1"/>
  <c r="S7" i="3"/>
  <c r="U29" i="3"/>
  <c r="T87" i="3"/>
  <c r="S91" i="3"/>
  <c r="T33" i="3"/>
  <c r="M11" i="22"/>
  <c r="T44" i="6"/>
  <c r="T10" i="6"/>
  <c r="T12" i="8" s="1"/>
  <c r="Y59" i="3"/>
  <c r="Y117" i="3" s="1"/>
  <c r="N302" i="7"/>
  <c r="L17" i="31" s="1"/>
  <c r="P73" i="38"/>
  <c r="P45" i="38"/>
  <c r="P101" i="38"/>
  <c r="L291" i="7"/>
  <c r="M15" i="30" s="1"/>
  <c r="L41" i="7"/>
  <c r="L99" i="29"/>
  <c r="L71" i="29"/>
  <c r="L43" i="29"/>
  <c r="T47" i="13"/>
  <c r="Q6" i="17" s="1"/>
  <c r="Q22" i="8" s="1"/>
  <c r="D48" i="13"/>
  <c r="L101" i="38"/>
  <c r="L73" i="38"/>
  <c r="L45" i="38"/>
  <c r="L18" i="38"/>
  <c r="Q106" i="31"/>
  <c r="Q50" i="31"/>
  <c r="Q78" i="31"/>
  <c r="T94" i="24"/>
  <c r="U30" i="24"/>
  <c r="T29" i="24"/>
  <c r="P4" i="20" s="1"/>
  <c r="R46" i="8" s="1"/>
  <c r="S58" i="8" s="1"/>
  <c r="T70" i="8" s="1"/>
  <c r="U82" i="8" s="1"/>
  <c r="V94" i="8" s="1"/>
  <c r="S93" i="3"/>
  <c r="T35" i="3"/>
  <c r="N45" i="12"/>
  <c r="N73" i="12"/>
  <c r="N101" i="12"/>
  <c r="T10" i="20"/>
  <c r="V52" i="8" s="1"/>
  <c r="Y65" i="24"/>
  <c r="P68" i="8"/>
  <c r="N57" i="8"/>
  <c r="M53" i="8"/>
  <c r="S99" i="3"/>
  <c r="T41" i="3"/>
  <c r="V31" i="21"/>
  <c r="U95" i="21"/>
  <c r="M70" i="9"/>
  <c r="M42" i="9"/>
  <c r="M98" i="9"/>
  <c r="Q319" i="7"/>
  <c r="Q269" i="7"/>
  <c r="Q283" i="7"/>
  <c r="Q20" i="29" s="1"/>
  <c r="G21" i="26" s="1"/>
  <c r="Q105" i="24"/>
  <c r="R41" i="24"/>
  <c r="D71" i="32"/>
  <c r="U57" i="34"/>
  <c r="U70" i="12"/>
  <c r="V70" i="12" s="1"/>
  <c r="W57" i="34" s="1"/>
  <c r="X57" i="34" s="1"/>
  <c r="T18" i="3"/>
  <c r="S16" i="3"/>
  <c r="O3" i="6" s="1"/>
  <c r="O5" i="8" s="1"/>
  <c r="P48" i="30"/>
  <c r="I50" i="26" s="1"/>
  <c r="P104" i="30"/>
  <c r="I106" i="26" s="1"/>
  <c r="T106" i="26" s="1"/>
  <c r="P76" i="30"/>
  <c r="I78" i="26" s="1"/>
  <c r="T78" i="26" s="1"/>
  <c r="K100" i="38"/>
  <c r="U100" i="38" s="1"/>
  <c r="V100" i="38" s="1"/>
  <c r="K72" i="38"/>
  <c r="U72" i="38" s="1"/>
  <c r="V72" i="38" s="1"/>
  <c r="K44" i="38"/>
  <c r="U44" i="38" s="1"/>
  <c r="V44" i="38" s="1"/>
  <c r="U16" i="38"/>
  <c r="V16" i="38" s="1"/>
  <c r="N81" i="8"/>
  <c r="M77" i="8"/>
  <c r="S50" i="12"/>
  <c r="S78" i="12"/>
  <c r="S106" i="12"/>
  <c r="R77" i="38"/>
  <c r="X77" i="35" s="1"/>
  <c r="R49" i="38"/>
  <c r="R105" i="38"/>
  <c r="Z77" i="35" s="1"/>
  <c r="Q102" i="24"/>
  <c r="R38" i="24"/>
  <c r="P32" i="8"/>
  <c r="T42" i="13"/>
  <c r="S106" i="13"/>
  <c r="P56" i="8"/>
  <c r="K303" i="7"/>
  <c r="M14" i="31" s="1"/>
  <c r="N73" i="38"/>
  <c r="N45" i="38"/>
  <c r="N101" i="38"/>
  <c r="U43" i="3"/>
  <c r="Q6" i="6" s="1"/>
  <c r="Q8" i="8" s="1"/>
  <c r="E44" i="3"/>
  <c r="R37" i="24"/>
  <c r="Q101" i="24"/>
  <c r="M279" i="7"/>
  <c r="M16" i="29" s="1"/>
  <c r="D99" i="32"/>
  <c r="AC57" i="34"/>
  <c r="U98" i="12"/>
  <c r="V98" i="12" s="1"/>
  <c r="AE57" i="34" s="1"/>
  <c r="AF57" i="34" s="1"/>
  <c r="R105" i="21"/>
  <c r="S41" i="21"/>
  <c r="R7" i="21"/>
  <c r="S42" i="21"/>
  <c r="R106" i="21"/>
  <c r="M100" i="29"/>
  <c r="M72" i="29"/>
  <c r="M44" i="29"/>
  <c r="S78" i="38"/>
  <c r="S50" i="38"/>
  <c r="S106" i="38"/>
  <c r="S98" i="13"/>
  <c r="T34" i="13"/>
  <c r="S32" i="13"/>
  <c r="P5" i="17" s="1"/>
  <c r="P21" i="8" s="1"/>
  <c r="S45" i="21"/>
  <c r="R109" i="21"/>
  <c r="M38" i="17"/>
  <c r="P72" i="13"/>
  <c r="T38" i="21"/>
  <c r="S102" i="21"/>
  <c r="Q107" i="24"/>
  <c r="R43" i="24"/>
  <c r="S47" i="24"/>
  <c r="O6" i="20" s="1"/>
  <c r="Q48" i="8" s="1"/>
  <c r="R60" i="8" s="1"/>
  <c r="S72" i="8" s="1"/>
  <c r="T84" i="8" s="1"/>
  <c r="U96" i="8" s="1"/>
  <c r="V108" i="8" s="1"/>
  <c r="T48" i="24"/>
  <c r="S18" i="13"/>
  <c r="R16" i="13"/>
  <c r="O3" i="17" s="1"/>
  <c r="O19" i="8" s="1"/>
  <c r="M19" i="38"/>
  <c r="S98" i="3"/>
  <c r="T40" i="3"/>
  <c r="S307" i="7"/>
  <c r="Q22" i="31" s="1"/>
  <c r="O20" i="38"/>
  <c r="P259" i="8"/>
  <c r="O20" i="12" s="1"/>
  <c r="S52" i="21"/>
  <c r="R50" i="21"/>
  <c r="N7" i="22" s="1"/>
  <c r="O37" i="8" s="1"/>
  <c r="K290" i="7"/>
  <c r="K27" i="7"/>
  <c r="K314" i="7"/>
  <c r="K264" i="7"/>
  <c r="S9" i="20"/>
  <c r="U51" i="8" s="1"/>
  <c r="W128" i="24"/>
  <c r="X64" i="24"/>
  <c r="S92" i="3"/>
  <c r="T34" i="3"/>
  <c r="S46" i="3"/>
  <c r="O7" i="6" s="1"/>
  <c r="O9" i="8" s="1"/>
  <c r="T48" i="3"/>
  <c r="S105" i="13"/>
  <c r="T41" i="13"/>
  <c r="P106" i="7"/>
  <c r="Q119" i="7" s="1"/>
  <c r="Q103" i="9"/>
  <c r="Q47" i="9"/>
  <c r="Q75" i="9"/>
  <c r="S90" i="3"/>
  <c r="T32" i="3"/>
  <c r="S30" i="3"/>
  <c r="O5" i="6" s="1"/>
  <c r="O7" i="8" s="1"/>
  <c r="T47" i="21"/>
  <c r="P6" i="22" s="1"/>
  <c r="Q36" i="8" s="1"/>
  <c r="U48" i="21"/>
  <c r="N45" i="8"/>
  <c r="L11" i="20"/>
  <c r="Q106" i="12"/>
  <c r="Q78" i="12"/>
  <c r="Q50" i="12"/>
  <c r="R96" i="13"/>
  <c r="O39" i="17" s="1"/>
  <c r="O21" i="7" s="1"/>
  <c r="L98" i="29"/>
  <c r="L42" i="29"/>
  <c r="L70" i="29"/>
  <c r="F14" i="26"/>
  <c r="S100" i="13"/>
  <c r="T36" i="13"/>
  <c r="D14" i="32"/>
  <c r="K71" i="12"/>
  <c r="K43" i="12"/>
  <c r="U15" i="12"/>
  <c r="V15" i="12" s="1"/>
  <c r="G58" i="34" s="1"/>
  <c r="H58" i="34" s="1"/>
  <c r="E58" i="34"/>
  <c r="K99" i="12"/>
  <c r="T52" i="24"/>
  <c r="S50" i="24"/>
  <c r="O7" i="20" s="1"/>
  <c r="Q49" i="8" s="1"/>
  <c r="R61" i="8" s="1"/>
  <c r="S73" i="8" s="1"/>
  <c r="T85" i="8" s="1"/>
  <c r="U97" i="8" s="1"/>
  <c r="V109" i="8" s="1"/>
  <c r="N69" i="8"/>
  <c r="M65" i="8"/>
  <c r="M35" i="7"/>
  <c r="L45" i="22"/>
  <c r="G172" i="26" l="1"/>
  <c r="S21" i="26"/>
  <c r="G23" i="33"/>
  <c r="T23" i="33" s="1"/>
  <c r="G141" i="26"/>
  <c r="S50" i="26"/>
  <c r="V77" i="35"/>
  <c r="E22" i="35" s="1"/>
  <c r="U77" i="35"/>
  <c r="D22" i="35" s="1"/>
  <c r="E183" i="35"/>
  <c r="D47" i="35"/>
  <c r="H47" i="35" s="1"/>
  <c r="F21" i="35"/>
  <c r="F183" i="35" s="1"/>
  <c r="D183" i="35"/>
  <c r="E47" i="35"/>
  <c r="I47" i="35" s="1"/>
  <c r="J47" i="35" s="1"/>
  <c r="E21" i="32"/>
  <c r="G49" i="35"/>
  <c r="M22" i="33"/>
  <c r="Z22" i="33" s="1"/>
  <c r="M171" i="26"/>
  <c r="I23" i="33"/>
  <c r="V23" i="33" s="1"/>
  <c r="T21" i="26"/>
  <c r="M21" i="26"/>
  <c r="I172" i="26"/>
  <c r="T50" i="26"/>
  <c r="I141" i="26"/>
  <c r="T10" i="7"/>
  <c r="T282" i="7" s="1"/>
  <c r="P23" i="29" s="1"/>
  <c r="T24" i="7"/>
  <c r="P79" i="29"/>
  <c r="P51" i="29"/>
  <c r="P107" i="29"/>
  <c r="U25" i="7"/>
  <c r="R51" i="30"/>
  <c r="R79" i="30"/>
  <c r="R107" i="30"/>
  <c r="T12" i="7"/>
  <c r="T284" i="7" s="1"/>
  <c r="R23" i="29" s="1"/>
  <c r="T26" i="7"/>
  <c r="T296" i="7" s="1"/>
  <c r="R23" i="30" s="1"/>
  <c r="W69" i="39"/>
  <c r="V125" i="7" s="1"/>
  <c r="V123" i="7"/>
  <c r="W42" i="39"/>
  <c r="V124" i="7" s="1"/>
  <c r="W68" i="39"/>
  <c r="V112" i="7" s="1"/>
  <c r="V110" i="7"/>
  <c r="W41" i="39"/>
  <c r="V111" i="7" s="1"/>
  <c r="W67" i="39"/>
  <c r="V100" i="7" s="1"/>
  <c r="V98" i="7"/>
  <c r="W40" i="39"/>
  <c r="V99" i="7" s="1"/>
  <c r="W37" i="39"/>
  <c r="V63" i="7" s="1"/>
  <c r="W66" i="39"/>
  <c r="V88" i="7" s="1"/>
  <c r="V86" i="7"/>
  <c r="W39" i="39"/>
  <c r="V87" i="7" s="1"/>
  <c r="W64" i="39"/>
  <c r="V64" i="7" s="1"/>
  <c r="W65" i="39"/>
  <c r="V76" i="7" s="1"/>
  <c r="V74" i="7"/>
  <c r="W38" i="39"/>
  <c r="V75" i="7" s="1"/>
  <c r="W63" i="39"/>
  <c r="V52" i="7" s="1"/>
  <c r="V50" i="7"/>
  <c r="W36" i="39"/>
  <c r="V51" i="7" s="1"/>
  <c r="W62" i="39"/>
  <c r="V40" i="7" s="1"/>
  <c r="V38" i="7"/>
  <c r="W35" i="39"/>
  <c r="V39" i="7" s="1"/>
  <c r="W34" i="39"/>
  <c r="V62" i="7"/>
  <c r="W58" i="39"/>
  <c r="W61" i="39" s="1"/>
  <c r="V61" i="39"/>
  <c r="W4" i="39"/>
  <c r="W7" i="39" s="1"/>
  <c r="V7" i="39"/>
  <c r="X127" i="21"/>
  <c r="X129" i="21"/>
  <c r="T44" i="22" s="1"/>
  <c r="X128" i="21"/>
  <c r="V42" i="6"/>
  <c r="E115" i="3"/>
  <c r="L45" i="12"/>
  <c r="L101" i="12"/>
  <c r="Q72" i="21"/>
  <c r="O41" i="8"/>
  <c r="S32" i="21"/>
  <c r="O5" i="22" s="1"/>
  <c r="P35" i="8" s="1"/>
  <c r="S295" i="7"/>
  <c r="Q22" i="30" s="1"/>
  <c r="Q51" i="30" s="1"/>
  <c r="Q50" i="30"/>
  <c r="Q78" i="30"/>
  <c r="S65" i="3"/>
  <c r="N11" i="22"/>
  <c r="R96" i="21"/>
  <c r="N39" i="22" s="1"/>
  <c r="R132" i="7"/>
  <c r="X64" i="21"/>
  <c r="S43" i="22"/>
  <c r="S9" i="22"/>
  <c r="T39" i="8" s="1"/>
  <c r="L314" i="7"/>
  <c r="L265" i="7"/>
  <c r="M15" i="9" s="1"/>
  <c r="S43" i="20"/>
  <c r="T105" i="13"/>
  <c r="U41" i="13"/>
  <c r="M103" i="38"/>
  <c r="M75" i="38"/>
  <c r="M47" i="38"/>
  <c r="L14" i="9"/>
  <c r="M71" i="7"/>
  <c r="T93" i="3"/>
  <c r="U35" i="3"/>
  <c r="F72" i="26"/>
  <c r="G72" i="26"/>
  <c r="S88" i="3"/>
  <c r="T46" i="3"/>
  <c r="P7" i="6" s="1"/>
  <c r="P9" i="8" s="1"/>
  <c r="E48" i="3"/>
  <c r="M71" i="31"/>
  <c r="M99" i="31"/>
  <c r="M43" i="31"/>
  <c r="N74" i="12"/>
  <c r="N46" i="12"/>
  <c r="N102" i="12"/>
  <c r="T99" i="13"/>
  <c r="U35" i="13"/>
  <c r="T94" i="3"/>
  <c r="U36" i="3"/>
  <c r="D43" i="32"/>
  <c r="M58" i="34"/>
  <c r="U43" i="12"/>
  <c r="V43" i="12" s="1"/>
  <c r="O58" i="34" s="1"/>
  <c r="P58" i="34" s="1"/>
  <c r="F44" i="26"/>
  <c r="O57" i="8"/>
  <c r="N53" i="8"/>
  <c r="P19" i="38"/>
  <c r="O260" i="8"/>
  <c r="P19" i="12" s="1"/>
  <c r="T102" i="21"/>
  <c r="U38" i="21"/>
  <c r="O21" i="38"/>
  <c r="Q259" i="8"/>
  <c r="O21" i="12" s="1"/>
  <c r="R105" i="24"/>
  <c r="S41" i="24"/>
  <c r="U10" i="20"/>
  <c r="Z65" i="24"/>
  <c r="R71" i="21"/>
  <c r="R106" i="24"/>
  <c r="S42" i="24"/>
  <c r="L39" i="20"/>
  <c r="P72" i="24"/>
  <c r="T307" i="7"/>
  <c r="Q23" i="31" s="1"/>
  <c r="T9" i="6"/>
  <c r="T11" i="8" s="1"/>
  <c r="T11" i="7" s="1"/>
  <c r="Y58" i="3"/>
  <c r="Y116" i="3" s="1"/>
  <c r="Q107" i="12"/>
  <c r="Q79" i="12"/>
  <c r="Q51" i="12"/>
  <c r="T85" i="3"/>
  <c r="U38" i="13"/>
  <c r="T102" i="13"/>
  <c r="N102" i="38"/>
  <c r="N74" i="38"/>
  <c r="N46" i="38"/>
  <c r="R108" i="24"/>
  <c r="S44" i="24"/>
  <c r="M103" i="12"/>
  <c r="M75" i="12"/>
  <c r="M47" i="12"/>
  <c r="S37" i="24"/>
  <c r="R101" i="24"/>
  <c r="Q79" i="31"/>
  <c r="Q51" i="31"/>
  <c r="Q107" i="31"/>
  <c r="T106" i="13"/>
  <c r="U42" i="13"/>
  <c r="O302" i="7"/>
  <c r="L18" i="31" s="1"/>
  <c r="S43" i="6"/>
  <c r="S42" i="17"/>
  <c r="S107" i="38"/>
  <c r="S79" i="38"/>
  <c r="S51" i="38"/>
  <c r="S9" i="13"/>
  <c r="P2" i="17" s="1"/>
  <c r="S7" i="13"/>
  <c r="D11" i="13"/>
  <c r="Q96" i="24"/>
  <c r="D72" i="32"/>
  <c r="U58" i="34"/>
  <c r="U71" i="12"/>
  <c r="V71" i="12" s="1"/>
  <c r="W58" i="34" s="1"/>
  <c r="X58" i="34" s="1"/>
  <c r="T32" i="13"/>
  <c r="Q5" i="17" s="1"/>
  <c r="Q21" i="8" s="1"/>
  <c r="T98" i="13"/>
  <c r="U34" i="13"/>
  <c r="O6" i="7"/>
  <c r="W31" i="21"/>
  <c r="V95" i="21"/>
  <c r="U94" i="24"/>
  <c r="V30" i="24"/>
  <c r="U29" i="24"/>
  <c r="Q4" i="20" s="1"/>
  <c r="N256" i="8"/>
  <c r="L18" i="12" s="1"/>
  <c r="U10" i="6"/>
  <c r="U12" i="8" s="1"/>
  <c r="U44" i="6"/>
  <c r="Z59" i="3"/>
  <c r="Z117" i="3" s="1"/>
  <c r="Q106" i="7"/>
  <c r="R119" i="7" s="1"/>
  <c r="L290" i="7"/>
  <c r="L27" i="7"/>
  <c r="O45" i="8"/>
  <c r="M11" i="20"/>
  <c r="P46" i="7"/>
  <c r="Q58" i="7" s="1"/>
  <c r="T8" i="22"/>
  <c r="U38" i="8" s="1"/>
  <c r="Y63" i="21"/>
  <c r="R23" i="38"/>
  <c r="S262" i="8"/>
  <c r="R23" i="12" s="1"/>
  <c r="O105" i="8"/>
  <c r="O113" i="8" s="1"/>
  <c r="N101" i="8"/>
  <c r="D100" i="32"/>
  <c r="AC58" i="34"/>
  <c r="U99" i="12"/>
  <c r="V99" i="12" s="1"/>
  <c r="AE58" i="34" s="1"/>
  <c r="AF58" i="34" s="1"/>
  <c r="O104" i="38"/>
  <c r="O76" i="38"/>
  <c r="O48" i="38"/>
  <c r="Q46" i="7"/>
  <c r="R58" i="7" s="1"/>
  <c r="F165" i="26"/>
  <c r="S14" i="26"/>
  <c r="F16" i="33"/>
  <c r="S16" i="33" s="1"/>
  <c r="F112" i="13"/>
  <c r="F111" i="13" s="1"/>
  <c r="U95" i="24"/>
  <c r="V31" i="24"/>
  <c r="G102" i="3"/>
  <c r="G101" i="3" s="1"/>
  <c r="Q80" i="8"/>
  <c r="S7" i="21"/>
  <c r="Q32" i="8"/>
  <c r="K18" i="38"/>
  <c r="N255" i="8"/>
  <c r="N13" i="8"/>
  <c r="R99" i="24"/>
  <c r="S35" i="24"/>
  <c r="U107" i="13"/>
  <c r="V43" i="13"/>
  <c r="U86" i="3"/>
  <c r="V28" i="3"/>
  <c r="U27" i="3"/>
  <c r="Q4" i="6" s="1"/>
  <c r="S50" i="13"/>
  <c r="P7" i="17" s="1"/>
  <c r="P23" i="8" s="1"/>
  <c r="D52" i="13"/>
  <c r="M41" i="7"/>
  <c r="M291" i="7"/>
  <c r="M16" i="30" s="1"/>
  <c r="F100" i="26"/>
  <c r="G100" i="26"/>
  <c r="T92" i="3"/>
  <c r="U34" i="3"/>
  <c r="L14" i="30"/>
  <c r="K297" i="7"/>
  <c r="O81" i="8"/>
  <c r="N77" i="8"/>
  <c r="U40" i="3"/>
  <c r="T98" i="3"/>
  <c r="S16" i="13"/>
  <c r="P3" i="17" s="1"/>
  <c r="P19" i="8" s="1"/>
  <c r="D18" i="13"/>
  <c r="M20" i="7"/>
  <c r="M314" i="7" s="1"/>
  <c r="M45" i="17"/>
  <c r="S96" i="13"/>
  <c r="P39" i="17" s="1"/>
  <c r="P21" i="7" s="1"/>
  <c r="M73" i="29"/>
  <c r="M101" i="29"/>
  <c r="M45" i="29"/>
  <c r="S38" i="24"/>
  <c r="R102" i="24"/>
  <c r="Q105" i="29"/>
  <c r="Q49" i="29"/>
  <c r="G51" i="26" s="1"/>
  <c r="Q77" i="29"/>
  <c r="T99" i="3"/>
  <c r="U41" i="3"/>
  <c r="T93" i="24"/>
  <c r="L102" i="38"/>
  <c r="L74" i="38"/>
  <c r="L46" i="38"/>
  <c r="S24" i="38"/>
  <c r="T263" i="8"/>
  <c r="S24" i="12" s="1"/>
  <c r="T99" i="21"/>
  <c r="U35" i="21"/>
  <c r="D15" i="32"/>
  <c r="K100" i="12"/>
  <c r="K72" i="12"/>
  <c r="K44" i="12"/>
  <c r="U16" i="12"/>
  <c r="V16" i="12" s="1"/>
  <c r="G59" i="34" s="1"/>
  <c r="H59" i="34" s="1"/>
  <c r="E59" i="34"/>
  <c r="U34" i="21"/>
  <c r="T98" i="21"/>
  <c r="U93" i="21"/>
  <c r="M47" i="7"/>
  <c r="N59" i="7" s="1"/>
  <c r="M278" i="7"/>
  <c r="M13" i="7"/>
  <c r="R100" i="24"/>
  <c r="S36" i="24"/>
  <c r="R16" i="24"/>
  <c r="N3" i="20" s="1"/>
  <c r="S18" i="24"/>
  <c r="R7" i="24"/>
  <c r="N279" i="7"/>
  <c r="M17" i="29" s="1"/>
  <c r="N38" i="17"/>
  <c r="Q72" i="13"/>
  <c r="R294" i="7"/>
  <c r="P21" i="30" s="1"/>
  <c r="I22" i="26" s="1"/>
  <c r="R269" i="7"/>
  <c r="R283" i="7"/>
  <c r="Q21" i="29" s="1"/>
  <c r="G22" i="26" s="1"/>
  <c r="R319" i="7"/>
  <c r="T101" i="13"/>
  <c r="U37" i="13"/>
  <c r="T100" i="13"/>
  <c r="U36" i="13"/>
  <c r="U47" i="21"/>
  <c r="Q6" i="22" s="1"/>
  <c r="R36" i="8" s="1"/>
  <c r="E48" i="21"/>
  <c r="T9" i="20"/>
  <c r="V51" i="8" s="1"/>
  <c r="X128" i="24"/>
  <c r="Y64" i="24"/>
  <c r="T52" i="21"/>
  <c r="S50" i="21"/>
  <c r="O7" i="22" s="1"/>
  <c r="P37" i="8" s="1"/>
  <c r="U48" i="24"/>
  <c r="T47" i="24"/>
  <c r="P6" i="20" s="1"/>
  <c r="R48" i="8" s="1"/>
  <c r="S60" i="8" s="1"/>
  <c r="T72" i="8" s="1"/>
  <c r="U84" i="8" s="1"/>
  <c r="V96" i="8" s="1"/>
  <c r="S106" i="21"/>
  <c r="T42" i="21"/>
  <c r="Q68" i="8"/>
  <c r="O93" i="8"/>
  <c r="N89" i="8"/>
  <c r="L19" i="38"/>
  <c r="Q20" i="9"/>
  <c r="R107" i="29"/>
  <c r="R79" i="29"/>
  <c r="R51" i="29"/>
  <c r="U87" i="3"/>
  <c r="V29" i="3"/>
  <c r="M14" i="9"/>
  <c r="R34" i="8"/>
  <c r="V10" i="22"/>
  <c r="T100" i="3"/>
  <c r="U42" i="3"/>
  <c r="U10" i="17"/>
  <c r="U44" i="17"/>
  <c r="Y65" i="13"/>
  <c r="R93" i="13"/>
  <c r="R71" i="13"/>
  <c r="R78" i="12"/>
  <c r="E79" i="32" s="1"/>
  <c r="R50" i="12"/>
  <c r="E50" i="32" s="1"/>
  <c r="R106" i="12"/>
  <c r="E107" i="32" s="1"/>
  <c r="S42" i="22"/>
  <c r="T44" i="21"/>
  <c r="S108" i="21"/>
  <c r="Q44" i="8"/>
  <c r="Q104" i="9"/>
  <c r="Q48" i="9"/>
  <c r="Q76" i="9"/>
  <c r="T45" i="21"/>
  <c r="S109" i="21"/>
  <c r="T16" i="3"/>
  <c r="P3" i="6" s="1"/>
  <c r="P5" i="8" s="1"/>
  <c r="E18" i="3"/>
  <c r="T97" i="3"/>
  <c r="U39" i="3"/>
  <c r="M14" i="29"/>
  <c r="K285" i="7"/>
  <c r="M264" i="8"/>
  <c r="K17" i="12"/>
  <c r="U31" i="13"/>
  <c r="T95" i="13"/>
  <c r="V94" i="21"/>
  <c r="V93" i="21" s="1"/>
  <c r="V29" i="21"/>
  <c r="R4" i="22" s="1"/>
  <c r="W30" i="21"/>
  <c r="R106" i="38"/>
  <c r="Z78" i="35" s="1"/>
  <c r="R78" i="38"/>
  <c r="X78" i="35" s="1"/>
  <c r="R50" i="38"/>
  <c r="P49" i="30"/>
  <c r="I51" i="26" s="1"/>
  <c r="P77" i="30"/>
  <c r="I79" i="26" s="1"/>
  <c r="T79" i="26" s="1"/>
  <c r="P105" i="30"/>
  <c r="I107" i="26" s="1"/>
  <c r="T107" i="26" s="1"/>
  <c r="T9" i="24"/>
  <c r="P2" i="20" s="1"/>
  <c r="E11" i="24"/>
  <c r="Q92" i="8"/>
  <c r="Q104" i="8"/>
  <c r="T43" i="17"/>
  <c r="X64" i="13"/>
  <c r="T9" i="17"/>
  <c r="L303" i="7"/>
  <c r="M15" i="31" s="1"/>
  <c r="L315" i="7"/>
  <c r="T50" i="24"/>
  <c r="P7" i="20" s="1"/>
  <c r="R49" i="8" s="1"/>
  <c r="E52" i="24"/>
  <c r="S105" i="21"/>
  <c r="T41" i="21"/>
  <c r="O69" i="8"/>
  <c r="N65" i="8"/>
  <c r="M100" i="30"/>
  <c r="M72" i="30"/>
  <c r="M44" i="30"/>
  <c r="P70" i="7"/>
  <c r="T91" i="3"/>
  <c r="U33" i="3"/>
  <c r="O13" i="6"/>
  <c r="O11" i="6"/>
  <c r="O4" i="8"/>
  <c r="K101" i="38"/>
  <c r="U101" i="38" s="1"/>
  <c r="V101" i="38" s="1"/>
  <c r="K73" i="38"/>
  <c r="U73" i="38" s="1"/>
  <c r="V73" i="38" s="1"/>
  <c r="K45" i="38"/>
  <c r="U45" i="38" s="1"/>
  <c r="V45" i="38" s="1"/>
  <c r="U17" i="38"/>
  <c r="V17" i="38" s="1"/>
  <c r="R109" i="24"/>
  <c r="S45" i="24"/>
  <c r="T30" i="13"/>
  <c r="S29" i="13"/>
  <c r="P4" i="17" s="1"/>
  <c r="P20" i="8" s="1"/>
  <c r="P257" i="8" s="1"/>
  <c r="M20" i="12" s="1"/>
  <c r="S94" i="13"/>
  <c r="P102" i="12"/>
  <c r="P74" i="12"/>
  <c r="P46" i="12"/>
  <c r="U45" i="13"/>
  <c r="T109" i="13"/>
  <c r="F82" i="21"/>
  <c r="F80" i="21" s="1"/>
  <c r="T100" i="21"/>
  <c r="U36" i="21"/>
  <c r="L98" i="30"/>
  <c r="L42" i="30"/>
  <c r="L70" i="30"/>
  <c r="V44" i="13"/>
  <c r="U108" i="13"/>
  <c r="L15" i="29"/>
  <c r="L285" i="7"/>
  <c r="O11" i="17"/>
  <c r="O18" i="8"/>
  <c r="O27" i="8" s="1"/>
  <c r="P38" i="22"/>
  <c r="T96" i="3"/>
  <c r="U38" i="3"/>
  <c r="O104" i="12"/>
  <c r="O76" i="12"/>
  <c r="O48" i="12"/>
  <c r="N19" i="38"/>
  <c r="O258" i="8"/>
  <c r="N19" i="12" s="1"/>
  <c r="R107" i="24"/>
  <c r="S43" i="24"/>
  <c r="T90" i="3"/>
  <c r="U32" i="3"/>
  <c r="T30" i="3"/>
  <c r="P5" i="6" s="1"/>
  <c r="P7" i="8" s="1"/>
  <c r="L102" i="31"/>
  <c r="L74" i="31"/>
  <c r="L46" i="31"/>
  <c r="T9" i="3"/>
  <c r="P2" i="6" s="1"/>
  <c r="T7" i="3"/>
  <c r="E11" i="3"/>
  <c r="F75" i="21"/>
  <c r="Q94" i="7"/>
  <c r="N6" i="7"/>
  <c r="N45" i="6"/>
  <c r="T43" i="21"/>
  <c r="S107" i="21"/>
  <c r="T101" i="21"/>
  <c r="U37" i="21"/>
  <c r="Q56" i="8"/>
  <c r="P46" i="38"/>
  <c r="P102" i="38"/>
  <c r="P74" i="38"/>
  <c r="T8" i="17"/>
  <c r="T261" i="8" s="1"/>
  <c r="Q24" i="12" s="1"/>
  <c r="F51" i="35" s="1"/>
  <c r="X63" i="13"/>
  <c r="M20" i="38"/>
  <c r="S79" i="12"/>
  <c r="S51" i="12"/>
  <c r="S107" i="12"/>
  <c r="L15" i="9"/>
  <c r="R98" i="24"/>
  <c r="R32" i="24"/>
  <c r="N5" i="20" s="1"/>
  <c r="P47" i="8" s="1"/>
  <c r="Q59" i="8" s="1"/>
  <c r="R71" i="8" s="1"/>
  <c r="S83" i="8" s="1"/>
  <c r="T95" i="8" s="1"/>
  <c r="U107" i="8" s="1"/>
  <c r="S34" i="24"/>
  <c r="N35" i="7"/>
  <c r="M45" i="22"/>
  <c r="S51" i="26" l="1"/>
  <c r="G142" i="26"/>
  <c r="V78" i="35"/>
  <c r="E23" i="35" s="1"/>
  <c r="U78" i="35"/>
  <c r="D23" i="35" s="1"/>
  <c r="G24" i="33"/>
  <c r="T24" i="33" s="1"/>
  <c r="G173" i="26"/>
  <c r="S22" i="26"/>
  <c r="E184" i="35"/>
  <c r="F22" i="35"/>
  <c r="F184" i="35" s="1"/>
  <c r="D48" i="35"/>
  <c r="H48" i="35" s="1"/>
  <c r="D184" i="35"/>
  <c r="E48" i="35"/>
  <c r="I48" i="35" s="1"/>
  <c r="J48" i="35" s="1"/>
  <c r="M172" i="26"/>
  <c r="M23" i="33"/>
  <c r="Z23" i="33" s="1"/>
  <c r="I173" i="26"/>
  <c r="T22" i="26"/>
  <c r="M22" i="26"/>
  <c r="I24" i="33"/>
  <c r="V24" i="33" s="1"/>
  <c r="T51" i="26"/>
  <c r="I142" i="26"/>
  <c r="E22" i="32"/>
  <c r="G50" i="35"/>
  <c r="V10" i="7"/>
  <c r="V282" i="7" s="1"/>
  <c r="P25" i="29" s="1"/>
  <c r="V24" i="7"/>
  <c r="U24" i="7"/>
  <c r="U10" i="7"/>
  <c r="U282" i="7" s="1"/>
  <c r="P24" i="29" s="1"/>
  <c r="P52" i="29"/>
  <c r="P80" i="29"/>
  <c r="P108" i="29"/>
  <c r="V25" i="7"/>
  <c r="R108" i="30"/>
  <c r="R52" i="30"/>
  <c r="R80" i="30"/>
  <c r="V26" i="7"/>
  <c r="U26" i="7"/>
  <c r="U296" i="7" s="1"/>
  <c r="R24" i="30" s="1"/>
  <c r="R109" i="30" s="1"/>
  <c r="U12" i="7"/>
  <c r="U284" i="7" s="1"/>
  <c r="R24" i="29" s="1"/>
  <c r="Y128" i="21"/>
  <c r="Y127" i="21"/>
  <c r="Y129" i="21"/>
  <c r="U44" i="22" s="1"/>
  <c r="O256" i="8"/>
  <c r="L19" i="12" s="1"/>
  <c r="L103" i="12" s="1"/>
  <c r="P41" i="8"/>
  <c r="R72" i="21"/>
  <c r="U7" i="3"/>
  <c r="Q79" i="30"/>
  <c r="Q107" i="30"/>
  <c r="S71" i="21"/>
  <c r="T295" i="7"/>
  <c r="Q23" i="30" s="1"/>
  <c r="Q80" i="30" s="1"/>
  <c r="U85" i="3"/>
  <c r="Q38" i="6" s="1"/>
  <c r="S72" i="26"/>
  <c r="T65" i="3"/>
  <c r="S132" i="7"/>
  <c r="G112" i="13"/>
  <c r="G111" i="13" s="1"/>
  <c r="D40" i="17" s="1"/>
  <c r="D22" i="7" s="1"/>
  <c r="T43" i="22"/>
  <c r="Y64" i="21"/>
  <c r="T9" i="22"/>
  <c r="U39" i="8" s="1"/>
  <c r="S146" i="7"/>
  <c r="S96" i="21"/>
  <c r="O39" i="22" s="1"/>
  <c r="S100" i="26"/>
  <c r="M264" i="7"/>
  <c r="L16" i="9" s="1"/>
  <c r="U8" i="17"/>
  <c r="U261" i="8" s="1"/>
  <c r="Q25" i="12" s="1"/>
  <c r="F52" i="35" s="1"/>
  <c r="Y63" i="13"/>
  <c r="M100" i="31"/>
  <c r="M72" i="31"/>
  <c r="M44" i="31"/>
  <c r="L100" i="9"/>
  <c r="L72" i="9"/>
  <c r="L44" i="9"/>
  <c r="T105" i="21"/>
  <c r="U41" i="21"/>
  <c r="U100" i="21"/>
  <c r="V36" i="21"/>
  <c r="F116" i="24"/>
  <c r="F114" i="24" s="1"/>
  <c r="U101" i="13"/>
  <c r="V37" i="13"/>
  <c r="S294" i="7"/>
  <c r="P22" i="30" s="1"/>
  <c r="I23" i="26" s="1"/>
  <c r="U102" i="13"/>
  <c r="V38" i="13"/>
  <c r="R24" i="38"/>
  <c r="T262" i="8"/>
  <c r="R24" i="12" s="1"/>
  <c r="G51" i="35" s="1"/>
  <c r="P47" i="12"/>
  <c r="P103" i="12"/>
  <c r="P75" i="12"/>
  <c r="L99" i="9"/>
  <c r="L43" i="9"/>
  <c r="L71" i="9"/>
  <c r="O11" i="22"/>
  <c r="S107" i="24"/>
  <c r="T43" i="24"/>
  <c r="U96" i="3"/>
  <c r="V38" i="3"/>
  <c r="S93" i="13"/>
  <c r="S71" i="13"/>
  <c r="S61" i="8"/>
  <c r="R260" i="8"/>
  <c r="P22" i="12" s="1"/>
  <c r="W94" i="21"/>
  <c r="X30" i="21"/>
  <c r="W29" i="21"/>
  <c r="S4" i="22" s="1"/>
  <c r="D16" i="32"/>
  <c r="K101" i="12"/>
  <c r="K73" i="12"/>
  <c r="K45" i="12"/>
  <c r="U17" i="12"/>
  <c r="V17" i="12" s="1"/>
  <c r="G60" i="34" s="1"/>
  <c r="H60" i="34" s="1"/>
  <c r="E60" i="34"/>
  <c r="F76" i="3"/>
  <c r="F74" i="3" s="1"/>
  <c r="V87" i="3"/>
  <c r="W29" i="3"/>
  <c r="T106" i="21"/>
  <c r="U42" i="21"/>
  <c r="N20" i="7"/>
  <c r="N314" i="7" s="1"/>
  <c r="N45" i="17"/>
  <c r="P45" i="8"/>
  <c r="N11" i="20"/>
  <c r="M303" i="7"/>
  <c r="M16" i="31" s="1"/>
  <c r="M265" i="7"/>
  <c r="M315" i="7"/>
  <c r="D44" i="32"/>
  <c r="U44" i="12"/>
  <c r="V44" i="12" s="1"/>
  <c r="O59" i="34" s="1"/>
  <c r="P59" i="34" s="1"/>
  <c r="M59" i="34"/>
  <c r="P93" i="8"/>
  <c r="O89" i="8"/>
  <c r="M101" i="30"/>
  <c r="M73" i="30"/>
  <c r="M45" i="30"/>
  <c r="V107" i="13"/>
  <c r="W43" i="13"/>
  <c r="C40" i="17"/>
  <c r="C22" i="7" s="1"/>
  <c r="C292" i="7" s="1"/>
  <c r="N6" i="30" s="1"/>
  <c r="U93" i="24"/>
  <c r="M39" i="20"/>
  <c r="Q72" i="24"/>
  <c r="P38" i="6"/>
  <c r="Q80" i="31"/>
  <c r="Q52" i="31"/>
  <c r="Q108" i="31"/>
  <c r="S105" i="24"/>
  <c r="T41" i="24"/>
  <c r="P75" i="38"/>
  <c r="P47" i="38"/>
  <c r="P103" i="38"/>
  <c r="U94" i="3"/>
  <c r="V36" i="3"/>
  <c r="G135" i="26"/>
  <c r="Q108" i="12"/>
  <c r="Q80" i="12"/>
  <c r="Q52" i="12"/>
  <c r="T107" i="21"/>
  <c r="U43" i="21"/>
  <c r="U100" i="3"/>
  <c r="V42" i="3"/>
  <c r="V94" i="24"/>
  <c r="W30" i="24"/>
  <c r="V29" i="24"/>
  <c r="R4" i="20" s="1"/>
  <c r="N278" i="7"/>
  <c r="N13" i="7"/>
  <c r="B37" i="22"/>
  <c r="C33" i="7" s="1"/>
  <c r="L20" i="38"/>
  <c r="G112" i="21"/>
  <c r="G111" i="21" s="1"/>
  <c r="S100" i="24"/>
  <c r="T36" i="24"/>
  <c r="M290" i="7"/>
  <c r="M27" i="7"/>
  <c r="P302" i="7"/>
  <c r="V10" i="6"/>
  <c r="V12" i="8" s="1"/>
  <c r="V12" i="7" s="1"/>
  <c r="E75" i="13"/>
  <c r="S108" i="24"/>
  <c r="T44" i="24"/>
  <c r="U101" i="21"/>
  <c r="V37" i="21"/>
  <c r="U91" i="3"/>
  <c r="V33" i="3"/>
  <c r="F69" i="3"/>
  <c r="Q255" i="8"/>
  <c r="S98" i="24"/>
  <c r="S32" i="24"/>
  <c r="O5" i="20" s="1"/>
  <c r="Q47" i="8" s="1"/>
  <c r="R59" i="8" s="1"/>
  <c r="S71" i="8" s="1"/>
  <c r="T83" i="8" s="1"/>
  <c r="U95" i="8" s="1"/>
  <c r="V107" i="8" s="1"/>
  <c r="T34" i="24"/>
  <c r="V108" i="13"/>
  <c r="W44" i="13"/>
  <c r="S34" i="8"/>
  <c r="D73" i="32"/>
  <c r="U59" i="34"/>
  <c r="U72" i="12"/>
  <c r="V72" i="12" s="1"/>
  <c r="W59" i="34" s="1"/>
  <c r="X59" i="34" s="1"/>
  <c r="M104" i="38"/>
  <c r="M76" i="38"/>
  <c r="M48" i="38"/>
  <c r="R68" i="8"/>
  <c r="N103" i="12"/>
  <c r="N75" i="12"/>
  <c r="N47" i="12"/>
  <c r="G82" i="21"/>
  <c r="U30" i="13"/>
  <c r="T29" i="13"/>
  <c r="Q4" i="17" s="1"/>
  <c r="T94" i="13"/>
  <c r="T7" i="13"/>
  <c r="R108" i="29"/>
  <c r="R80" i="29"/>
  <c r="R52" i="29"/>
  <c r="R259" i="8"/>
  <c r="O22" i="12" s="1"/>
  <c r="Q106" i="29"/>
  <c r="Q50" i="29"/>
  <c r="G52" i="26" s="1"/>
  <c r="Q78" i="29"/>
  <c r="M102" i="29"/>
  <c r="M46" i="29"/>
  <c r="M74" i="29"/>
  <c r="D101" i="32"/>
  <c r="AC59" i="34"/>
  <c r="U100" i="12"/>
  <c r="V100" i="12" s="1"/>
  <c r="AE59" i="34" s="1"/>
  <c r="AF59" i="34" s="1"/>
  <c r="E82" i="13"/>
  <c r="E80" i="13" s="1"/>
  <c r="L99" i="30"/>
  <c r="L43" i="30"/>
  <c r="L71" i="30"/>
  <c r="E116" i="13"/>
  <c r="E114" i="13" s="1"/>
  <c r="S99" i="24"/>
  <c r="T35" i="24"/>
  <c r="S269" i="7"/>
  <c r="S283" i="7"/>
  <c r="Q22" i="29" s="1"/>
  <c r="G23" i="26" s="1"/>
  <c r="S319" i="7"/>
  <c r="P69" i="8"/>
  <c r="O65" i="8"/>
  <c r="U99" i="13"/>
  <c r="V35" i="13"/>
  <c r="U93" i="3"/>
  <c r="V35" i="3"/>
  <c r="N20" i="38"/>
  <c r="P258" i="8"/>
  <c r="N20" i="12" s="1"/>
  <c r="T88" i="3"/>
  <c r="P39" i="6" s="1"/>
  <c r="P7" i="7" s="1"/>
  <c r="L44" i="29"/>
  <c r="L72" i="29"/>
  <c r="L100" i="29"/>
  <c r="Q82" i="7"/>
  <c r="M99" i="9"/>
  <c r="M43" i="9"/>
  <c r="M71" i="9"/>
  <c r="T43" i="20"/>
  <c r="S16" i="24"/>
  <c r="O3" i="20" s="1"/>
  <c r="T18" i="24"/>
  <c r="S7" i="24"/>
  <c r="S108" i="38"/>
  <c r="S80" i="38"/>
  <c r="S52" i="38"/>
  <c r="T96" i="13"/>
  <c r="Q39" i="17" s="1"/>
  <c r="Q21" i="7" s="1"/>
  <c r="M104" i="12"/>
  <c r="M76" i="12"/>
  <c r="M48" i="12"/>
  <c r="P11" i="6"/>
  <c r="P4" i="8"/>
  <c r="K19" i="38"/>
  <c r="O13" i="8"/>
  <c r="O255" i="8"/>
  <c r="R56" i="8"/>
  <c r="V44" i="22"/>
  <c r="Q49" i="9"/>
  <c r="Q77" i="9"/>
  <c r="Q105" i="9"/>
  <c r="Q38" i="22"/>
  <c r="R96" i="24"/>
  <c r="T42" i="17"/>
  <c r="R106" i="7"/>
  <c r="S119" i="7" s="1"/>
  <c r="N103" i="38"/>
  <c r="N75" i="38"/>
  <c r="N47" i="38"/>
  <c r="Q34" i="7"/>
  <c r="S109" i="24"/>
  <c r="T45" i="24"/>
  <c r="N71" i="7"/>
  <c r="R104" i="8"/>
  <c r="R38" i="22"/>
  <c r="M99" i="29"/>
  <c r="M71" i="29"/>
  <c r="M43" i="29"/>
  <c r="U45" i="21"/>
  <c r="T109" i="21"/>
  <c r="R72" i="13"/>
  <c r="O38" i="17"/>
  <c r="L103" i="38"/>
  <c r="L75" i="38"/>
  <c r="L47" i="38"/>
  <c r="U47" i="24"/>
  <c r="Q6" i="20" s="1"/>
  <c r="S48" i="8" s="1"/>
  <c r="E48" i="24"/>
  <c r="Q21" i="9"/>
  <c r="T32" i="21"/>
  <c r="P5" i="22" s="1"/>
  <c r="T38" i="24"/>
  <c r="S102" i="24"/>
  <c r="U92" i="3"/>
  <c r="V34" i="3"/>
  <c r="R92" i="8"/>
  <c r="R107" i="12"/>
  <c r="E108" i="32" s="1"/>
  <c r="R79" i="12"/>
  <c r="E80" i="32" s="1"/>
  <c r="R51" i="12"/>
  <c r="E51" i="32" s="1"/>
  <c r="P57" i="8"/>
  <c r="O53" i="8"/>
  <c r="S25" i="38"/>
  <c r="U263" i="8"/>
  <c r="S25" i="12" s="1"/>
  <c r="W95" i="21"/>
  <c r="X31" i="21"/>
  <c r="P11" i="17"/>
  <c r="P18" i="8"/>
  <c r="P27" i="8" s="1"/>
  <c r="N47" i="7"/>
  <c r="O59" i="7" s="1"/>
  <c r="O105" i="12"/>
  <c r="O77" i="12"/>
  <c r="O49" i="12"/>
  <c r="U105" i="13"/>
  <c r="V41" i="13"/>
  <c r="O35" i="7"/>
  <c r="N45" i="22"/>
  <c r="N41" i="7"/>
  <c r="N291" i="7"/>
  <c r="M17" i="30" s="1"/>
  <c r="V45" i="13"/>
  <c r="U109" i="13"/>
  <c r="P81" i="8"/>
  <c r="O77" i="8"/>
  <c r="U97" i="3"/>
  <c r="V39" i="3"/>
  <c r="U44" i="21"/>
  <c r="T108" i="21"/>
  <c r="V10" i="17"/>
  <c r="U100" i="13"/>
  <c r="V36" i="13"/>
  <c r="L16" i="29"/>
  <c r="M285" i="7"/>
  <c r="V34" i="21"/>
  <c r="U98" i="21"/>
  <c r="V35" i="21"/>
  <c r="U99" i="21"/>
  <c r="P38" i="20"/>
  <c r="C40" i="6"/>
  <c r="C8" i="7" s="1"/>
  <c r="R107" i="38"/>
  <c r="Z79" i="35" s="1"/>
  <c r="R79" i="38"/>
  <c r="X79" i="35" s="1"/>
  <c r="R51" i="38"/>
  <c r="L102" i="12"/>
  <c r="L74" i="12"/>
  <c r="L46" i="12"/>
  <c r="Q70" i="7"/>
  <c r="S101" i="24"/>
  <c r="T37" i="24"/>
  <c r="S106" i="24"/>
  <c r="T42" i="24"/>
  <c r="O105" i="38"/>
  <c r="O77" i="38"/>
  <c r="O49" i="38"/>
  <c r="F135" i="26"/>
  <c r="S44" i="26"/>
  <c r="F106" i="3"/>
  <c r="F104" i="3" s="1"/>
  <c r="V31" i="13"/>
  <c r="U95" i="13"/>
  <c r="P105" i="8"/>
  <c r="P113" i="8" s="1"/>
  <c r="O101" i="8"/>
  <c r="T50" i="21"/>
  <c r="P7" i="22" s="1"/>
  <c r="Q37" i="8" s="1"/>
  <c r="Q260" i="8" s="1"/>
  <c r="P21" i="12" s="1"/>
  <c r="E52" i="21"/>
  <c r="V41" i="3"/>
  <c r="U99" i="3"/>
  <c r="U98" i="3"/>
  <c r="V40" i="3"/>
  <c r="Q6" i="8"/>
  <c r="N264" i="8"/>
  <c r="K18" i="12"/>
  <c r="H102" i="3"/>
  <c r="U8" i="22"/>
  <c r="V38" i="8" s="1"/>
  <c r="Z63" i="21"/>
  <c r="L15" i="30"/>
  <c r="L297" i="7"/>
  <c r="O278" i="7"/>
  <c r="L103" i="31"/>
  <c r="L47" i="31"/>
  <c r="L75" i="31"/>
  <c r="Z58" i="3"/>
  <c r="Z116" i="3" s="1"/>
  <c r="U9" i="6"/>
  <c r="U11" i="8" s="1"/>
  <c r="U11" i="7" s="1"/>
  <c r="V10" i="20"/>
  <c r="U102" i="21"/>
  <c r="V38" i="21"/>
  <c r="P20" i="38"/>
  <c r="P260" i="8"/>
  <c r="P20" i="12" s="1"/>
  <c r="N83" i="7"/>
  <c r="M100" i="9"/>
  <c r="M72" i="9"/>
  <c r="M44" i="9"/>
  <c r="F75" i="24"/>
  <c r="F73" i="21"/>
  <c r="U30" i="3"/>
  <c r="Q5" i="6" s="1"/>
  <c r="Q7" i="8" s="1"/>
  <c r="U90" i="3"/>
  <c r="V32" i="3"/>
  <c r="U43" i="17"/>
  <c r="Y64" i="13"/>
  <c r="U9" i="17"/>
  <c r="R44" i="8"/>
  <c r="R80" i="8"/>
  <c r="U9" i="20"/>
  <c r="Y128" i="24"/>
  <c r="Z64" i="24"/>
  <c r="P106" i="30"/>
  <c r="I108" i="26" s="1"/>
  <c r="T108" i="26" s="1"/>
  <c r="P78" i="30"/>
  <c r="I80" i="26" s="1"/>
  <c r="T80" i="26" s="1"/>
  <c r="P50" i="30"/>
  <c r="I52" i="26" s="1"/>
  <c r="S108" i="12"/>
  <c r="S80" i="12"/>
  <c r="S52" i="12"/>
  <c r="W28" i="3"/>
  <c r="V27" i="3"/>
  <c r="R4" i="6" s="1"/>
  <c r="V86" i="3"/>
  <c r="V85" i="3" s="1"/>
  <c r="K102" i="38"/>
  <c r="U102" i="38" s="1"/>
  <c r="V102" i="38" s="1"/>
  <c r="K74" i="38"/>
  <c r="U74" i="38" s="1"/>
  <c r="V74" i="38" s="1"/>
  <c r="K46" i="38"/>
  <c r="U46" i="38" s="1"/>
  <c r="V46" i="38" s="1"/>
  <c r="U18" i="38"/>
  <c r="V18" i="38" s="1"/>
  <c r="W31" i="24"/>
  <c r="V95" i="24"/>
  <c r="T42" i="22"/>
  <c r="S46" i="8"/>
  <c r="V34" i="13"/>
  <c r="U32" i="13"/>
  <c r="R5" i="17" s="1"/>
  <c r="R21" i="8" s="1"/>
  <c r="U98" i="13"/>
  <c r="U106" i="13"/>
  <c r="V42" i="13"/>
  <c r="T43" i="6"/>
  <c r="O39" i="6"/>
  <c r="S66" i="3"/>
  <c r="U307" i="7"/>
  <c r="Q24" i="31" s="1"/>
  <c r="T7" i="21"/>
  <c r="E129" i="21" l="1"/>
  <c r="G25" i="33"/>
  <c r="T25" i="33" s="1"/>
  <c r="G174" i="26"/>
  <c r="S23" i="26"/>
  <c r="D185" i="35"/>
  <c r="E49" i="35"/>
  <c r="I49" i="35" s="1"/>
  <c r="E185" i="35"/>
  <c r="F23" i="35"/>
  <c r="F185" i="35" s="1"/>
  <c r="D49" i="35"/>
  <c r="H49" i="35" s="1"/>
  <c r="G143" i="26"/>
  <c r="S52" i="26"/>
  <c r="V79" i="35"/>
  <c r="E24" i="35" s="1"/>
  <c r="U79" i="35"/>
  <c r="D24" i="35" s="1"/>
  <c r="T52" i="26"/>
  <c r="I143" i="26"/>
  <c r="M24" i="33"/>
  <c r="Z24" i="33" s="1"/>
  <c r="M173" i="26"/>
  <c r="I25" i="33"/>
  <c r="V25" i="33" s="1"/>
  <c r="T23" i="26"/>
  <c r="I174" i="26"/>
  <c r="M23" i="26"/>
  <c r="P82" i="29"/>
  <c r="P54" i="29"/>
  <c r="P110" i="29"/>
  <c r="P109" i="29"/>
  <c r="P81" i="29"/>
  <c r="P53" i="29"/>
  <c r="R53" i="30"/>
  <c r="R81" i="30"/>
  <c r="L47" i="12"/>
  <c r="L75" i="12"/>
  <c r="S72" i="21"/>
  <c r="G106" i="3"/>
  <c r="G104" i="3" s="1"/>
  <c r="C41" i="6" s="1"/>
  <c r="C9" i="7" s="1"/>
  <c r="U295" i="7"/>
  <c r="Q24" i="30" s="1"/>
  <c r="Q81" i="30" s="1"/>
  <c r="H112" i="13"/>
  <c r="H111" i="13" s="1"/>
  <c r="E40" i="17" s="1"/>
  <c r="E22" i="7" s="1"/>
  <c r="P256" i="8"/>
  <c r="L20" i="12" s="1"/>
  <c r="L48" i="12" s="1"/>
  <c r="Q108" i="30"/>
  <c r="Q52" i="30"/>
  <c r="T66" i="3"/>
  <c r="V93" i="24"/>
  <c r="R38" i="20" s="1"/>
  <c r="G76" i="3"/>
  <c r="T132" i="7"/>
  <c r="Z64" i="21"/>
  <c r="U9" i="22"/>
  <c r="V39" i="8" s="1"/>
  <c r="U32" i="21"/>
  <c r="Q5" i="22" s="1"/>
  <c r="Q11" i="22" s="1"/>
  <c r="F116" i="13"/>
  <c r="G116" i="13" s="1"/>
  <c r="T160" i="7"/>
  <c r="T96" i="21"/>
  <c r="T72" i="21" s="1"/>
  <c r="T146" i="7"/>
  <c r="N264" i="7"/>
  <c r="L17" i="9" s="1"/>
  <c r="N265" i="7"/>
  <c r="M17" i="9" s="1"/>
  <c r="V102" i="21"/>
  <c r="W38" i="21"/>
  <c r="U88" i="3"/>
  <c r="F116" i="21"/>
  <c r="M102" i="30"/>
  <c r="M74" i="30"/>
  <c r="M46" i="30"/>
  <c r="B37" i="17"/>
  <c r="B19" i="7" s="1"/>
  <c r="B289" i="7" s="1"/>
  <c r="K5" i="30" s="1"/>
  <c r="V106" i="13"/>
  <c r="W42" i="13"/>
  <c r="B36" i="22"/>
  <c r="E73" i="21"/>
  <c r="H106" i="3"/>
  <c r="W35" i="21"/>
  <c r="V99" i="21"/>
  <c r="Q78" i="9"/>
  <c r="Q50" i="9"/>
  <c r="Q106" i="9"/>
  <c r="O47" i="7"/>
  <c r="P59" i="7" s="1"/>
  <c r="U106" i="21"/>
  <c r="V42" i="21"/>
  <c r="R108" i="12"/>
  <c r="E109" i="32" s="1"/>
  <c r="R80" i="12"/>
  <c r="E81" i="32" s="1"/>
  <c r="R52" i="12"/>
  <c r="E52" i="32" s="1"/>
  <c r="V9" i="20"/>
  <c r="Z128" i="24"/>
  <c r="R25" i="38"/>
  <c r="U262" i="8"/>
  <c r="R25" i="12" s="1"/>
  <c r="V92" i="3"/>
  <c r="W34" i="3"/>
  <c r="Q22" i="9"/>
  <c r="V30" i="13"/>
  <c r="U29" i="13"/>
  <c r="R4" i="17" s="1"/>
  <c r="U7" i="13"/>
  <c r="U94" i="13"/>
  <c r="R70" i="7"/>
  <c r="C40" i="22"/>
  <c r="D36" i="7" s="1"/>
  <c r="D292" i="7" s="1"/>
  <c r="N7" i="30" s="1"/>
  <c r="L17" i="29"/>
  <c r="N285" i="7"/>
  <c r="Q302" i="7"/>
  <c r="E23" i="32"/>
  <c r="Q38" i="20"/>
  <c r="D74" i="32"/>
  <c r="U60" i="34"/>
  <c r="U73" i="12"/>
  <c r="V73" i="12" s="1"/>
  <c r="W60" i="34" s="1"/>
  <c r="X60" i="34" s="1"/>
  <c r="P106" i="12"/>
  <c r="P78" i="12"/>
  <c r="P50" i="12"/>
  <c r="R108" i="38"/>
  <c r="Z80" i="35" s="1"/>
  <c r="R80" i="38"/>
  <c r="X80" i="35" s="1"/>
  <c r="R52" i="38"/>
  <c r="B41" i="20"/>
  <c r="D49" i="7" s="1"/>
  <c r="E61" i="7" s="1"/>
  <c r="Q35" i="8"/>
  <c r="Q41" i="8" s="1"/>
  <c r="P11" i="22"/>
  <c r="T58" i="8"/>
  <c r="S56" i="8"/>
  <c r="R255" i="8"/>
  <c r="R46" i="7"/>
  <c r="S58" i="7" s="1"/>
  <c r="X95" i="21"/>
  <c r="Y31" i="21"/>
  <c r="U45" i="24"/>
  <c r="T109" i="24"/>
  <c r="R38" i="6"/>
  <c r="S109" i="12"/>
  <c r="S81" i="12"/>
  <c r="S53" i="12"/>
  <c r="K20" i="38"/>
  <c r="P255" i="8"/>
  <c r="P13" i="8"/>
  <c r="Q107" i="29"/>
  <c r="Q79" i="29"/>
  <c r="Q51" i="29"/>
  <c r="G53" i="26" s="1"/>
  <c r="Q20" i="8"/>
  <c r="Q27" i="8" s="1"/>
  <c r="Q11" i="17"/>
  <c r="M16" i="9"/>
  <c r="R6" i="8"/>
  <c r="V9" i="17"/>
  <c r="U7" i="21"/>
  <c r="W36" i="13"/>
  <c r="V100" i="13"/>
  <c r="S109" i="38"/>
  <c r="S81" i="38"/>
  <c r="S53" i="38"/>
  <c r="G112" i="24"/>
  <c r="G111" i="24" s="1"/>
  <c r="S34" i="7"/>
  <c r="W35" i="13"/>
  <c r="V99" i="13"/>
  <c r="U96" i="13"/>
  <c r="R39" i="17" s="1"/>
  <c r="R21" i="7" s="1"/>
  <c r="W95" i="24"/>
  <c r="X31" i="24"/>
  <c r="W86" i="3"/>
  <c r="X28" i="3"/>
  <c r="W27" i="3"/>
  <c r="S4" i="6" s="1"/>
  <c r="U43" i="20"/>
  <c r="O95" i="7"/>
  <c r="U43" i="6"/>
  <c r="L18" i="29"/>
  <c r="L101" i="9"/>
  <c r="L73" i="9"/>
  <c r="L45" i="9"/>
  <c r="V105" i="13"/>
  <c r="W41" i="13"/>
  <c r="N303" i="7"/>
  <c r="M17" i="31" s="1"/>
  <c r="T60" i="8"/>
  <c r="S259" i="8"/>
  <c r="O23" i="12" s="1"/>
  <c r="N39" i="20"/>
  <c r="R72" i="24"/>
  <c r="T71" i="21"/>
  <c r="O106" i="12"/>
  <c r="O78" i="12"/>
  <c r="O50" i="12"/>
  <c r="H82" i="21"/>
  <c r="G80" i="21"/>
  <c r="T98" i="24"/>
  <c r="U34" i="24"/>
  <c r="T32" i="24"/>
  <c r="P5" i="20" s="1"/>
  <c r="R47" i="8" s="1"/>
  <c r="S59" i="8" s="1"/>
  <c r="T71" i="8" s="1"/>
  <c r="U83" i="8" s="1"/>
  <c r="V95" i="8" s="1"/>
  <c r="V101" i="21"/>
  <c r="W37" i="21"/>
  <c r="E71" i="13"/>
  <c r="E73" i="13"/>
  <c r="L19" i="31"/>
  <c r="H112" i="21"/>
  <c r="W42" i="3"/>
  <c r="V100" i="3"/>
  <c r="O71" i="7"/>
  <c r="W87" i="3"/>
  <c r="X29" i="3"/>
  <c r="D102" i="32"/>
  <c r="AC60" i="34"/>
  <c r="U101" i="12"/>
  <c r="V101" i="12" s="1"/>
  <c r="AE60" i="34" s="1"/>
  <c r="AF60" i="34" s="1"/>
  <c r="T73" i="8"/>
  <c r="S260" i="8"/>
  <c r="P23" i="12" s="1"/>
  <c r="V102" i="13"/>
  <c r="W38" i="13"/>
  <c r="G116" i="24"/>
  <c r="V99" i="3"/>
  <c r="W41" i="3"/>
  <c r="W39" i="3"/>
  <c r="V97" i="3"/>
  <c r="S104" i="8"/>
  <c r="W108" i="13"/>
  <c r="X44" i="13"/>
  <c r="V91" i="3"/>
  <c r="W33" i="3"/>
  <c r="T105" i="24"/>
  <c r="U41" i="24"/>
  <c r="D45" i="32"/>
  <c r="U45" i="12"/>
  <c r="V45" i="12" s="1"/>
  <c r="O60" i="34" s="1"/>
  <c r="P60" i="34" s="1"/>
  <c r="M60" i="34"/>
  <c r="D17" i="32"/>
  <c r="K102" i="12"/>
  <c r="K74" i="12"/>
  <c r="U18" i="12"/>
  <c r="V18" i="12" s="1"/>
  <c r="G61" i="34" s="1"/>
  <c r="H61" i="34" s="1"/>
  <c r="E61" i="34"/>
  <c r="K46" i="12"/>
  <c r="T101" i="24"/>
  <c r="U37" i="24"/>
  <c r="O41" i="7"/>
  <c r="O291" i="7"/>
  <c r="M18" i="30" s="1"/>
  <c r="Q53" i="31"/>
  <c r="Q81" i="31"/>
  <c r="Q109" i="31"/>
  <c r="P76" i="12"/>
  <c r="P48" i="12"/>
  <c r="P104" i="12"/>
  <c r="V9" i="6"/>
  <c r="V11" i="8" s="1"/>
  <c r="V11" i="7" s="1"/>
  <c r="Q11" i="6"/>
  <c r="Q93" i="8"/>
  <c r="P89" i="8"/>
  <c r="Q69" i="8"/>
  <c r="P65" i="8"/>
  <c r="V45" i="21"/>
  <c r="U109" i="21"/>
  <c r="S68" i="8"/>
  <c r="R109" i="29"/>
  <c r="R53" i="29"/>
  <c r="R81" i="29"/>
  <c r="I112" i="13"/>
  <c r="V94" i="3"/>
  <c r="W36" i="3"/>
  <c r="Q105" i="8"/>
  <c r="Q113" i="8" s="1"/>
  <c r="P101" i="8"/>
  <c r="M101" i="31"/>
  <c r="M45" i="31"/>
  <c r="M73" i="31"/>
  <c r="W36" i="21"/>
  <c r="V100" i="21"/>
  <c r="V30" i="3"/>
  <c r="R5" i="6" s="1"/>
  <c r="R7" i="8" s="1"/>
  <c r="V90" i="3"/>
  <c r="W32" i="3"/>
  <c r="U42" i="22"/>
  <c r="V109" i="13"/>
  <c r="W45" i="13"/>
  <c r="V8" i="22"/>
  <c r="L16" i="30"/>
  <c r="M297" i="7"/>
  <c r="I102" i="3"/>
  <c r="H101" i="3"/>
  <c r="O20" i="7"/>
  <c r="O45" i="17"/>
  <c r="W34" i="13"/>
  <c r="V98" i="13"/>
  <c r="V32" i="13"/>
  <c r="S5" i="17" s="1"/>
  <c r="S21" i="8" s="1"/>
  <c r="F73" i="24"/>
  <c r="P104" i="38"/>
  <c r="P76" i="38"/>
  <c r="P48" i="38"/>
  <c r="L44" i="30"/>
  <c r="L72" i="30"/>
  <c r="L100" i="30"/>
  <c r="M21" i="38"/>
  <c r="Q13" i="8"/>
  <c r="R82" i="7"/>
  <c r="C316" i="7"/>
  <c r="C266" i="7"/>
  <c r="C280" i="7"/>
  <c r="N6" i="29" s="1"/>
  <c r="W34" i="21"/>
  <c r="V98" i="21"/>
  <c r="T102" i="24"/>
  <c r="U38" i="24"/>
  <c r="R34" i="7"/>
  <c r="T16" i="24"/>
  <c r="P3" i="20" s="1"/>
  <c r="E18" i="24"/>
  <c r="T7" i="24"/>
  <c r="P279" i="7"/>
  <c r="M19" i="29" s="1"/>
  <c r="Q81" i="8"/>
  <c r="P77" i="8"/>
  <c r="S96" i="24"/>
  <c r="L104" i="38"/>
  <c r="L48" i="38"/>
  <c r="L76" i="38"/>
  <c r="T46" i="8"/>
  <c r="U107" i="21"/>
  <c r="V43" i="21"/>
  <c r="N35" i="30"/>
  <c r="N63" i="30"/>
  <c r="N91" i="30"/>
  <c r="B37" i="6"/>
  <c r="B5" i="7" s="1"/>
  <c r="T34" i="8"/>
  <c r="P38" i="17"/>
  <c r="S72" i="13"/>
  <c r="V44" i="17"/>
  <c r="V296" i="7" s="1"/>
  <c r="R25" i="30" s="1"/>
  <c r="O83" i="7"/>
  <c r="N315" i="7"/>
  <c r="O264" i="8"/>
  <c r="K19" i="12"/>
  <c r="Q45" i="8"/>
  <c r="O11" i="20"/>
  <c r="N104" i="12"/>
  <c r="N76" i="12"/>
  <c r="N48" i="12"/>
  <c r="T99" i="24"/>
  <c r="U35" i="24"/>
  <c r="F82" i="13"/>
  <c r="K21" i="12"/>
  <c r="F67" i="3"/>
  <c r="F65" i="3"/>
  <c r="T108" i="24"/>
  <c r="U44" i="24"/>
  <c r="W94" i="24"/>
  <c r="X30" i="24"/>
  <c r="W29" i="24"/>
  <c r="S4" i="20" s="1"/>
  <c r="W107" i="13"/>
  <c r="X43" i="13"/>
  <c r="Q57" i="8"/>
  <c r="P53" i="8"/>
  <c r="G65" i="3"/>
  <c r="H76" i="3"/>
  <c r="G74" i="3"/>
  <c r="X94" i="21"/>
  <c r="Y30" i="21"/>
  <c r="X29" i="21"/>
  <c r="T4" i="22" s="1"/>
  <c r="V96" i="3"/>
  <c r="W38" i="3"/>
  <c r="U105" i="21"/>
  <c r="V41" i="21"/>
  <c r="U42" i="17"/>
  <c r="P107" i="30"/>
  <c r="I109" i="26" s="1"/>
  <c r="T109" i="26" s="1"/>
  <c r="P51" i="30"/>
  <c r="I53" i="26" s="1"/>
  <c r="P79" i="30"/>
  <c r="I81" i="26" s="1"/>
  <c r="T81" i="26" s="1"/>
  <c r="V8" i="17"/>
  <c r="V261" i="8" s="1"/>
  <c r="Q26" i="12" s="1"/>
  <c r="F53" i="35" s="1"/>
  <c r="O7" i="7"/>
  <c r="O45" i="6"/>
  <c r="S92" i="8"/>
  <c r="V98" i="3"/>
  <c r="W40" i="3"/>
  <c r="W31" i="13"/>
  <c r="V95" i="13"/>
  <c r="L101" i="29"/>
  <c r="L73" i="29"/>
  <c r="L45" i="29"/>
  <c r="N104" i="38"/>
  <c r="N76" i="38"/>
  <c r="N48" i="38"/>
  <c r="S80" i="8"/>
  <c r="V44" i="6"/>
  <c r="E117" i="3"/>
  <c r="P6" i="7"/>
  <c r="P45" i="6"/>
  <c r="T319" i="7"/>
  <c r="T269" i="7"/>
  <c r="T283" i="7"/>
  <c r="Q23" i="29" s="1"/>
  <c r="G24" i="26" s="1"/>
  <c r="V7" i="3"/>
  <c r="N21" i="38"/>
  <c r="P105" i="12"/>
  <c r="P77" i="12"/>
  <c r="P49" i="12"/>
  <c r="B41" i="6"/>
  <c r="B9" i="7" s="1"/>
  <c r="T106" i="24"/>
  <c r="U42" i="24"/>
  <c r="U108" i="21"/>
  <c r="V44" i="21"/>
  <c r="T294" i="7"/>
  <c r="P23" i="30" s="1"/>
  <c r="I24" i="26" s="1"/>
  <c r="K103" i="38"/>
  <c r="U103" i="38" s="1"/>
  <c r="V103" i="38" s="1"/>
  <c r="K47" i="38"/>
  <c r="U47" i="38" s="1"/>
  <c r="V47" i="38" s="1"/>
  <c r="K75" i="38"/>
  <c r="U75" i="38" s="1"/>
  <c r="V75" i="38" s="1"/>
  <c r="U19" i="38"/>
  <c r="V19" i="38" s="1"/>
  <c r="Q6" i="7"/>
  <c r="V307" i="7"/>
  <c r="Q25" i="31" s="1"/>
  <c r="R94" i="7"/>
  <c r="V93" i="3"/>
  <c r="W35" i="3"/>
  <c r="B41" i="17"/>
  <c r="B23" i="7" s="1"/>
  <c r="B293" i="7" s="1"/>
  <c r="O5" i="30" s="1"/>
  <c r="T93" i="13"/>
  <c r="T71" i="13"/>
  <c r="U65" i="3"/>
  <c r="S26" i="38"/>
  <c r="V263" i="8"/>
  <c r="S26" i="12" s="1"/>
  <c r="T100" i="24"/>
  <c r="U36" i="24"/>
  <c r="S70" i="7"/>
  <c r="N290" i="7"/>
  <c r="N27" i="7"/>
  <c r="W93" i="21"/>
  <c r="T107" i="24"/>
  <c r="U43" i="24"/>
  <c r="V101" i="13"/>
  <c r="W37" i="13"/>
  <c r="Q109" i="12"/>
  <c r="Q81" i="12"/>
  <c r="Q53" i="12"/>
  <c r="P35" i="7"/>
  <c r="O45" i="22"/>
  <c r="G144" i="26" l="1"/>
  <c r="S53" i="26"/>
  <c r="G26" i="33"/>
  <c r="T26" i="33" s="1"/>
  <c r="G175" i="26"/>
  <c r="S24" i="26"/>
  <c r="J49" i="35"/>
  <c r="V80" i="35"/>
  <c r="E25" i="35" s="1"/>
  <c r="U80" i="35"/>
  <c r="D25" i="35" s="1"/>
  <c r="E186" i="35"/>
  <c r="D50" i="35"/>
  <c r="H50" i="35" s="1"/>
  <c r="F24" i="35"/>
  <c r="F186" i="35" s="1"/>
  <c r="D186" i="35"/>
  <c r="E50" i="35"/>
  <c r="I50" i="35" s="1"/>
  <c r="J50" i="35" s="1"/>
  <c r="I144" i="26"/>
  <c r="T53" i="26"/>
  <c r="M174" i="26"/>
  <c r="M25" i="33"/>
  <c r="Z25" i="33" s="1"/>
  <c r="I26" i="33"/>
  <c r="V26" i="33" s="1"/>
  <c r="I175" i="26"/>
  <c r="T24" i="26"/>
  <c r="M24" i="26"/>
  <c r="E24" i="32"/>
  <c r="G52" i="35"/>
  <c r="W93" i="24"/>
  <c r="S38" i="20" s="1"/>
  <c r="Q257" i="8"/>
  <c r="M21" i="12" s="1"/>
  <c r="M77" i="12" s="1"/>
  <c r="L76" i="12"/>
  <c r="L104" i="12"/>
  <c r="Q53" i="30"/>
  <c r="Q109" i="30"/>
  <c r="R35" i="8"/>
  <c r="R41" i="8" s="1"/>
  <c r="P39" i="22"/>
  <c r="Q35" i="7" s="1"/>
  <c r="X93" i="21"/>
  <c r="T38" i="22" s="1"/>
  <c r="Q258" i="8"/>
  <c r="N21" i="12" s="1"/>
  <c r="N77" i="12" s="1"/>
  <c r="F114" i="13"/>
  <c r="C41" i="17" s="1"/>
  <c r="C23" i="7" s="1"/>
  <c r="V43" i="22"/>
  <c r="V9" i="22"/>
  <c r="V32" i="21"/>
  <c r="R5" i="22" s="1"/>
  <c r="S35" i="8" s="1"/>
  <c r="S41" i="8" s="1"/>
  <c r="U160" i="7"/>
  <c r="V172" i="7" s="1"/>
  <c r="U43" i="22"/>
  <c r="U96" i="21"/>
  <c r="Q39" i="22" s="1"/>
  <c r="U172" i="7"/>
  <c r="U146" i="7"/>
  <c r="P41" i="7"/>
  <c r="P291" i="7"/>
  <c r="M19" i="30" s="1"/>
  <c r="F114" i="21"/>
  <c r="F71" i="21"/>
  <c r="S38" i="22"/>
  <c r="Q82" i="31"/>
  <c r="Q110" i="31"/>
  <c r="Q54" i="31"/>
  <c r="T82" i="7"/>
  <c r="Q38" i="17"/>
  <c r="T72" i="13"/>
  <c r="P108" i="30"/>
  <c r="I110" i="26" s="1"/>
  <c r="T110" i="26" s="1"/>
  <c r="P80" i="30"/>
  <c r="I82" i="26" s="1"/>
  <c r="T82" i="26" s="1"/>
  <c r="P52" i="30"/>
  <c r="I54" i="26" s="1"/>
  <c r="N105" i="38"/>
  <c r="N77" i="38"/>
  <c r="N49" i="38"/>
  <c r="T104" i="8"/>
  <c r="U34" i="8"/>
  <c r="R69" i="8"/>
  <c r="Q65" i="8"/>
  <c r="O39" i="20"/>
  <c r="S72" i="24"/>
  <c r="L102" i="9"/>
  <c r="L46" i="9"/>
  <c r="L74" i="9"/>
  <c r="R26" i="38"/>
  <c r="V262" i="8"/>
  <c r="R26" i="12" s="1"/>
  <c r="X108" i="13"/>
  <c r="D44" i="13"/>
  <c r="W99" i="3"/>
  <c r="X41" i="3"/>
  <c r="H111" i="21"/>
  <c r="I112" i="21"/>
  <c r="U98" i="24"/>
  <c r="V34" i="24"/>
  <c r="U32" i="24"/>
  <c r="Q5" i="20" s="1"/>
  <c r="U7" i="24"/>
  <c r="M102" i="31"/>
  <c r="M74" i="31"/>
  <c r="M46" i="31"/>
  <c r="M22" i="38"/>
  <c r="R13" i="8"/>
  <c r="K22" i="12"/>
  <c r="D305" i="7"/>
  <c r="O7" i="31" s="1"/>
  <c r="F73" i="7"/>
  <c r="G85" i="7" s="1"/>
  <c r="H97" i="7" s="1"/>
  <c r="I109" i="7" s="1"/>
  <c r="J122" i="7" s="1"/>
  <c r="K135" i="7" s="1"/>
  <c r="L149" i="7" s="1"/>
  <c r="C32" i="7"/>
  <c r="M74" i="9"/>
  <c r="M46" i="9"/>
  <c r="M102" i="9"/>
  <c r="Q108" i="29"/>
  <c r="Q80" i="29"/>
  <c r="Q52" i="29"/>
  <c r="G54" i="26" s="1"/>
  <c r="B313" i="7"/>
  <c r="B263" i="7"/>
  <c r="B277" i="7"/>
  <c r="K5" i="29" s="1"/>
  <c r="O290" i="7"/>
  <c r="O27" i="7"/>
  <c r="O314" i="7"/>
  <c r="O264" i="7"/>
  <c r="H116" i="24"/>
  <c r="G114" i="24"/>
  <c r="U107" i="24"/>
  <c r="V43" i="24"/>
  <c r="Q278" i="7"/>
  <c r="B317" i="7"/>
  <c r="B267" i="7"/>
  <c r="B281" i="7"/>
  <c r="O5" i="29" s="1"/>
  <c r="V284" i="7"/>
  <c r="R25" i="29" s="1"/>
  <c r="U294" i="7"/>
  <c r="P24" i="30" s="1"/>
  <c r="I25" i="26" s="1"/>
  <c r="Z30" i="21"/>
  <c r="Y94" i="21"/>
  <c r="Y29" i="21"/>
  <c r="U4" i="22" s="1"/>
  <c r="X107" i="13"/>
  <c r="D43" i="13"/>
  <c r="F82" i="24"/>
  <c r="G82" i="24" s="1"/>
  <c r="L101" i="30"/>
  <c r="L45" i="30"/>
  <c r="L73" i="30"/>
  <c r="W90" i="3"/>
  <c r="X32" i="3"/>
  <c r="W30" i="3"/>
  <c r="S5" i="6" s="1"/>
  <c r="S7" i="8" s="1"/>
  <c r="R81" i="8"/>
  <c r="Q77" i="8"/>
  <c r="U101" i="24"/>
  <c r="V37" i="24"/>
  <c r="T96" i="24"/>
  <c r="X41" i="13"/>
  <c r="W105" i="13"/>
  <c r="U319" i="7"/>
  <c r="U283" i="7"/>
  <c r="Q24" i="29" s="1"/>
  <c r="G25" i="26" s="1"/>
  <c r="U269" i="7"/>
  <c r="S6" i="8"/>
  <c r="X35" i="13"/>
  <c r="W99" i="13"/>
  <c r="P264" i="8"/>
  <c r="K20" i="12"/>
  <c r="T46" i="7"/>
  <c r="U58" i="7" s="1"/>
  <c r="T68" i="8"/>
  <c r="S255" i="8"/>
  <c r="Q51" i="9"/>
  <c r="Q107" i="9"/>
  <c r="Q79" i="9"/>
  <c r="T92" i="8"/>
  <c r="B36" i="6"/>
  <c r="E67" i="3"/>
  <c r="F66" i="3"/>
  <c r="X34" i="21"/>
  <c r="W98" i="21"/>
  <c r="L104" i="31"/>
  <c r="L76" i="31"/>
  <c r="L48" i="31"/>
  <c r="K76" i="38"/>
  <c r="U76" i="38" s="1"/>
  <c r="V76" i="38" s="1"/>
  <c r="K48" i="38"/>
  <c r="U48" i="38" s="1"/>
  <c r="V48" i="38" s="1"/>
  <c r="K104" i="38"/>
  <c r="U104" i="38" s="1"/>
  <c r="V104" i="38" s="1"/>
  <c r="U20" i="38"/>
  <c r="V20" i="38" s="1"/>
  <c r="S46" i="7"/>
  <c r="T58" i="7" s="1"/>
  <c r="Q23" i="9"/>
  <c r="V42" i="17"/>
  <c r="K105" i="12"/>
  <c r="K49" i="12"/>
  <c r="K77" i="12"/>
  <c r="P95" i="7"/>
  <c r="N91" i="29"/>
  <c r="N63" i="29"/>
  <c r="N35" i="29"/>
  <c r="B36" i="20"/>
  <c r="E73" i="24"/>
  <c r="V42" i="22"/>
  <c r="E127" i="21"/>
  <c r="N22" i="38"/>
  <c r="R258" i="8"/>
  <c r="N22" i="12" s="1"/>
  <c r="R105" i="8"/>
  <c r="R113" i="8" s="1"/>
  <c r="Q101" i="8"/>
  <c r="D46" i="32"/>
  <c r="U46" i="12"/>
  <c r="V46" i="12" s="1"/>
  <c r="O61" i="34" s="1"/>
  <c r="P61" i="34" s="1"/>
  <c r="M61" i="34"/>
  <c r="H116" i="13"/>
  <c r="G114" i="13"/>
  <c r="D41" i="17" s="1"/>
  <c r="D23" i="7" s="1"/>
  <c r="W102" i="13"/>
  <c r="X38" i="13"/>
  <c r="D73" i="13"/>
  <c r="B36" i="17"/>
  <c r="E72" i="13"/>
  <c r="I82" i="21"/>
  <c r="H80" i="21"/>
  <c r="P107" i="7"/>
  <c r="Q120" i="7" s="1"/>
  <c r="W85" i="3"/>
  <c r="X36" i="13"/>
  <c r="W100" i="13"/>
  <c r="U109" i="24"/>
  <c r="V45" i="24"/>
  <c r="S82" i="7"/>
  <c r="V106" i="21"/>
  <c r="W42" i="21"/>
  <c r="G116" i="21"/>
  <c r="U58" i="8"/>
  <c r="X86" i="3"/>
  <c r="X27" i="3"/>
  <c r="T4" i="6" s="1"/>
  <c r="Y28" i="3"/>
  <c r="V108" i="21"/>
  <c r="W44" i="21"/>
  <c r="U46" i="8"/>
  <c r="R93" i="8"/>
  <c r="Q89" i="8"/>
  <c r="N6" i="9"/>
  <c r="W94" i="3"/>
  <c r="X36" i="3"/>
  <c r="U71" i="21"/>
  <c r="U105" i="24"/>
  <c r="V41" i="24"/>
  <c r="O107" i="12"/>
  <c r="O79" i="12"/>
  <c r="O51" i="12"/>
  <c r="W7" i="3"/>
  <c r="Y95" i="21"/>
  <c r="Z31" i="21"/>
  <c r="U70" i="8"/>
  <c r="U93" i="13"/>
  <c r="U71" i="13"/>
  <c r="R109" i="12"/>
  <c r="E110" i="32" s="1"/>
  <c r="R81" i="12"/>
  <c r="E82" i="32" s="1"/>
  <c r="R53" i="12"/>
  <c r="E53" i="32" s="1"/>
  <c r="X35" i="21"/>
  <c r="W99" i="21"/>
  <c r="K34" i="30"/>
  <c r="K62" i="30"/>
  <c r="K90" i="30"/>
  <c r="Q39" i="6"/>
  <c r="U66" i="3"/>
  <c r="U100" i="24"/>
  <c r="V36" i="24"/>
  <c r="O265" i="7"/>
  <c r="O279" i="7"/>
  <c r="O315" i="7"/>
  <c r="O13" i="7"/>
  <c r="R45" i="8"/>
  <c r="P11" i="20"/>
  <c r="C37" i="22"/>
  <c r="M73" i="9"/>
  <c r="M45" i="9"/>
  <c r="M101" i="9"/>
  <c r="W106" i="13"/>
  <c r="X42" i="13"/>
  <c r="W95" i="13"/>
  <c r="X31" i="13"/>
  <c r="W98" i="3"/>
  <c r="X40" i="3"/>
  <c r="H65" i="3"/>
  <c r="H74" i="3"/>
  <c r="I76" i="3"/>
  <c r="X94" i="24"/>
  <c r="Y30" i="24"/>
  <c r="X29" i="24"/>
  <c r="T4" i="20" s="1"/>
  <c r="F71" i="13"/>
  <c r="G82" i="13"/>
  <c r="F80" i="13"/>
  <c r="R57" i="8"/>
  <c r="Q256" i="8"/>
  <c r="Q53" i="8"/>
  <c r="R82" i="30"/>
  <c r="R110" i="30"/>
  <c r="R54" i="30"/>
  <c r="M104" i="29"/>
  <c r="M48" i="29"/>
  <c r="M76" i="29"/>
  <c r="U102" i="24"/>
  <c r="V38" i="24"/>
  <c r="V96" i="13"/>
  <c r="S39" i="17" s="1"/>
  <c r="S21" i="7" s="1"/>
  <c r="W109" i="13"/>
  <c r="X45" i="13"/>
  <c r="X36" i="21"/>
  <c r="W100" i="21"/>
  <c r="T80" i="8"/>
  <c r="P107" i="12"/>
  <c r="P79" i="12"/>
  <c r="P51" i="12"/>
  <c r="P83" i="7"/>
  <c r="X37" i="21"/>
  <c r="W101" i="21"/>
  <c r="U72" i="8"/>
  <c r="T259" i="8"/>
  <c r="O24" i="12" s="1"/>
  <c r="X95" i="24"/>
  <c r="Y31" i="24"/>
  <c r="C40" i="20"/>
  <c r="E48" i="7" s="1"/>
  <c r="F60" i="7" s="1"/>
  <c r="V43" i="17"/>
  <c r="L20" i="31"/>
  <c r="R109" i="38"/>
  <c r="Z81" i="35" s="1"/>
  <c r="R81" i="38"/>
  <c r="X81" i="35" s="1"/>
  <c r="R53" i="38"/>
  <c r="C281" i="7"/>
  <c r="O6" i="29" s="1"/>
  <c r="W102" i="21"/>
  <c r="X38" i="21"/>
  <c r="O90" i="30"/>
  <c r="O62" i="30"/>
  <c r="O34" i="30"/>
  <c r="V88" i="3"/>
  <c r="V65" i="3"/>
  <c r="P47" i="7"/>
  <c r="Q59" i="7" s="1"/>
  <c r="S110" i="12"/>
  <c r="S82" i="12"/>
  <c r="S54" i="12"/>
  <c r="Q110" i="12"/>
  <c r="Q82" i="12"/>
  <c r="Q54" i="12"/>
  <c r="G66" i="3"/>
  <c r="C37" i="6"/>
  <c r="L17" i="30"/>
  <c r="N297" i="7"/>
  <c r="S110" i="38"/>
  <c r="S82" i="38"/>
  <c r="S54" i="38"/>
  <c r="S106" i="7"/>
  <c r="T119" i="7" s="1"/>
  <c r="U106" i="24"/>
  <c r="V42" i="24"/>
  <c r="P278" i="7"/>
  <c r="P13" i="7"/>
  <c r="W96" i="3"/>
  <c r="X38" i="3"/>
  <c r="U99" i="24"/>
  <c r="V35" i="24"/>
  <c r="N92" i="30"/>
  <c r="N36" i="30"/>
  <c r="N64" i="30"/>
  <c r="X34" i="13"/>
  <c r="W32" i="13"/>
  <c r="T5" i="17" s="1"/>
  <c r="T21" i="8" s="1"/>
  <c r="W98" i="13"/>
  <c r="D40" i="6"/>
  <c r="D8" i="7" s="1"/>
  <c r="I111" i="13"/>
  <c r="J112" i="13"/>
  <c r="D75" i="32"/>
  <c r="U61" i="34"/>
  <c r="U74" i="12"/>
  <c r="V74" i="12" s="1"/>
  <c r="W61" i="34" s="1"/>
  <c r="X61" i="34" s="1"/>
  <c r="X33" i="3"/>
  <c r="W91" i="3"/>
  <c r="U85" i="8"/>
  <c r="T260" i="8"/>
  <c r="P24" i="12" s="1"/>
  <c r="H112" i="24"/>
  <c r="R20" i="8"/>
  <c r="R27" i="8" s="1"/>
  <c r="R11" i="17"/>
  <c r="V43" i="20"/>
  <c r="E128" i="24"/>
  <c r="O303" i="7"/>
  <c r="M18" i="31" s="1"/>
  <c r="I106" i="3"/>
  <c r="H104" i="3"/>
  <c r="W41" i="21"/>
  <c r="V105" i="21"/>
  <c r="M105" i="38"/>
  <c r="U105" i="38" s="1"/>
  <c r="V105" i="38" s="1"/>
  <c r="M49" i="38"/>
  <c r="M77" i="38"/>
  <c r="U77" i="38" s="1"/>
  <c r="V77" i="38" s="1"/>
  <c r="U21" i="38"/>
  <c r="V21" i="38" s="1"/>
  <c r="X87" i="3"/>
  <c r="Y29" i="3"/>
  <c r="X34" i="3"/>
  <c r="W92" i="3"/>
  <c r="W93" i="3"/>
  <c r="X35" i="3"/>
  <c r="X37" i="13"/>
  <c r="W101" i="13"/>
  <c r="U108" i="24"/>
  <c r="V44" i="24"/>
  <c r="D18" i="32"/>
  <c r="K103" i="12"/>
  <c r="U19" i="12"/>
  <c r="V19" i="12" s="1"/>
  <c r="G62" i="34" s="1"/>
  <c r="H62" i="34" s="1"/>
  <c r="E62" i="34"/>
  <c r="K75" i="12"/>
  <c r="K47" i="12"/>
  <c r="P20" i="7"/>
  <c r="P314" i="7" s="1"/>
  <c r="P45" i="17"/>
  <c r="V107" i="21"/>
  <c r="W43" i="21"/>
  <c r="V7" i="21"/>
  <c r="S94" i="7"/>
  <c r="I101" i="3"/>
  <c r="E40" i="6" s="1"/>
  <c r="E8" i="7" s="1"/>
  <c r="J102" i="3"/>
  <c r="V109" i="21"/>
  <c r="W45" i="21"/>
  <c r="V43" i="6"/>
  <c r="E116" i="3"/>
  <c r="M103" i="30"/>
  <c r="M47" i="30"/>
  <c r="M75" i="30"/>
  <c r="D103" i="32"/>
  <c r="U102" i="12"/>
  <c r="V102" i="12" s="1"/>
  <c r="AE61" i="34" s="1"/>
  <c r="AF61" i="34" s="1"/>
  <c r="AC61" i="34"/>
  <c r="W97" i="3"/>
  <c r="X39" i="3"/>
  <c r="W100" i="3"/>
  <c r="X42" i="3"/>
  <c r="P71" i="7"/>
  <c r="L75" i="29"/>
  <c r="L103" i="29"/>
  <c r="L47" i="29"/>
  <c r="R11" i="6"/>
  <c r="R6" i="7"/>
  <c r="R302" i="7"/>
  <c r="L102" i="29"/>
  <c r="L74" i="29"/>
  <c r="L46" i="29"/>
  <c r="V94" i="13"/>
  <c r="W30" i="13"/>
  <c r="V7" i="13"/>
  <c r="V29" i="13"/>
  <c r="S4" i="17" s="1"/>
  <c r="G145" i="26" l="1"/>
  <c r="S54" i="26"/>
  <c r="E187" i="35"/>
  <c r="D51" i="35"/>
  <c r="H51" i="35" s="1"/>
  <c r="F25" i="35"/>
  <c r="F187" i="35" s="1"/>
  <c r="G27" i="33"/>
  <c r="T27" i="33" s="1"/>
  <c r="S25" i="26"/>
  <c r="G176" i="26"/>
  <c r="V81" i="35"/>
  <c r="E26" i="35" s="1"/>
  <c r="U81" i="35"/>
  <c r="D26" i="35" s="1"/>
  <c r="D187" i="35"/>
  <c r="E51" i="35"/>
  <c r="I51" i="35" s="1"/>
  <c r="M175" i="26"/>
  <c r="M26" i="33"/>
  <c r="Z26" i="33" s="1"/>
  <c r="M25" i="26"/>
  <c r="I176" i="26"/>
  <c r="T25" i="26"/>
  <c r="I27" i="33"/>
  <c r="V27" i="33" s="1"/>
  <c r="I145" i="26"/>
  <c r="T54" i="26"/>
  <c r="E25" i="32"/>
  <c r="G53" i="35"/>
  <c r="M105" i="12"/>
  <c r="P45" i="22"/>
  <c r="U72" i="21"/>
  <c r="N105" i="12"/>
  <c r="M49" i="12"/>
  <c r="N49" i="12"/>
  <c r="S11" i="6"/>
  <c r="W96" i="13"/>
  <c r="T39" i="17" s="1"/>
  <c r="T21" i="7" s="1"/>
  <c r="R11" i="22"/>
  <c r="V295" i="7"/>
  <c r="Q25" i="30" s="1"/>
  <c r="Q110" i="30" s="1"/>
  <c r="E128" i="21"/>
  <c r="V96" i="21"/>
  <c r="V72" i="21" s="1"/>
  <c r="V184" i="7"/>
  <c r="W7" i="21"/>
  <c r="R133" i="7"/>
  <c r="V160" i="7"/>
  <c r="U132" i="7"/>
  <c r="M163" i="7"/>
  <c r="N175" i="7" s="1"/>
  <c r="O187" i="7" s="1"/>
  <c r="P199" i="7" s="1"/>
  <c r="Q211" i="7" s="1"/>
  <c r="R223" i="7" s="1"/>
  <c r="S235" i="7" s="1"/>
  <c r="T248" i="7" s="1"/>
  <c r="P265" i="7"/>
  <c r="M19" i="9" s="1"/>
  <c r="P315" i="7"/>
  <c r="H82" i="24"/>
  <c r="G80" i="24"/>
  <c r="W109" i="21"/>
  <c r="X45" i="21"/>
  <c r="Y34" i="3"/>
  <c r="X92" i="3"/>
  <c r="E304" i="7"/>
  <c r="N8" i="31" s="1"/>
  <c r="G72" i="7"/>
  <c r="H84" i="7" s="1"/>
  <c r="I96" i="7" s="1"/>
  <c r="J108" i="7" s="1"/>
  <c r="K121" i="7" s="1"/>
  <c r="L134" i="7" s="1"/>
  <c r="M148" i="7" s="1"/>
  <c r="X106" i="13"/>
  <c r="D42" i="13"/>
  <c r="S105" i="8"/>
  <c r="S113" i="8" s="1"/>
  <c r="R101" i="8"/>
  <c r="T70" i="7"/>
  <c r="T106" i="7"/>
  <c r="U119" i="7" s="1"/>
  <c r="D76" i="32"/>
  <c r="U62" i="34"/>
  <c r="U75" i="12"/>
  <c r="V75" i="12" s="1"/>
  <c r="W62" i="34" s="1"/>
  <c r="X62" i="34" s="1"/>
  <c r="D316" i="7"/>
  <c r="D280" i="7"/>
  <c r="N7" i="29" s="1"/>
  <c r="D266" i="7"/>
  <c r="V99" i="24"/>
  <c r="W35" i="24"/>
  <c r="L19" i="29"/>
  <c r="P285" i="7"/>
  <c r="Y37" i="21"/>
  <c r="X101" i="21"/>
  <c r="C37" i="17"/>
  <c r="F72" i="13"/>
  <c r="D37" i="6"/>
  <c r="H66" i="3"/>
  <c r="X95" i="13"/>
  <c r="Y31" i="13"/>
  <c r="W36" i="24"/>
  <c r="V100" i="24"/>
  <c r="Y35" i="21"/>
  <c r="X99" i="21"/>
  <c r="Z95" i="21"/>
  <c r="E31" i="21"/>
  <c r="Y86" i="3"/>
  <c r="Z28" i="3"/>
  <c r="Y27" i="3"/>
  <c r="U4" i="6" s="1"/>
  <c r="X102" i="13"/>
  <c r="D38" i="13"/>
  <c r="D44" i="7"/>
  <c r="E56" i="7" s="1"/>
  <c r="X98" i="21"/>
  <c r="Y34" i="21"/>
  <c r="X105" i="13"/>
  <c r="D41" i="13"/>
  <c r="X90" i="3"/>
  <c r="Y32" i="3"/>
  <c r="X30" i="3"/>
  <c r="T5" i="6" s="1"/>
  <c r="T7" i="8" s="1"/>
  <c r="L20" i="29"/>
  <c r="L18" i="9"/>
  <c r="O64" i="31"/>
  <c r="O92" i="31"/>
  <c r="O36" i="31"/>
  <c r="V71" i="21"/>
  <c r="T34" i="7"/>
  <c r="W94" i="13"/>
  <c r="W7" i="13"/>
  <c r="W29" i="13"/>
  <c r="T4" i="17" s="1"/>
  <c r="X30" i="13"/>
  <c r="L21" i="31"/>
  <c r="V283" i="7"/>
  <c r="Q25" i="29" s="1"/>
  <c r="G26" i="26" s="1"/>
  <c r="V319" i="7"/>
  <c r="V269" i="7"/>
  <c r="X91" i="3"/>
  <c r="Y33" i="3"/>
  <c r="Y36" i="21"/>
  <c r="X100" i="21"/>
  <c r="G71" i="13"/>
  <c r="H82" i="13"/>
  <c r="G80" i="13"/>
  <c r="D33" i="7"/>
  <c r="V105" i="24"/>
  <c r="W41" i="24"/>
  <c r="T6" i="8"/>
  <c r="N106" i="12"/>
  <c r="N78" i="12"/>
  <c r="N50" i="12"/>
  <c r="Q52" i="9"/>
  <c r="Q108" i="9"/>
  <c r="Q80" i="9"/>
  <c r="K23" i="12"/>
  <c r="X99" i="13"/>
  <c r="D35" i="13"/>
  <c r="W88" i="3"/>
  <c r="S39" i="6" s="1"/>
  <c r="S7" i="7" s="1"/>
  <c r="V34" i="8"/>
  <c r="R110" i="29"/>
  <c r="R54" i="29"/>
  <c r="R82" i="29"/>
  <c r="K50" i="12"/>
  <c r="K106" i="12"/>
  <c r="K78" i="12"/>
  <c r="Q20" i="7"/>
  <c r="Q45" i="17"/>
  <c r="W65" i="3"/>
  <c r="S47" i="8"/>
  <c r="S258" i="8" s="1"/>
  <c r="N23" i="12" s="1"/>
  <c r="Q11" i="20"/>
  <c r="R278" i="7"/>
  <c r="W107" i="21"/>
  <c r="X43" i="21"/>
  <c r="D104" i="32"/>
  <c r="U103" i="12"/>
  <c r="V103" i="12" s="1"/>
  <c r="AE62" i="34" s="1"/>
  <c r="AF62" i="34" s="1"/>
  <c r="AC62" i="34"/>
  <c r="Y87" i="3"/>
  <c r="Z29" i="3"/>
  <c r="D41" i="6"/>
  <c r="D9" i="7" s="1"/>
  <c r="X32" i="13"/>
  <c r="U5" i="17" s="1"/>
  <c r="U21" i="8" s="1"/>
  <c r="X98" i="13"/>
  <c r="D34" i="13"/>
  <c r="U46" i="7"/>
  <c r="V58" i="7" s="1"/>
  <c r="C5" i="7"/>
  <c r="C45" i="6"/>
  <c r="Y95" i="24"/>
  <c r="Z31" i="24"/>
  <c r="V46" i="8"/>
  <c r="S57" i="8"/>
  <c r="R256" i="8"/>
  <c r="R53" i="8"/>
  <c r="Q7" i="7"/>
  <c r="Q45" i="6"/>
  <c r="X85" i="3"/>
  <c r="V109" i="24"/>
  <c r="W45" i="24"/>
  <c r="D37" i="22"/>
  <c r="H114" i="13"/>
  <c r="E41" i="17" s="1"/>
  <c r="E23" i="7" s="1"/>
  <c r="I116" i="13"/>
  <c r="B45" i="6"/>
  <c r="B4" i="7"/>
  <c r="U80" i="8"/>
  <c r="T255" i="8"/>
  <c r="M23" i="38"/>
  <c r="S13" i="8"/>
  <c r="V101" i="24"/>
  <c r="W37" i="24"/>
  <c r="Z29" i="21"/>
  <c r="V4" i="22" s="1"/>
  <c r="V11" i="22" s="1"/>
  <c r="Z94" i="21"/>
  <c r="Z7" i="21"/>
  <c r="E30" i="21"/>
  <c r="O62" i="29"/>
  <c r="O90" i="29"/>
  <c r="O34" i="29"/>
  <c r="L18" i="30"/>
  <c r="O297" i="7"/>
  <c r="W34" i="24"/>
  <c r="V98" i="24"/>
  <c r="V32" i="24"/>
  <c r="R5" i="20" s="1"/>
  <c r="V7" i="24"/>
  <c r="R110" i="12"/>
  <c r="E111" i="32" s="1"/>
  <c r="R82" i="12"/>
  <c r="E83" i="32" s="1"/>
  <c r="R54" i="12"/>
  <c r="E54" i="32" s="1"/>
  <c r="Q47" i="7"/>
  <c r="R59" i="7" s="1"/>
  <c r="U94" i="7"/>
  <c r="T94" i="7"/>
  <c r="B41" i="22"/>
  <c r="F72" i="21"/>
  <c r="Q83" i="7"/>
  <c r="I104" i="3"/>
  <c r="E41" i="6" s="1"/>
  <c r="E9" i="7" s="1"/>
  <c r="J106" i="3"/>
  <c r="X96" i="3"/>
  <c r="Y38" i="3"/>
  <c r="Q291" i="7"/>
  <c r="M20" i="30" s="1"/>
  <c r="Q41" i="7"/>
  <c r="Y94" i="24"/>
  <c r="Z30" i="24"/>
  <c r="Y29" i="24"/>
  <c r="U4" i="20" s="1"/>
  <c r="X94" i="3"/>
  <c r="Y36" i="3"/>
  <c r="V58" i="8"/>
  <c r="J82" i="21"/>
  <c r="I80" i="21"/>
  <c r="U34" i="7"/>
  <c r="S302" i="7"/>
  <c r="Q24" i="9"/>
  <c r="F80" i="24"/>
  <c r="F71" i="24"/>
  <c r="O5" i="9"/>
  <c r="V107" i="24"/>
  <c r="W43" i="24"/>
  <c r="K90" i="29"/>
  <c r="K34" i="29"/>
  <c r="K62" i="29"/>
  <c r="R257" i="8"/>
  <c r="M22" i="12" s="1"/>
  <c r="U96" i="24"/>
  <c r="R110" i="38"/>
  <c r="Z82" i="35" s="1"/>
  <c r="R54" i="38"/>
  <c r="R82" i="38"/>
  <c r="X82" i="35" s="1"/>
  <c r="L102" i="30"/>
  <c r="L46" i="30"/>
  <c r="L74" i="30"/>
  <c r="Y93" i="21"/>
  <c r="X100" i="3"/>
  <c r="Y42" i="3"/>
  <c r="J101" i="3"/>
  <c r="F40" i="6" s="1"/>
  <c r="F8" i="7" s="1"/>
  <c r="K102" i="3"/>
  <c r="V108" i="24"/>
  <c r="W44" i="24"/>
  <c r="X101" i="13"/>
  <c r="D37" i="13"/>
  <c r="H111" i="24"/>
  <c r="I112" i="24"/>
  <c r="K112" i="13"/>
  <c r="J111" i="13"/>
  <c r="G40" i="17" s="1"/>
  <c r="G22" i="7" s="1"/>
  <c r="P303" i="7"/>
  <c r="Y38" i="21"/>
  <c r="X102" i="21"/>
  <c r="O108" i="12"/>
  <c r="O80" i="12"/>
  <c r="O52" i="12"/>
  <c r="V102" i="24"/>
  <c r="W38" i="24"/>
  <c r="X98" i="3"/>
  <c r="Y40" i="3"/>
  <c r="R38" i="17"/>
  <c r="U72" i="13"/>
  <c r="W108" i="21"/>
  <c r="X44" i="21"/>
  <c r="V70" i="8"/>
  <c r="Q107" i="7"/>
  <c r="U104" i="8"/>
  <c r="Q109" i="29"/>
  <c r="Q53" i="29"/>
  <c r="G55" i="26" s="1"/>
  <c r="Q81" i="29"/>
  <c r="K5" i="9"/>
  <c r="C288" i="7"/>
  <c r="C262" i="7"/>
  <c r="C312" i="7"/>
  <c r="M78" i="38"/>
  <c r="M50" i="38"/>
  <c r="M106" i="38"/>
  <c r="U22" i="38"/>
  <c r="V22" i="38" s="1"/>
  <c r="I111" i="21"/>
  <c r="E40" i="22" s="1"/>
  <c r="F36" i="7" s="1"/>
  <c r="J112" i="21"/>
  <c r="S81" i="8"/>
  <c r="R77" i="8"/>
  <c r="R35" i="7"/>
  <c r="Q45" i="22"/>
  <c r="X41" i="21"/>
  <c r="W105" i="21"/>
  <c r="V106" i="24"/>
  <c r="W42" i="24"/>
  <c r="Q95" i="7"/>
  <c r="X7" i="3"/>
  <c r="P39" i="20"/>
  <c r="T72" i="24"/>
  <c r="E280" i="7"/>
  <c r="N8" i="29" s="1"/>
  <c r="P108" i="12"/>
  <c r="P80" i="12"/>
  <c r="P52" i="12"/>
  <c r="F40" i="17"/>
  <c r="F22" i="7" s="1"/>
  <c r="L105" i="31"/>
  <c r="L77" i="31"/>
  <c r="L49" i="31"/>
  <c r="V84" i="8"/>
  <c r="V259" i="8" s="1"/>
  <c r="O26" i="12" s="1"/>
  <c r="U259" i="8"/>
  <c r="O25" i="12" s="1"/>
  <c r="L21" i="12"/>
  <c r="Q264" i="8"/>
  <c r="X93" i="24"/>
  <c r="M18" i="29"/>
  <c r="O285" i="7"/>
  <c r="H116" i="21"/>
  <c r="G114" i="21"/>
  <c r="G71" i="21"/>
  <c r="X100" i="13"/>
  <c r="D36" i="13"/>
  <c r="B45" i="17"/>
  <c r="B18" i="7"/>
  <c r="D19" i="32"/>
  <c r="U20" i="12"/>
  <c r="V20" i="12" s="1"/>
  <c r="K104" i="12"/>
  <c r="K76" i="12"/>
  <c r="K48" i="12"/>
  <c r="S93" i="8"/>
  <c r="R89" i="8"/>
  <c r="C41" i="20"/>
  <c r="E49" i="7" s="1"/>
  <c r="F61" i="7" s="1"/>
  <c r="D40" i="22"/>
  <c r="E36" i="7" s="1"/>
  <c r="E292" i="7" s="1"/>
  <c r="N8" i="30" s="1"/>
  <c r="V93" i="13"/>
  <c r="V71" i="13"/>
  <c r="X109" i="13"/>
  <c r="D45" i="13"/>
  <c r="N106" i="38"/>
  <c r="N50" i="38"/>
  <c r="N78" i="38"/>
  <c r="P290" i="7"/>
  <c r="P27" i="7"/>
  <c r="Y35" i="3"/>
  <c r="X93" i="3"/>
  <c r="Q71" i="7"/>
  <c r="S20" i="8"/>
  <c r="S27" i="8" s="1"/>
  <c r="S11" i="17"/>
  <c r="X97" i="3"/>
  <c r="Y39" i="3"/>
  <c r="D47" i="32"/>
  <c r="U47" i="12"/>
  <c r="V47" i="12" s="1"/>
  <c r="O62" i="34" s="1"/>
  <c r="P62" i="34" s="1"/>
  <c r="M62" i="34"/>
  <c r="U49" i="38"/>
  <c r="V49" i="38" s="1"/>
  <c r="M75" i="31"/>
  <c r="M47" i="31"/>
  <c r="M103" i="31"/>
  <c r="V97" i="8"/>
  <c r="V260" i="8" s="1"/>
  <c r="P26" i="12" s="1"/>
  <c r="U260" i="8"/>
  <c r="P25" i="12" s="1"/>
  <c r="P264" i="7"/>
  <c r="R39" i="6"/>
  <c r="V66" i="3"/>
  <c r="O91" i="29"/>
  <c r="O63" i="29"/>
  <c r="O35" i="29"/>
  <c r="U92" i="8"/>
  <c r="S69" i="8"/>
  <c r="R65" i="8"/>
  <c r="I74" i="3"/>
  <c r="J76" i="3"/>
  <c r="I65" i="3"/>
  <c r="M18" i="9"/>
  <c r="V82" i="8"/>
  <c r="N91" i="9"/>
  <c r="N63" i="9"/>
  <c r="N35" i="9"/>
  <c r="X42" i="21"/>
  <c r="W106" i="21"/>
  <c r="S38" i="6"/>
  <c r="V294" i="7"/>
  <c r="P25" i="30" s="1"/>
  <c r="I26" i="26" s="1"/>
  <c r="W32" i="21"/>
  <c r="S5" i="22" s="1"/>
  <c r="N23" i="38"/>
  <c r="P109" i="30"/>
  <c r="I111" i="26" s="1"/>
  <c r="T111" i="26" s="1"/>
  <c r="P81" i="30"/>
  <c r="I83" i="26" s="1"/>
  <c r="T83" i="26" s="1"/>
  <c r="P53" i="30"/>
  <c r="I55" i="26" s="1"/>
  <c r="H114" i="24"/>
  <c r="D41" i="20" s="1"/>
  <c r="F49" i="7" s="1"/>
  <c r="G61" i="7" s="1"/>
  <c r="I116" i="24"/>
  <c r="X99" i="3"/>
  <c r="Y41" i="3"/>
  <c r="M104" i="30"/>
  <c r="M76" i="30"/>
  <c r="M48" i="30"/>
  <c r="V82" i="35" l="1"/>
  <c r="E27" i="35" s="1"/>
  <c r="U82" i="35"/>
  <c r="D27" i="35" s="1"/>
  <c r="J51" i="35"/>
  <c r="S26" i="26"/>
  <c r="G28" i="33"/>
  <c r="T28" i="33" s="1"/>
  <c r="G177" i="26"/>
  <c r="E188" i="35"/>
  <c r="D52" i="35"/>
  <c r="H52" i="35" s="1"/>
  <c r="F26" i="35"/>
  <c r="F188" i="35" s="1"/>
  <c r="G146" i="26"/>
  <c r="S55" i="26"/>
  <c r="E52" i="35"/>
  <c r="I52" i="35" s="1"/>
  <c r="D188" i="35"/>
  <c r="I146" i="26"/>
  <c r="T55" i="26"/>
  <c r="M27" i="33"/>
  <c r="Z27" i="33" s="1"/>
  <c r="M176" i="26"/>
  <c r="M26" i="26"/>
  <c r="I28" i="33"/>
  <c r="V28" i="33" s="1"/>
  <c r="T26" i="26"/>
  <c r="I177" i="26"/>
  <c r="W66" i="3"/>
  <c r="T11" i="6"/>
  <c r="R39" i="22"/>
  <c r="W96" i="21"/>
  <c r="S39" i="22" s="1"/>
  <c r="X96" i="13"/>
  <c r="Q82" i="30"/>
  <c r="Q54" i="30"/>
  <c r="V146" i="7"/>
  <c r="W71" i="21"/>
  <c r="X32" i="21"/>
  <c r="T5" i="22" s="1"/>
  <c r="T11" i="22" s="1"/>
  <c r="V132" i="7"/>
  <c r="X7" i="21"/>
  <c r="R120" i="7"/>
  <c r="S147" i="7"/>
  <c r="N162" i="7"/>
  <c r="O174" i="7" s="1"/>
  <c r="P186" i="7" s="1"/>
  <c r="Q198" i="7" s="1"/>
  <c r="R210" i="7" s="1"/>
  <c r="S222" i="7" s="1"/>
  <c r="T234" i="7" s="1"/>
  <c r="U247" i="7" s="1"/>
  <c r="T302" i="7"/>
  <c r="L23" i="31" s="1"/>
  <c r="E316" i="7"/>
  <c r="F292" i="7"/>
  <c r="N9" i="30" s="1"/>
  <c r="N94" i="30" s="1"/>
  <c r="Y100" i="3"/>
  <c r="E42" i="3"/>
  <c r="Y85" i="3"/>
  <c r="S38" i="17"/>
  <c r="V72" i="13"/>
  <c r="N107" i="12"/>
  <c r="N79" i="12"/>
  <c r="N51" i="12"/>
  <c r="R7" i="7"/>
  <c r="R45" i="6"/>
  <c r="B288" i="7"/>
  <c r="B27" i="7"/>
  <c r="R291" i="7"/>
  <c r="M21" i="30" s="1"/>
  <c r="R41" i="7"/>
  <c r="U50" i="38"/>
  <c r="V50" i="38" s="1"/>
  <c r="L102" i="3"/>
  <c r="K101" i="3"/>
  <c r="M106" i="12"/>
  <c r="M78" i="12"/>
  <c r="M50" i="12"/>
  <c r="M105" i="30"/>
  <c r="M77" i="30"/>
  <c r="M49" i="30"/>
  <c r="Q303" i="7"/>
  <c r="Z93" i="21"/>
  <c r="Z71" i="21"/>
  <c r="T69" i="8"/>
  <c r="S256" i="8"/>
  <c r="S65" i="8"/>
  <c r="S279" i="7"/>
  <c r="M22" i="29" s="1"/>
  <c r="L106" i="31"/>
  <c r="L78" i="31"/>
  <c r="L50" i="31"/>
  <c r="N24" i="38"/>
  <c r="U6" i="8"/>
  <c r="W100" i="24"/>
  <c r="X36" i="24"/>
  <c r="M76" i="9"/>
  <c r="M104" i="9"/>
  <c r="M48" i="9"/>
  <c r="L19" i="9"/>
  <c r="R83" i="7"/>
  <c r="W101" i="24"/>
  <c r="X37" i="24"/>
  <c r="T20" i="8"/>
  <c r="T27" i="8" s="1"/>
  <c r="T11" i="17"/>
  <c r="F305" i="7"/>
  <c r="O9" i="31" s="1"/>
  <c r="H73" i="7"/>
  <c r="I85" i="7" s="1"/>
  <c r="J97" i="7" s="1"/>
  <c r="K109" i="7" s="1"/>
  <c r="L122" i="7" s="1"/>
  <c r="M135" i="7" s="1"/>
  <c r="N149" i="7" s="1"/>
  <c r="P110" i="30"/>
  <c r="I112" i="26" s="1"/>
  <c r="T112" i="26" s="1"/>
  <c r="P54" i="30"/>
  <c r="P82" i="30"/>
  <c r="I84" i="26" s="1"/>
  <c r="T84" i="26" s="1"/>
  <c r="Y97" i="3"/>
  <c r="E39" i="3"/>
  <c r="N65" i="30"/>
  <c r="N37" i="30"/>
  <c r="N93" i="30"/>
  <c r="M75" i="29"/>
  <c r="M103" i="29"/>
  <c r="M47" i="29"/>
  <c r="Y99" i="3"/>
  <c r="E41" i="3"/>
  <c r="N79" i="38"/>
  <c r="N51" i="38"/>
  <c r="N107" i="38"/>
  <c r="T81" i="8"/>
  <c r="S77" i="8"/>
  <c r="T38" i="20"/>
  <c r="E266" i="7"/>
  <c r="U78" i="38"/>
  <c r="V78" i="38" s="1"/>
  <c r="R20" i="7"/>
  <c r="R45" i="17"/>
  <c r="K111" i="13"/>
  <c r="L112" i="13"/>
  <c r="F280" i="7"/>
  <c r="N9" i="29" s="1"/>
  <c r="B37" i="20"/>
  <c r="F72" i="24"/>
  <c r="Y96" i="3"/>
  <c r="E38" i="3"/>
  <c r="C37" i="7"/>
  <c r="B45" i="22"/>
  <c r="L103" i="30"/>
  <c r="L47" i="30"/>
  <c r="L75" i="30"/>
  <c r="V92" i="8"/>
  <c r="U255" i="8"/>
  <c r="W109" i="24"/>
  <c r="X45" i="24"/>
  <c r="L21" i="29"/>
  <c r="Y91" i="3"/>
  <c r="E33" i="3"/>
  <c r="X94" i="13"/>
  <c r="X7" i="13"/>
  <c r="Y30" i="13"/>
  <c r="X29" i="13"/>
  <c r="U4" i="17" s="1"/>
  <c r="Y30" i="3"/>
  <c r="U5" i="6" s="1"/>
  <c r="U7" i="8" s="1"/>
  <c r="Y90" i="3"/>
  <c r="E32" i="3"/>
  <c r="Z27" i="3"/>
  <c r="V4" i="6" s="1"/>
  <c r="Z86" i="3"/>
  <c r="Z7" i="3"/>
  <c r="E28" i="3"/>
  <c r="Y95" i="13"/>
  <c r="D31" i="13"/>
  <c r="Y101" i="21"/>
  <c r="E37" i="21"/>
  <c r="N7" i="9"/>
  <c r="Y102" i="21"/>
  <c r="E38" i="21"/>
  <c r="B312" i="7"/>
  <c r="B321" i="7" s="1"/>
  <c r="B276" i="7"/>
  <c r="B13" i="7"/>
  <c r="B262" i="7"/>
  <c r="G72" i="13"/>
  <c r="D37" i="17"/>
  <c r="N93" i="31"/>
  <c r="N65" i="31"/>
  <c r="N37" i="31"/>
  <c r="S35" i="7"/>
  <c r="R45" i="22"/>
  <c r="J116" i="24"/>
  <c r="I114" i="24"/>
  <c r="E41" i="20" s="1"/>
  <c r="G49" i="7" s="1"/>
  <c r="H61" i="7" s="1"/>
  <c r="S6" i="7"/>
  <c r="S45" i="6"/>
  <c r="V104" i="8"/>
  <c r="L105" i="12"/>
  <c r="L77" i="12"/>
  <c r="L49" i="12"/>
  <c r="D20" i="32"/>
  <c r="U21" i="12"/>
  <c r="V21" i="12" s="1"/>
  <c r="N65" i="29"/>
  <c r="N37" i="29"/>
  <c r="N93" i="29"/>
  <c r="W106" i="24"/>
  <c r="X42" i="24"/>
  <c r="T93" i="8"/>
  <c r="S89" i="8"/>
  <c r="J6" i="9"/>
  <c r="D40" i="20"/>
  <c r="F48" i="7" s="1"/>
  <c r="G60" i="7" s="1"/>
  <c r="Q53" i="9"/>
  <c r="Q109" i="9"/>
  <c r="Q81" i="9"/>
  <c r="E37" i="22"/>
  <c r="Z94" i="24"/>
  <c r="Z7" i="24"/>
  <c r="Z29" i="24"/>
  <c r="V4" i="20" s="1"/>
  <c r="V11" i="20" s="1"/>
  <c r="E30" i="24"/>
  <c r="K106" i="3"/>
  <c r="J104" i="3"/>
  <c r="F41" i="6" s="1"/>
  <c r="F9" i="7" s="1"/>
  <c r="U106" i="7"/>
  <c r="V119" i="7" s="1"/>
  <c r="T38" i="6"/>
  <c r="Z95" i="24"/>
  <c r="E31" i="24"/>
  <c r="K79" i="12"/>
  <c r="K51" i="12"/>
  <c r="K107" i="12"/>
  <c r="H80" i="13"/>
  <c r="H71" i="13"/>
  <c r="I82" i="13"/>
  <c r="Q25" i="9"/>
  <c r="D300" i="7"/>
  <c r="D312" i="7"/>
  <c r="D262" i="7"/>
  <c r="U82" i="7"/>
  <c r="E305" i="7"/>
  <c r="O8" i="31" s="1"/>
  <c r="G73" i="7"/>
  <c r="H85" i="7" s="1"/>
  <c r="I97" i="7" s="1"/>
  <c r="J109" i="7" s="1"/>
  <c r="K122" i="7" s="1"/>
  <c r="L135" i="7" s="1"/>
  <c r="M149" i="7" s="1"/>
  <c r="R107" i="7"/>
  <c r="X88" i="3"/>
  <c r="T39" i="6" s="1"/>
  <c r="T7" i="7" s="1"/>
  <c r="X65" i="3"/>
  <c r="M47" i="9"/>
  <c r="M75" i="9"/>
  <c r="M103" i="9"/>
  <c r="P109" i="12"/>
  <c r="P81" i="12"/>
  <c r="P53" i="12"/>
  <c r="Y93" i="3"/>
  <c r="E35" i="3"/>
  <c r="T105" i="8"/>
  <c r="T113" i="8" s="1"/>
  <c r="S101" i="8"/>
  <c r="O109" i="12"/>
  <c r="O53" i="12"/>
  <c r="O81" i="12"/>
  <c r="K112" i="21"/>
  <c r="J111" i="21"/>
  <c r="F40" i="22" s="1"/>
  <c r="G36" i="7" s="1"/>
  <c r="G292" i="7" s="1"/>
  <c r="N10" i="30" s="1"/>
  <c r="J6" i="30"/>
  <c r="W102" i="24"/>
  <c r="X38" i="24"/>
  <c r="R71" i="7"/>
  <c r="W107" i="24"/>
  <c r="X43" i="24"/>
  <c r="K82" i="21"/>
  <c r="J80" i="21"/>
  <c r="Y93" i="24"/>
  <c r="E281" i="7"/>
  <c r="O8" i="29" s="1"/>
  <c r="Q290" i="7"/>
  <c r="Q27" i="7"/>
  <c r="Q314" i="7"/>
  <c r="Q264" i="7"/>
  <c r="W93" i="13"/>
  <c r="W71" i="13"/>
  <c r="D5" i="7"/>
  <c r="D45" i="6"/>
  <c r="Y92" i="3"/>
  <c r="E34" i="3"/>
  <c r="C37" i="20"/>
  <c r="G72" i="24"/>
  <c r="T35" i="8"/>
  <c r="T41" i="8" s="1"/>
  <c r="S11" i="22"/>
  <c r="I111" i="24"/>
  <c r="E40" i="20" s="1"/>
  <c r="G48" i="7" s="1"/>
  <c r="H60" i="7" s="1"/>
  <c r="J112" i="24"/>
  <c r="P110" i="12"/>
  <c r="P82" i="12"/>
  <c r="P54" i="12"/>
  <c r="M19" i="31"/>
  <c r="S257" i="8"/>
  <c r="M23" i="12" s="1"/>
  <c r="I114" i="13"/>
  <c r="J116" i="13"/>
  <c r="Q315" i="7"/>
  <c r="Q279" i="7"/>
  <c r="Q265" i="7"/>
  <c r="Q13" i="7"/>
  <c r="D281" i="7"/>
  <c r="O7" i="29" s="1"/>
  <c r="T59" i="8"/>
  <c r="S53" i="8"/>
  <c r="M24" i="38"/>
  <c r="T13" i="8"/>
  <c r="Q110" i="29"/>
  <c r="Q54" i="29"/>
  <c r="G56" i="26" s="1"/>
  <c r="Q82" i="29"/>
  <c r="L47" i="9"/>
  <c r="L75" i="9"/>
  <c r="L103" i="9"/>
  <c r="X109" i="21"/>
  <c r="Y45" i="21"/>
  <c r="I82" i="24"/>
  <c r="H80" i="24"/>
  <c r="Y98" i="3"/>
  <c r="E40" i="3"/>
  <c r="N64" i="29"/>
  <c r="N92" i="29"/>
  <c r="N36" i="29"/>
  <c r="O54" i="12"/>
  <c r="O82" i="12"/>
  <c r="O110" i="12"/>
  <c r="U38" i="22"/>
  <c r="T47" i="8"/>
  <c r="R11" i="20"/>
  <c r="K76" i="3"/>
  <c r="J65" i="3"/>
  <c r="J74" i="3"/>
  <c r="L19" i="30"/>
  <c r="P297" i="7"/>
  <c r="D77" i="32"/>
  <c r="U76" i="12"/>
  <c r="V76" i="12" s="1"/>
  <c r="H114" i="21"/>
  <c r="I116" i="21"/>
  <c r="H71" i="21"/>
  <c r="Y41" i="21"/>
  <c r="X105" i="21"/>
  <c r="V70" i="7"/>
  <c r="X108" i="21"/>
  <c r="Y44" i="21"/>
  <c r="W108" i="24"/>
  <c r="X44" i="24"/>
  <c r="U70" i="7"/>
  <c r="R95" i="7"/>
  <c r="V106" i="7"/>
  <c r="V96" i="24"/>
  <c r="M51" i="38"/>
  <c r="M107" i="38"/>
  <c r="M79" i="38"/>
  <c r="U79" i="38" s="1"/>
  <c r="V79" i="38" s="1"/>
  <c r="U23" i="38"/>
  <c r="V23" i="38" s="1"/>
  <c r="C277" i="7"/>
  <c r="C13" i="7"/>
  <c r="Z87" i="3"/>
  <c r="E29" i="3"/>
  <c r="Y43" i="21"/>
  <c r="X107" i="21"/>
  <c r="W105" i="24"/>
  <c r="X41" i="24"/>
  <c r="Y100" i="21"/>
  <c r="E36" i="21"/>
  <c r="Y98" i="21"/>
  <c r="E34" i="21"/>
  <c r="Y99" i="21"/>
  <c r="E35" i="21"/>
  <c r="L104" i="29"/>
  <c r="L76" i="29"/>
  <c r="L48" i="29"/>
  <c r="U39" i="17"/>
  <c r="U21" i="7" s="1"/>
  <c r="D96" i="13"/>
  <c r="Y42" i="21"/>
  <c r="X106" i="21"/>
  <c r="D48" i="32"/>
  <c r="U48" i="12"/>
  <c r="V48" i="12" s="1"/>
  <c r="C41" i="22"/>
  <c r="G72" i="21"/>
  <c r="R47" i="7"/>
  <c r="S59" i="7" s="1"/>
  <c r="I66" i="3"/>
  <c r="E37" i="6"/>
  <c r="D105" i="32"/>
  <c r="U104" i="12"/>
  <c r="V104" i="12" s="1"/>
  <c r="U106" i="38"/>
  <c r="V106" i="38" s="1"/>
  <c r="K62" i="9"/>
  <c r="K34" i="9"/>
  <c r="K90" i="9"/>
  <c r="Q39" i="20"/>
  <c r="U72" i="24"/>
  <c r="O90" i="9"/>
  <c r="O62" i="9"/>
  <c r="O34" i="9"/>
  <c r="L22" i="31"/>
  <c r="Y94" i="3"/>
  <c r="E36" i="3"/>
  <c r="X34" i="24"/>
  <c r="W32" i="24"/>
  <c r="S5" i="20" s="1"/>
  <c r="W98" i="24"/>
  <c r="W7" i="24"/>
  <c r="K24" i="12"/>
  <c r="E33" i="7"/>
  <c r="L22" i="12"/>
  <c r="R264" i="8"/>
  <c r="L105" i="29"/>
  <c r="L49" i="29"/>
  <c r="L77" i="29"/>
  <c r="Y7" i="3"/>
  <c r="C19" i="7"/>
  <c r="C263" i="7" s="1"/>
  <c r="C45" i="17"/>
  <c r="X35" i="24"/>
  <c r="W99" i="24"/>
  <c r="J52" i="35" l="1"/>
  <c r="G147" i="26"/>
  <c r="S56" i="26"/>
  <c r="E189" i="35"/>
  <c r="D53" i="35"/>
  <c r="H53" i="35" s="1"/>
  <c r="F27" i="35"/>
  <c r="F189" i="35" s="1"/>
  <c r="D189" i="35"/>
  <c r="E53" i="35"/>
  <c r="I53" i="35" s="1"/>
  <c r="J53" i="35" s="1"/>
  <c r="I56" i="26"/>
  <c r="M177" i="26"/>
  <c r="M28" i="33"/>
  <c r="Z28" i="33" s="1"/>
  <c r="I147" i="26"/>
  <c r="T56" i="26"/>
  <c r="W72" i="21"/>
  <c r="U107" i="38"/>
  <c r="V107" i="38" s="1"/>
  <c r="U51" i="38"/>
  <c r="V51" i="38" s="1"/>
  <c r="T257" i="8"/>
  <c r="M24" i="12" s="1"/>
  <c r="M108" i="12" s="1"/>
  <c r="Y32" i="21"/>
  <c r="U5" i="22" s="1"/>
  <c r="N66" i="30"/>
  <c r="X71" i="21"/>
  <c r="N38" i="30"/>
  <c r="U35" i="8"/>
  <c r="U41" i="8" s="1"/>
  <c r="T161" i="7"/>
  <c r="T258" i="8"/>
  <c r="N24" i="12" s="1"/>
  <c r="N108" i="12" s="1"/>
  <c r="O163" i="7"/>
  <c r="P175" i="7" s="1"/>
  <c r="Q187" i="7" s="1"/>
  <c r="R199" i="7" s="1"/>
  <c r="S211" i="7" s="1"/>
  <c r="T223" i="7" s="1"/>
  <c r="U235" i="7" s="1"/>
  <c r="V248" i="7" s="1"/>
  <c r="S133" i="7"/>
  <c r="C313" i="7"/>
  <c r="S120" i="7"/>
  <c r="X96" i="21"/>
  <c r="X72" i="21" s="1"/>
  <c r="Y7" i="21"/>
  <c r="E7" i="21" s="1"/>
  <c r="N163" i="7"/>
  <c r="O175" i="7" s="1"/>
  <c r="P187" i="7" s="1"/>
  <c r="Q199" i="7" s="1"/>
  <c r="R211" i="7" s="1"/>
  <c r="S223" i="7" s="1"/>
  <c r="T235" i="7" s="1"/>
  <c r="U248" i="7" s="1"/>
  <c r="F316" i="7"/>
  <c r="U302" i="7"/>
  <c r="L24" i="31" s="1"/>
  <c r="N95" i="30"/>
  <c r="N67" i="30"/>
  <c r="N39" i="30"/>
  <c r="K6" i="9"/>
  <c r="D37" i="20"/>
  <c r="H72" i="24"/>
  <c r="F41" i="17"/>
  <c r="F23" i="7" s="1"/>
  <c r="J91" i="30"/>
  <c r="J63" i="30"/>
  <c r="J35" i="30"/>
  <c r="V35" i="8"/>
  <c r="U11" i="22"/>
  <c r="M107" i="12"/>
  <c r="M79" i="12"/>
  <c r="M51" i="12"/>
  <c r="O93" i="29"/>
  <c r="O65" i="29"/>
  <c r="O37" i="29"/>
  <c r="X107" i="24"/>
  <c r="Y43" i="24"/>
  <c r="V94" i="7"/>
  <c r="X106" i="24"/>
  <c r="Y42" i="24"/>
  <c r="D78" i="32"/>
  <c r="U77" i="12"/>
  <c r="V77" i="12" s="1"/>
  <c r="V6" i="8"/>
  <c r="V11" i="6"/>
  <c r="L108" i="31"/>
  <c r="L80" i="31"/>
  <c r="L52" i="31"/>
  <c r="Y108" i="21"/>
  <c r="E44" i="21"/>
  <c r="D41" i="22"/>
  <c r="H72" i="21"/>
  <c r="Y109" i="21"/>
  <c r="E45" i="21"/>
  <c r="K111" i="21"/>
  <c r="G40" i="22" s="1"/>
  <c r="H36" i="7" s="1"/>
  <c r="L112" i="21"/>
  <c r="J7" i="9"/>
  <c r="D106" i="32"/>
  <c r="U105" i="12"/>
  <c r="V105" i="12" s="1"/>
  <c r="J114" i="24"/>
  <c r="F41" i="20" s="1"/>
  <c r="H49" i="7" s="1"/>
  <c r="I61" i="7" s="1"/>
  <c r="K116" i="24"/>
  <c r="J5" i="9"/>
  <c r="K25" i="12"/>
  <c r="C293" i="7"/>
  <c r="O6" i="30" s="1"/>
  <c r="C317" i="7"/>
  <c r="C267" i="7"/>
  <c r="C41" i="7"/>
  <c r="N94" i="29"/>
  <c r="N66" i="29"/>
  <c r="N38" i="29"/>
  <c r="U93" i="8"/>
  <c r="T89" i="8"/>
  <c r="N52" i="38"/>
  <c r="N108" i="38"/>
  <c r="N80" i="38"/>
  <c r="M106" i="30"/>
  <c r="M50" i="30"/>
  <c r="M78" i="30"/>
  <c r="R39" i="20"/>
  <c r="V72" i="24"/>
  <c r="O64" i="29"/>
  <c r="O92" i="29"/>
  <c r="O36" i="29"/>
  <c r="K80" i="21"/>
  <c r="L82" i="21"/>
  <c r="K108" i="12"/>
  <c r="K80" i="12"/>
  <c r="K52" i="12"/>
  <c r="D37" i="7"/>
  <c r="C45" i="22"/>
  <c r="J116" i="21"/>
  <c r="I114" i="21"/>
  <c r="I71" i="21"/>
  <c r="D277" i="7"/>
  <c r="D13" i="7"/>
  <c r="T279" i="7"/>
  <c r="M23" i="29" s="1"/>
  <c r="G305" i="7"/>
  <c r="O10" i="31" s="1"/>
  <c r="I73" i="7"/>
  <c r="J85" i="7" s="1"/>
  <c r="K97" i="7" s="1"/>
  <c r="L109" i="7" s="1"/>
  <c r="M122" i="7" s="1"/>
  <c r="N135" i="7" s="1"/>
  <c r="O149" i="7" s="1"/>
  <c r="N64" i="9"/>
  <c r="N36" i="9"/>
  <c r="N92" i="9"/>
  <c r="L107" i="31"/>
  <c r="L79" i="31"/>
  <c r="L51" i="31"/>
  <c r="E5" i="7"/>
  <c r="E45" i="6"/>
  <c r="U59" i="8"/>
  <c r="T53" i="8"/>
  <c r="M104" i="31"/>
  <c r="M48" i="31"/>
  <c r="M76" i="31"/>
  <c r="T38" i="17"/>
  <c r="W72" i="13"/>
  <c r="E37" i="17"/>
  <c r="H72" i="13"/>
  <c r="X66" i="3"/>
  <c r="B271" i="7"/>
  <c r="Y88" i="3"/>
  <c r="Y66" i="3" s="1"/>
  <c r="X101" i="24"/>
  <c r="Y37" i="24"/>
  <c r="S71" i="7"/>
  <c r="X105" i="24"/>
  <c r="Y41" i="24"/>
  <c r="S107" i="7"/>
  <c r="M20" i="9"/>
  <c r="F304" i="7"/>
  <c r="N9" i="31" s="1"/>
  <c r="H72" i="7"/>
  <c r="I84" i="7" s="1"/>
  <c r="J96" i="7" s="1"/>
  <c r="K108" i="7" s="1"/>
  <c r="L121" i="7" s="1"/>
  <c r="M134" i="7" s="1"/>
  <c r="N148" i="7" s="1"/>
  <c r="N25" i="38"/>
  <c r="N8" i="9"/>
  <c r="G40" i="6"/>
  <c r="G8" i="7" s="1"/>
  <c r="S20" i="7"/>
  <c r="S264" i="7" s="1"/>
  <c r="S45" i="17"/>
  <c r="Y106" i="21"/>
  <c r="E42" i="21"/>
  <c r="V34" i="7"/>
  <c r="M80" i="38"/>
  <c r="M52" i="38"/>
  <c r="U52" i="38" s="1"/>
  <c r="V52" i="38" s="1"/>
  <c r="M108" i="38"/>
  <c r="U24" i="38"/>
  <c r="V24" i="38" s="1"/>
  <c r="M20" i="29"/>
  <c r="Q285" i="7"/>
  <c r="E45" i="7"/>
  <c r="F57" i="7" s="1"/>
  <c r="C45" i="20"/>
  <c r="U38" i="20"/>
  <c r="X102" i="24"/>
  <c r="Y38" i="24"/>
  <c r="U20" i="8"/>
  <c r="U27" i="8" s="1"/>
  <c r="U11" i="17"/>
  <c r="H40" i="17"/>
  <c r="H22" i="7" s="1"/>
  <c r="Y36" i="24"/>
  <c r="X100" i="24"/>
  <c r="M102" i="3"/>
  <c r="L101" i="3"/>
  <c r="H40" i="6" s="1"/>
  <c r="H8" i="7" s="1"/>
  <c r="J5" i="30"/>
  <c r="B297" i="7"/>
  <c r="Y65" i="3"/>
  <c r="Y35" i="24"/>
  <c r="X99" i="24"/>
  <c r="M52" i="12"/>
  <c r="M80" i="12"/>
  <c r="Z93" i="24"/>
  <c r="Z71" i="24"/>
  <c r="S41" i="7"/>
  <c r="S291" i="7"/>
  <c r="M22" i="30" s="1"/>
  <c r="V255" i="8"/>
  <c r="M20" i="31"/>
  <c r="W96" i="24"/>
  <c r="C289" i="7"/>
  <c r="C27" i="7"/>
  <c r="C271" i="7" s="1"/>
  <c r="L106" i="12"/>
  <c r="L50" i="12"/>
  <c r="L78" i="12"/>
  <c r="D21" i="32"/>
  <c r="U22" i="12"/>
  <c r="V22" i="12" s="1"/>
  <c r="U47" i="8"/>
  <c r="S11" i="20"/>
  <c r="K6" i="29"/>
  <c r="C285" i="7"/>
  <c r="L48" i="30"/>
  <c r="L76" i="30"/>
  <c r="L104" i="30"/>
  <c r="O93" i="31"/>
  <c r="O65" i="31"/>
  <c r="O37" i="31"/>
  <c r="J7" i="31"/>
  <c r="I6" i="31"/>
  <c r="I6" i="30"/>
  <c r="I6" i="29"/>
  <c r="J63" i="9"/>
  <c r="J35" i="9"/>
  <c r="J91" i="9"/>
  <c r="S278" i="7"/>
  <c r="S13" i="7"/>
  <c r="E8" i="3"/>
  <c r="E6" i="3"/>
  <c r="Y7" i="13"/>
  <c r="D7" i="13" s="1"/>
  <c r="Y29" i="13"/>
  <c r="V4" i="17" s="1"/>
  <c r="Y94" i="13"/>
  <c r="D30" i="13"/>
  <c r="S95" i="7"/>
  <c r="L23" i="12"/>
  <c r="S264" i="8"/>
  <c r="U38" i="6"/>
  <c r="L20" i="9"/>
  <c r="S83" i="7"/>
  <c r="F68" i="7"/>
  <c r="E262" i="7"/>
  <c r="E312" i="7"/>
  <c r="E300" i="7"/>
  <c r="T6" i="7"/>
  <c r="T45" i="6"/>
  <c r="J5" i="29"/>
  <c r="B285" i="7"/>
  <c r="L111" i="13"/>
  <c r="L71" i="13"/>
  <c r="X98" i="24"/>
  <c r="Y34" i="24"/>
  <c r="X32" i="24"/>
  <c r="T5" i="20" s="1"/>
  <c r="X7" i="24"/>
  <c r="R303" i="7"/>
  <c r="V82" i="7"/>
  <c r="Y105" i="21"/>
  <c r="E41" i="21"/>
  <c r="F37" i="6"/>
  <c r="J66" i="3"/>
  <c r="U71" i="8"/>
  <c r="T65" i="8"/>
  <c r="K116" i="13"/>
  <c r="K114" i="13" s="1"/>
  <c r="H41" i="17" s="1"/>
  <c r="H23" i="7" s="1"/>
  <c r="J114" i="13"/>
  <c r="G41" i="17" s="1"/>
  <c r="G23" i="7" s="1"/>
  <c r="K112" i="24"/>
  <c r="J111" i="24"/>
  <c r="F40" i="20" s="1"/>
  <c r="H48" i="7" s="1"/>
  <c r="I60" i="7" s="1"/>
  <c r="L20" i="30"/>
  <c r="Q297" i="7"/>
  <c r="F37" i="22"/>
  <c r="F281" i="7"/>
  <c r="O9" i="29" s="1"/>
  <c r="F33" i="7"/>
  <c r="E7" i="3"/>
  <c r="L106" i="29"/>
  <c r="L78" i="29"/>
  <c r="L50" i="29"/>
  <c r="R290" i="7"/>
  <c r="R27" i="7"/>
  <c r="R314" i="7"/>
  <c r="R264" i="7"/>
  <c r="V46" i="7"/>
  <c r="U11" i="6"/>
  <c r="M107" i="29"/>
  <c r="M51" i="29"/>
  <c r="M79" i="29"/>
  <c r="U81" i="8"/>
  <c r="T256" i="8"/>
  <c r="T77" i="8"/>
  <c r="R279" i="7"/>
  <c r="R265" i="7"/>
  <c r="R315" i="7"/>
  <c r="R13" i="7"/>
  <c r="T35" i="7"/>
  <c r="S45" i="22"/>
  <c r="Q82" i="9"/>
  <c r="Q110" i="9"/>
  <c r="Q54" i="9"/>
  <c r="L106" i="3"/>
  <c r="L104" i="3" s="1"/>
  <c r="H41" i="6" s="1"/>
  <c r="H9" i="7" s="1"/>
  <c r="K104" i="3"/>
  <c r="U105" i="8"/>
  <c r="U113" i="8" s="1"/>
  <c r="T101" i="8"/>
  <c r="D49" i="32"/>
  <c r="U49" i="12"/>
  <c r="V49" i="12" s="1"/>
  <c r="D19" i="7"/>
  <c r="D45" i="17"/>
  <c r="Z85" i="3"/>
  <c r="Z65" i="3"/>
  <c r="X93" i="13"/>
  <c r="X71" i="13"/>
  <c r="X109" i="24"/>
  <c r="Y45" i="24"/>
  <c r="D45" i="7"/>
  <c r="E57" i="7" s="1"/>
  <c r="B45" i="20"/>
  <c r="O94" i="31"/>
  <c r="O66" i="31"/>
  <c r="O38" i="31"/>
  <c r="L48" i="9"/>
  <c r="L76" i="9"/>
  <c r="L104" i="9"/>
  <c r="M25" i="38"/>
  <c r="U13" i="8"/>
  <c r="S47" i="7"/>
  <c r="T59" i="7" s="1"/>
  <c r="X108" i="24"/>
  <c r="Y44" i="24"/>
  <c r="I72" i="7"/>
  <c r="J84" i="7" s="1"/>
  <c r="K96" i="7" s="1"/>
  <c r="L108" i="7" s="1"/>
  <c r="M121" i="7" s="1"/>
  <c r="N134" i="7" s="1"/>
  <c r="O148" i="7" s="1"/>
  <c r="G304" i="7"/>
  <c r="N10" i="31" s="1"/>
  <c r="Y107" i="21"/>
  <c r="E43" i="21"/>
  <c r="L76" i="3"/>
  <c r="K65" i="3"/>
  <c r="K74" i="3"/>
  <c r="J82" i="24"/>
  <c r="I80" i="24"/>
  <c r="J82" i="13"/>
  <c r="I71" i="13"/>
  <c r="I80" i="13"/>
  <c r="F266" i="7"/>
  <c r="V38" i="22"/>
  <c r="V45" i="22" s="1"/>
  <c r="Z72" i="21"/>
  <c r="E93" i="21"/>
  <c r="N52" i="12" l="1"/>
  <c r="T39" i="22"/>
  <c r="H292" i="7"/>
  <c r="N11" i="30" s="1"/>
  <c r="C321" i="7"/>
  <c r="N80" i="12"/>
  <c r="U80" i="38"/>
  <c r="V80" i="38" s="1"/>
  <c r="U257" i="8"/>
  <c r="M25" i="12" s="1"/>
  <c r="M81" i="12" s="1"/>
  <c r="Y71" i="21"/>
  <c r="S314" i="7"/>
  <c r="T120" i="7"/>
  <c r="E8" i="21"/>
  <c r="T147" i="7"/>
  <c r="D313" i="7"/>
  <c r="P162" i="7"/>
  <c r="Q174" i="7" s="1"/>
  <c r="R186" i="7" s="1"/>
  <c r="S198" i="7" s="1"/>
  <c r="T210" i="7" s="1"/>
  <c r="U222" i="7" s="1"/>
  <c r="V234" i="7" s="1"/>
  <c r="Y96" i="21"/>
  <c r="Y72" i="21" s="1"/>
  <c r="U173" i="7"/>
  <c r="O162" i="7"/>
  <c r="P174" i="7" s="1"/>
  <c r="Q186" i="7" s="1"/>
  <c r="R198" i="7" s="1"/>
  <c r="S210" i="7" s="1"/>
  <c r="T222" i="7" s="1"/>
  <c r="U234" i="7" s="1"/>
  <c r="V247" i="7" s="1"/>
  <c r="P163" i="7"/>
  <c r="Q175" i="7" s="1"/>
  <c r="R187" i="7" s="1"/>
  <c r="S199" i="7" s="1"/>
  <c r="T211" i="7" s="1"/>
  <c r="U223" i="7" s="1"/>
  <c r="V235" i="7" s="1"/>
  <c r="T133" i="7"/>
  <c r="S315" i="7"/>
  <c r="L24" i="12"/>
  <c r="T264" i="8"/>
  <c r="X96" i="24"/>
  <c r="D8" i="13"/>
  <c r="D6" i="13"/>
  <c r="L22" i="29"/>
  <c r="S285" i="7"/>
  <c r="M107" i="30"/>
  <c r="M79" i="30"/>
  <c r="M51" i="30"/>
  <c r="E19" i="7"/>
  <c r="E263" i="7" s="1"/>
  <c r="E45" i="17"/>
  <c r="K82" i="24"/>
  <c r="J80" i="24"/>
  <c r="Y108" i="24"/>
  <c r="E44" i="24"/>
  <c r="T291" i="7"/>
  <c r="M23" i="30" s="1"/>
  <c r="T41" i="7"/>
  <c r="J8" i="9"/>
  <c r="Y93" i="13"/>
  <c r="Y71" i="13"/>
  <c r="L22" i="9"/>
  <c r="S39" i="20"/>
  <c r="W72" i="24"/>
  <c r="M101" i="3"/>
  <c r="E101" i="3" s="1"/>
  <c r="M65" i="3"/>
  <c r="M105" i="29"/>
  <c r="M77" i="29"/>
  <c r="M49" i="29"/>
  <c r="E6" i="21"/>
  <c r="U39" i="6"/>
  <c r="U7" i="7" s="1"/>
  <c r="E88" i="3"/>
  <c r="L80" i="21"/>
  <c r="O35" i="30"/>
  <c r="O91" i="30"/>
  <c r="O63" i="30"/>
  <c r="E37" i="7"/>
  <c r="D45" i="22"/>
  <c r="D114" i="13"/>
  <c r="L77" i="9"/>
  <c r="L105" i="9"/>
  <c r="L49" i="9"/>
  <c r="I91" i="31"/>
  <c r="V91" i="31" s="1"/>
  <c r="V6" i="31"/>
  <c r="V59" i="8"/>
  <c r="V65" i="8" s="1"/>
  <c r="U53" i="8"/>
  <c r="H316" i="7"/>
  <c r="H266" i="7"/>
  <c r="H280" i="7"/>
  <c r="N11" i="29" s="1"/>
  <c r="M105" i="9"/>
  <c r="M49" i="9"/>
  <c r="M77" i="9"/>
  <c r="J114" i="21"/>
  <c r="K116" i="21"/>
  <c r="J71" i="21"/>
  <c r="L109" i="31"/>
  <c r="L81" i="31"/>
  <c r="L53" i="31"/>
  <c r="G37" i="6"/>
  <c r="K66" i="3"/>
  <c r="D301" i="7"/>
  <c r="D53" i="7"/>
  <c r="D289" i="7"/>
  <c r="D27" i="7"/>
  <c r="G41" i="6"/>
  <c r="G9" i="7" s="1"/>
  <c r="E104" i="3"/>
  <c r="G33" i="7"/>
  <c r="V83" i="8"/>
  <c r="V89" i="8" s="1"/>
  <c r="U77" i="8"/>
  <c r="I40" i="17"/>
  <c r="L72" i="13"/>
  <c r="G80" i="7"/>
  <c r="F312" i="7"/>
  <c r="F262" i="7"/>
  <c r="F300" i="7"/>
  <c r="U6" i="7"/>
  <c r="V20" i="8"/>
  <c r="V27" i="8" s="1"/>
  <c r="V11" i="17"/>
  <c r="Y102" i="24"/>
  <c r="E38" i="24"/>
  <c r="N93" i="9"/>
  <c r="N37" i="9"/>
  <c r="N65" i="9"/>
  <c r="V71" i="8"/>
  <c r="V77" i="8" s="1"/>
  <c r="U65" i="8"/>
  <c r="D293" i="7"/>
  <c r="O7" i="30" s="1"/>
  <c r="D41" i="7"/>
  <c r="D317" i="7"/>
  <c r="D267" i="7"/>
  <c r="G37" i="22"/>
  <c r="V105" i="8"/>
  <c r="V113" i="8" s="1"/>
  <c r="U101" i="8"/>
  <c r="K109" i="12"/>
  <c r="K81" i="12"/>
  <c r="K53" i="12"/>
  <c r="M26" i="38"/>
  <c r="V13" i="8"/>
  <c r="U35" i="7"/>
  <c r="T45" i="22"/>
  <c r="L21" i="9"/>
  <c r="N9" i="9"/>
  <c r="Y109" i="24"/>
  <c r="E45" i="24"/>
  <c r="H281" i="7"/>
  <c r="O11" i="29" s="1"/>
  <c r="L21" i="30"/>
  <c r="R297" i="7"/>
  <c r="T71" i="7"/>
  <c r="D79" i="32"/>
  <c r="U78" i="12"/>
  <c r="V78" i="12" s="1"/>
  <c r="V38" i="20"/>
  <c r="Z72" i="24"/>
  <c r="E93" i="24"/>
  <c r="U108" i="38"/>
  <c r="V108" i="38" s="1"/>
  <c r="U258" i="8"/>
  <c r="N25" i="12" s="1"/>
  <c r="Y105" i="24"/>
  <c r="E41" i="24"/>
  <c r="T20" i="7"/>
  <c r="T264" i="7" s="1"/>
  <c r="T45" i="17"/>
  <c r="D263" i="7"/>
  <c r="I7" i="31"/>
  <c r="I7" i="30"/>
  <c r="I7" i="29"/>
  <c r="J92" i="9"/>
  <c r="J64" i="9"/>
  <c r="J36" i="9"/>
  <c r="Y107" i="24"/>
  <c r="E43" i="24"/>
  <c r="N95" i="31"/>
  <c r="N67" i="31"/>
  <c r="N39" i="31"/>
  <c r="F5" i="7"/>
  <c r="F45" i="6"/>
  <c r="M112" i="21"/>
  <c r="L111" i="21"/>
  <c r="V41" i="8"/>
  <c r="F45" i="7"/>
  <c r="G57" i="7" s="1"/>
  <c r="D45" i="20"/>
  <c r="K63" i="9"/>
  <c r="K35" i="9"/>
  <c r="K91" i="9"/>
  <c r="V302" i="7"/>
  <c r="T107" i="7"/>
  <c r="M109" i="38"/>
  <c r="M81" i="38"/>
  <c r="M53" i="38"/>
  <c r="U25" i="38"/>
  <c r="V25" i="38" s="1"/>
  <c r="F37" i="17"/>
  <c r="I72" i="13"/>
  <c r="M21" i="9"/>
  <c r="O66" i="29"/>
  <c r="O38" i="29"/>
  <c r="O94" i="29"/>
  <c r="M21" i="31"/>
  <c r="J62" i="29"/>
  <c r="J90" i="29"/>
  <c r="J34" i="29"/>
  <c r="F36" i="26" s="1"/>
  <c r="F6" i="26"/>
  <c r="L51" i="12"/>
  <c r="L79" i="12"/>
  <c r="L107" i="12"/>
  <c r="D22" i="32"/>
  <c r="U23" i="12"/>
  <c r="V23" i="12" s="1"/>
  <c r="U50" i="12"/>
  <c r="V50" i="12" s="1"/>
  <c r="D50" i="32"/>
  <c r="Y99" i="24"/>
  <c r="E35" i="24"/>
  <c r="N81" i="38"/>
  <c r="N53" i="38"/>
  <c r="N109" i="38"/>
  <c r="M21" i="29"/>
  <c r="R285" i="7"/>
  <c r="H304" i="7"/>
  <c r="N11" i="31" s="1"/>
  <c r="J72" i="7"/>
  <c r="K84" i="7" s="1"/>
  <c r="L96" i="7" s="1"/>
  <c r="M108" i="7" s="1"/>
  <c r="N121" i="7" s="1"/>
  <c r="O134" i="7" s="1"/>
  <c r="P148" i="7" s="1"/>
  <c r="T95" i="7"/>
  <c r="J92" i="31"/>
  <c r="J64" i="31"/>
  <c r="J36" i="31"/>
  <c r="D107" i="32"/>
  <c r="U106" i="12"/>
  <c r="V106" i="12" s="1"/>
  <c r="D111" i="13"/>
  <c r="S290" i="7"/>
  <c r="S27" i="7"/>
  <c r="K7" i="29"/>
  <c r="D285" i="7"/>
  <c r="I5" i="31"/>
  <c r="I5" i="30"/>
  <c r="I5" i="29"/>
  <c r="J62" i="9"/>
  <c r="V62" i="9" s="1"/>
  <c r="J34" i="9"/>
  <c r="V34" i="9" s="1"/>
  <c r="J90" i="9"/>
  <c r="V90" i="9" s="1"/>
  <c r="V5" i="9"/>
  <c r="Y106" i="24"/>
  <c r="E42" i="24"/>
  <c r="J8" i="31"/>
  <c r="E37" i="20"/>
  <c r="I72" i="24"/>
  <c r="V38" i="6"/>
  <c r="Z66" i="3"/>
  <c r="E85" i="3"/>
  <c r="V93" i="8"/>
  <c r="U256" i="8"/>
  <c r="U89" i="8"/>
  <c r="L74" i="3"/>
  <c r="L65" i="3"/>
  <c r="S303" i="7"/>
  <c r="L105" i="30"/>
  <c r="L77" i="30"/>
  <c r="L49" i="30"/>
  <c r="M105" i="31"/>
  <c r="M77" i="31"/>
  <c r="M49" i="31"/>
  <c r="Y100" i="24"/>
  <c r="E36" i="24"/>
  <c r="E277" i="7"/>
  <c r="E13" i="7"/>
  <c r="S265" i="7"/>
  <c r="K82" i="13"/>
  <c r="J80" i="13"/>
  <c r="J71" i="13"/>
  <c r="U38" i="17"/>
  <c r="X72" i="13"/>
  <c r="K111" i="24"/>
  <c r="L112" i="24"/>
  <c r="V47" i="8"/>
  <c r="V53" i="8" s="1"/>
  <c r="T11" i="20"/>
  <c r="T278" i="7"/>
  <c r="T13" i="7"/>
  <c r="I91" i="29"/>
  <c r="I63" i="29"/>
  <c r="I35" i="29"/>
  <c r="V6" i="29"/>
  <c r="K63" i="29"/>
  <c r="K91" i="29"/>
  <c r="K35" i="29"/>
  <c r="F37" i="26" s="1"/>
  <c r="F7" i="26"/>
  <c r="K26" i="12"/>
  <c r="N40" i="30"/>
  <c r="N68" i="30"/>
  <c r="N96" i="30"/>
  <c r="N94" i="31"/>
  <c r="N66" i="31"/>
  <c r="N38" i="31"/>
  <c r="T83" i="7"/>
  <c r="O95" i="31"/>
  <c r="O67" i="31"/>
  <c r="O39" i="31"/>
  <c r="L116" i="24"/>
  <c r="L114" i="24" s="1"/>
  <c r="H41" i="20" s="1"/>
  <c r="J49" i="7" s="1"/>
  <c r="K61" i="7" s="1"/>
  <c r="K114" i="24"/>
  <c r="Y98" i="24"/>
  <c r="Y32" i="24"/>
  <c r="U5" i="20" s="1"/>
  <c r="U11" i="20" s="1"/>
  <c r="E34" i="24"/>
  <c r="Y7" i="24"/>
  <c r="E7" i="24" s="1"/>
  <c r="I63" i="30"/>
  <c r="I35" i="30"/>
  <c r="I91" i="30"/>
  <c r="K6" i="30"/>
  <c r="V6" i="30" s="1"/>
  <c r="C297" i="7"/>
  <c r="J90" i="30"/>
  <c r="H92" i="26" s="1"/>
  <c r="T92" i="26" s="1"/>
  <c r="J34" i="30"/>
  <c r="H36" i="26" s="1"/>
  <c r="J62" i="30"/>
  <c r="H64" i="26" s="1"/>
  <c r="T64" i="26" s="1"/>
  <c r="H6" i="26"/>
  <c r="E301" i="7"/>
  <c r="K8" i="31" s="1"/>
  <c r="E53" i="7"/>
  <c r="G316" i="7"/>
  <c r="G266" i="7"/>
  <c r="G280" i="7"/>
  <c r="N10" i="29" s="1"/>
  <c r="Y101" i="24"/>
  <c r="E37" i="24"/>
  <c r="M108" i="29"/>
  <c r="M52" i="29"/>
  <c r="M80" i="29"/>
  <c r="E41" i="22"/>
  <c r="I72" i="21"/>
  <c r="T47" i="7"/>
  <c r="U59" i="7" s="1"/>
  <c r="O6" i="9"/>
  <c r="V6" i="9" s="1"/>
  <c r="H305" i="7"/>
  <c r="O11" i="31" s="1"/>
  <c r="J73" i="7"/>
  <c r="K85" i="7" s="1"/>
  <c r="L97" i="7" s="1"/>
  <c r="M109" i="7" s="1"/>
  <c r="N122" i="7" s="1"/>
  <c r="O135" i="7" s="1"/>
  <c r="P149" i="7" s="1"/>
  <c r="Q163" i="7" s="1"/>
  <c r="R175" i="7" s="1"/>
  <c r="S187" i="7" s="1"/>
  <c r="T199" i="7" s="1"/>
  <c r="U211" i="7" s="1"/>
  <c r="V223" i="7" s="1"/>
  <c r="E96" i="21" l="1"/>
  <c r="U39" i="22"/>
  <c r="V35" i="7" s="1"/>
  <c r="M109" i="12"/>
  <c r="M53" i="12"/>
  <c r="E65" i="3"/>
  <c r="U120" i="7"/>
  <c r="V258" i="8"/>
  <c r="N26" i="12" s="1"/>
  <c r="N82" i="12" s="1"/>
  <c r="D321" i="7"/>
  <c r="V185" i="7"/>
  <c r="U161" i="7"/>
  <c r="U147" i="7"/>
  <c r="U133" i="7"/>
  <c r="Q162" i="7"/>
  <c r="R174" i="7" s="1"/>
  <c r="S186" i="7" s="1"/>
  <c r="T198" i="7" s="1"/>
  <c r="U210" i="7" s="1"/>
  <c r="V222" i="7" s="1"/>
  <c r="T314" i="7"/>
  <c r="E313" i="7"/>
  <c r="T315" i="7"/>
  <c r="D271" i="7"/>
  <c r="F40" i="33"/>
  <c r="M40" i="33" s="1"/>
  <c r="F29" i="34"/>
  <c r="F71" i="34" s="1"/>
  <c r="M112" i="24"/>
  <c r="L111" i="24"/>
  <c r="H40" i="20" s="1"/>
  <c r="J48" i="7" s="1"/>
  <c r="K60" i="7" s="1"/>
  <c r="I90" i="31"/>
  <c r="V90" i="31" s="1"/>
  <c r="W90" i="31" s="1"/>
  <c r="S91" i="31" s="1"/>
  <c r="U91" i="31" s="1"/>
  <c r="W91" i="31" s="1"/>
  <c r="S92" i="31" s="1"/>
  <c r="U92" i="31" s="1"/>
  <c r="V5" i="31"/>
  <c r="W5" i="31" s="1"/>
  <c r="S6" i="31" s="1"/>
  <c r="U6" i="31" s="1"/>
  <c r="W6" i="31" s="1"/>
  <c r="S7" i="31" s="1"/>
  <c r="U7" i="31" s="1"/>
  <c r="S37" i="26"/>
  <c r="D108" i="32"/>
  <c r="U107" i="12"/>
  <c r="V107" i="12" s="1"/>
  <c r="F277" i="7"/>
  <c r="F13" i="7"/>
  <c r="K114" i="21"/>
  <c r="L116" i="21"/>
  <c r="K71" i="21"/>
  <c r="H37" i="22"/>
  <c r="E80" i="21"/>
  <c r="V38" i="17"/>
  <c r="Y72" i="13"/>
  <c r="D93" i="13"/>
  <c r="F37" i="20"/>
  <c r="J72" i="24"/>
  <c r="H157" i="26"/>
  <c r="T6" i="26"/>
  <c r="H8" i="33"/>
  <c r="U8" i="33" s="1"/>
  <c r="G93" i="26"/>
  <c r="F93" i="26"/>
  <c r="V6" i="7"/>
  <c r="V45" i="6"/>
  <c r="F28" i="34"/>
  <c r="F70" i="34" s="1"/>
  <c r="F39" i="33"/>
  <c r="M39" i="33" s="1"/>
  <c r="W5" i="9"/>
  <c r="U107" i="7"/>
  <c r="U79" i="12"/>
  <c r="V79" i="12" s="1"/>
  <c r="D80" i="32"/>
  <c r="L25" i="31"/>
  <c r="H40" i="22"/>
  <c r="I36" i="7" s="1"/>
  <c r="L106" i="30"/>
  <c r="L50" i="30"/>
  <c r="L78" i="30"/>
  <c r="N66" i="9"/>
  <c r="N38" i="9"/>
  <c r="N94" i="9"/>
  <c r="O92" i="30"/>
  <c r="O36" i="30"/>
  <c r="O64" i="30"/>
  <c r="F41" i="22"/>
  <c r="J72" i="21"/>
  <c r="K80" i="24"/>
  <c r="L82" i="24"/>
  <c r="L51" i="29"/>
  <c r="L107" i="29"/>
  <c r="L79" i="29"/>
  <c r="Y96" i="24"/>
  <c r="Y71" i="24"/>
  <c r="K8" i="9"/>
  <c r="K7" i="9"/>
  <c r="K7" i="31"/>
  <c r="V7" i="31" s="1"/>
  <c r="D309" i="7"/>
  <c r="L80" i="12"/>
  <c r="L52" i="12"/>
  <c r="L108" i="12"/>
  <c r="D23" i="32"/>
  <c r="U24" i="12"/>
  <c r="V24" i="12" s="1"/>
  <c r="N95" i="29"/>
  <c r="N39" i="29"/>
  <c r="N67" i="29"/>
  <c r="G65" i="26"/>
  <c r="F65" i="26"/>
  <c r="K8" i="29"/>
  <c r="E285" i="7"/>
  <c r="H37" i="6"/>
  <c r="L66" i="3"/>
  <c r="E74" i="3"/>
  <c r="M92" i="26"/>
  <c r="AD28" i="34"/>
  <c r="W90" i="9"/>
  <c r="D51" i="32"/>
  <c r="U51" i="12"/>
  <c r="V51" i="12" s="1"/>
  <c r="M111" i="21"/>
  <c r="E111" i="21" s="1"/>
  <c r="M71" i="21"/>
  <c r="T290" i="7"/>
  <c r="T27" i="7"/>
  <c r="V257" i="8"/>
  <c r="M26" i="12" s="1"/>
  <c r="H92" i="7"/>
  <c r="I104" i="7" s="1"/>
  <c r="J117" i="7" s="1"/>
  <c r="G300" i="7"/>
  <c r="G262" i="7"/>
  <c r="G312" i="7"/>
  <c r="I40" i="6"/>
  <c r="M66" i="3"/>
  <c r="I8" i="31"/>
  <c r="I8" i="30"/>
  <c r="I8" i="29"/>
  <c r="J65" i="9"/>
  <c r="J37" i="9"/>
  <c r="J93" i="9"/>
  <c r="U71" i="7"/>
  <c r="G40" i="20"/>
  <c r="I48" i="7" s="1"/>
  <c r="J60" i="7" s="1"/>
  <c r="N96" i="31"/>
  <c r="N40" i="31"/>
  <c r="N68" i="31"/>
  <c r="L106" i="9"/>
  <c r="L50" i="9"/>
  <c r="L78" i="9"/>
  <c r="G281" i="7"/>
  <c r="O10" i="29" s="1"/>
  <c r="U279" i="7"/>
  <c r="M24" i="29" s="1"/>
  <c r="M22" i="9"/>
  <c r="N10" i="9"/>
  <c r="U20" i="7"/>
  <c r="U45" i="17"/>
  <c r="K92" i="29"/>
  <c r="K64" i="29"/>
  <c r="K36" i="29"/>
  <c r="F38" i="26" s="1"/>
  <c r="F8" i="26"/>
  <c r="U53" i="38"/>
  <c r="V53" i="38" s="1"/>
  <c r="V35" i="29"/>
  <c r="E309" i="7"/>
  <c r="M64" i="26"/>
  <c r="V28" i="34"/>
  <c r="W62" i="9"/>
  <c r="S36" i="26"/>
  <c r="U81" i="38"/>
  <c r="V81" i="38" s="1"/>
  <c r="I92" i="29"/>
  <c r="I64" i="29"/>
  <c r="I36" i="29"/>
  <c r="V7" i="29"/>
  <c r="O68" i="29"/>
  <c r="O40" i="29"/>
  <c r="O96" i="29"/>
  <c r="U45" i="6"/>
  <c r="I22" i="7"/>
  <c r="I45" i="17"/>
  <c r="U47" i="7"/>
  <c r="V59" i="7" s="1"/>
  <c r="M108" i="30"/>
  <c r="M80" i="30"/>
  <c r="M52" i="30"/>
  <c r="E289" i="7"/>
  <c r="E27" i="7"/>
  <c r="F158" i="26"/>
  <c r="S7" i="26"/>
  <c r="F9" i="33"/>
  <c r="S9" i="33" s="1"/>
  <c r="K93" i="31"/>
  <c r="K65" i="31"/>
  <c r="K37" i="31"/>
  <c r="M22" i="31"/>
  <c r="M106" i="31"/>
  <c r="M50" i="31"/>
  <c r="M78" i="31"/>
  <c r="F37" i="7"/>
  <c r="E45" i="22"/>
  <c r="M36" i="26"/>
  <c r="N28" i="34"/>
  <c r="W34" i="9"/>
  <c r="F157" i="26"/>
  <c r="S6" i="26"/>
  <c r="F8" i="33"/>
  <c r="S8" i="33" s="1"/>
  <c r="M6" i="26"/>
  <c r="M110" i="38"/>
  <c r="U110" i="38" s="1"/>
  <c r="V110" i="38" s="1"/>
  <c r="M82" i="38"/>
  <c r="U82" i="38" s="1"/>
  <c r="V82" i="38" s="1"/>
  <c r="M54" i="38"/>
  <c r="U54" i="38" s="1"/>
  <c r="V54" i="38" s="1"/>
  <c r="U26" i="38"/>
  <c r="V26" i="38" s="1"/>
  <c r="E293" i="7"/>
  <c r="O8" i="30" s="1"/>
  <c r="E267" i="7"/>
  <c r="E317" i="7"/>
  <c r="E41" i="7"/>
  <c r="L23" i="9"/>
  <c r="E6" i="24"/>
  <c r="E8" i="24"/>
  <c r="G41" i="20"/>
  <c r="I49" i="7" s="1"/>
  <c r="J61" i="7" s="1"/>
  <c r="E114" i="24"/>
  <c r="U95" i="7"/>
  <c r="K110" i="12"/>
  <c r="K82" i="12"/>
  <c r="K54" i="12"/>
  <c r="V63" i="29"/>
  <c r="G37" i="17"/>
  <c r="J72" i="13"/>
  <c r="L25" i="12"/>
  <c r="U264" i="8"/>
  <c r="J93" i="31"/>
  <c r="J65" i="31"/>
  <c r="J37" i="31"/>
  <c r="J9" i="26"/>
  <c r="I62" i="29"/>
  <c r="V62" i="29" s="1"/>
  <c r="W62" i="29" s="1"/>
  <c r="S63" i="29" s="1"/>
  <c r="U63" i="29" s="1"/>
  <c r="I90" i="29"/>
  <c r="V90" i="29" s="1"/>
  <c r="W90" i="29" s="1"/>
  <c r="S91" i="29" s="1"/>
  <c r="U91" i="29" s="1"/>
  <c r="I34" i="29"/>
  <c r="V34" i="29" s="1"/>
  <c r="W34" i="29" s="1"/>
  <c r="S35" i="29" s="1"/>
  <c r="U35" i="29" s="1"/>
  <c r="V5" i="29"/>
  <c r="W5" i="29" s="1"/>
  <c r="S6" i="29" s="1"/>
  <c r="U6" i="29" s="1"/>
  <c r="W6" i="29" s="1"/>
  <c r="S7" i="29" s="1"/>
  <c r="U7" i="29" s="1"/>
  <c r="M106" i="29"/>
  <c r="M78" i="29"/>
  <c r="M50" i="29"/>
  <c r="G92" i="26"/>
  <c r="F92" i="26"/>
  <c r="M106" i="9"/>
  <c r="M50" i="9"/>
  <c r="M78" i="9"/>
  <c r="U109" i="38"/>
  <c r="V109" i="38" s="1"/>
  <c r="I92" i="30"/>
  <c r="I36" i="30"/>
  <c r="I64" i="30"/>
  <c r="N53" i="12"/>
  <c r="N81" i="12"/>
  <c r="N109" i="12"/>
  <c r="H33" i="7"/>
  <c r="U314" i="7"/>
  <c r="U264" i="7"/>
  <c r="U278" i="7"/>
  <c r="U13" i="7"/>
  <c r="K7" i="30"/>
  <c r="V7" i="30" s="1"/>
  <c r="D297" i="7"/>
  <c r="N96" i="29"/>
  <c r="N68" i="29"/>
  <c r="N40" i="29"/>
  <c r="T39" i="20"/>
  <c r="X72" i="24"/>
  <c r="U45" i="22"/>
  <c r="T303" i="7"/>
  <c r="T265" i="7"/>
  <c r="F19" i="7"/>
  <c r="F45" i="17"/>
  <c r="H127" i="26"/>
  <c r="T36" i="26"/>
  <c r="L23" i="29"/>
  <c r="T285" i="7"/>
  <c r="G45" i="7"/>
  <c r="H57" i="7" s="1"/>
  <c r="G5" i="7"/>
  <c r="G45" i="6"/>
  <c r="O96" i="31"/>
  <c r="O68" i="31"/>
  <c r="O40" i="31"/>
  <c r="O63" i="9"/>
  <c r="V63" i="9" s="1"/>
  <c r="O35" i="9"/>
  <c r="V35" i="9" s="1"/>
  <c r="O91" i="9"/>
  <c r="V91" i="9" s="1"/>
  <c r="G69" i="7"/>
  <c r="F65" i="7"/>
  <c r="K91" i="30"/>
  <c r="H93" i="26" s="1"/>
  <c r="T93" i="26" s="1"/>
  <c r="K35" i="30"/>
  <c r="H37" i="26" s="1"/>
  <c r="K63" i="30"/>
  <c r="H65" i="26" s="1"/>
  <c r="T65" i="26" s="1"/>
  <c r="H7" i="26"/>
  <c r="M7" i="26" s="1"/>
  <c r="V91" i="29"/>
  <c r="K80" i="13"/>
  <c r="D80" i="13" s="1"/>
  <c r="K71" i="13"/>
  <c r="D71" i="13" s="1"/>
  <c r="V256" i="8"/>
  <c r="V101" i="8"/>
  <c r="I90" i="30"/>
  <c r="V90" i="30" s="1"/>
  <c r="W90" i="30" s="1"/>
  <c r="S91" i="30" s="1"/>
  <c r="U91" i="30" s="1"/>
  <c r="I34" i="30"/>
  <c r="V34" i="30" s="1"/>
  <c r="W34" i="30" s="1"/>
  <c r="S35" i="30" s="1"/>
  <c r="U35" i="30" s="1"/>
  <c r="I62" i="30"/>
  <c r="V62" i="30" s="1"/>
  <c r="W62" i="30" s="1"/>
  <c r="S63" i="30" s="1"/>
  <c r="U63" i="30" s="1"/>
  <c r="V5" i="30"/>
  <c r="W5" i="30" s="1"/>
  <c r="S6" i="30" s="1"/>
  <c r="U6" i="30" s="1"/>
  <c r="W6" i="30" s="1"/>
  <c r="S7" i="30" s="1"/>
  <c r="U7" i="30" s="1"/>
  <c r="L22" i="30"/>
  <c r="S297" i="7"/>
  <c r="G64" i="26"/>
  <c r="F64" i="26"/>
  <c r="F53" i="7"/>
  <c r="I92" i="31"/>
  <c r="U83" i="7"/>
  <c r="U41" i="7"/>
  <c r="U291" i="7"/>
  <c r="M24" i="30" s="1"/>
  <c r="O7" i="9"/>
  <c r="J9" i="31"/>
  <c r="N11" i="9"/>
  <c r="L51" i="9"/>
  <c r="L107" i="9"/>
  <c r="L79" i="9"/>
  <c r="J9" i="9"/>
  <c r="F69" i="7"/>
  <c r="E65" i="7"/>
  <c r="E321" i="7" l="1"/>
  <c r="N110" i="12"/>
  <c r="N54" i="12"/>
  <c r="F128" i="26"/>
  <c r="W7" i="29"/>
  <c r="S8" i="29" s="1"/>
  <c r="U8" i="29" s="1"/>
  <c r="G127" i="26"/>
  <c r="G128" i="26"/>
  <c r="W35" i="29"/>
  <c r="S36" i="29" s="1"/>
  <c r="U36" i="29" s="1"/>
  <c r="S93" i="26"/>
  <c r="V120" i="7"/>
  <c r="V173" i="7"/>
  <c r="K130" i="7"/>
  <c r="J262" i="7"/>
  <c r="J13" i="9" s="1"/>
  <c r="J312" i="7"/>
  <c r="J300" i="7"/>
  <c r="J13" i="31" s="1"/>
  <c r="V133" i="7"/>
  <c r="V147" i="7"/>
  <c r="V161" i="7"/>
  <c r="S64" i="26"/>
  <c r="E271" i="7"/>
  <c r="F313" i="7"/>
  <c r="S92" i="26"/>
  <c r="W7" i="30"/>
  <c r="S8" i="30" s="1"/>
  <c r="U8" i="30" s="1"/>
  <c r="W63" i="29"/>
  <c r="S64" i="29" s="1"/>
  <c r="U64" i="29" s="1"/>
  <c r="V64" i="29"/>
  <c r="U315" i="7"/>
  <c r="D72" i="13"/>
  <c r="D70" i="13"/>
  <c r="M93" i="26"/>
  <c r="AD29" i="34"/>
  <c r="N29" i="34"/>
  <c r="M37" i="26"/>
  <c r="M158" i="26"/>
  <c r="M9" i="33"/>
  <c r="Z9" i="33" s="1"/>
  <c r="G81" i="7"/>
  <c r="G301" i="7" s="1"/>
  <c r="K10" i="31" s="1"/>
  <c r="F77" i="7"/>
  <c r="V83" i="7"/>
  <c r="O92" i="26"/>
  <c r="AE28" i="34"/>
  <c r="S91" i="9"/>
  <c r="K92" i="9"/>
  <c r="K64" i="9"/>
  <c r="K36" i="9"/>
  <c r="V7" i="9"/>
  <c r="G37" i="7"/>
  <c r="F45" i="22"/>
  <c r="V278" i="7"/>
  <c r="V13" i="7"/>
  <c r="L72" i="7"/>
  <c r="M84" i="7" s="1"/>
  <c r="N96" i="7" s="1"/>
  <c r="O108" i="7" s="1"/>
  <c r="P121" i="7" s="1"/>
  <c r="Q134" i="7" s="1"/>
  <c r="R148" i="7" s="1"/>
  <c r="S162" i="7" s="1"/>
  <c r="T174" i="7" s="1"/>
  <c r="U186" i="7" s="1"/>
  <c r="V198" i="7" s="1"/>
  <c r="I9" i="31"/>
  <c r="I9" i="30"/>
  <c r="I9" i="29"/>
  <c r="J66" i="9"/>
  <c r="J38" i="9"/>
  <c r="J94" i="9"/>
  <c r="N96" i="9"/>
  <c r="N40" i="9"/>
  <c r="N68" i="9"/>
  <c r="H81" i="7"/>
  <c r="G77" i="7"/>
  <c r="G277" i="7"/>
  <c r="G13" i="7"/>
  <c r="J160" i="26"/>
  <c r="J11" i="33"/>
  <c r="W11" i="33" s="1"/>
  <c r="U9" i="26"/>
  <c r="O8" i="9"/>
  <c r="U290" i="7"/>
  <c r="U27" i="7"/>
  <c r="U265" i="7"/>
  <c r="I8" i="7"/>
  <c r="I45" i="6"/>
  <c r="S65" i="26"/>
  <c r="D109" i="32"/>
  <c r="U108" i="12"/>
  <c r="V108" i="12" s="1"/>
  <c r="H45" i="7"/>
  <c r="I57" i="7" s="1"/>
  <c r="L114" i="21"/>
  <c r="E114" i="21" s="1"/>
  <c r="E70" i="21" s="1"/>
  <c r="L71" i="21"/>
  <c r="E71" i="21" s="1"/>
  <c r="M111" i="24"/>
  <c r="E111" i="24" s="1"/>
  <c r="H69" i="7"/>
  <c r="G65" i="7"/>
  <c r="M109" i="30"/>
  <c r="M53" i="30"/>
  <c r="M81" i="30"/>
  <c r="L73" i="7"/>
  <c r="F27" i="7"/>
  <c r="F289" i="7"/>
  <c r="V291" i="7"/>
  <c r="M25" i="30" s="1"/>
  <c r="V41" i="7"/>
  <c r="J39" i="26"/>
  <c r="V37" i="31"/>
  <c r="I305" i="7"/>
  <c r="O12" i="31" s="1"/>
  <c r="O93" i="30"/>
  <c r="O65" i="30"/>
  <c r="O37" i="30"/>
  <c r="L23" i="30"/>
  <c r="T297" i="7"/>
  <c r="D52" i="32"/>
  <c r="U52" i="12"/>
  <c r="V52" i="12" s="1"/>
  <c r="G41" i="22"/>
  <c r="K72" i="21"/>
  <c r="F301" i="7"/>
  <c r="G19" i="7"/>
  <c r="G45" i="17"/>
  <c r="F263" i="7"/>
  <c r="J94" i="31"/>
  <c r="J66" i="31"/>
  <c r="J38" i="31"/>
  <c r="V95" i="7"/>
  <c r="M23" i="9"/>
  <c r="K64" i="30"/>
  <c r="H66" i="26" s="1"/>
  <c r="T66" i="26" s="1"/>
  <c r="K36" i="30"/>
  <c r="H38" i="26" s="1"/>
  <c r="K92" i="30"/>
  <c r="H94" i="26" s="1"/>
  <c r="T94" i="26" s="1"/>
  <c r="H8" i="26"/>
  <c r="J67" i="26"/>
  <c r="U67" i="26" s="1"/>
  <c r="V65" i="31"/>
  <c r="O36" i="26"/>
  <c r="S35" i="9"/>
  <c r="O28" i="34"/>
  <c r="U303" i="7"/>
  <c r="F127" i="26"/>
  <c r="J10" i="9"/>
  <c r="E66" i="3"/>
  <c r="E64" i="3"/>
  <c r="U80" i="12"/>
  <c r="V80" i="12" s="1"/>
  <c r="D81" i="32"/>
  <c r="L80" i="24"/>
  <c r="V107" i="7"/>
  <c r="M109" i="29"/>
  <c r="M81" i="29"/>
  <c r="M53" i="29"/>
  <c r="L26" i="12"/>
  <c r="V264" i="8"/>
  <c r="H158" i="26"/>
  <c r="H9" i="33"/>
  <c r="U9" i="33" s="1"/>
  <c r="T7" i="26"/>
  <c r="M65" i="26"/>
  <c r="V29" i="34"/>
  <c r="V47" i="7"/>
  <c r="J95" i="26"/>
  <c r="U95" i="26" s="1"/>
  <c r="V63" i="30"/>
  <c r="W63" i="30" s="1"/>
  <c r="S64" i="30" s="1"/>
  <c r="U64" i="30" s="1"/>
  <c r="V36" i="29"/>
  <c r="F159" i="26"/>
  <c r="S8" i="26"/>
  <c r="F10" i="33"/>
  <c r="S10" i="33" s="1"/>
  <c r="N67" i="9"/>
  <c r="N39" i="9"/>
  <c r="N95" i="9"/>
  <c r="O67" i="29"/>
  <c r="O39" i="29"/>
  <c r="O95" i="29"/>
  <c r="J10" i="31"/>
  <c r="S6" i="9"/>
  <c r="G28" i="34"/>
  <c r="G70" i="34" s="1"/>
  <c r="O6" i="26"/>
  <c r="G39" i="33"/>
  <c r="N39" i="33" s="1"/>
  <c r="V20" i="7"/>
  <c r="V264" i="7" s="1"/>
  <c r="V45" i="17"/>
  <c r="V71" i="7"/>
  <c r="L24" i="29"/>
  <c r="U285" i="7"/>
  <c r="M127" i="26"/>
  <c r="S38" i="26"/>
  <c r="V91" i="30"/>
  <c r="W91" i="30" s="1"/>
  <c r="S92" i="30" s="1"/>
  <c r="U92" i="30" s="1"/>
  <c r="I93" i="29"/>
  <c r="I65" i="29"/>
  <c r="I37" i="29"/>
  <c r="V8" i="29"/>
  <c r="I40" i="22"/>
  <c r="M72" i="21"/>
  <c r="H5" i="7"/>
  <c r="H45" i="6"/>
  <c r="K92" i="31"/>
  <c r="J94" i="26" s="1"/>
  <c r="U94" i="26" s="1"/>
  <c r="K64" i="31"/>
  <c r="K36" i="31"/>
  <c r="J8" i="26"/>
  <c r="K65" i="9"/>
  <c r="K37" i="9"/>
  <c r="K93" i="9"/>
  <c r="G37" i="20"/>
  <c r="K72" i="24"/>
  <c r="O64" i="9"/>
  <c r="O36" i="9"/>
  <c r="O92" i="9"/>
  <c r="M107" i="31"/>
  <c r="M79" i="31"/>
  <c r="M51" i="31"/>
  <c r="L107" i="30"/>
  <c r="L79" i="30"/>
  <c r="L51" i="30"/>
  <c r="H37" i="17"/>
  <c r="K72" i="13"/>
  <c r="T37" i="26"/>
  <c r="H128" i="26"/>
  <c r="L80" i="29"/>
  <c r="L108" i="29"/>
  <c r="L52" i="29"/>
  <c r="M23" i="31"/>
  <c r="L24" i="9"/>
  <c r="L109" i="12"/>
  <c r="L81" i="12"/>
  <c r="L53" i="12"/>
  <c r="U25" i="12"/>
  <c r="V25" i="12" s="1"/>
  <c r="D24" i="32"/>
  <c r="L108" i="9"/>
  <c r="L80" i="9"/>
  <c r="L52" i="9"/>
  <c r="K8" i="30"/>
  <c r="V8" i="30" s="1"/>
  <c r="E297" i="7"/>
  <c r="I292" i="7"/>
  <c r="N12" i="30" s="1"/>
  <c r="I27" i="7"/>
  <c r="V92" i="29"/>
  <c r="O64" i="26"/>
  <c r="W28" i="34"/>
  <c r="S63" i="9"/>
  <c r="G66" i="26"/>
  <c r="F66" i="26"/>
  <c r="K72" i="7"/>
  <c r="L84" i="7" s="1"/>
  <c r="M96" i="7" s="1"/>
  <c r="N108" i="7" s="1"/>
  <c r="O121" i="7" s="1"/>
  <c r="P134" i="7" s="1"/>
  <c r="Q148" i="7" s="1"/>
  <c r="I304" i="7"/>
  <c r="N12" i="31" s="1"/>
  <c r="I93" i="30"/>
  <c r="I37" i="30"/>
  <c r="I65" i="30"/>
  <c r="H262" i="7"/>
  <c r="H300" i="7"/>
  <c r="H312" i="7"/>
  <c r="V35" i="30"/>
  <c r="W35" i="30" s="1"/>
  <c r="S36" i="30" s="1"/>
  <c r="U36" i="30" s="1"/>
  <c r="W7" i="31"/>
  <c r="S8" i="31" s="1"/>
  <c r="U8" i="31" s="1"/>
  <c r="W91" i="29"/>
  <c r="S92" i="29" s="1"/>
  <c r="U92" i="29" s="1"/>
  <c r="M157" i="26"/>
  <c r="M8" i="33"/>
  <c r="Z8" i="33" s="1"/>
  <c r="F317" i="7"/>
  <c r="F267" i="7"/>
  <c r="F293" i="7"/>
  <c r="O9" i="30" s="1"/>
  <c r="F41" i="7"/>
  <c r="G94" i="26"/>
  <c r="F94" i="26"/>
  <c r="M51" i="9"/>
  <c r="M107" i="9"/>
  <c r="M79" i="9"/>
  <c r="I93" i="31"/>
  <c r="V93" i="31" s="1"/>
  <c r="V8" i="31"/>
  <c r="M110" i="12"/>
  <c r="M82" i="12"/>
  <c r="M54" i="12"/>
  <c r="K93" i="29"/>
  <c r="K65" i="29"/>
  <c r="K37" i="29"/>
  <c r="F39" i="26" s="1"/>
  <c r="F9" i="26"/>
  <c r="U39" i="20"/>
  <c r="E96" i="24"/>
  <c r="Y72" i="24"/>
  <c r="L110" i="31"/>
  <c r="L54" i="31"/>
  <c r="L82" i="31"/>
  <c r="I33" i="7"/>
  <c r="K9" i="29"/>
  <c r="F285" i="7"/>
  <c r="W8" i="29" l="1"/>
  <c r="S9" i="29" s="1"/>
  <c r="U9" i="29" s="1"/>
  <c r="E72" i="21"/>
  <c r="V36" i="9"/>
  <c r="N30" i="34" s="1"/>
  <c r="W36" i="29"/>
  <c r="S37" i="29" s="1"/>
  <c r="U37" i="29" s="1"/>
  <c r="F321" i="7"/>
  <c r="G313" i="7"/>
  <c r="V64" i="9"/>
  <c r="V30" i="34" s="1"/>
  <c r="F129" i="26"/>
  <c r="R162" i="7"/>
  <c r="S174" i="7" s="1"/>
  <c r="T186" i="7" s="1"/>
  <c r="U198" i="7" s="1"/>
  <c r="V210" i="7" s="1"/>
  <c r="I13" i="31"/>
  <c r="I98" i="31" s="1"/>
  <c r="I13" i="30"/>
  <c r="I13" i="29"/>
  <c r="J70" i="9"/>
  <c r="J42" i="9"/>
  <c r="J98" i="9"/>
  <c r="L144" i="7"/>
  <c r="K262" i="7"/>
  <c r="J14" i="9" s="1"/>
  <c r="K312" i="7"/>
  <c r="J98" i="31"/>
  <c r="J70" i="31"/>
  <c r="J42" i="31"/>
  <c r="W8" i="30"/>
  <c r="S9" i="30" s="1"/>
  <c r="U9" i="30" s="1"/>
  <c r="S94" i="26"/>
  <c r="V92" i="31"/>
  <c r="W92" i="31" s="1"/>
  <c r="S93" i="31" s="1"/>
  <c r="U93" i="31" s="1"/>
  <c r="W93" i="31" s="1"/>
  <c r="S94" i="31" s="1"/>
  <c r="U94" i="31" s="1"/>
  <c r="W64" i="29"/>
  <c r="S65" i="29" s="1"/>
  <c r="U65" i="29" s="1"/>
  <c r="F271" i="7"/>
  <c r="V315" i="7"/>
  <c r="L25" i="9"/>
  <c r="G67" i="26"/>
  <c r="F67" i="26"/>
  <c r="W92" i="29"/>
  <c r="S93" i="29" s="1"/>
  <c r="U93" i="29" s="1"/>
  <c r="J159" i="26"/>
  <c r="U8" i="26"/>
  <c r="J10" i="33"/>
  <c r="W10" i="33" s="1"/>
  <c r="V36" i="30"/>
  <c r="W36" i="30" s="1"/>
  <c r="S37" i="30" s="1"/>
  <c r="U37" i="30" s="1"/>
  <c r="S66" i="26"/>
  <c r="U53" i="12"/>
  <c r="V53" i="12" s="1"/>
  <c r="D53" i="32"/>
  <c r="M108" i="31"/>
  <c r="M80" i="31"/>
  <c r="M52" i="31"/>
  <c r="J38" i="26"/>
  <c r="V36" i="31"/>
  <c r="W36" i="31" s="1"/>
  <c r="S37" i="31" s="1"/>
  <c r="U37" i="31" s="1"/>
  <c r="W37" i="31" s="1"/>
  <c r="S38" i="31" s="1"/>
  <c r="U38" i="31" s="1"/>
  <c r="V37" i="29"/>
  <c r="W37" i="29" s="1"/>
  <c r="S38" i="29" s="1"/>
  <c r="U38" i="29" s="1"/>
  <c r="V92" i="30"/>
  <c r="W92" i="30" s="1"/>
  <c r="S93" i="30" s="1"/>
  <c r="U93" i="30" s="1"/>
  <c r="K29" i="34"/>
  <c r="B161" i="15"/>
  <c r="U35" i="9"/>
  <c r="K9" i="9"/>
  <c r="K73" i="7"/>
  <c r="J317" i="7"/>
  <c r="J305" i="7"/>
  <c r="O13" i="31" s="1"/>
  <c r="J267" i="7"/>
  <c r="I81" i="7"/>
  <c r="H77" i="7"/>
  <c r="G263" i="7"/>
  <c r="J304" i="7"/>
  <c r="N13" i="31" s="1"/>
  <c r="M128" i="26"/>
  <c r="N97" i="30"/>
  <c r="N41" i="30"/>
  <c r="N69" i="30"/>
  <c r="V303" i="7"/>
  <c r="K10" i="29"/>
  <c r="G285" i="7"/>
  <c r="K94" i="29"/>
  <c r="K66" i="29"/>
  <c r="K38" i="29"/>
  <c r="F40" i="26" s="1"/>
  <c r="F10" i="26"/>
  <c r="I300" i="7"/>
  <c r="I312" i="7"/>
  <c r="I262" i="7"/>
  <c r="G129" i="26"/>
  <c r="K93" i="30"/>
  <c r="H95" i="26" s="1"/>
  <c r="T95" i="26" s="1"/>
  <c r="K37" i="30"/>
  <c r="H39" i="26" s="1"/>
  <c r="K65" i="30"/>
  <c r="H67" i="26" s="1"/>
  <c r="T67" i="26" s="1"/>
  <c r="H9" i="26"/>
  <c r="M9" i="26" s="1"/>
  <c r="U81" i="12"/>
  <c r="V81" i="12" s="1"/>
  <c r="D82" i="32"/>
  <c r="J66" i="26"/>
  <c r="U66" i="26" s="1"/>
  <c r="V64" i="31"/>
  <c r="W64" i="31" s="1"/>
  <c r="S65" i="31" s="1"/>
  <c r="U65" i="31" s="1"/>
  <c r="W65" i="31" s="1"/>
  <c r="S66" i="31" s="1"/>
  <c r="U66" i="31" s="1"/>
  <c r="V65" i="29"/>
  <c r="I69" i="7"/>
  <c r="L110" i="12"/>
  <c r="L82" i="12"/>
  <c r="L54" i="12"/>
  <c r="D25" i="32"/>
  <c r="U26" i="12"/>
  <c r="V26" i="12" s="1"/>
  <c r="I10" i="31"/>
  <c r="I10" i="30"/>
  <c r="I10" i="29"/>
  <c r="J95" i="9"/>
  <c r="J67" i="9"/>
  <c r="J39" i="9"/>
  <c r="O127" i="26"/>
  <c r="M108" i="9"/>
  <c r="M80" i="9"/>
  <c r="M52" i="9"/>
  <c r="O97" i="31"/>
  <c r="O69" i="31"/>
  <c r="O41" i="31"/>
  <c r="V265" i="7"/>
  <c r="O93" i="9"/>
  <c r="V93" i="9" s="1"/>
  <c r="O65" i="9"/>
  <c r="V65" i="9" s="1"/>
  <c r="O37" i="9"/>
  <c r="V37" i="9" s="1"/>
  <c r="N97" i="31"/>
  <c r="N69" i="31"/>
  <c r="N41" i="31"/>
  <c r="L109" i="9"/>
  <c r="L81" i="9"/>
  <c r="L53" i="9"/>
  <c r="H19" i="7"/>
  <c r="H45" i="17"/>
  <c r="M85" i="7"/>
  <c r="L24" i="30"/>
  <c r="U297" i="7"/>
  <c r="F30" i="34"/>
  <c r="F72" i="34" s="1"/>
  <c r="F41" i="33"/>
  <c r="M41" i="33" s="1"/>
  <c r="O94" i="30"/>
  <c r="O38" i="30"/>
  <c r="O66" i="30"/>
  <c r="W8" i="31"/>
  <c r="S9" i="31" s="1"/>
  <c r="U9" i="31" s="1"/>
  <c r="S29" i="34"/>
  <c r="U63" i="9"/>
  <c r="C161" i="15"/>
  <c r="D110" i="32"/>
  <c r="U109" i="12"/>
  <c r="V109" i="12" s="1"/>
  <c r="V93" i="29"/>
  <c r="L81" i="29"/>
  <c r="L109" i="29"/>
  <c r="L53" i="29"/>
  <c r="C29" i="34"/>
  <c r="C71" i="34" s="1"/>
  <c r="U6" i="9"/>
  <c r="C40" i="33"/>
  <c r="J40" i="33" s="1"/>
  <c r="K95" i="31"/>
  <c r="K67" i="31"/>
  <c r="K39" i="31"/>
  <c r="H37" i="20"/>
  <c r="L72" i="24"/>
  <c r="E80" i="24"/>
  <c r="G289" i="7"/>
  <c r="G27" i="7"/>
  <c r="L108" i="30"/>
  <c r="L52" i="30"/>
  <c r="L80" i="30"/>
  <c r="K9" i="30"/>
  <c r="V9" i="30" s="1"/>
  <c r="F297" i="7"/>
  <c r="I40" i="20"/>
  <c r="M72" i="24"/>
  <c r="V92" i="9"/>
  <c r="H93" i="7"/>
  <c r="H301" i="7" s="1"/>
  <c r="K11" i="31" s="1"/>
  <c r="G89" i="7"/>
  <c r="J11" i="31"/>
  <c r="V290" i="7"/>
  <c r="V27" i="7"/>
  <c r="H129" i="26"/>
  <c r="T38" i="26"/>
  <c r="J11" i="9"/>
  <c r="F160" i="26"/>
  <c r="S9" i="26"/>
  <c r="F11" i="33"/>
  <c r="S11" i="33" s="1"/>
  <c r="O9" i="9"/>
  <c r="I45" i="7"/>
  <c r="J57" i="7" s="1"/>
  <c r="K9" i="31"/>
  <c r="V9" i="31" s="1"/>
  <c r="F309" i="7"/>
  <c r="I316" i="7"/>
  <c r="I266" i="7"/>
  <c r="I280" i="7"/>
  <c r="I13" i="7"/>
  <c r="I93" i="7"/>
  <c r="H89" i="7"/>
  <c r="L25" i="29"/>
  <c r="V285" i="7"/>
  <c r="U91" i="9"/>
  <c r="AA29" i="34"/>
  <c r="D161" i="15"/>
  <c r="J36" i="7"/>
  <c r="I45" i="22"/>
  <c r="H37" i="7"/>
  <c r="G45" i="22"/>
  <c r="M110" i="30"/>
  <c r="M82" i="30"/>
  <c r="M54" i="30"/>
  <c r="I289" i="7"/>
  <c r="S39" i="26"/>
  <c r="V64" i="30"/>
  <c r="W64" i="30" s="1"/>
  <c r="S65" i="30" s="1"/>
  <c r="U65" i="30" s="1"/>
  <c r="H277" i="7"/>
  <c r="H13" i="7"/>
  <c r="J95" i="31"/>
  <c r="J67" i="31"/>
  <c r="J39" i="31"/>
  <c r="J11" i="26"/>
  <c r="M8" i="26"/>
  <c r="H159" i="26"/>
  <c r="T8" i="26"/>
  <c r="H10" i="33"/>
  <c r="U10" i="33" s="1"/>
  <c r="H41" i="22"/>
  <c r="L72" i="21"/>
  <c r="I94" i="29"/>
  <c r="I66" i="29"/>
  <c r="I38" i="29"/>
  <c r="V38" i="29" s="1"/>
  <c r="V9" i="29"/>
  <c r="W9" i="29" s="1"/>
  <c r="S10" i="29" s="1"/>
  <c r="U10" i="29" s="1"/>
  <c r="V314" i="7"/>
  <c r="V8" i="9"/>
  <c r="J130" i="26"/>
  <c r="U39" i="26"/>
  <c r="M24" i="9"/>
  <c r="I66" i="30"/>
  <c r="I94" i="30"/>
  <c r="I38" i="30"/>
  <c r="F95" i="26"/>
  <c r="G95" i="26"/>
  <c r="M24" i="31"/>
  <c r="I94" i="31"/>
  <c r="G293" i="7"/>
  <c r="O10" i="30" s="1"/>
  <c r="G317" i="7"/>
  <c r="G41" i="7"/>
  <c r="G267" i="7"/>
  <c r="M38" i="26" l="1"/>
  <c r="V65" i="30"/>
  <c r="W65" i="30" s="1"/>
  <c r="S66" i="30" s="1"/>
  <c r="U66" i="30" s="1"/>
  <c r="M66" i="26"/>
  <c r="H313" i="7"/>
  <c r="I98" i="29"/>
  <c r="V98" i="29" s="1"/>
  <c r="I70" i="29"/>
  <c r="V70" i="29" s="1"/>
  <c r="I42" i="29"/>
  <c r="V42" i="29" s="1"/>
  <c r="V13" i="29"/>
  <c r="W65" i="29"/>
  <c r="S66" i="29" s="1"/>
  <c r="U66" i="29" s="1"/>
  <c r="I14" i="30"/>
  <c r="I14" i="29"/>
  <c r="I14" i="31"/>
  <c r="I99" i="31" s="1"/>
  <c r="J71" i="9"/>
  <c r="J43" i="9"/>
  <c r="J99" i="9"/>
  <c r="I98" i="30"/>
  <c r="I70" i="30"/>
  <c r="I42" i="30"/>
  <c r="M158" i="7"/>
  <c r="L262" i="7"/>
  <c r="J15" i="9" s="1"/>
  <c r="L312" i="7"/>
  <c r="W9" i="30"/>
  <c r="S10" i="30" s="1"/>
  <c r="U10" i="30" s="1"/>
  <c r="H263" i="7"/>
  <c r="K11" i="9" s="1"/>
  <c r="V94" i="29"/>
  <c r="V37" i="30"/>
  <c r="W37" i="30" s="1"/>
  <c r="S38" i="30" s="1"/>
  <c r="U38" i="30" s="1"/>
  <c r="S67" i="26"/>
  <c r="W93" i="29"/>
  <c r="S94" i="29" s="1"/>
  <c r="U94" i="29" s="1"/>
  <c r="J97" i="26"/>
  <c r="I11" i="31"/>
  <c r="I11" i="30"/>
  <c r="I11" i="29"/>
  <c r="J68" i="9"/>
  <c r="J40" i="9"/>
  <c r="J96" i="9"/>
  <c r="L109" i="30"/>
  <c r="L53" i="30"/>
  <c r="L81" i="30"/>
  <c r="D54" i="32"/>
  <c r="U54" i="12"/>
  <c r="V54" i="12" s="1"/>
  <c r="K95" i="29"/>
  <c r="K39" i="29"/>
  <c r="F41" i="26" s="1"/>
  <c r="K67" i="29"/>
  <c r="F11" i="26"/>
  <c r="L85" i="7"/>
  <c r="K305" i="7"/>
  <c r="O14" i="31" s="1"/>
  <c r="K317" i="7"/>
  <c r="K267" i="7"/>
  <c r="M39" i="26"/>
  <c r="N31" i="34"/>
  <c r="S95" i="26"/>
  <c r="V66" i="29"/>
  <c r="J162" i="26"/>
  <c r="J13" i="33"/>
  <c r="W13" i="33" s="1"/>
  <c r="K12" i="30"/>
  <c r="L82" i="29"/>
  <c r="L110" i="29"/>
  <c r="L54" i="29"/>
  <c r="O66" i="9"/>
  <c r="O38" i="9"/>
  <c r="O94" i="9"/>
  <c r="I105" i="7"/>
  <c r="J118" i="7" s="1"/>
  <c r="H101" i="7"/>
  <c r="K66" i="30"/>
  <c r="H68" i="26" s="1"/>
  <c r="T68" i="26" s="1"/>
  <c r="K94" i="30"/>
  <c r="H96" i="26" s="1"/>
  <c r="T96" i="26" s="1"/>
  <c r="K38" i="30"/>
  <c r="H40" i="26" s="1"/>
  <c r="H10" i="26"/>
  <c r="J45" i="7"/>
  <c r="K57" i="7" s="1"/>
  <c r="W9" i="31"/>
  <c r="S10" i="31" s="1"/>
  <c r="U10" i="31" s="1"/>
  <c r="D83" i="32"/>
  <c r="U82" i="12"/>
  <c r="V82" i="12" s="1"/>
  <c r="J12" i="31"/>
  <c r="N42" i="31"/>
  <c r="N70" i="31"/>
  <c r="N98" i="31"/>
  <c r="M159" i="26"/>
  <c r="M10" i="33"/>
  <c r="Z10" i="33" s="1"/>
  <c r="H317" i="7"/>
  <c r="H267" i="7"/>
  <c r="H293" i="7"/>
  <c r="O11" i="30" s="1"/>
  <c r="H41" i="7"/>
  <c r="J41" i="26"/>
  <c r="J266" i="7"/>
  <c r="J316" i="7"/>
  <c r="J292" i="7"/>
  <c r="J41" i="7"/>
  <c r="M160" i="26"/>
  <c r="M11" i="33"/>
  <c r="Z11" i="33" s="1"/>
  <c r="M94" i="26"/>
  <c r="AD30" i="34"/>
  <c r="U110" i="12"/>
  <c r="V110" i="12" s="1"/>
  <c r="D111" i="32"/>
  <c r="H160" i="26"/>
  <c r="T9" i="26"/>
  <c r="H11" i="33"/>
  <c r="U11" i="33" s="1"/>
  <c r="M25" i="31"/>
  <c r="K94" i="9"/>
  <c r="K66" i="9"/>
  <c r="K38" i="9"/>
  <c r="V9" i="9"/>
  <c r="J129" i="26"/>
  <c r="U38" i="26"/>
  <c r="J69" i="26"/>
  <c r="I95" i="29"/>
  <c r="I67" i="29"/>
  <c r="I39" i="29"/>
  <c r="V39" i="29" s="1"/>
  <c r="V10" i="29"/>
  <c r="W10" i="29" s="1"/>
  <c r="S11" i="29" s="1"/>
  <c r="U11" i="29" s="1"/>
  <c r="S10" i="26"/>
  <c r="F161" i="26"/>
  <c r="F12" i="33"/>
  <c r="S12" i="33" s="1"/>
  <c r="M29" i="34"/>
  <c r="W35" i="9"/>
  <c r="N37" i="26"/>
  <c r="K94" i="31"/>
  <c r="J96" i="26" s="1"/>
  <c r="U96" i="26" s="1"/>
  <c r="K66" i="31"/>
  <c r="K38" i="31"/>
  <c r="J10" i="26"/>
  <c r="K10" i="9"/>
  <c r="O10" i="9"/>
  <c r="J69" i="7"/>
  <c r="I37" i="7"/>
  <c r="H45" i="22"/>
  <c r="J105" i="7"/>
  <c r="I101" i="7"/>
  <c r="L25" i="30"/>
  <c r="V297" i="7"/>
  <c r="N97" i="7"/>
  <c r="I39" i="30"/>
  <c r="I67" i="30"/>
  <c r="I95" i="30"/>
  <c r="J81" i="7"/>
  <c r="H130" i="26"/>
  <c r="T39" i="26"/>
  <c r="S40" i="26"/>
  <c r="J93" i="7"/>
  <c r="I89" i="7"/>
  <c r="E161" i="15"/>
  <c r="F42" i="33"/>
  <c r="M42" i="33" s="1"/>
  <c r="F31" i="34"/>
  <c r="F73" i="34" s="1"/>
  <c r="F68" i="26"/>
  <c r="G68" i="26"/>
  <c r="O13" i="9"/>
  <c r="L54" i="9"/>
  <c r="L82" i="9"/>
  <c r="L110" i="9"/>
  <c r="K96" i="31"/>
  <c r="K68" i="31"/>
  <c r="K40" i="31"/>
  <c r="K48" i="7"/>
  <c r="L60" i="7" s="1"/>
  <c r="V31" i="34"/>
  <c r="M67" i="26"/>
  <c r="I95" i="31"/>
  <c r="K11" i="29"/>
  <c r="H285" i="7"/>
  <c r="F130" i="26"/>
  <c r="N12" i="29"/>
  <c r="I285" i="7"/>
  <c r="J96" i="31"/>
  <c r="J68" i="31"/>
  <c r="J40" i="31"/>
  <c r="J12" i="26"/>
  <c r="K10" i="30"/>
  <c r="V10" i="30" s="1"/>
  <c r="G297" i="7"/>
  <c r="E29" i="34"/>
  <c r="E71" i="34" s="1"/>
  <c r="N7" i="26"/>
  <c r="W7" i="26" s="1"/>
  <c r="E40" i="33"/>
  <c r="L40" i="33" s="1"/>
  <c r="W6" i="9"/>
  <c r="M95" i="26"/>
  <c r="AD31" i="34"/>
  <c r="G96" i="26"/>
  <c r="F96" i="26"/>
  <c r="O98" i="31"/>
  <c r="O70" i="31"/>
  <c r="O42" i="31"/>
  <c r="W38" i="29"/>
  <c r="S39" i="29" s="1"/>
  <c r="U39" i="29" s="1"/>
  <c r="O95" i="30"/>
  <c r="O39" i="30"/>
  <c r="O67" i="30"/>
  <c r="M109" i="31"/>
  <c r="M53" i="31"/>
  <c r="M81" i="31"/>
  <c r="M53" i="9"/>
  <c r="M109" i="9"/>
  <c r="M81" i="9"/>
  <c r="N93" i="26"/>
  <c r="W93" i="26" s="1"/>
  <c r="AC29" i="34"/>
  <c r="W91" i="9"/>
  <c r="N12" i="9"/>
  <c r="E72" i="24"/>
  <c r="N65" i="26"/>
  <c r="W65" i="26" s="1"/>
  <c r="W63" i="9"/>
  <c r="U29" i="34"/>
  <c r="H289" i="7"/>
  <c r="H27" i="7"/>
  <c r="M25" i="9"/>
  <c r="J12" i="9"/>
  <c r="V93" i="30"/>
  <c r="W93" i="30" s="1"/>
  <c r="S94" i="30" s="1"/>
  <c r="U94" i="30" s="1"/>
  <c r="G130" i="26"/>
  <c r="M129" i="26" l="1"/>
  <c r="V95" i="29"/>
  <c r="V67" i="29"/>
  <c r="V94" i="30"/>
  <c r="W94" i="30" s="1"/>
  <c r="S95" i="30" s="1"/>
  <c r="U95" i="30" s="1"/>
  <c r="V66" i="30"/>
  <c r="W66" i="30" s="1"/>
  <c r="S67" i="30" s="1"/>
  <c r="U67" i="30" s="1"/>
  <c r="I301" i="7"/>
  <c r="K12" i="31" s="1"/>
  <c r="K41" i="31" s="1"/>
  <c r="W66" i="29"/>
  <c r="S67" i="29" s="1"/>
  <c r="U67" i="29" s="1"/>
  <c r="M10" i="26"/>
  <c r="M161" i="26" s="1"/>
  <c r="J113" i="7"/>
  <c r="K118" i="7"/>
  <c r="J100" i="9"/>
  <c r="J44" i="9"/>
  <c r="I15" i="30"/>
  <c r="J72" i="9"/>
  <c r="I15" i="29"/>
  <c r="I15" i="31"/>
  <c r="I100" i="31" s="1"/>
  <c r="K131" i="7"/>
  <c r="J126" i="7"/>
  <c r="I71" i="30"/>
  <c r="V71" i="30" s="1"/>
  <c r="I43" i="30"/>
  <c r="V43" i="30" s="1"/>
  <c r="I99" i="30"/>
  <c r="V99" i="30" s="1"/>
  <c r="V14" i="30"/>
  <c r="N170" i="7"/>
  <c r="M262" i="7"/>
  <c r="J16" i="9" s="1"/>
  <c r="M312" i="7"/>
  <c r="I99" i="29"/>
  <c r="V99" i="29" s="1"/>
  <c r="I71" i="29"/>
  <c r="V71" i="29" s="1"/>
  <c r="I43" i="29"/>
  <c r="V43" i="29" s="1"/>
  <c r="V14" i="29"/>
  <c r="W10" i="30"/>
  <c r="S11" i="30" s="1"/>
  <c r="U11" i="30" s="1"/>
  <c r="W94" i="29"/>
  <c r="S95" i="29" s="1"/>
  <c r="U95" i="29" s="1"/>
  <c r="S96" i="26"/>
  <c r="S68" i="26"/>
  <c r="V94" i="9"/>
  <c r="M96" i="26" s="1"/>
  <c r="V66" i="9"/>
  <c r="M68" i="26" s="1"/>
  <c r="W39" i="29"/>
  <c r="S40" i="29" s="1"/>
  <c r="U40" i="29" s="1"/>
  <c r="O109" i="7"/>
  <c r="P122" i="7" s="1"/>
  <c r="H161" i="26"/>
  <c r="T10" i="26"/>
  <c r="H12" i="33"/>
  <c r="U12" i="33" s="1"/>
  <c r="H131" i="26"/>
  <c r="T40" i="26"/>
  <c r="I96" i="29"/>
  <c r="I40" i="29"/>
  <c r="I68" i="29"/>
  <c r="V11" i="29"/>
  <c r="W11" i="29" s="1"/>
  <c r="S12" i="29" s="1"/>
  <c r="U12" i="29" s="1"/>
  <c r="K11" i="30"/>
  <c r="V11" i="30" s="1"/>
  <c r="H297" i="7"/>
  <c r="K304" i="7"/>
  <c r="N14" i="31" s="1"/>
  <c r="K316" i="7"/>
  <c r="K266" i="7"/>
  <c r="I317" i="7"/>
  <c r="I293" i="7"/>
  <c r="I267" i="7"/>
  <c r="I41" i="7"/>
  <c r="V38" i="31"/>
  <c r="W38" i="31" s="1"/>
  <c r="S39" i="31" s="1"/>
  <c r="U39" i="31" s="1"/>
  <c r="J40" i="26"/>
  <c r="N13" i="9"/>
  <c r="F162" i="26"/>
  <c r="S11" i="26"/>
  <c r="F13" i="33"/>
  <c r="S13" i="33" s="1"/>
  <c r="I96" i="30"/>
  <c r="I68" i="30"/>
  <c r="I40" i="30"/>
  <c r="K67" i="9"/>
  <c r="K39" i="9"/>
  <c r="K95" i="9"/>
  <c r="K39" i="30"/>
  <c r="H41" i="26" s="1"/>
  <c r="K67" i="30"/>
  <c r="H69" i="26" s="1"/>
  <c r="T69" i="26" s="1"/>
  <c r="K95" i="30"/>
  <c r="H97" i="26" s="1"/>
  <c r="T97" i="26" s="1"/>
  <c r="H11" i="26"/>
  <c r="F131" i="26"/>
  <c r="L110" i="30"/>
  <c r="L82" i="30"/>
  <c r="L54" i="30"/>
  <c r="J68" i="26"/>
  <c r="U68" i="26" s="1"/>
  <c r="V66" i="31"/>
  <c r="W66" i="31" s="1"/>
  <c r="S67" i="31" s="1"/>
  <c r="U67" i="31" s="1"/>
  <c r="V38" i="30"/>
  <c r="W38" i="30" s="1"/>
  <c r="S39" i="30" s="1"/>
  <c r="U39" i="30" s="1"/>
  <c r="V94" i="31"/>
  <c r="W94" i="31" s="1"/>
  <c r="S95" i="31" s="1"/>
  <c r="U95" i="31" s="1"/>
  <c r="G69" i="26"/>
  <c r="F69" i="26"/>
  <c r="I96" i="31"/>
  <c r="M54" i="9"/>
  <c r="M82" i="9"/>
  <c r="M110" i="9"/>
  <c r="N13" i="30"/>
  <c r="J297" i="7"/>
  <c r="O99" i="31"/>
  <c r="O71" i="31"/>
  <c r="O43" i="31"/>
  <c r="K68" i="9"/>
  <c r="K40" i="9"/>
  <c r="K96" i="9"/>
  <c r="M97" i="7"/>
  <c r="L267" i="7"/>
  <c r="L317" i="7"/>
  <c r="L305" i="7"/>
  <c r="O15" i="31" s="1"/>
  <c r="O65" i="26"/>
  <c r="W29" i="34"/>
  <c r="S64" i="9"/>
  <c r="J163" i="26"/>
  <c r="J14" i="33"/>
  <c r="W14" i="33" s="1"/>
  <c r="K96" i="29"/>
  <c r="K68" i="29"/>
  <c r="K40" i="29"/>
  <c r="F42" i="26" s="1"/>
  <c r="F12" i="26"/>
  <c r="K69" i="7"/>
  <c r="K81" i="7"/>
  <c r="M110" i="31"/>
  <c r="M54" i="31"/>
  <c r="M82" i="31"/>
  <c r="J132" i="26"/>
  <c r="S41" i="26"/>
  <c r="N69" i="29"/>
  <c r="N97" i="29"/>
  <c r="N41" i="29"/>
  <c r="F43" i="26" s="1"/>
  <c r="F13" i="26"/>
  <c r="K105" i="7"/>
  <c r="J101" i="7"/>
  <c r="J161" i="26"/>
  <c r="J12" i="33"/>
  <c r="W12" i="33" s="1"/>
  <c r="U10" i="26"/>
  <c r="J97" i="31"/>
  <c r="J69" i="31"/>
  <c r="J41" i="31"/>
  <c r="J13" i="26"/>
  <c r="N69" i="9"/>
  <c r="N41" i="9"/>
  <c r="N97" i="9"/>
  <c r="O93" i="26"/>
  <c r="S92" i="9"/>
  <c r="AE29" i="34"/>
  <c r="J42" i="26"/>
  <c r="N128" i="26"/>
  <c r="W37" i="26"/>
  <c r="I313" i="7"/>
  <c r="I263" i="7"/>
  <c r="I113" i="7"/>
  <c r="K69" i="30"/>
  <c r="K97" i="30"/>
  <c r="K41" i="30"/>
  <c r="M130" i="26"/>
  <c r="G97" i="26"/>
  <c r="F97" i="26"/>
  <c r="I12" i="30"/>
  <c r="I12" i="31"/>
  <c r="I12" i="29"/>
  <c r="J97" i="9"/>
  <c r="J41" i="9"/>
  <c r="J69" i="9"/>
  <c r="J70" i="26"/>
  <c r="O98" i="9"/>
  <c r="O70" i="9"/>
  <c r="O42" i="9"/>
  <c r="O7" i="26"/>
  <c r="G40" i="33"/>
  <c r="N40" i="33" s="1"/>
  <c r="S7" i="9"/>
  <c r="G29" i="34"/>
  <c r="G71" i="34" s="1"/>
  <c r="O67" i="9"/>
  <c r="O39" i="9"/>
  <c r="O95" i="9"/>
  <c r="O37" i="26"/>
  <c r="O29" i="34"/>
  <c r="S36" i="9"/>
  <c r="O68" i="30"/>
  <c r="O96" i="30"/>
  <c r="O40" i="30"/>
  <c r="O14" i="9"/>
  <c r="J98" i="26"/>
  <c r="G131" i="26"/>
  <c r="K93" i="7"/>
  <c r="F32" i="34"/>
  <c r="F74" i="34" s="1"/>
  <c r="F43" i="33"/>
  <c r="M43" i="33" s="1"/>
  <c r="O11" i="9"/>
  <c r="J301" i="7"/>
  <c r="J313" i="7"/>
  <c r="J263" i="7"/>
  <c r="V38" i="9"/>
  <c r="K97" i="31" l="1"/>
  <c r="J99" i="26" s="1"/>
  <c r="K69" i="31"/>
  <c r="J71" i="26" s="1"/>
  <c r="W95" i="29"/>
  <c r="S96" i="29" s="1"/>
  <c r="U96" i="29" s="1"/>
  <c r="W67" i="29"/>
  <c r="S68" i="29" s="1"/>
  <c r="U68" i="29" s="1"/>
  <c r="F132" i="26"/>
  <c r="M12" i="33"/>
  <c r="Z12" i="33" s="1"/>
  <c r="I44" i="30"/>
  <c r="V44" i="30" s="1"/>
  <c r="I100" i="30"/>
  <c r="V100" i="30" s="1"/>
  <c r="I72" i="30"/>
  <c r="V72" i="30" s="1"/>
  <c r="V15" i="30"/>
  <c r="Q135" i="7"/>
  <c r="P305" i="7"/>
  <c r="O19" i="31" s="1"/>
  <c r="J45" i="9"/>
  <c r="J73" i="9"/>
  <c r="J101" i="9"/>
  <c r="I16" i="31"/>
  <c r="I101" i="31" s="1"/>
  <c r="I16" i="30"/>
  <c r="I16" i="29"/>
  <c r="O182" i="7"/>
  <c r="N312" i="7"/>
  <c r="N262" i="7"/>
  <c r="J17" i="9" s="1"/>
  <c r="L145" i="7"/>
  <c r="K139" i="7"/>
  <c r="L131" i="7"/>
  <c r="K126" i="7"/>
  <c r="K113" i="7"/>
  <c r="L118" i="7"/>
  <c r="I72" i="29"/>
  <c r="V72" i="29" s="1"/>
  <c r="I100" i="29"/>
  <c r="V100" i="29" s="1"/>
  <c r="I44" i="29"/>
  <c r="V44" i="29" s="1"/>
  <c r="V15" i="29"/>
  <c r="W11" i="30"/>
  <c r="S12" i="30" s="1"/>
  <c r="U12" i="30" s="1"/>
  <c r="O128" i="26"/>
  <c r="AD32" i="34"/>
  <c r="V32" i="34"/>
  <c r="G132" i="26"/>
  <c r="V40" i="29"/>
  <c r="W40" i="29" s="1"/>
  <c r="S41" i="29" s="1"/>
  <c r="U41" i="29" s="1"/>
  <c r="V95" i="30"/>
  <c r="W95" i="30" s="1"/>
  <c r="S96" i="30" s="1"/>
  <c r="U96" i="30" s="1"/>
  <c r="S97" i="26"/>
  <c r="H132" i="26"/>
  <c r="T41" i="26"/>
  <c r="O12" i="9"/>
  <c r="M72" i="7"/>
  <c r="L266" i="7"/>
  <c r="L304" i="7"/>
  <c r="N15" i="31" s="1"/>
  <c r="L316" i="7"/>
  <c r="V96" i="29"/>
  <c r="I97" i="29"/>
  <c r="V97" i="29" s="1"/>
  <c r="I69" i="29"/>
  <c r="V69" i="29" s="1"/>
  <c r="I41" i="29"/>
  <c r="V41" i="29" s="1"/>
  <c r="V12" i="29"/>
  <c r="W12" i="29" s="1"/>
  <c r="S13" i="29" s="1"/>
  <c r="U13" i="29" s="1"/>
  <c r="W13" i="29" s="1"/>
  <c r="S14" i="29" s="1"/>
  <c r="U14" i="29" s="1"/>
  <c r="W14" i="29" s="1"/>
  <c r="S15" i="29" s="1"/>
  <c r="U15" i="29" s="1"/>
  <c r="L93" i="7"/>
  <c r="O15" i="9"/>
  <c r="S69" i="26"/>
  <c r="O12" i="30"/>
  <c r="I297" i="7"/>
  <c r="N99" i="31"/>
  <c r="N43" i="31"/>
  <c r="N71" i="31"/>
  <c r="L69" i="7"/>
  <c r="K313" i="7"/>
  <c r="K263" i="7"/>
  <c r="K301" i="7"/>
  <c r="O100" i="31"/>
  <c r="O44" i="31"/>
  <c r="O72" i="31"/>
  <c r="G98" i="26"/>
  <c r="F98" i="26"/>
  <c r="N109" i="7"/>
  <c r="O122" i="7" s="1"/>
  <c r="P135" i="7" s="1"/>
  <c r="Q149" i="7" s="1"/>
  <c r="M305" i="7"/>
  <c r="O16" i="31" s="1"/>
  <c r="M267" i="7"/>
  <c r="M317" i="7"/>
  <c r="V39" i="30"/>
  <c r="W39" i="30" s="1"/>
  <c r="S40" i="30" s="1"/>
  <c r="U40" i="30" s="1"/>
  <c r="G70" i="26"/>
  <c r="F70" i="26"/>
  <c r="K13" i="31"/>
  <c r="O96" i="9"/>
  <c r="O68" i="9"/>
  <c r="O40" i="9"/>
  <c r="I97" i="31"/>
  <c r="M40" i="26"/>
  <c r="M131" i="26" s="1"/>
  <c r="N32" i="34"/>
  <c r="K30" i="34"/>
  <c r="U36" i="9"/>
  <c r="B162" i="15"/>
  <c r="I97" i="30"/>
  <c r="I41" i="30"/>
  <c r="I69" i="30"/>
  <c r="V12" i="30"/>
  <c r="J133" i="26"/>
  <c r="J164" i="26"/>
  <c r="J15" i="33"/>
  <c r="W15" i="33" s="1"/>
  <c r="L81" i="7"/>
  <c r="N70" i="30"/>
  <c r="N98" i="30"/>
  <c r="N42" i="30"/>
  <c r="H14" i="26"/>
  <c r="V13" i="30"/>
  <c r="V67" i="30"/>
  <c r="W67" i="30" s="1"/>
  <c r="S68" i="30" s="1"/>
  <c r="U68" i="30" s="1"/>
  <c r="F71" i="26"/>
  <c r="G71" i="26"/>
  <c r="C162" i="15"/>
  <c r="U64" i="9"/>
  <c r="S30" i="34"/>
  <c r="J43" i="26"/>
  <c r="N70" i="9"/>
  <c r="N42" i="9"/>
  <c r="N98" i="9"/>
  <c r="K96" i="30"/>
  <c r="H98" i="26" s="1"/>
  <c r="T98" i="26" s="1"/>
  <c r="K40" i="30"/>
  <c r="H42" i="26" s="1"/>
  <c r="K68" i="30"/>
  <c r="H70" i="26" s="1"/>
  <c r="T70" i="26" s="1"/>
  <c r="H12" i="26"/>
  <c r="K13" i="9"/>
  <c r="O99" i="9"/>
  <c r="O71" i="9"/>
  <c r="O43" i="9"/>
  <c r="U7" i="9"/>
  <c r="C41" i="33"/>
  <c r="J41" i="33" s="1"/>
  <c r="C30" i="34"/>
  <c r="C72" i="34" s="1"/>
  <c r="K12" i="9"/>
  <c r="D162" i="15"/>
  <c r="AA30" i="34"/>
  <c r="U92" i="9"/>
  <c r="S43" i="26"/>
  <c r="F163" i="26"/>
  <c r="S12" i="26"/>
  <c r="F14" i="33"/>
  <c r="S14" i="33" s="1"/>
  <c r="H162" i="26"/>
  <c r="T11" i="26"/>
  <c r="H13" i="33"/>
  <c r="U13" i="33" s="1"/>
  <c r="U40" i="26"/>
  <c r="J131" i="26"/>
  <c r="F164" i="26"/>
  <c r="S13" i="26"/>
  <c r="F15" i="33"/>
  <c r="S15" i="33" s="1"/>
  <c r="G99" i="26"/>
  <c r="F99" i="26"/>
  <c r="S42" i="26"/>
  <c r="N14" i="9"/>
  <c r="V68" i="29"/>
  <c r="L105" i="7"/>
  <c r="W96" i="29" l="1"/>
  <c r="S97" i="29" s="1"/>
  <c r="U97" i="29" s="1"/>
  <c r="W97" i="29" s="1"/>
  <c r="S98" i="29" s="1"/>
  <c r="U98" i="29" s="1"/>
  <c r="W98" i="29" s="1"/>
  <c r="S99" i="29" s="1"/>
  <c r="U99" i="29" s="1"/>
  <c r="W99" i="29" s="1"/>
  <c r="S100" i="29" s="1"/>
  <c r="U100" i="29" s="1"/>
  <c r="W100" i="29" s="1"/>
  <c r="S101" i="29" s="1"/>
  <c r="U101" i="29" s="1"/>
  <c r="O317" i="7"/>
  <c r="O267" i="7"/>
  <c r="O18" i="9" s="1"/>
  <c r="O305" i="7"/>
  <c r="O18" i="31" s="1"/>
  <c r="O47" i="31" s="1"/>
  <c r="W68" i="29"/>
  <c r="S69" i="29" s="1"/>
  <c r="U69" i="29" s="1"/>
  <c r="W69" i="29" s="1"/>
  <c r="S70" i="29" s="1"/>
  <c r="U70" i="29" s="1"/>
  <c r="W70" i="29" s="1"/>
  <c r="S71" i="29" s="1"/>
  <c r="U71" i="29" s="1"/>
  <c r="W71" i="29" s="1"/>
  <c r="S72" i="29" s="1"/>
  <c r="U72" i="29" s="1"/>
  <c r="W72" i="29" s="1"/>
  <c r="S73" i="29" s="1"/>
  <c r="U73" i="29" s="1"/>
  <c r="S70" i="26"/>
  <c r="S99" i="26"/>
  <c r="W15" i="29"/>
  <c r="S16" i="29" s="1"/>
  <c r="U16" i="29" s="1"/>
  <c r="S71" i="26"/>
  <c r="O104" i="31"/>
  <c r="O76" i="31"/>
  <c r="O48" i="31"/>
  <c r="R163" i="7"/>
  <c r="S175" i="7" s="1"/>
  <c r="T187" i="7" s="1"/>
  <c r="U199" i="7" s="1"/>
  <c r="V211" i="7" s="1"/>
  <c r="P267" i="7"/>
  <c r="O19" i="9" s="1"/>
  <c r="M145" i="7"/>
  <c r="L139" i="7"/>
  <c r="I101" i="29"/>
  <c r="V101" i="29" s="1"/>
  <c r="I73" i="29"/>
  <c r="V73" i="29" s="1"/>
  <c r="I45" i="29"/>
  <c r="V45" i="29" s="1"/>
  <c r="V16" i="29"/>
  <c r="P317" i="7"/>
  <c r="I101" i="30"/>
  <c r="V101" i="30" s="1"/>
  <c r="I73" i="30"/>
  <c r="V73" i="30" s="1"/>
  <c r="I45" i="30"/>
  <c r="V45" i="30" s="1"/>
  <c r="V16" i="30"/>
  <c r="R149" i="7"/>
  <c r="Q317" i="7"/>
  <c r="Q267" i="7"/>
  <c r="O20" i="9" s="1"/>
  <c r="P194" i="7"/>
  <c r="O312" i="7"/>
  <c r="O262" i="7"/>
  <c r="J18" i="9" s="1"/>
  <c r="M118" i="7"/>
  <c r="M159" i="7"/>
  <c r="M167" i="7" s="1"/>
  <c r="L153" i="7"/>
  <c r="I17" i="29"/>
  <c r="J74" i="9"/>
  <c r="J46" i="9"/>
  <c r="I17" i="30"/>
  <c r="J102" i="9"/>
  <c r="I17" i="31"/>
  <c r="I102" i="31" s="1"/>
  <c r="M131" i="7"/>
  <c r="L126" i="7"/>
  <c r="W12" i="30"/>
  <c r="S13" i="30" s="1"/>
  <c r="U13" i="30" s="1"/>
  <c r="W13" i="30" s="1"/>
  <c r="S14" i="30" s="1"/>
  <c r="U14" i="30" s="1"/>
  <c r="W14" i="30" s="1"/>
  <c r="S15" i="30" s="1"/>
  <c r="U15" i="30" s="1"/>
  <c r="W15" i="30" s="1"/>
  <c r="S16" i="30" s="1"/>
  <c r="U16" i="30" s="1"/>
  <c r="W41" i="29"/>
  <c r="S42" i="29" s="1"/>
  <c r="U42" i="29" s="1"/>
  <c r="W42" i="29" s="1"/>
  <c r="S43" i="29" s="1"/>
  <c r="U43" i="29" s="1"/>
  <c r="W43" i="29" s="1"/>
  <c r="S44" i="29" s="1"/>
  <c r="U44" i="29" s="1"/>
  <c r="W44" i="29" s="1"/>
  <c r="S45" i="29" s="1"/>
  <c r="U45" i="29" s="1"/>
  <c r="F133" i="26"/>
  <c r="V96" i="30"/>
  <c r="W96" i="30" s="1"/>
  <c r="S97" i="30" s="1"/>
  <c r="U97" i="30" s="1"/>
  <c r="H163" i="26"/>
  <c r="H14" i="33"/>
  <c r="U14" i="33" s="1"/>
  <c r="T12" i="26"/>
  <c r="N305" i="7"/>
  <c r="O17" i="31" s="1"/>
  <c r="N317" i="7"/>
  <c r="N267" i="7"/>
  <c r="J134" i="26"/>
  <c r="V68" i="30"/>
  <c r="W68" i="30" s="1"/>
  <c r="S69" i="30" s="1"/>
  <c r="U69" i="30" s="1"/>
  <c r="W64" i="9"/>
  <c r="U30" i="34"/>
  <c r="N66" i="26"/>
  <c r="W66" i="26" s="1"/>
  <c r="M93" i="7"/>
  <c r="G133" i="26"/>
  <c r="S98" i="26"/>
  <c r="M105" i="7"/>
  <c r="V70" i="30"/>
  <c r="H72" i="26"/>
  <c r="T72" i="26" s="1"/>
  <c r="K98" i="31"/>
  <c r="K70" i="31"/>
  <c r="K42" i="31"/>
  <c r="J14" i="26"/>
  <c r="H133" i="26"/>
  <c r="T42" i="26"/>
  <c r="F134" i="26"/>
  <c r="O69" i="9"/>
  <c r="O41" i="9"/>
  <c r="O97" i="9"/>
  <c r="K70" i="9"/>
  <c r="K42" i="9"/>
  <c r="K98" i="9"/>
  <c r="V40" i="30"/>
  <c r="W40" i="30" s="1"/>
  <c r="S41" i="30" s="1"/>
  <c r="U41" i="30" s="1"/>
  <c r="H165" i="26"/>
  <c r="T14" i="26"/>
  <c r="H16" i="33"/>
  <c r="U16" i="33" s="1"/>
  <c r="K14" i="31"/>
  <c r="O41" i="30"/>
  <c r="H43" i="26" s="1"/>
  <c r="O69" i="30"/>
  <c r="H71" i="26" s="1"/>
  <c r="T71" i="26" s="1"/>
  <c r="O97" i="30"/>
  <c r="H99" i="26" s="1"/>
  <c r="T99" i="26" s="1"/>
  <c r="H13" i="26"/>
  <c r="N100" i="31"/>
  <c r="N72" i="31"/>
  <c r="N44" i="31"/>
  <c r="K97" i="9"/>
  <c r="K69" i="9"/>
  <c r="K41" i="9"/>
  <c r="H44" i="26"/>
  <c r="V42" i="30"/>
  <c r="E162" i="15"/>
  <c r="K14" i="9"/>
  <c r="N15" i="9"/>
  <c r="O72" i="9"/>
  <c r="O44" i="9"/>
  <c r="O100" i="9"/>
  <c r="N99" i="9"/>
  <c r="N71" i="9"/>
  <c r="N43" i="9"/>
  <c r="E41" i="33"/>
  <c r="L41" i="33" s="1"/>
  <c r="E30" i="34"/>
  <c r="E72" i="34" s="1"/>
  <c r="N8" i="26"/>
  <c r="W8" i="26" s="1"/>
  <c r="W7" i="9"/>
  <c r="G134" i="26"/>
  <c r="H100" i="26"/>
  <c r="T100" i="26" s="1"/>
  <c r="V98" i="30"/>
  <c r="W36" i="9"/>
  <c r="N38" i="26"/>
  <c r="M30" i="34"/>
  <c r="O16" i="9"/>
  <c r="N84" i="7"/>
  <c r="M304" i="7"/>
  <c r="N16" i="31" s="1"/>
  <c r="M316" i="7"/>
  <c r="M266" i="7"/>
  <c r="N94" i="26"/>
  <c r="W94" i="26" s="1"/>
  <c r="W92" i="9"/>
  <c r="AC30" i="34"/>
  <c r="O45" i="31"/>
  <c r="O73" i="31"/>
  <c r="O101" i="31"/>
  <c r="M81" i="7"/>
  <c r="L313" i="7"/>
  <c r="L301" i="7"/>
  <c r="L263" i="7"/>
  <c r="O103" i="31" l="1"/>
  <c r="O75" i="31"/>
  <c r="W16" i="29"/>
  <c r="S17" i="29" s="1"/>
  <c r="U17" i="29" s="1"/>
  <c r="W101" i="29"/>
  <c r="S102" i="29" s="1"/>
  <c r="U102" i="29" s="1"/>
  <c r="W45" i="29"/>
  <c r="S46" i="29" s="1"/>
  <c r="U46" i="29" s="1"/>
  <c r="W73" i="29"/>
  <c r="S74" i="29" s="1"/>
  <c r="U74" i="29" s="1"/>
  <c r="W16" i="30"/>
  <c r="S17" i="30" s="1"/>
  <c r="U17" i="30" s="1"/>
  <c r="N159" i="7"/>
  <c r="N167" i="7" s="1"/>
  <c r="M153" i="7"/>
  <c r="J75" i="9"/>
  <c r="J103" i="9"/>
  <c r="I18" i="31"/>
  <c r="I103" i="31" s="1"/>
  <c r="I18" i="30"/>
  <c r="I18" i="29"/>
  <c r="J47" i="9"/>
  <c r="I46" i="29"/>
  <c r="V46" i="29" s="1"/>
  <c r="I74" i="29"/>
  <c r="V74" i="29" s="1"/>
  <c r="I102" i="29"/>
  <c r="V102" i="29" s="1"/>
  <c r="V17" i="29"/>
  <c r="O104" i="9"/>
  <c r="O48" i="9"/>
  <c r="O76" i="9"/>
  <c r="Q206" i="7"/>
  <c r="P262" i="7"/>
  <c r="J19" i="9" s="1"/>
  <c r="P312" i="7"/>
  <c r="N118" i="7"/>
  <c r="N145" i="7"/>
  <c r="M139" i="7"/>
  <c r="O105" i="9"/>
  <c r="O49" i="9"/>
  <c r="O77" i="9"/>
  <c r="N171" i="7"/>
  <c r="N131" i="7"/>
  <c r="S163" i="7"/>
  <c r="R317" i="7"/>
  <c r="R267" i="7"/>
  <c r="O21" i="9" s="1"/>
  <c r="I102" i="30"/>
  <c r="V102" i="30" s="1"/>
  <c r="I74" i="30"/>
  <c r="V74" i="30" s="1"/>
  <c r="I46" i="30"/>
  <c r="V46" i="30" s="1"/>
  <c r="V17" i="30"/>
  <c r="V69" i="30"/>
  <c r="W69" i="30" s="1"/>
  <c r="S70" i="30" s="1"/>
  <c r="U70" i="30" s="1"/>
  <c r="W70" i="30" s="1"/>
  <c r="S71" i="30" s="1"/>
  <c r="U71" i="30" s="1"/>
  <c r="W71" i="30" s="1"/>
  <c r="S72" i="30" s="1"/>
  <c r="U72" i="30" s="1"/>
  <c r="W72" i="30" s="1"/>
  <c r="S73" i="30" s="1"/>
  <c r="U73" i="30" s="1"/>
  <c r="W73" i="30" s="1"/>
  <c r="S74" i="30" s="1"/>
  <c r="U74" i="30" s="1"/>
  <c r="O94" i="26"/>
  <c r="AE30" i="34"/>
  <c r="S93" i="9"/>
  <c r="O96" i="7"/>
  <c r="N316" i="7"/>
  <c r="N304" i="7"/>
  <c r="N17" i="31" s="1"/>
  <c r="N266" i="7"/>
  <c r="K15" i="9"/>
  <c r="H135" i="26"/>
  <c r="T44" i="26"/>
  <c r="N72" i="9"/>
  <c r="N44" i="9"/>
  <c r="N100" i="9"/>
  <c r="O17" i="9"/>
  <c r="O47" i="9"/>
  <c r="O75" i="9"/>
  <c r="O103" i="9"/>
  <c r="H164" i="26"/>
  <c r="T13" i="26"/>
  <c r="H15" i="33"/>
  <c r="U15" i="33" s="1"/>
  <c r="V97" i="30"/>
  <c r="W97" i="30" s="1"/>
  <c r="S98" i="30" s="1"/>
  <c r="U98" i="30" s="1"/>
  <c r="W98" i="30" s="1"/>
  <c r="S99" i="30" s="1"/>
  <c r="U99" i="30" s="1"/>
  <c r="W99" i="30" s="1"/>
  <c r="S100" i="30" s="1"/>
  <c r="U100" i="30" s="1"/>
  <c r="W100" i="30" s="1"/>
  <c r="S101" i="30" s="1"/>
  <c r="U101" i="30" s="1"/>
  <c r="W101" i="30" s="1"/>
  <c r="S102" i="30" s="1"/>
  <c r="U102" i="30" s="1"/>
  <c r="K99" i="31"/>
  <c r="K71" i="31"/>
  <c r="K43" i="31"/>
  <c r="O101" i="9"/>
  <c r="O45" i="9"/>
  <c r="O73" i="9"/>
  <c r="N16" i="9"/>
  <c r="K71" i="9"/>
  <c r="K43" i="9"/>
  <c r="K99" i="9"/>
  <c r="J44" i="26"/>
  <c r="N129" i="26"/>
  <c r="W38" i="26"/>
  <c r="J72" i="26"/>
  <c r="K15" i="31"/>
  <c r="J165" i="26"/>
  <c r="J16" i="33"/>
  <c r="W16" i="33" s="1"/>
  <c r="N105" i="7"/>
  <c r="N93" i="7"/>
  <c r="M263" i="7"/>
  <c r="M301" i="7"/>
  <c r="M313" i="7"/>
  <c r="G30" i="34"/>
  <c r="G72" i="34" s="1"/>
  <c r="S8" i="9"/>
  <c r="O8" i="26"/>
  <c r="G41" i="33"/>
  <c r="N41" i="33" s="1"/>
  <c r="O46" i="31"/>
  <c r="O102" i="31"/>
  <c r="O74" i="31"/>
  <c r="N101" i="31"/>
  <c r="N45" i="31"/>
  <c r="N73" i="31"/>
  <c r="O38" i="26"/>
  <c r="S37" i="9"/>
  <c r="O30" i="34"/>
  <c r="H134" i="26"/>
  <c r="T43" i="26"/>
  <c r="V41" i="30"/>
  <c r="W41" i="30" s="1"/>
  <c r="S42" i="30" s="1"/>
  <c r="U42" i="30" s="1"/>
  <c r="W42" i="30" s="1"/>
  <c r="S43" i="30" s="1"/>
  <c r="U43" i="30" s="1"/>
  <c r="W43" i="30" s="1"/>
  <c r="S44" i="30" s="1"/>
  <c r="U44" i="30" s="1"/>
  <c r="W44" i="30" s="1"/>
  <c r="S45" i="30" s="1"/>
  <c r="U45" i="30" s="1"/>
  <c r="W45" i="30" s="1"/>
  <c r="S46" i="30" s="1"/>
  <c r="U46" i="30" s="1"/>
  <c r="J100" i="26"/>
  <c r="W30" i="34"/>
  <c r="S65" i="9"/>
  <c r="O66" i="26"/>
  <c r="W17" i="29" l="1"/>
  <c r="S18" i="29" s="1"/>
  <c r="U18" i="29" s="1"/>
  <c r="W102" i="30"/>
  <c r="S103" i="30" s="1"/>
  <c r="U103" i="30" s="1"/>
  <c r="W46" i="30"/>
  <c r="S47" i="30" s="1"/>
  <c r="U47" i="30" s="1"/>
  <c r="W17" i="30"/>
  <c r="S18" i="30" s="1"/>
  <c r="U18" i="30" s="1"/>
  <c r="W102" i="29"/>
  <c r="S103" i="29" s="1"/>
  <c r="U103" i="29" s="1"/>
  <c r="W74" i="29"/>
  <c r="S75" i="29" s="1"/>
  <c r="U75" i="29" s="1"/>
  <c r="W46" i="29"/>
  <c r="S47" i="29" s="1"/>
  <c r="U47" i="29" s="1"/>
  <c r="W74" i="30"/>
  <c r="S75" i="30" s="1"/>
  <c r="U75" i="30" s="1"/>
  <c r="O183" i="7"/>
  <c r="N179" i="7"/>
  <c r="I103" i="30"/>
  <c r="V103" i="30" s="1"/>
  <c r="I75" i="30"/>
  <c r="V75" i="30" s="1"/>
  <c r="I47" i="30"/>
  <c r="V47" i="30" s="1"/>
  <c r="V18" i="30"/>
  <c r="O106" i="9"/>
  <c r="O50" i="9"/>
  <c r="O78" i="9"/>
  <c r="I19" i="29"/>
  <c r="J48" i="9"/>
  <c r="J76" i="9"/>
  <c r="J104" i="9"/>
  <c r="I19" i="31"/>
  <c r="I104" i="31" s="1"/>
  <c r="I19" i="30"/>
  <c r="O118" i="7"/>
  <c r="S317" i="7"/>
  <c r="S267" i="7"/>
  <c r="O22" i="9" s="1"/>
  <c r="R218" i="7"/>
  <c r="Q262" i="7"/>
  <c r="J20" i="9" s="1"/>
  <c r="Q312" i="7"/>
  <c r="T175" i="7"/>
  <c r="O159" i="7"/>
  <c r="O167" i="7" s="1"/>
  <c r="N153" i="7"/>
  <c r="O171" i="7"/>
  <c r="O145" i="7"/>
  <c r="O131" i="7"/>
  <c r="I75" i="29"/>
  <c r="V75" i="29" s="1"/>
  <c r="I47" i="29"/>
  <c r="V47" i="29" s="1"/>
  <c r="I103" i="29"/>
  <c r="V103" i="29" s="1"/>
  <c r="V18" i="29"/>
  <c r="O129" i="26"/>
  <c r="K16" i="9"/>
  <c r="O105" i="7"/>
  <c r="P118" i="7" s="1"/>
  <c r="N313" i="7"/>
  <c r="N263" i="7"/>
  <c r="N301" i="7"/>
  <c r="O74" i="9"/>
  <c r="O46" i="9"/>
  <c r="O102" i="9"/>
  <c r="K100" i="9"/>
  <c r="K72" i="9"/>
  <c r="K44" i="9"/>
  <c r="AA31" i="34"/>
  <c r="U93" i="9"/>
  <c r="D163" i="15"/>
  <c r="P108" i="7"/>
  <c r="Q121" i="7" s="1"/>
  <c r="O304" i="7"/>
  <c r="N18" i="31" s="1"/>
  <c r="O316" i="7"/>
  <c r="O266" i="7"/>
  <c r="N45" i="9"/>
  <c r="N101" i="9"/>
  <c r="N73" i="9"/>
  <c r="J135" i="26"/>
  <c r="N17" i="9"/>
  <c r="K100" i="31"/>
  <c r="K44" i="31"/>
  <c r="K72" i="31"/>
  <c r="U8" i="9"/>
  <c r="C31" i="34"/>
  <c r="C73" i="34" s="1"/>
  <c r="C42" i="33"/>
  <c r="J42" i="33" s="1"/>
  <c r="N102" i="31"/>
  <c r="N46" i="31"/>
  <c r="N74" i="31"/>
  <c r="S31" i="34"/>
  <c r="U65" i="9"/>
  <c r="C163" i="15"/>
  <c r="K16" i="31"/>
  <c r="U37" i="9"/>
  <c r="K31" i="34"/>
  <c r="B163" i="15"/>
  <c r="W18" i="29" l="1"/>
  <c r="S19" i="29" s="1"/>
  <c r="U19" i="29" s="1"/>
  <c r="W75" i="29"/>
  <c r="S76" i="29" s="1"/>
  <c r="U76" i="29" s="1"/>
  <c r="W47" i="29"/>
  <c r="S48" i="29" s="1"/>
  <c r="U48" i="29" s="1"/>
  <c r="W103" i="30"/>
  <c r="S104" i="30" s="1"/>
  <c r="U104" i="30" s="1"/>
  <c r="W47" i="30"/>
  <c r="S48" i="30" s="1"/>
  <c r="U48" i="30" s="1"/>
  <c r="W18" i="30"/>
  <c r="S19" i="30" s="1"/>
  <c r="U19" i="30" s="1"/>
  <c r="P171" i="7"/>
  <c r="Q183" i="7" s="1"/>
  <c r="W75" i="30"/>
  <c r="S76" i="30" s="1"/>
  <c r="U76" i="30" s="1"/>
  <c r="W103" i="29"/>
  <c r="S104" i="29" s="1"/>
  <c r="U104" i="29" s="1"/>
  <c r="P145" i="7"/>
  <c r="I104" i="29"/>
  <c r="V104" i="29" s="1"/>
  <c r="I76" i="29"/>
  <c r="V76" i="29" s="1"/>
  <c r="I48" i="29"/>
  <c r="V48" i="29" s="1"/>
  <c r="V19" i="29"/>
  <c r="U187" i="7"/>
  <c r="T267" i="7"/>
  <c r="O23" i="9" s="1"/>
  <c r="T317" i="7"/>
  <c r="P131" i="7"/>
  <c r="P159" i="7"/>
  <c r="P195" i="7"/>
  <c r="O191" i="7"/>
  <c r="O79" i="9"/>
  <c r="O51" i="9"/>
  <c r="O107" i="9"/>
  <c r="I104" i="30"/>
  <c r="V104" i="30" s="1"/>
  <c r="I48" i="30"/>
  <c r="V48" i="30" s="1"/>
  <c r="I76" i="30"/>
  <c r="V76" i="30" s="1"/>
  <c r="V19" i="30"/>
  <c r="R134" i="7"/>
  <c r="Q316" i="7"/>
  <c r="Q266" i="7"/>
  <c r="N20" i="9" s="1"/>
  <c r="Q304" i="7"/>
  <c r="Q131" i="7"/>
  <c r="P301" i="7"/>
  <c r="K19" i="31" s="1"/>
  <c r="P183" i="7"/>
  <c r="O179" i="7"/>
  <c r="I20" i="29"/>
  <c r="I20" i="30"/>
  <c r="J49" i="9"/>
  <c r="J105" i="9"/>
  <c r="J77" i="9"/>
  <c r="I20" i="31"/>
  <c r="S230" i="7"/>
  <c r="R262" i="7"/>
  <c r="J21" i="9" s="1"/>
  <c r="R312" i="7"/>
  <c r="E163" i="15"/>
  <c r="N39" i="26"/>
  <c r="M31" i="34"/>
  <c r="W37" i="9"/>
  <c r="E31" i="34"/>
  <c r="E73" i="34" s="1"/>
  <c r="N9" i="26"/>
  <c r="W9" i="26" s="1"/>
  <c r="E42" i="33"/>
  <c r="L42" i="33" s="1"/>
  <c r="W8" i="9"/>
  <c r="N103" i="31"/>
  <c r="N75" i="31"/>
  <c r="N47" i="31"/>
  <c r="K101" i="9"/>
  <c r="K73" i="9"/>
  <c r="K45" i="9"/>
  <c r="N18" i="9"/>
  <c r="P266" i="7"/>
  <c r="P316" i="7"/>
  <c r="P304" i="7"/>
  <c r="O301" i="7"/>
  <c r="O313" i="7"/>
  <c r="O263" i="7"/>
  <c r="N67" i="26"/>
  <c r="W67" i="26" s="1"/>
  <c r="W65" i="9"/>
  <c r="U31" i="34"/>
  <c r="N74" i="9"/>
  <c r="N46" i="9"/>
  <c r="N102" i="9"/>
  <c r="N95" i="26"/>
  <c r="W95" i="26" s="1"/>
  <c r="AC31" i="34"/>
  <c r="W93" i="9"/>
  <c r="K17" i="31"/>
  <c r="K73" i="31"/>
  <c r="K101" i="31"/>
  <c r="K45" i="31"/>
  <c r="K17" i="9"/>
  <c r="P179" i="7" l="1"/>
  <c r="W19" i="29"/>
  <c r="S20" i="29" s="1"/>
  <c r="U20" i="29" s="1"/>
  <c r="W48" i="29"/>
  <c r="S49" i="29" s="1"/>
  <c r="U49" i="29" s="1"/>
  <c r="W76" i="29"/>
  <c r="S77" i="29" s="1"/>
  <c r="U77" i="29" s="1"/>
  <c r="W104" i="29"/>
  <c r="S105" i="29" s="1"/>
  <c r="U105" i="29" s="1"/>
  <c r="W104" i="30"/>
  <c r="S105" i="30" s="1"/>
  <c r="U105" i="30" s="1"/>
  <c r="W48" i="30"/>
  <c r="S49" i="30" s="1"/>
  <c r="U49" i="30" s="1"/>
  <c r="W19" i="30"/>
  <c r="S20" i="30" s="1"/>
  <c r="U20" i="30" s="1"/>
  <c r="W76" i="30"/>
  <c r="S77" i="30" s="1"/>
  <c r="U77" i="30" s="1"/>
  <c r="R195" i="7"/>
  <c r="Q191" i="7"/>
  <c r="Q159" i="7"/>
  <c r="N20" i="31"/>
  <c r="Q171" i="7"/>
  <c r="Q195" i="7"/>
  <c r="P191" i="7"/>
  <c r="N105" i="9"/>
  <c r="N77" i="9"/>
  <c r="N49" i="9"/>
  <c r="I105" i="31"/>
  <c r="K76" i="31"/>
  <c r="K104" i="31"/>
  <c r="K48" i="31"/>
  <c r="Q145" i="7"/>
  <c r="P263" i="7"/>
  <c r="K19" i="9" s="1"/>
  <c r="S148" i="7"/>
  <c r="R316" i="7"/>
  <c r="R266" i="7"/>
  <c r="N21" i="9" s="1"/>
  <c r="I49" i="29"/>
  <c r="V49" i="29" s="1"/>
  <c r="I105" i="29"/>
  <c r="V105" i="29" s="1"/>
  <c r="I77" i="29"/>
  <c r="V77" i="29" s="1"/>
  <c r="V20" i="29"/>
  <c r="P313" i="7"/>
  <c r="O52" i="9"/>
  <c r="O108" i="9"/>
  <c r="O80" i="9"/>
  <c r="T243" i="7"/>
  <c r="S262" i="7"/>
  <c r="J22" i="9" s="1"/>
  <c r="S312" i="7"/>
  <c r="Q207" i="7"/>
  <c r="P203" i="7"/>
  <c r="V199" i="7"/>
  <c r="U267" i="7"/>
  <c r="O24" i="9" s="1"/>
  <c r="U317" i="7"/>
  <c r="I21" i="30"/>
  <c r="I21" i="29"/>
  <c r="J78" i="9"/>
  <c r="I21" i="31"/>
  <c r="J106" i="9"/>
  <c r="J50" i="9"/>
  <c r="I77" i="30"/>
  <c r="V77" i="30" s="1"/>
  <c r="I49" i="30"/>
  <c r="V49" i="30" s="1"/>
  <c r="I105" i="30"/>
  <c r="V105" i="30" s="1"/>
  <c r="V20" i="30"/>
  <c r="R145" i="7"/>
  <c r="N47" i="9"/>
  <c r="N75" i="9"/>
  <c r="N103" i="9"/>
  <c r="K102" i="31"/>
  <c r="K74" i="31"/>
  <c r="K46" i="31"/>
  <c r="K18" i="31"/>
  <c r="G42" i="33"/>
  <c r="N42" i="33" s="1"/>
  <c r="O9" i="26"/>
  <c r="S9" i="9"/>
  <c r="G31" i="34"/>
  <c r="G73" i="34" s="1"/>
  <c r="O67" i="26"/>
  <c r="W31" i="34"/>
  <c r="S66" i="9"/>
  <c r="O95" i="26"/>
  <c r="S94" i="9"/>
  <c r="AE31" i="34"/>
  <c r="K18" i="9"/>
  <c r="W39" i="26"/>
  <c r="N130" i="26"/>
  <c r="N19" i="9"/>
  <c r="K102" i="9"/>
  <c r="K46" i="9"/>
  <c r="K74" i="9"/>
  <c r="N19" i="31"/>
  <c r="O31" i="34"/>
  <c r="O39" i="26"/>
  <c r="S38" i="9"/>
  <c r="W20" i="29" l="1"/>
  <c r="S21" i="29" s="1"/>
  <c r="U21" i="29" s="1"/>
  <c r="W49" i="29"/>
  <c r="S50" i="29" s="1"/>
  <c r="U50" i="29" s="1"/>
  <c r="W77" i="29"/>
  <c r="S78" i="29" s="1"/>
  <c r="U78" i="29" s="1"/>
  <c r="W105" i="29"/>
  <c r="S106" i="29" s="1"/>
  <c r="U106" i="29" s="1"/>
  <c r="W105" i="30"/>
  <c r="S106" i="30" s="1"/>
  <c r="U106" i="30" s="1"/>
  <c r="W77" i="30"/>
  <c r="S78" i="30" s="1"/>
  <c r="U78" i="30" s="1"/>
  <c r="W49" i="30"/>
  <c r="S50" i="30" s="1"/>
  <c r="U50" i="30" s="1"/>
  <c r="W20" i="30"/>
  <c r="S21" i="30" s="1"/>
  <c r="U21" i="30" s="1"/>
  <c r="Q263" i="7"/>
  <c r="K20" i="9" s="1"/>
  <c r="K49" i="9" s="1"/>
  <c r="R183" i="7"/>
  <c r="I22" i="30"/>
  <c r="I22" i="31"/>
  <c r="I107" i="31" s="1"/>
  <c r="I22" i="29"/>
  <c r="J51" i="9"/>
  <c r="J107" i="9"/>
  <c r="J79" i="9"/>
  <c r="Q313" i="7"/>
  <c r="O81" i="9"/>
  <c r="O53" i="9"/>
  <c r="O109" i="9"/>
  <c r="S159" i="7"/>
  <c r="T171" i="7" s="1"/>
  <c r="I106" i="31"/>
  <c r="R219" i="7"/>
  <c r="Q215" i="7"/>
  <c r="R159" i="7"/>
  <c r="N105" i="31"/>
  <c r="N49" i="31"/>
  <c r="N77" i="31"/>
  <c r="K48" i="9"/>
  <c r="K76" i="9"/>
  <c r="K104" i="9"/>
  <c r="T262" i="7"/>
  <c r="J23" i="9" s="1"/>
  <c r="T312" i="7"/>
  <c r="N50" i="9"/>
  <c r="N106" i="9"/>
  <c r="N78" i="9"/>
  <c r="S207" i="7"/>
  <c r="R203" i="7"/>
  <c r="V267" i="7"/>
  <c r="O25" i="9" s="1"/>
  <c r="V317" i="7"/>
  <c r="I106" i="29"/>
  <c r="V106" i="29" s="1"/>
  <c r="I78" i="29"/>
  <c r="V78" i="29" s="1"/>
  <c r="I50" i="29"/>
  <c r="V50" i="29" s="1"/>
  <c r="V21" i="29"/>
  <c r="R171" i="7"/>
  <c r="R207" i="7"/>
  <c r="Q203" i="7"/>
  <c r="I106" i="30"/>
  <c r="V106" i="30" s="1"/>
  <c r="I78" i="30"/>
  <c r="V78" i="30" s="1"/>
  <c r="I50" i="30"/>
  <c r="V50" i="30" s="1"/>
  <c r="V21" i="30"/>
  <c r="T162" i="7"/>
  <c r="U174" i="7" s="1"/>
  <c r="S316" i="7"/>
  <c r="S266" i="7"/>
  <c r="N22" i="9" s="1"/>
  <c r="K47" i="9"/>
  <c r="K75" i="9"/>
  <c r="K103" i="9"/>
  <c r="K32" i="34"/>
  <c r="B164" i="15"/>
  <c r="U38" i="9"/>
  <c r="O130" i="26"/>
  <c r="U94" i="9"/>
  <c r="D164" i="15"/>
  <c r="AA32" i="34"/>
  <c r="N104" i="31"/>
  <c r="N48" i="31"/>
  <c r="N76" i="31"/>
  <c r="C43" i="33"/>
  <c r="J43" i="33" s="1"/>
  <c r="U9" i="9"/>
  <c r="C32" i="34"/>
  <c r="C74" i="34" s="1"/>
  <c r="N76" i="9"/>
  <c r="N104" i="9"/>
  <c r="N48" i="9"/>
  <c r="C164" i="15"/>
  <c r="S32" i="34"/>
  <c r="U66" i="9"/>
  <c r="K103" i="31"/>
  <c r="K47" i="31"/>
  <c r="K75" i="31"/>
  <c r="W50" i="29" l="1"/>
  <c r="W78" i="29"/>
  <c r="W106" i="29"/>
  <c r="W21" i="29"/>
  <c r="K77" i="9"/>
  <c r="W106" i="30"/>
  <c r="W78" i="30"/>
  <c r="W21" i="30"/>
  <c r="W50" i="30"/>
  <c r="R313" i="7"/>
  <c r="K105" i="9"/>
  <c r="S171" i="7"/>
  <c r="R263" i="7"/>
  <c r="K21" i="9" s="1"/>
  <c r="S195" i="7"/>
  <c r="T219" i="7"/>
  <c r="S215" i="7"/>
  <c r="S231" i="7"/>
  <c r="R227" i="7"/>
  <c r="S183" i="7"/>
  <c r="I51" i="30"/>
  <c r="I107" i="30"/>
  <c r="I79" i="30"/>
  <c r="T316" i="7"/>
  <c r="T266" i="7"/>
  <c r="N23" i="9" s="1"/>
  <c r="S219" i="7"/>
  <c r="R215" i="7"/>
  <c r="O54" i="9"/>
  <c r="O82" i="9"/>
  <c r="O110" i="9"/>
  <c r="I107" i="29"/>
  <c r="I79" i="29"/>
  <c r="I51" i="29"/>
  <c r="I23" i="31"/>
  <c r="I108" i="31" s="1"/>
  <c r="I23" i="30"/>
  <c r="I23" i="29"/>
  <c r="J80" i="9"/>
  <c r="J52" i="9"/>
  <c r="J108" i="9"/>
  <c r="N107" i="9"/>
  <c r="N51" i="9"/>
  <c r="N79" i="9"/>
  <c r="U183" i="7"/>
  <c r="V186" i="7"/>
  <c r="U266" i="7"/>
  <c r="N24" i="9" s="1"/>
  <c r="U316" i="7"/>
  <c r="N40" i="26"/>
  <c r="W38" i="9"/>
  <c r="M32" i="34"/>
  <c r="E164" i="15"/>
  <c r="U32" i="34"/>
  <c r="W66" i="9"/>
  <c r="N68" i="26"/>
  <c r="W68" i="26" s="1"/>
  <c r="E43" i="33"/>
  <c r="L43" i="33" s="1"/>
  <c r="W9" i="9"/>
  <c r="N10" i="26"/>
  <c r="W10" i="26" s="1"/>
  <c r="E32" i="34"/>
  <c r="E74" i="34" s="1"/>
  <c r="N96" i="26"/>
  <c r="W96" i="26" s="1"/>
  <c r="AC32" i="34"/>
  <c r="W94" i="9"/>
  <c r="S263" i="7" l="1"/>
  <c r="K22" i="9" s="1"/>
  <c r="K107" i="9" s="1"/>
  <c r="V266" i="7"/>
  <c r="N25" i="9" s="1"/>
  <c r="V316" i="7"/>
  <c r="N52" i="9"/>
  <c r="N80" i="9"/>
  <c r="N108" i="9"/>
  <c r="T244" i="7"/>
  <c r="T252" i="7" s="1"/>
  <c r="S239" i="7"/>
  <c r="U231" i="7"/>
  <c r="T227" i="7"/>
  <c r="T207" i="7"/>
  <c r="I80" i="29"/>
  <c r="I52" i="29"/>
  <c r="I108" i="29"/>
  <c r="S313" i="7"/>
  <c r="I80" i="30"/>
  <c r="I52" i="30"/>
  <c r="I108" i="30"/>
  <c r="T183" i="7"/>
  <c r="V195" i="7"/>
  <c r="K106" i="9"/>
  <c r="K50" i="9"/>
  <c r="K78" i="9"/>
  <c r="N109" i="9"/>
  <c r="N53" i="9"/>
  <c r="N81" i="9"/>
  <c r="T231" i="7"/>
  <c r="S227" i="7"/>
  <c r="T195" i="7"/>
  <c r="O10" i="26"/>
  <c r="G32" i="34"/>
  <c r="G74" i="34" s="1"/>
  <c r="S10" i="9"/>
  <c r="G43" i="33"/>
  <c r="N43" i="33" s="1"/>
  <c r="O40" i="26"/>
  <c r="S39" i="9"/>
  <c r="O32" i="34"/>
  <c r="O96" i="26"/>
  <c r="AE32" i="34"/>
  <c r="S95" i="9"/>
  <c r="N131" i="26"/>
  <c r="W40" i="26"/>
  <c r="O68" i="26"/>
  <c r="W32" i="34"/>
  <c r="S67" i="9"/>
  <c r="K51" i="9" l="1"/>
  <c r="K79" i="9"/>
  <c r="U195" i="7"/>
  <c r="T263" i="7"/>
  <c r="K23" i="9" s="1"/>
  <c r="T313" i="7"/>
  <c r="U219" i="7"/>
  <c r="V244" i="7"/>
  <c r="V252" i="7" s="1"/>
  <c r="U239" i="7"/>
  <c r="U244" i="7"/>
  <c r="U252" i="7" s="1"/>
  <c r="T239" i="7"/>
  <c r="N110" i="9"/>
  <c r="N54" i="9"/>
  <c r="N82" i="9"/>
  <c r="U207" i="7"/>
  <c r="O131" i="26"/>
  <c r="C33" i="34"/>
  <c r="C75" i="34" s="1"/>
  <c r="U10" i="9"/>
  <c r="C44" i="33"/>
  <c r="J44" i="33" s="1"/>
  <c r="S33" i="34"/>
  <c r="U67" i="9"/>
  <c r="C165" i="15"/>
  <c r="U39" i="9"/>
  <c r="K33" i="34"/>
  <c r="B165" i="15"/>
  <c r="AA33" i="34"/>
  <c r="U95" i="9"/>
  <c r="D165" i="15"/>
  <c r="V231" i="7" l="1"/>
  <c r="K52" i="9"/>
  <c r="K108" i="9"/>
  <c r="K80" i="9"/>
  <c r="V219" i="7"/>
  <c r="V207" i="7"/>
  <c r="U313" i="7"/>
  <c r="U263" i="7"/>
  <c r="K24" i="9" s="1"/>
  <c r="N41" i="26"/>
  <c r="M33" i="34"/>
  <c r="N69" i="26"/>
  <c r="W69" i="26" s="1"/>
  <c r="U33" i="34"/>
  <c r="N97" i="26"/>
  <c r="W97" i="26" s="1"/>
  <c r="AC33" i="34"/>
  <c r="E33" i="34"/>
  <c r="E75" i="34" s="1"/>
  <c r="E44" i="33"/>
  <c r="L44" i="33" s="1"/>
  <c r="N11" i="26"/>
  <c r="W11" i="26" s="1"/>
  <c r="E165" i="15"/>
  <c r="K81" i="9" l="1"/>
  <c r="K109" i="9"/>
  <c r="K53" i="9"/>
  <c r="V313" i="7"/>
  <c r="V263" i="7"/>
  <c r="K25" i="9" s="1"/>
  <c r="N132" i="26"/>
  <c r="W41" i="26"/>
  <c r="K54" i="9" l="1"/>
  <c r="K82" i="9"/>
  <c r="K110" i="9"/>
  <c r="D127" i="24" l="1"/>
  <c r="Z127" i="24" s="1"/>
  <c r="D129" i="24" l="1"/>
  <c r="V42" i="20"/>
  <c r="S127" i="24"/>
  <c r="K127" i="24"/>
  <c r="Q127" i="24"/>
  <c r="O127" i="24"/>
  <c r="X127" i="24"/>
  <c r="V127" i="24"/>
  <c r="J127" i="24"/>
  <c r="P127" i="24"/>
  <c r="N127" i="24"/>
  <c r="M127" i="24"/>
  <c r="W127" i="24"/>
  <c r="U127" i="24"/>
  <c r="L127" i="24"/>
  <c r="T127" i="24"/>
  <c r="R127" i="24"/>
  <c r="I127" i="24"/>
  <c r="Y127" i="24"/>
  <c r="J129" i="24" l="1"/>
  <c r="F44" i="20" s="1"/>
  <c r="I129" i="24"/>
  <c r="G71" i="24" s="1"/>
  <c r="K129" i="24"/>
  <c r="G44" i="20" s="1"/>
  <c r="L129" i="24"/>
  <c r="H44" i="20" s="1"/>
  <c r="M129" i="24"/>
  <c r="I44" i="20" s="1"/>
  <c r="N129" i="24"/>
  <c r="J44" i="20" s="1"/>
  <c r="O129" i="24"/>
  <c r="K44" i="20" s="1"/>
  <c r="P129" i="24"/>
  <c r="L44" i="20" s="1"/>
  <c r="Q129" i="24"/>
  <c r="M44" i="20" s="1"/>
  <c r="R129" i="24"/>
  <c r="N44" i="20" s="1"/>
  <c r="S129" i="24"/>
  <c r="O44" i="20" s="1"/>
  <c r="T129" i="24"/>
  <c r="P44" i="20" s="1"/>
  <c r="U129" i="24"/>
  <c r="Q44" i="20" s="1"/>
  <c r="V129" i="24"/>
  <c r="R44" i="20" s="1"/>
  <c r="W129" i="24"/>
  <c r="S44" i="20" s="1"/>
  <c r="X129" i="24"/>
  <c r="T44" i="20" s="1"/>
  <c r="Y129" i="24"/>
  <c r="U44" i="20" s="1"/>
  <c r="Z129" i="24"/>
  <c r="K42" i="20"/>
  <c r="M42" i="20"/>
  <c r="I42" i="20"/>
  <c r="G42" i="20"/>
  <c r="E127" i="24"/>
  <c r="E42" i="20"/>
  <c r="Q42" i="20"/>
  <c r="S42" i="20"/>
  <c r="U42" i="20"/>
  <c r="J42" i="20"/>
  <c r="O42" i="20"/>
  <c r="L42" i="20"/>
  <c r="N42" i="20"/>
  <c r="F42" i="20"/>
  <c r="P42" i="20"/>
  <c r="R42" i="20"/>
  <c r="H42" i="20"/>
  <c r="T42" i="20"/>
  <c r="J71" i="24" l="1"/>
  <c r="R71" i="24"/>
  <c r="I71" i="24"/>
  <c r="Q71" i="24"/>
  <c r="K71" i="24"/>
  <c r="P71" i="24"/>
  <c r="W71" i="24"/>
  <c r="T71" i="24"/>
  <c r="H71" i="24"/>
  <c r="S71" i="24"/>
  <c r="V71" i="24"/>
  <c r="N71" i="24"/>
  <c r="O71" i="24"/>
  <c r="L71" i="24"/>
  <c r="M71" i="24"/>
  <c r="U45" i="20"/>
  <c r="U71" i="24"/>
  <c r="V44" i="20"/>
  <c r="V45" i="20" s="1"/>
  <c r="X71" i="24"/>
  <c r="E44" i="20"/>
  <c r="E129" i="24"/>
  <c r="E70" i="24" s="1"/>
  <c r="L45" i="20"/>
  <c r="R45" i="20"/>
  <c r="S45" i="20"/>
  <c r="I45" i="20"/>
  <c r="P45" i="20"/>
  <c r="O45" i="20"/>
  <c r="Q45" i="20"/>
  <c r="G45" i="20"/>
  <c r="M45" i="20"/>
  <c r="F45" i="20"/>
  <c r="J45" i="20"/>
  <c r="H45" i="20"/>
  <c r="K45" i="20"/>
  <c r="T45" i="20"/>
  <c r="N45" i="20"/>
  <c r="E45" i="20" l="1"/>
  <c r="V308" i="7"/>
  <c r="R25" i="31" s="1"/>
  <c r="R82" i="31" s="1"/>
  <c r="E71" i="24"/>
  <c r="N308" i="7"/>
  <c r="R17" i="31" s="1"/>
  <c r="G308" i="7"/>
  <c r="R10" i="31" s="1"/>
  <c r="G320" i="7"/>
  <c r="G270" i="7"/>
  <c r="R10" i="9" s="1"/>
  <c r="P308" i="7"/>
  <c r="R19" i="31" s="1"/>
  <c r="O308" i="7"/>
  <c r="R18" i="31" s="1"/>
  <c r="Q308" i="7"/>
  <c r="R20" i="31" s="1"/>
  <c r="R308" i="7"/>
  <c r="R21" i="31" s="1"/>
  <c r="S308" i="7"/>
  <c r="R22" i="31" s="1"/>
  <c r="T308" i="7"/>
  <c r="R23" i="31" s="1"/>
  <c r="U308" i="7"/>
  <c r="R24" i="31" s="1"/>
  <c r="V53" i="7"/>
  <c r="H53" i="7"/>
  <c r="S53" i="7"/>
  <c r="U53" i="7"/>
  <c r="V65" i="7"/>
  <c r="I53" i="7"/>
  <c r="K53" i="7"/>
  <c r="T53" i="7"/>
  <c r="Q53" i="7"/>
  <c r="G318" i="7"/>
  <c r="G268" i="7"/>
  <c r="P10" i="9" s="1"/>
  <c r="G53" i="7"/>
  <c r="G271" i="7" s="1"/>
  <c r="G306" i="7"/>
  <c r="H318" i="7"/>
  <c r="N53" i="7"/>
  <c r="L53" i="7"/>
  <c r="M53" i="7"/>
  <c r="J53" i="7"/>
  <c r="P53" i="7"/>
  <c r="O53" i="7"/>
  <c r="R53" i="7"/>
  <c r="R110" i="31" l="1"/>
  <c r="R54" i="31"/>
  <c r="G321" i="7"/>
  <c r="R109" i="31"/>
  <c r="R81" i="31"/>
  <c r="R53" i="31"/>
  <c r="R95" i="31"/>
  <c r="R67" i="31"/>
  <c r="R39" i="31"/>
  <c r="R108" i="31"/>
  <c r="R52" i="31"/>
  <c r="R80" i="31"/>
  <c r="H320" i="7"/>
  <c r="H321" i="7" s="1"/>
  <c r="H308" i="7"/>
  <c r="R11" i="31" s="1"/>
  <c r="H270" i="7"/>
  <c r="R11" i="9" s="1"/>
  <c r="R107" i="31"/>
  <c r="R79" i="31"/>
  <c r="R51" i="31"/>
  <c r="H306" i="7"/>
  <c r="P11" i="31" s="1"/>
  <c r="R106" i="31"/>
  <c r="R78" i="31"/>
  <c r="R50" i="31"/>
  <c r="R49" i="31"/>
  <c r="R77" i="31"/>
  <c r="R105" i="31"/>
  <c r="R76" i="31"/>
  <c r="R48" i="31"/>
  <c r="R104" i="31"/>
  <c r="R103" i="31"/>
  <c r="R75" i="31"/>
  <c r="R47" i="31"/>
  <c r="R46" i="31"/>
  <c r="R102" i="31"/>
  <c r="R74" i="31"/>
  <c r="R95" i="9"/>
  <c r="R67" i="9"/>
  <c r="R39" i="9"/>
  <c r="H65" i="7"/>
  <c r="H271" i="7" s="1"/>
  <c r="J65" i="7"/>
  <c r="Q65" i="7"/>
  <c r="N65" i="7"/>
  <c r="G309" i="7"/>
  <c r="P10" i="31"/>
  <c r="L65" i="7"/>
  <c r="T65" i="7"/>
  <c r="H268" i="7"/>
  <c r="P11" i="9" s="1"/>
  <c r="P65" i="7"/>
  <c r="P39" i="9"/>
  <c r="V10" i="9"/>
  <c r="P67" i="9"/>
  <c r="P95" i="9"/>
  <c r="M65" i="7"/>
  <c r="S65" i="7"/>
  <c r="R65" i="7"/>
  <c r="O65" i="7"/>
  <c r="K65" i="7"/>
  <c r="U65" i="7"/>
  <c r="I65" i="7"/>
  <c r="H309" i="7" l="1"/>
  <c r="V95" i="9"/>
  <c r="AD33" i="34" s="1"/>
  <c r="V39" i="9"/>
  <c r="W39" i="9" s="1"/>
  <c r="V67" i="9"/>
  <c r="V33" i="34" s="1"/>
  <c r="R96" i="9"/>
  <c r="R68" i="9"/>
  <c r="R40" i="9"/>
  <c r="R96" i="31"/>
  <c r="R40" i="31"/>
  <c r="R68" i="31"/>
  <c r="I320" i="7"/>
  <c r="I308" i="7"/>
  <c r="R12" i="31" s="1"/>
  <c r="I270" i="7"/>
  <c r="R12" i="9" s="1"/>
  <c r="K77" i="7"/>
  <c r="S77" i="7"/>
  <c r="V10" i="31"/>
  <c r="W10" i="31" s="1"/>
  <c r="S11" i="31" s="1"/>
  <c r="U11" i="31" s="1"/>
  <c r="P67" i="31"/>
  <c r="P95" i="31"/>
  <c r="P39" i="31"/>
  <c r="K11" i="26"/>
  <c r="P77" i="7"/>
  <c r="P40" i="31"/>
  <c r="P68" i="31"/>
  <c r="K12" i="26"/>
  <c r="P96" i="31"/>
  <c r="V11" i="31"/>
  <c r="W10" i="9"/>
  <c r="F44" i="33"/>
  <c r="M44" i="33" s="1"/>
  <c r="F33" i="34"/>
  <c r="F75" i="34" s="1"/>
  <c r="P40" i="9"/>
  <c r="P96" i="9"/>
  <c r="V11" i="9"/>
  <c r="P68" i="9"/>
  <c r="V77" i="7"/>
  <c r="T77" i="7"/>
  <c r="O77" i="7"/>
  <c r="I77" i="7"/>
  <c r="I271" i="7" s="1"/>
  <c r="J306" i="7"/>
  <c r="I306" i="7"/>
  <c r="I318" i="7"/>
  <c r="I268" i="7"/>
  <c r="P12" i="9" s="1"/>
  <c r="V89" i="7"/>
  <c r="U77" i="7"/>
  <c r="J77" i="7"/>
  <c r="N77" i="7"/>
  <c r="Q77" i="7"/>
  <c r="L77" i="7"/>
  <c r="M77" i="7"/>
  <c r="R77" i="7"/>
  <c r="M97" i="26" l="1"/>
  <c r="W95" i="9"/>
  <c r="O97" i="26" s="1"/>
  <c r="N33" i="34"/>
  <c r="M41" i="26"/>
  <c r="J268" i="7"/>
  <c r="P13" i="9" s="1"/>
  <c r="P70" i="9" s="1"/>
  <c r="V96" i="9"/>
  <c r="AD34" i="34" s="1"/>
  <c r="V40" i="9"/>
  <c r="N34" i="34" s="1"/>
  <c r="M69" i="26"/>
  <c r="W67" i="9"/>
  <c r="O69" i="26" s="1"/>
  <c r="I321" i="7"/>
  <c r="V68" i="9"/>
  <c r="M70" i="26" s="1"/>
  <c r="J270" i="7"/>
  <c r="R13" i="9" s="1"/>
  <c r="J320" i="7"/>
  <c r="J308" i="7"/>
  <c r="R13" i="31" s="1"/>
  <c r="R69" i="9"/>
  <c r="R97" i="9"/>
  <c r="R41" i="9"/>
  <c r="R97" i="31"/>
  <c r="R41" i="31"/>
  <c r="R69" i="31"/>
  <c r="P89" i="7"/>
  <c r="I309" i="7"/>
  <c r="P12" i="31"/>
  <c r="V96" i="31"/>
  <c r="K98" i="26"/>
  <c r="U98" i="26" s="1"/>
  <c r="V39" i="31"/>
  <c r="W39" i="31" s="1"/>
  <c r="S40" i="31" s="1"/>
  <c r="U40" i="31" s="1"/>
  <c r="K41" i="26"/>
  <c r="O89" i="7"/>
  <c r="J89" i="7"/>
  <c r="J271" i="7" s="1"/>
  <c r="K268" i="7"/>
  <c r="P14" i="9" s="1"/>
  <c r="J318" i="7"/>
  <c r="F45" i="33"/>
  <c r="M45" i="33" s="1"/>
  <c r="F34" i="34"/>
  <c r="F76" i="34" s="1"/>
  <c r="K14" i="33"/>
  <c r="X14" i="33" s="1"/>
  <c r="K163" i="26"/>
  <c r="U12" i="26"/>
  <c r="M12" i="26"/>
  <c r="V95" i="31"/>
  <c r="W95" i="31" s="1"/>
  <c r="S96" i="31" s="1"/>
  <c r="U96" i="31" s="1"/>
  <c r="K97" i="26"/>
  <c r="U97" i="26" s="1"/>
  <c r="N89" i="7"/>
  <c r="M11" i="26"/>
  <c r="U11" i="26"/>
  <c r="K162" i="26"/>
  <c r="K13" i="33"/>
  <c r="X13" i="33" s="1"/>
  <c r="T89" i="7"/>
  <c r="K70" i="26"/>
  <c r="U70" i="26" s="1"/>
  <c r="V68" i="31"/>
  <c r="V67" i="31"/>
  <c r="W67" i="31" s="1"/>
  <c r="S68" i="31" s="1"/>
  <c r="U68" i="31" s="1"/>
  <c r="K69" i="26"/>
  <c r="U69" i="26" s="1"/>
  <c r="L89" i="7"/>
  <c r="W11" i="31"/>
  <c r="S12" i="31" s="1"/>
  <c r="U12" i="31" s="1"/>
  <c r="U89" i="7"/>
  <c r="V40" i="31"/>
  <c r="K42" i="26"/>
  <c r="P13" i="31"/>
  <c r="S89" i="7"/>
  <c r="M89" i="7"/>
  <c r="R89" i="7"/>
  <c r="K89" i="7"/>
  <c r="O33" i="34"/>
  <c r="O41" i="26"/>
  <c r="S40" i="9"/>
  <c r="P41" i="9"/>
  <c r="P69" i="9"/>
  <c r="P97" i="9"/>
  <c r="V12" i="9"/>
  <c r="S11" i="9"/>
  <c r="G44" i="33"/>
  <c r="N44" i="33" s="1"/>
  <c r="G33" i="34"/>
  <c r="G75" i="34" s="1"/>
  <c r="O11" i="26"/>
  <c r="Q89" i="7"/>
  <c r="AE33" i="34" l="1"/>
  <c r="V13" i="9"/>
  <c r="F36" i="34" s="1"/>
  <c r="F78" i="34" s="1"/>
  <c r="P98" i="9"/>
  <c r="P42" i="9"/>
  <c r="M42" i="26"/>
  <c r="S96" i="9"/>
  <c r="AA34" i="34" s="1"/>
  <c r="W33" i="34"/>
  <c r="S68" i="9"/>
  <c r="S34" i="34" s="1"/>
  <c r="V97" i="9"/>
  <c r="M99" i="26" s="1"/>
  <c r="K318" i="7"/>
  <c r="M132" i="26"/>
  <c r="V34" i="34"/>
  <c r="M98" i="26"/>
  <c r="V41" i="9"/>
  <c r="N35" i="34" s="1"/>
  <c r="J321" i="7"/>
  <c r="V69" i="9"/>
  <c r="V35" i="34" s="1"/>
  <c r="J309" i="7"/>
  <c r="R98" i="31"/>
  <c r="R42" i="31"/>
  <c r="R70" i="31"/>
  <c r="R42" i="9"/>
  <c r="R98" i="9"/>
  <c r="R70" i="9"/>
  <c r="V70" i="9" s="1"/>
  <c r="W68" i="31"/>
  <c r="S69" i="31" s="1"/>
  <c r="U69" i="31" s="1"/>
  <c r="K308" i="7"/>
  <c r="R14" i="31" s="1"/>
  <c r="K270" i="7"/>
  <c r="R14" i="9" s="1"/>
  <c r="K320" i="7"/>
  <c r="P43" i="9"/>
  <c r="P99" i="9"/>
  <c r="P71" i="9"/>
  <c r="M162" i="26"/>
  <c r="M13" i="33"/>
  <c r="Z13" i="33" s="1"/>
  <c r="P101" i="7"/>
  <c r="L101" i="7"/>
  <c r="N101" i="7"/>
  <c r="U101" i="7"/>
  <c r="K13" i="26"/>
  <c r="V12" i="31"/>
  <c r="W12" i="31" s="1"/>
  <c r="S13" i="31" s="1"/>
  <c r="U13" i="31" s="1"/>
  <c r="P97" i="31"/>
  <c r="P41" i="31"/>
  <c r="P69" i="31"/>
  <c r="V101" i="7"/>
  <c r="U42" i="26"/>
  <c r="K133" i="26"/>
  <c r="O101" i="7"/>
  <c r="S101" i="7"/>
  <c r="P42" i="31"/>
  <c r="P70" i="31"/>
  <c r="K14" i="26"/>
  <c r="V13" i="31"/>
  <c r="P98" i="31"/>
  <c r="U11" i="9"/>
  <c r="C34" i="34"/>
  <c r="C76" i="34" s="1"/>
  <c r="C45" i="33"/>
  <c r="J45" i="33" s="1"/>
  <c r="K34" i="34"/>
  <c r="B166" i="15"/>
  <c r="U40" i="9"/>
  <c r="T101" i="7"/>
  <c r="W96" i="31"/>
  <c r="S97" i="31" s="1"/>
  <c r="U97" i="31" s="1"/>
  <c r="K101" i="7"/>
  <c r="K271" i="7" s="1"/>
  <c r="K306" i="7"/>
  <c r="U41" i="26"/>
  <c r="K132" i="26"/>
  <c r="Q101" i="7"/>
  <c r="R101" i="7"/>
  <c r="F46" i="33"/>
  <c r="M46" i="33" s="1"/>
  <c r="F35" i="34"/>
  <c r="F77" i="34" s="1"/>
  <c r="O132" i="26"/>
  <c r="M101" i="7"/>
  <c r="M14" i="33"/>
  <c r="Z14" i="33" s="1"/>
  <c r="M163" i="26"/>
  <c r="W40" i="31"/>
  <c r="S41" i="31" s="1"/>
  <c r="U41" i="31" s="1"/>
  <c r="D166" i="15" l="1"/>
  <c r="M133" i="26"/>
  <c r="U96" i="9"/>
  <c r="AC34" i="34" s="1"/>
  <c r="F47" i="33"/>
  <c r="M47" i="33" s="1"/>
  <c r="V42" i="9"/>
  <c r="M44" i="26" s="1"/>
  <c r="V98" i="9"/>
  <c r="AD36" i="34" s="1"/>
  <c r="AD35" i="34"/>
  <c r="U68" i="9"/>
  <c r="N70" i="26" s="1"/>
  <c r="W70" i="26" s="1"/>
  <c r="C166" i="15"/>
  <c r="K321" i="7"/>
  <c r="M71" i="26"/>
  <c r="M43" i="26"/>
  <c r="V36" i="34"/>
  <c r="M72" i="26"/>
  <c r="R43" i="9"/>
  <c r="V43" i="9" s="1"/>
  <c r="R99" i="9"/>
  <c r="V99" i="9" s="1"/>
  <c r="R71" i="9"/>
  <c r="V71" i="9" s="1"/>
  <c r="R99" i="31"/>
  <c r="R71" i="31"/>
  <c r="R43" i="31"/>
  <c r="L308" i="7"/>
  <c r="R15" i="31" s="1"/>
  <c r="L270" i="7"/>
  <c r="R15" i="9" s="1"/>
  <c r="L320" i="7"/>
  <c r="V14" i="9"/>
  <c r="W13" i="31"/>
  <c r="S14" i="31" s="1"/>
  <c r="U14" i="31" s="1"/>
  <c r="W11" i="9"/>
  <c r="N12" i="26"/>
  <c r="W12" i="26" s="1"/>
  <c r="E34" i="34"/>
  <c r="E76" i="34" s="1"/>
  <c r="E45" i="33"/>
  <c r="L45" i="33" s="1"/>
  <c r="L113" i="7"/>
  <c r="L271" i="7" s="1"/>
  <c r="M318" i="7"/>
  <c r="L306" i="7"/>
  <c r="V98" i="31"/>
  <c r="K100" i="26"/>
  <c r="U100" i="26" s="1"/>
  <c r="K164" i="26"/>
  <c r="U13" i="26"/>
  <c r="K15" i="33"/>
  <c r="X15" i="33" s="1"/>
  <c r="M13" i="26"/>
  <c r="U14" i="26"/>
  <c r="K16" i="33"/>
  <c r="X16" i="33" s="1"/>
  <c r="K165" i="26"/>
  <c r="M14" i="26"/>
  <c r="P113" i="7"/>
  <c r="Q306" i="7"/>
  <c r="L268" i="7"/>
  <c r="P15" i="9" s="1"/>
  <c r="S113" i="7"/>
  <c r="V70" i="31"/>
  <c r="K72" i="26"/>
  <c r="U72" i="26" s="1"/>
  <c r="V113" i="7"/>
  <c r="L318" i="7"/>
  <c r="N42" i="26"/>
  <c r="M34" i="34"/>
  <c r="W40" i="9"/>
  <c r="R306" i="7"/>
  <c r="Q113" i="7"/>
  <c r="N113" i="7"/>
  <c r="R113" i="7"/>
  <c r="S306" i="7"/>
  <c r="K44" i="26"/>
  <c r="V42" i="31"/>
  <c r="K71" i="26"/>
  <c r="U71" i="26" s="1"/>
  <c r="V69" i="31"/>
  <c r="W69" i="31" s="1"/>
  <c r="S70" i="31" s="1"/>
  <c r="U70" i="31" s="1"/>
  <c r="M113" i="7"/>
  <c r="N306" i="7"/>
  <c r="P306" i="7"/>
  <c r="O113" i="7"/>
  <c r="U113" i="7"/>
  <c r="T113" i="7"/>
  <c r="U306" i="7"/>
  <c r="K43" i="26"/>
  <c r="V41" i="31"/>
  <c r="W41" i="31" s="1"/>
  <c r="S42" i="31" s="1"/>
  <c r="U42" i="31" s="1"/>
  <c r="K309" i="7"/>
  <c r="P14" i="31"/>
  <c r="K15" i="26" s="1"/>
  <c r="K99" i="26"/>
  <c r="U99" i="26" s="1"/>
  <c r="V97" i="31"/>
  <c r="W97" i="31" s="1"/>
  <c r="S98" i="31" s="1"/>
  <c r="U98" i="31" s="1"/>
  <c r="K166" i="26" l="1"/>
  <c r="U15" i="26"/>
  <c r="K17" i="33"/>
  <c r="X17" i="33" s="1"/>
  <c r="M15" i="26"/>
  <c r="F37" i="34"/>
  <c r="F79" i="34" s="1"/>
  <c r="F48" i="33"/>
  <c r="M48" i="33" s="1"/>
  <c r="AD37" i="34"/>
  <c r="M101" i="26"/>
  <c r="N37" i="34"/>
  <c r="M45" i="26"/>
  <c r="V37" i="34"/>
  <c r="M73" i="26"/>
  <c r="E166" i="15"/>
  <c r="W96" i="9"/>
  <c r="S97" i="9" s="1"/>
  <c r="N98" i="26"/>
  <c r="W98" i="26" s="1"/>
  <c r="N36" i="34"/>
  <c r="M100" i="26"/>
  <c r="M135" i="26" s="1"/>
  <c r="W68" i="9"/>
  <c r="O70" i="26" s="1"/>
  <c r="U34" i="34"/>
  <c r="M134" i="26"/>
  <c r="W98" i="31"/>
  <c r="S99" i="31" s="1"/>
  <c r="U99" i="31" s="1"/>
  <c r="W42" i="31"/>
  <c r="S43" i="31" s="1"/>
  <c r="U43" i="31" s="1"/>
  <c r="M306" i="7"/>
  <c r="P16" i="31" s="1"/>
  <c r="M268" i="7"/>
  <c r="P16" i="9" s="1"/>
  <c r="P45" i="9" s="1"/>
  <c r="L321" i="7"/>
  <c r="R100" i="9"/>
  <c r="R72" i="9"/>
  <c r="R44" i="9"/>
  <c r="R100" i="31"/>
  <c r="R72" i="31"/>
  <c r="R44" i="31"/>
  <c r="M308" i="7"/>
  <c r="R16" i="31" s="1"/>
  <c r="M270" i="7"/>
  <c r="R16" i="9" s="1"/>
  <c r="M320" i="7"/>
  <c r="M321" i="7" s="1"/>
  <c r="W70" i="31"/>
  <c r="S71" i="31" s="1"/>
  <c r="U71" i="31" s="1"/>
  <c r="P309" i="7"/>
  <c r="P19" i="31"/>
  <c r="N309" i="7"/>
  <c r="P17" i="31"/>
  <c r="U309" i="7"/>
  <c r="P24" i="31"/>
  <c r="P99" i="31"/>
  <c r="P71" i="31"/>
  <c r="P43" i="31"/>
  <c r="V14" i="31"/>
  <c r="W14" i="31" s="1"/>
  <c r="S15" i="31" s="1"/>
  <c r="U15" i="31" s="1"/>
  <c r="T126" i="7"/>
  <c r="T306" i="7"/>
  <c r="M126" i="7"/>
  <c r="M271" i="7" s="1"/>
  <c r="N318" i="7"/>
  <c r="L309" i="7"/>
  <c r="P15" i="31"/>
  <c r="K16" i="26" s="1"/>
  <c r="M16" i="33"/>
  <c r="Z16" i="33" s="1"/>
  <c r="M165" i="26"/>
  <c r="S126" i="7"/>
  <c r="K135" i="26"/>
  <c r="U44" i="26"/>
  <c r="Q309" i="7"/>
  <c r="P20" i="31"/>
  <c r="R126" i="7"/>
  <c r="S309" i="7"/>
  <c r="P22" i="31"/>
  <c r="P44" i="9"/>
  <c r="P72" i="9"/>
  <c r="V15" i="9"/>
  <c r="P100" i="9"/>
  <c r="V126" i="7"/>
  <c r="V306" i="7"/>
  <c r="O42" i="26"/>
  <c r="S41" i="9"/>
  <c r="O34" i="34"/>
  <c r="N126" i="7"/>
  <c r="V139" i="7"/>
  <c r="U126" i="7"/>
  <c r="P126" i="7"/>
  <c r="Q126" i="7"/>
  <c r="M164" i="26"/>
  <c r="M15" i="33"/>
  <c r="Z15" i="33" s="1"/>
  <c r="P21" i="31"/>
  <c r="R309" i="7"/>
  <c r="K134" i="26"/>
  <c r="U43" i="26"/>
  <c r="O126" i="7"/>
  <c r="W42" i="26"/>
  <c r="S12" i="9"/>
  <c r="O12" i="26"/>
  <c r="G45" i="33"/>
  <c r="N45" i="33" s="1"/>
  <c r="G34" i="34"/>
  <c r="G76" i="34" s="1"/>
  <c r="O306" i="7"/>
  <c r="V43" i="31" l="1"/>
  <c r="K45" i="26"/>
  <c r="M166" i="26"/>
  <c r="M17" i="33"/>
  <c r="Z17" i="33" s="1"/>
  <c r="K18" i="33"/>
  <c r="X18" i="33" s="1"/>
  <c r="K167" i="26"/>
  <c r="U16" i="26"/>
  <c r="M16" i="26"/>
  <c r="V71" i="31"/>
  <c r="K73" i="26"/>
  <c r="U73" i="26" s="1"/>
  <c r="V99" i="31"/>
  <c r="W99" i="31" s="1"/>
  <c r="S100" i="31" s="1"/>
  <c r="U100" i="31" s="1"/>
  <c r="K101" i="26"/>
  <c r="U101" i="26" s="1"/>
  <c r="M136" i="26"/>
  <c r="F38" i="34"/>
  <c r="F80" i="34" s="1"/>
  <c r="F49" i="33"/>
  <c r="M49" i="33" s="1"/>
  <c r="O98" i="26"/>
  <c r="AE34" i="34"/>
  <c r="N133" i="26"/>
  <c r="W43" i="31"/>
  <c r="S44" i="31" s="1"/>
  <c r="U44" i="31" s="1"/>
  <c r="W71" i="31"/>
  <c r="S72" i="31" s="1"/>
  <c r="U72" i="31" s="1"/>
  <c r="W34" i="34"/>
  <c r="S69" i="9"/>
  <c r="U69" i="9" s="1"/>
  <c r="P73" i="9"/>
  <c r="V44" i="9"/>
  <c r="V16" i="9"/>
  <c r="P101" i="9"/>
  <c r="V72" i="9"/>
  <c r="N268" i="7"/>
  <c r="P17" i="9" s="1"/>
  <c r="P102" i="9" s="1"/>
  <c r="V100" i="9"/>
  <c r="M309" i="7"/>
  <c r="N270" i="7"/>
  <c r="R17" i="9" s="1"/>
  <c r="N320" i="7"/>
  <c r="N321" i="7" s="1"/>
  <c r="R101" i="9"/>
  <c r="R73" i="9"/>
  <c r="R45" i="9"/>
  <c r="V45" i="9" s="1"/>
  <c r="R73" i="31"/>
  <c r="R45" i="31"/>
  <c r="R101" i="31"/>
  <c r="U97" i="9"/>
  <c r="D167" i="15"/>
  <c r="AA35" i="34"/>
  <c r="P106" i="31"/>
  <c r="V106" i="31" s="1"/>
  <c r="P78" i="31"/>
  <c r="V78" i="31" s="1"/>
  <c r="P50" i="31"/>
  <c r="V50" i="31" s="1"/>
  <c r="V21" i="31"/>
  <c r="O139" i="7"/>
  <c r="P76" i="31"/>
  <c r="V76" i="31" s="1"/>
  <c r="P48" i="31"/>
  <c r="V48" i="31" s="1"/>
  <c r="P104" i="31"/>
  <c r="V104" i="31" s="1"/>
  <c r="V19" i="31"/>
  <c r="C46" i="33"/>
  <c r="J46" i="33" s="1"/>
  <c r="C35" i="34"/>
  <c r="C77" i="34" s="1"/>
  <c r="U12" i="9"/>
  <c r="Q139" i="7"/>
  <c r="O133" i="26"/>
  <c r="V153" i="7"/>
  <c r="U139" i="7"/>
  <c r="P49" i="31"/>
  <c r="V49" i="31" s="1"/>
  <c r="P105" i="31"/>
  <c r="V105" i="31" s="1"/>
  <c r="P77" i="31"/>
  <c r="V77" i="31" s="1"/>
  <c r="V20" i="31"/>
  <c r="P74" i="31"/>
  <c r="V74" i="31" s="1"/>
  <c r="P102" i="31"/>
  <c r="V102" i="31" s="1"/>
  <c r="P46" i="31"/>
  <c r="V46" i="31" s="1"/>
  <c r="V17" i="31"/>
  <c r="V309" i="7"/>
  <c r="P25" i="31"/>
  <c r="P44" i="31"/>
  <c r="P72" i="31"/>
  <c r="P100" i="31"/>
  <c r="V15" i="31"/>
  <c r="W15" i="31" s="1"/>
  <c r="S16" i="31" s="1"/>
  <c r="U16" i="31" s="1"/>
  <c r="B167" i="15"/>
  <c r="U41" i="9"/>
  <c r="K35" i="34"/>
  <c r="R139" i="7"/>
  <c r="S139" i="7"/>
  <c r="O309" i="7"/>
  <c r="P18" i="31"/>
  <c r="P139" i="7"/>
  <c r="P107" i="31"/>
  <c r="P51" i="31"/>
  <c r="P79" i="31"/>
  <c r="N139" i="7"/>
  <c r="N271" i="7" s="1"/>
  <c r="O268" i="7"/>
  <c r="P18" i="9" s="1"/>
  <c r="P73" i="31"/>
  <c r="P101" i="31"/>
  <c r="V16" i="31"/>
  <c r="P45" i="31"/>
  <c r="T139" i="7"/>
  <c r="T309" i="7"/>
  <c r="P23" i="31"/>
  <c r="P109" i="31"/>
  <c r="P53" i="31"/>
  <c r="P81" i="31"/>
  <c r="V100" i="31" l="1"/>
  <c r="K102" i="26"/>
  <c r="U102" i="26" s="1"/>
  <c r="V72" i="31"/>
  <c r="W72" i="31" s="1"/>
  <c r="S73" i="31" s="1"/>
  <c r="U73" i="31" s="1"/>
  <c r="K74" i="26"/>
  <c r="U74" i="26" s="1"/>
  <c r="M167" i="26"/>
  <c r="M18" i="33"/>
  <c r="Z18" i="33" s="1"/>
  <c r="V44" i="31"/>
  <c r="W44" i="31" s="1"/>
  <c r="S45" i="31" s="1"/>
  <c r="U45" i="31" s="1"/>
  <c r="K46" i="26"/>
  <c r="U45" i="26"/>
  <c r="K136" i="26"/>
  <c r="N39" i="34"/>
  <c r="M47" i="26"/>
  <c r="V38" i="34"/>
  <c r="M74" i="26"/>
  <c r="F39" i="34"/>
  <c r="F81" i="34" s="1"/>
  <c r="F50" i="33"/>
  <c r="M50" i="33" s="1"/>
  <c r="N38" i="34"/>
  <c r="M46" i="26"/>
  <c r="AD38" i="34"/>
  <c r="M102" i="26"/>
  <c r="S35" i="34"/>
  <c r="V101" i="9"/>
  <c r="C167" i="15"/>
  <c r="E167" i="15" s="1"/>
  <c r="V73" i="9"/>
  <c r="P46" i="9"/>
  <c r="P74" i="9"/>
  <c r="W100" i="31"/>
  <c r="S101" i="31" s="1"/>
  <c r="U101" i="31" s="1"/>
  <c r="V101" i="31"/>
  <c r="V17" i="9"/>
  <c r="V73" i="31"/>
  <c r="V45" i="31"/>
  <c r="R46" i="9"/>
  <c r="R102" i="9"/>
  <c r="V102" i="9" s="1"/>
  <c r="R74" i="9"/>
  <c r="O270" i="7"/>
  <c r="R18" i="9" s="1"/>
  <c r="V18" i="9" s="1"/>
  <c r="O320" i="7"/>
  <c r="W16" i="31"/>
  <c r="S17" i="31" s="1"/>
  <c r="U17" i="31" s="1"/>
  <c r="W17" i="31" s="1"/>
  <c r="S18" i="31" s="1"/>
  <c r="U18" i="31" s="1"/>
  <c r="P75" i="9"/>
  <c r="P47" i="9"/>
  <c r="P103" i="9"/>
  <c r="U153" i="7"/>
  <c r="T153" i="7"/>
  <c r="P153" i="7"/>
  <c r="Q153" i="7"/>
  <c r="S153" i="7"/>
  <c r="O318" i="7"/>
  <c r="P103" i="31"/>
  <c r="V103" i="31" s="1"/>
  <c r="P47" i="31"/>
  <c r="V47" i="31" s="1"/>
  <c r="P75" i="31"/>
  <c r="V75" i="31" s="1"/>
  <c r="V18" i="31"/>
  <c r="N71" i="26"/>
  <c r="W71" i="26" s="1"/>
  <c r="U35" i="34"/>
  <c r="W69" i="9"/>
  <c r="R153" i="7"/>
  <c r="O153" i="7"/>
  <c r="O271" i="7" s="1"/>
  <c r="P52" i="31"/>
  <c r="P80" i="31"/>
  <c r="P108" i="31"/>
  <c r="W41" i="9"/>
  <c r="M35" i="34"/>
  <c r="N43" i="26"/>
  <c r="P82" i="31"/>
  <c r="P110" i="31"/>
  <c r="P54" i="31"/>
  <c r="E35" i="34"/>
  <c r="E77" i="34" s="1"/>
  <c r="N13" i="26"/>
  <c r="W13" i="26" s="1"/>
  <c r="W12" i="9"/>
  <c r="E46" i="33"/>
  <c r="L46" i="33" s="1"/>
  <c r="AC35" i="34"/>
  <c r="W97" i="9"/>
  <c r="N99" i="26"/>
  <c r="W99" i="26" s="1"/>
  <c r="U46" i="26" l="1"/>
  <c r="K137" i="26"/>
  <c r="M137" i="26"/>
  <c r="V39" i="34"/>
  <c r="M75" i="26"/>
  <c r="AD39" i="34"/>
  <c r="M103" i="26"/>
  <c r="F40" i="34"/>
  <c r="F82" i="34" s="1"/>
  <c r="F51" i="33"/>
  <c r="M51" i="33" s="1"/>
  <c r="F41" i="34"/>
  <c r="F83" i="34" s="1"/>
  <c r="F52" i="33"/>
  <c r="M52" i="33" s="1"/>
  <c r="AD40" i="34"/>
  <c r="M104" i="26"/>
  <c r="V74" i="9"/>
  <c r="W45" i="31"/>
  <c r="S46" i="31" s="1"/>
  <c r="U46" i="31" s="1"/>
  <c r="W46" i="31" s="1"/>
  <c r="S47" i="31" s="1"/>
  <c r="U47" i="31" s="1"/>
  <c r="W47" i="31" s="1"/>
  <c r="S48" i="31" s="1"/>
  <c r="U48" i="31" s="1"/>
  <c r="W48" i="31" s="1"/>
  <c r="S49" i="31" s="1"/>
  <c r="U49" i="31" s="1"/>
  <c r="W49" i="31" s="1"/>
  <c r="S50" i="31" s="1"/>
  <c r="U50" i="31" s="1"/>
  <c r="W50" i="31" s="1"/>
  <c r="W73" i="31"/>
  <c r="S74" i="31" s="1"/>
  <c r="U74" i="31" s="1"/>
  <c r="W74" i="31" s="1"/>
  <c r="S75" i="31" s="1"/>
  <c r="U75" i="31" s="1"/>
  <c r="W75" i="31" s="1"/>
  <c r="S76" i="31" s="1"/>
  <c r="U76" i="31" s="1"/>
  <c r="W76" i="31" s="1"/>
  <c r="S77" i="31" s="1"/>
  <c r="U77" i="31" s="1"/>
  <c r="W77" i="31" s="1"/>
  <c r="S78" i="31" s="1"/>
  <c r="U78" i="31" s="1"/>
  <c r="W78" i="31" s="1"/>
  <c r="V46" i="9"/>
  <c r="W101" i="31"/>
  <c r="S102" i="31" s="1"/>
  <c r="U102" i="31" s="1"/>
  <c r="W102" i="31" s="1"/>
  <c r="S103" i="31" s="1"/>
  <c r="U103" i="31" s="1"/>
  <c r="W103" i="31" s="1"/>
  <c r="S104" i="31" s="1"/>
  <c r="U104" i="31" s="1"/>
  <c r="W104" i="31" s="1"/>
  <c r="S105" i="31" s="1"/>
  <c r="U105" i="31" s="1"/>
  <c r="W105" i="31" s="1"/>
  <c r="S106" i="31" s="1"/>
  <c r="U106" i="31" s="1"/>
  <c r="W106" i="31" s="1"/>
  <c r="W18" i="31"/>
  <c r="S19" i="31" s="1"/>
  <c r="U19" i="31" s="1"/>
  <c r="W19" i="31" s="1"/>
  <c r="S20" i="31" s="1"/>
  <c r="U20" i="31" s="1"/>
  <c r="W20" i="31" s="1"/>
  <c r="S21" i="31" s="1"/>
  <c r="U21" i="31" s="1"/>
  <c r="W21" i="31" s="1"/>
  <c r="O321" i="7"/>
  <c r="R75" i="9"/>
  <c r="V75" i="9" s="1"/>
  <c r="R47" i="9"/>
  <c r="V47" i="9" s="1"/>
  <c r="R103" i="9"/>
  <c r="V103" i="9" s="1"/>
  <c r="P320" i="7"/>
  <c r="P270" i="7"/>
  <c r="R19" i="9" s="1"/>
  <c r="W43" i="26"/>
  <c r="N134" i="26"/>
  <c r="V167" i="7"/>
  <c r="P167" i="7"/>
  <c r="P271" i="7" s="1"/>
  <c r="Q268" i="7"/>
  <c r="P20" i="9" s="1"/>
  <c r="T167" i="7"/>
  <c r="P318" i="7"/>
  <c r="W35" i="34"/>
  <c r="S70" i="9"/>
  <c r="O71" i="26"/>
  <c r="AE35" i="34"/>
  <c r="O99" i="26"/>
  <c r="S98" i="9"/>
  <c r="Q167" i="7"/>
  <c r="S167" i="7"/>
  <c r="O13" i="26"/>
  <c r="G35" i="34"/>
  <c r="G77" i="34" s="1"/>
  <c r="S13" i="9"/>
  <c r="G46" i="33"/>
  <c r="N46" i="33" s="1"/>
  <c r="R167" i="7"/>
  <c r="P268" i="7"/>
  <c r="P19" i="9" s="1"/>
  <c r="U167" i="7"/>
  <c r="V179" i="7"/>
  <c r="O35" i="34"/>
  <c r="O43" i="26"/>
  <c r="S42" i="9"/>
  <c r="M138" i="26" l="1"/>
  <c r="N40" i="34"/>
  <c r="M48" i="26"/>
  <c r="AD41" i="34"/>
  <c r="M105" i="26"/>
  <c r="N41" i="34"/>
  <c r="M49" i="26"/>
  <c r="V40" i="34"/>
  <c r="M76" i="26"/>
  <c r="V41" i="34"/>
  <c r="M77" i="26"/>
  <c r="Q320" i="7"/>
  <c r="Q270" i="7"/>
  <c r="R20" i="9" s="1"/>
  <c r="P321" i="7"/>
  <c r="R76" i="9"/>
  <c r="R48" i="9"/>
  <c r="R104" i="9"/>
  <c r="P48" i="9"/>
  <c r="P104" i="9"/>
  <c r="P76" i="9"/>
  <c r="V19" i="9"/>
  <c r="F53" i="33" s="1"/>
  <c r="M53" i="33" s="1"/>
  <c r="U13" i="9"/>
  <c r="C36" i="34"/>
  <c r="C78" i="34" s="1"/>
  <c r="C47" i="33"/>
  <c r="J47" i="33" s="1"/>
  <c r="D168" i="15"/>
  <c r="U98" i="9"/>
  <c r="AA36" i="34"/>
  <c r="V191" i="7"/>
  <c r="U179" i="7"/>
  <c r="P49" i="9"/>
  <c r="P105" i="9"/>
  <c r="P77" i="9"/>
  <c r="Q179" i="7"/>
  <c r="Q271" i="7" s="1"/>
  <c r="R318" i="7"/>
  <c r="O134" i="26"/>
  <c r="T179" i="7"/>
  <c r="S36" i="34"/>
  <c r="C168" i="15"/>
  <c r="U70" i="9"/>
  <c r="R179" i="7"/>
  <c r="K36" i="34"/>
  <c r="U42" i="9"/>
  <c r="B168" i="15"/>
  <c r="S179" i="7"/>
  <c r="Q318" i="7"/>
  <c r="M140" i="26" l="1"/>
  <c r="M139" i="26"/>
  <c r="R268" i="7"/>
  <c r="P21" i="9" s="1"/>
  <c r="P106" i="9" s="1"/>
  <c r="V48" i="9"/>
  <c r="M50" i="26" s="1"/>
  <c r="Q321" i="7"/>
  <c r="R105" i="9"/>
  <c r="V105" i="9" s="1"/>
  <c r="M107" i="26" s="1"/>
  <c r="R77" i="9"/>
  <c r="V77" i="9" s="1"/>
  <c r="M79" i="26" s="1"/>
  <c r="R49" i="9"/>
  <c r="V49" i="9" s="1"/>
  <c r="M51" i="26" s="1"/>
  <c r="M142" i="26" s="1"/>
  <c r="V76" i="9"/>
  <c r="M78" i="26" s="1"/>
  <c r="V20" i="9"/>
  <c r="F54" i="33" s="1"/>
  <c r="M54" i="33" s="1"/>
  <c r="V104" i="9"/>
  <c r="M106" i="26" s="1"/>
  <c r="R270" i="7"/>
  <c r="R21" i="9" s="1"/>
  <c r="R320" i="7"/>
  <c r="R321" i="7" s="1"/>
  <c r="S191" i="7"/>
  <c r="AC36" i="34"/>
  <c r="N100" i="26"/>
  <c r="W100" i="26" s="1"/>
  <c r="W98" i="9"/>
  <c r="W70" i="9"/>
  <c r="N72" i="26"/>
  <c r="W72" i="26" s="1"/>
  <c r="U36" i="34"/>
  <c r="T191" i="7"/>
  <c r="V203" i="7"/>
  <c r="U191" i="7"/>
  <c r="S318" i="7"/>
  <c r="R191" i="7"/>
  <c r="R271" i="7" s="1"/>
  <c r="E168" i="15"/>
  <c r="W13" i="9"/>
  <c r="E47" i="33"/>
  <c r="L47" i="33" s="1"/>
  <c r="N14" i="26"/>
  <c r="W14" i="26" s="1"/>
  <c r="E36" i="34"/>
  <c r="E78" i="34" s="1"/>
  <c r="W42" i="9"/>
  <c r="M36" i="34"/>
  <c r="N44" i="26"/>
  <c r="M141" i="26" l="1"/>
  <c r="P78" i="9"/>
  <c r="P50" i="9"/>
  <c r="V21" i="9"/>
  <c r="F55" i="33" s="1"/>
  <c r="M55" i="33" s="1"/>
  <c r="R78" i="9"/>
  <c r="R106" i="9"/>
  <c r="V106" i="9" s="1"/>
  <c r="M108" i="26" s="1"/>
  <c r="R50" i="9"/>
  <c r="S320" i="7"/>
  <c r="S321" i="7" s="1"/>
  <c r="S270" i="7"/>
  <c r="R22" i="9" s="1"/>
  <c r="S203" i="7"/>
  <c r="S271" i="7" s="1"/>
  <c r="W36" i="34"/>
  <c r="O72" i="26"/>
  <c r="S71" i="9"/>
  <c r="T203" i="7"/>
  <c r="S268" i="7"/>
  <c r="P22" i="9" s="1"/>
  <c r="N135" i="26"/>
  <c r="W44" i="26"/>
  <c r="O44" i="26"/>
  <c r="O36" i="34"/>
  <c r="S43" i="9"/>
  <c r="G47" i="33"/>
  <c r="N47" i="33" s="1"/>
  <c r="S14" i="9"/>
  <c r="C48" i="33" s="1"/>
  <c r="J48" i="33" s="1"/>
  <c r="O14" i="26"/>
  <c r="G36" i="34"/>
  <c r="G78" i="34" s="1"/>
  <c r="AE36" i="34"/>
  <c r="S99" i="9"/>
  <c r="O100" i="26"/>
  <c r="V215" i="7"/>
  <c r="U203" i="7"/>
  <c r="V78" i="9" l="1"/>
  <c r="M80" i="26" s="1"/>
  <c r="V50" i="9"/>
  <c r="M52" i="26" s="1"/>
  <c r="M143" i="26" s="1"/>
  <c r="T270" i="7"/>
  <c r="R23" i="9" s="1"/>
  <c r="T320" i="7"/>
  <c r="R51" i="9"/>
  <c r="R107" i="9"/>
  <c r="R79" i="9"/>
  <c r="U14" i="9"/>
  <c r="C37" i="34"/>
  <c r="C79" i="34" s="1"/>
  <c r="P51" i="9"/>
  <c r="P79" i="9"/>
  <c r="P107" i="9"/>
  <c r="V22" i="9"/>
  <c r="F56" i="33" s="1"/>
  <c r="M56" i="33" s="1"/>
  <c r="S37" i="34"/>
  <c r="U71" i="9"/>
  <c r="N73" i="26" s="1"/>
  <c r="W73" i="26" s="1"/>
  <c r="C169" i="15"/>
  <c r="K37" i="34"/>
  <c r="U43" i="9"/>
  <c r="N45" i="26" s="1"/>
  <c r="B169" i="15"/>
  <c r="T215" i="7"/>
  <c r="T271" i="7" s="1"/>
  <c r="U268" i="7"/>
  <c r="P24" i="9" s="1"/>
  <c r="T268" i="7"/>
  <c r="P23" i="9" s="1"/>
  <c r="T318" i="7"/>
  <c r="U99" i="9"/>
  <c r="N101" i="26" s="1"/>
  <c r="W101" i="26" s="1"/>
  <c r="D169" i="15"/>
  <c r="AA37" i="34"/>
  <c r="O135" i="26"/>
  <c r="U215" i="7"/>
  <c r="N15" i="26" l="1"/>
  <c r="W15" i="26" s="1"/>
  <c r="E48" i="33"/>
  <c r="L48" i="33" s="1"/>
  <c r="W45" i="26"/>
  <c r="N136" i="26"/>
  <c r="T321" i="7"/>
  <c r="V107" i="9"/>
  <c r="M109" i="26" s="1"/>
  <c r="V79" i="9"/>
  <c r="M81" i="26" s="1"/>
  <c r="R52" i="9"/>
  <c r="R108" i="9"/>
  <c r="R80" i="9"/>
  <c r="V51" i="9"/>
  <c r="M53" i="26" s="1"/>
  <c r="U320" i="7"/>
  <c r="U270" i="7"/>
  <c r="R24" i="9" s="1"/>
  <c r="E169" i="15"/>
  <c r="W43" i="9"/>
  <c r="O45" i="26" s="1"/>
  <c r="O136" i="26" s="1"/>
  <c r="M37" i="34"/>
  <c r="AC37" i="34"/>
  <c r="W99" i="9"/>
  <c r="O101" i="26" s="1"/>
  <c r="E37" i="34"/>
  <c r="E79" i="34" s="1"/>
  <c r="W14" i="9"/>
  <c r="P108" i="9"/>
  <c r="V23" i="9"/>
  <c r="F57" i="33" s="1"/>
  <c r="M57" i="33" s="1"/>
  <c r="P80" i="9"/>
  <c r="P52" i="9"/>
  <c r="P109" i="9"/>
  <c r="P53" i="9"/>
  <c r="P81" i="9"/>
  <c r="W71" i="9"/>
  <c r="O73" i="26" s="1"/>
  <c r="U37" i="34"/>
  <c r="V227" i="7"/>
  <c r="V318" i="7"/>
  <c r="U227" i="7"/>
  <c r="U271" i="7" s="1"/>
  <c r="U318" i="7"/>
  <c r="M144" i="26" l="1"/>
  <c r="O15" i="26"/>
  <c r="G48" i="33"/>
  <c r="N48" i="33" s="1"/>
  <c r="V108" i="9"/>
  <c r="M110" i="26" s="1"/>
  <c r="V52" i="9"/>
  <c r="M54" i="26" s="1"/>
  <c r="V80" i="9"/>
  <c r="M82" i="26" s="1"/>
  <c r="U321" i="7"/>
  <c r="R109" i="9"/>
  <c r="V109" i="9" s="1"/>
  <c r="M111" i="26" s="1"/>
  <c r="R81" i="9"/>
  <c r="V81" i="9" s="1"/>
  <c r="M83" i="26" s="1"/>
  <c r="R53" i="9"/>
  <c r="V53" i="9" s="1"/>
  <c r="M55" i="26" s="1"/>
  <c r="V24" i="9"/>
  <c r="F58" i="33" s="1"/>
  <c r="M58" i="33" s="1"/>
  <c r="V320" i="7"/>
  <c r="V321" i="7" s="1"/>
  <c r="V270" i="7"/>
  <c r="R25" i="9" s="1"/>
  <c r="S100" i="9"/>
  <c r="AE37" i="34"/>
  <c r="V239" i="7"/>
  <c r="V271" i="7" s="1"/>
  <c r="V268" i="7"/>
  <c r="P25" i="9" s="1"/>
  <c r="S15" i="9"/>
  <c r="C49" i="33" s="1"/>
  <c r="J49" i="33" s="1"/>
  <c r="G37" i="34"/>
  <c r="G79" i="34" s="1"/>
  <c r="O37" i="34"/>
  <c r="S44" i="9"/>
  <c r="W37" i="34"/>
  <c r="S72" i="9"/>
  <c r="M145" i="26" l="1"/>
  <c r="M146" i="26"/>
  <c r="R82" i="9"/>
  <c r="R54" i="9"/>
  <c r="R110" i="9"/>
  <c r="U15" i="9"/>
  <c r="C38" i="34"/>
  <c r="C80" i="34" s="1"/>
  <c r="P54" i="9"/>
  <c r="P110" i="9"/>
  <c r="P82" i="9"/>
  <c r="V25" i="9"/>
  <c r="F59" i="33" s="1"/>
  <c r="M59" i="33" s="1"/>
  <c r="U72" i="9"/>
  <c r="N74" i="26" s="1"/>
  <c r="W74" i="26" s="1"/>
  <c r="C170" i="15"/>
  <c r="S38" i="34"/>
  <c r="K38" i="34"/>
  <c r="U44" i="9"/>
  <c r="N46" i="26" s="1"/>
  <c r="B170" i="15"/>
  <c r="AA38" i="34"/>
  <c r="U100" i="9"/>
  <c r="N102" i="26" s="1"/>
  <c r="W102" i="26" s="1"/>
  <c r="D170" i="15"/>
  <c r="E49" i="33" l="1"/>
  <c r="L49" i="33" s="1"/>
  <c r="N16" i="26"/>
  <c r="W16" i="26" s="1"/>
  <c r="N137" i="26"/>
  <c r="W46" i="26"/>
  <c r="V82" i="9"/>
  <c r="M84" i="26" s="1"/>
  <c r="V110" i="9"/>
  <c r="M112" i="26" s="1"/>
  <c r="V54" i="9"/>
  <c r="M56" i="26" s="1"/>
  <c r="W72" i="9"/>
  <c r="O74" i="26" s="1"/>
  <c r="U38" i="34"/>
  <c r="AC38" i="34"/>
  <c r="W100" i="9"/>
  <c r="O102" i="26" s="1"/>
  <c r="E170" i="15"/>
  <c r="W44" i="9"/>
  <c r="O46" i="26" s="1"/>
  <c r="M38" i="34"/>
  <c r="W15" i="9"/>
  <c r="E38" i="34"/>
  <c r="E80" i="34" s="1"/>
  <c r="M147" i="26" l="1"/>
  <c r="G49" i="33"/>
  <c r="N49" i="33" s="1"/>
  <c r="O16" i="26"/>
  <c r="O137" i="26"/>
  <c r="G38" i="34"/>
  <c r="G80" i="34" s="1"/>
  <c r="S16" i="9"/>
  <c r="C50" i="33" s="1"/>
  <c r="J50" i="33" s="1"/>
  <c r="O38" i="34"/>
  <c r="S45" i="9"/>
  <c r="AE38" i="34"/>
  <c r="S101" i="9"/>
  <c r="S73" i="9"/>
  <c r="W38" i="34"/>
  <c r="S39" i="34" l="1"/>
  <c r="U73" i="9"/>
  <c r="N75" i="26" s="1"/>
  <c r="W75" i="26" s="1"/>
  <c r="C171" i="15"/>
  <c r="D171" i="15"/>
  <c r="U101" i="9"/>
  <c r="N103" i="26" s="1"/>
  <c r="W103" i="26" s="1"/>
  <c r="AA39" i="34"/>
  <c r="K39" i="34"/>
  <c r="U45" i="9"/>
  <c r="N47" i="26" s="1"/>
  <c r="B171" i="15"/>
  <c r="U16" i="9"/>
  <c r="C39" i="34"/>
  <c r="C81" i="34" s="1"/>
  <c r="W47" i="26" l="1"/>
  <c r="N138" i="26"/>
  <c r="N17" i="26"/>
  <c r="W17" i="26" s="1"/>
  <c r="E50" i="33"/>
  <c r="L50" i="33" s="1"/>
  <c r="E171" i="15"/>
  <c r="W101" i="9"/>
  <c r="O103" i="26" s="1"/>
  <c r="AC39" i="34"/>
  <c r="W45" i="9"/>
  <c r="O47" i="26" s="1"/>
  <c r="O138" i="26" s="1"/>
  <c r="M39" i="34"/>
  <c r="E39" i="34"/>
  <c r="E81" i="34" s="1"/>
  <c r="W16" i="9"/>
  <c r="W73" i="9"/>
  <c r="O75" i="26" s="1"/>
  <c r="U39" i="34"/>
  <c r="G50" i="33" l="1"/>
  <c r="N50" i="33" s="1"/>
  <c r="O17" i="26"/>
  <c r="W39" i="34"/>
  <c r="S74" i="9"/>
  <c r="G39" i="34"/>
  <c r="G81" i="34" s="1"/>
  <c r="S17" i="9"/>
  <c r="C51" i="33" s="1"/>
  <c r="J51" i="33" s="1"/>
  <c r="S46" i="9"/>
  <c r="O39" i="34"/>
  <c r="S102" i="9"/>
  <c r="AE39" i="34"/>
  <c r="D172" i="15" l="1"/>
  <c r="U102" i="9"/>
  <c r="N104" i="26" s="1"/>
  <c r="W104" i="26" s="1"/>
  <c r="AA40" i="34"/>
  <c r="U46" i="9"/>
  <c r="N48" i="26" s="1"/>
  <c r="K40" i="34"/>
  <c r="B172" i="15"/>
  <c r="U17" i="9"/>
  <c r="C40" i="34"/>
  <c r="C82" i="34" s="1"/>
  <c r="S40" i="34"/>
  <c r="C172" i="15"/>
  <c r="U74" i="9"/>
  <c r="N76" i="26" s="1"/>
  <c r="W76" i="26" s="1"/>
  <c r="N139" i="26" l="1"/>
  <c r="W48" i="26"/>
  <c r="E51" i="33"/>
  <c r="L51" i="33" s="1"/>
  <c r="N18" i="26"/>
  <c r="W18" i="26" s="1"/>
  <c r="E172" i="15"/>
  <c r="M40" i="34"/>
  <c r="W46" i="9"/>
  <c r="O48" i="26" s="1"/>
  <c r="W102" i="9"/>
  <c r="O104" i="26" s="1"/>
  <c r="AC40" i="34"/>
  <c r="W17" i="9"/>
  <c r="E40" i="34"/>
  <c r="E82" i="34" s="1"/>
  <c r="U40" i="34"/>
  <c r="W74" i="9"/>
  <c r="O76" i="26" s="1"/>
  <c r="O18" i="26" l="1"/>
  <c r="G51" i="33"/>
  <c r="N51" i="33" s="1"/>
  <c r="O139" i="26"/>
  <c r="W40" i="34"/>
  <c r="S75" i="9"/>
  <c r="G40" i="34"/>
  <c r="G82" i="34" s="1"/>
  <c r="S18" i="9"/>
  <c r="C52" i="33" s="1"/>
  <c r="J52" i="33" s="1"/>
  <c r="AE40" i="34"/>
  <c r="S103" i="9"/>
  <c r="S47" i="9"/>
  <c r="O40" i="34"/>
  <c r="U18" i="9" l="1"/>
  <c r="C41" i="34"/>
  <c r="C83" i="34" s="1"/>
  <c r="U47" i="9"/>
  <c r="N49" i="26" s="1"/>
  <c r="K41" i="34"/>
  <c r="B173" i="15"/>
  <c r="AA41" i="34"/>
  <c r="U103" i="9"/>
  <c r="N105" i="26" s="1"/>
  <c r="W105" i="26" s="1"/>
  <c r="D173" i="15"/>
  <c r="C173" i="15"/>
  <c r="S41" i="34"/>
  <c r="U75" i="9"/>
  <c r="N77" i="26" s="1"/>
  <c r="W77" i="26" s="1"/>
  <c r="W49" i="26" l="1"/>
  <c r="N140" i="26"/>
  <c r="E52" i="33"/>
  <c r="L52" i="33" s="1"/>
  <c r="N19" i="26"/>
  <c r="W19" i="26" s="1"/>
  <c r="E173" i="15"/>
  <c r="U41" i="34"/>
  <c r="W75" i="9"/>
  <c r="O77" i="26" s="1"/>
  <c r="W103" i="9"/>
  <c r="O105" i="26" s="1"/>
  <c r="AC41" i="34"/>
  <c r="M41" i="34"/>
  <c r="W47" i="9"/>
  <c r="O49" i="26" s="1"/>
  <c r="W18" i="9"/>
  <c r="E41" i="34"/>
  <c r="E83" i="34" s="1"/>
  <c r="O19" i="26" l="1"/>
  <c r="G52" i="33"/>
  <c r="N52" i="33" s="1"/>
  <c r="O140" i="26"/>
  <c r="S48" i="9"/>
  <c r="O41" i="34"/>
  <c r="AE41" i="34"/>
  <c r="S104" i="9"/>
  <c r="S76" i="9"/>
  <c r="W41" i="34"/>
  <c r="G41" i="34"/>
  <c r="G83" i="34" s="1"/>
  <c r="S19" i="9"/>
  <c r="U19" i="9" l="1"/>
  <c r="C53" i="33"/>
  <c r="J53" i="33" s="1"/>
  <c r="U76" i="9"/>
  <c r="C174" i="15"/>
  <c r="D174" i="15"/>
  <c r="U104" i="9"/>
  <c r="B174" i="15"/>
  <c r="U48" i="9"/>
  <c r="W48" i="9" l="1"/>
  <c r="N50" i="26"/>
  <c r="W104" i="9"/>
  <c r="N106" i="26"/>
  <c r="W106" i="26" s="1"/>
  <c r="W76" i="9"/>
  <c r="N78" i="26"/>
  <c r="W78" i="26" s="1"/>
  <c r="W19" i="9"/>
  <c r="E53" i="33"/>
  <c r="L53" i="33" s="1"/>
  <c r="N20" i="26"/>
  <c r="W20" i="26" s="1"/>
  <c r="E174" i="15"/>
  <c r="S77" i="9" l="1"/>
  <c r="O78" i="26"/>
  <c r="S105" i="9"/>
  <c r="O106" i="26"/>
  <c r="N141" i="26"/>
  <c r="W50" i="26"/>
  <c r="S20" i="9"/>
  <c r="O20" i="26"/>
  <c r="G53" i="33"/>
  <c r="N53" i="33" s="1"/>
  <c r="S49" i="9"/>
  <c r="O50" i="26"/>
  <c r="O141" i="26" l="1"/>
  <c r="U105" i="9"/>
  <c r="D175" i="15"/>
  <c r="U20" i="9"/>
  <c r="C54" i="33"/>
  <c r="J54" i="33" s="1"/>
  <c r="U49" i="9"/>
  <c r="B175" i="15"/>
  <c r="U77" i="9"/>
  <c r="C175" i="15"/>
  <c r="W77" i="9" l="1"/>
  <c r="N79" i="26"/>
  <c r="W79" i="26" s="1"/>
  <c r="W20" i="9"/>
  <c r="E54" i="33"/>
  <c r="L54" i="33" s="1"/>
  <c r="N21" i="26"/>
  <c r="W21" i="26" s="1"/>
  <c r="W49" i="9"/>
  <c r="N51" i="26"/>
  <c r="E175" i="15"/>
  <c r="W105" i="9"/>
  <c r="N107" i="26"/>
  <c r="W107" i="26" s="1"/>
  <c r="W51" i="26" l="1"/>
  <c r="N142" i="26"/>
  <c r="S21" i="9"/>
  <c r="O21" i="26"/>
  <c r="G54" i="33"/>
  <c r="N54" i="33" s="1"/>
  <c r="S50" i="9"/>
  <c r="O51" i="26"/>
  <c r="S106" i="9"/>
  <c r="O107" i="26"/>
  <c r="S78" i="9"/>
  <c r="O79" i="26"/>
  <c r="O142" i="26" l="1"/>
  <c r="U106" i="9"/>
  <c r="D176" i="15"/>
  <c r="U21" i="9"/>
  <c r="C55" i="33"/>
  <c r="J55" i="33" s="1"/>
  <c r="U50" i="9"/>
  <c r="B176" i="15"/>
  <c r="C176" i="15"/>
  <c r="U78" i="9"/>
  <c r="E176" i="15" l="1"/>
  <c r="W78" i="9"/>
  <c r="N80" i="26"/>
  <c r="W80" i="26" s="1"/>
  <c r="W50" i="9"/>
  <c r="N52" i="26"/>
  <c r="W21" i="9"/>
  <c r="N22" i="26"/>
  <c r="W22" i="26" s="1"/>
  <c r="E55" i="33"/>
  <c r="L55" i="33" s="1"/>
  <c r="W106" i="9"/>
  <c r="N108" i="26"/>
  <c r="W108" i="26" s="1"/>
  <c r="E32" i="38"/>
  <c r="V32" i="38" s="1"/>
  <c r="B4" i="38"/>
  <c r="E4" i="38" s="1"/>
  <c r="V4" i="38" s="1"/>
  <c r="S51" i="9" l="1"/>
  <c r="O52" i="26"/>
  <c r="S107" i="9"/>
  <c r="O108" i="26"/>
  <c r="S22" i="9"/>
  <c r="G55" i="33"/>
  <c r="N55" i="33" s="1"/>
  <c r="O22" i="26"/>
  <c r="W52" i="26"/>
  <c r="N143" i="26"/>
  <c r="S79" i="9"/>
  <c r="O80" i="26"/>
  <c r="U22" i="9" l="1"/>
  <c r="C56" i="33"/>
  <c r="J56" i="33" s="1"/>
  <c r="U107" i="9"/>
  <c r="D177" i="15"/>
  <c r="C177" i="15"/>
  <c r="U79" i="9"/>
  <c r="O143" i="26"/>
  <c r="U51" i="9"/>
  <c r="B177" i="15"/>
  <c r="W79" i="9" l="1"/>
  <c r="N81" i="26"/>
  <c r="W81" i="26" s="1"/>
  <c r="W107" i="9"/>
  <c r="N109" i="26"/>
  <c r="W109" i="26" s="1"/>
  <c r="W51" i="9"/>
  <c r="N53" i="26"/>
  <c r="E177" i="15"/>
  <c r="W22" i="9"/>
  <c r="N23" i="26"/>
  <c r="W23" i="26" s="1"/>
  <c r="E56" i="33"/>
  <c r="L56" i="33" s="1"/>
  <c r="N144" i="26" l="1"/>
  <c r="W53" i="26"/>
  <c r="S52" i="9"/>
  <c r="O53" i="26"/>
  <c r="S108" i="9"/>
  <c r="O109" i="26"/>
  <c r="S23" i="9"/>
  <c r="O23" i="26"/>
  <c r="G56" i="33"/>
  <c r="N56" i="33" s="1"/>
  <c r="S80" i="9"/>
  <c r="O81" i="26"/>
  <c r="O144" i="26" l="1"/>
  <c r="U52" i="9"/>
  <c r="B178" i="15"/>
  <c r="U23" i="9"/>
  <c r="C57" i="33"/>
  <c r="J57" i="33" s="1"/>
  <c r="U80" i="9"/>
  <c r="C178" i="15"/>
  <c r="U108" i="9"/>
  <c r="D178" i="15"/>
  <c r="W108" i="9" l="1"/>
  <c r="N110" i="26"/>
  <c r="W110" i="26" s="1"/>
  <c r="W80" i="9"/>
  <c r="N82" i="26"/>
  <c r="W82" i="26" s="1"/>
  <c r="E178" i="15"/>
  <c r="W23" i="9"/>
  <c r="E57" i="33"/>
  <c r="L57" i="33" s="1"/>
  <c r="N24" i="26"/>
  <c r="W24" i="26" s="1"/>
  <c r="W52" i="9"/>
  <c r="N54" i="26"/>
  <c r="S81" i="9" l="1"/>
  <c r="O82" i="26"/>
  <c r="S24" i="9"/>
  <c r="G57" i="33"/>
  <c r="N57" i="33" s="1"/>
  <c r="O24" i="26"/>
  <c r="W54" i="26"/>
  <c r="N145" i="26"/>
  <c r="S53" i="9"/>
  <c r="O54" i="26"/>
  <c r="S109" i="9"/>
  <c r="O110" i="26"/>
  <c r="U24" i="9" l="1"/>
  <c r="C58" i="33"/>
  <c r="J58" i="33" s="1"/>
  <c r="U109" i="9"/>
  <c r="D179" i="15"/>
  <c r="U53" i="9"/>
  <c r="B179" i="15"/>
  <c r="O145" i="26"/>
  <c r="C179" i="15"/>
  <c r="U81" i="9"/>
  <c r="E179" i="15" l="1"/>
  <c r="W53" i="9"/>
  <c r="N55" i="26"/>
  <c r="W109" i="9"/>
  <c r="N111" i="26"/>
  <c r="W111" i="26" s="1"/>
  <c r="W81" i="9"/>
  <c r="N83" i="26"/>
  <c r="W83" i="26" s="1"/>
  <c r="W24" i="9"/>
  <c r="N25" i="26"/>
  <c r="W25" i="26" s="1"/>
  <c r="E58" i="33"/>
  <c r="L58" i="33" s="1"/>
  <c r="S25" i="9" l="1"/>
  <c r="G58" i="33"/>
  <c r="N58" i="33" s="1"/>
  <c r="O25" i="26"/>
  <c r="S82" i="9"/>
  <c r="O83" i="26"/>
  <c r="S110" i="9"/>
  <c r="O111" i="26"/>
  <c r="W55" i="26"/>
  <c r="N146" i="26"/>
  <c r="S54" i="9"/>
  <c r="O55" i="26"/>
  <c r="O146" i="26" l="1"/>
  <c r="D180" i="15"/>
  <c r="U110" i="9"/>
  <c r="U82" i="9"/>
  <c r="C180" i="15"/>
  <c r="U54" i="9"/>
  <c r="B180" i="15"/>
  <c r="E180" i="15" s="1"/>
  <c r="U25" i="9"/>
  <c r="C59" i="33"/>
  <c r="J59" i="33" s="1"/>
  <c r="W82" i="9" l="1"/>
  <c r="O84" i="26" s="1"/>
  <c r="N84" i="26"/>
  <c r="W84" i="26" s="1"/>
  <c r="W110" i="9"/>
  <c r="O112" i="26" s="1"/>
  <c r="N112" i="26"/>
  <c r="W112" i="26" s="1"/>
  <c r="W54" i="9"/>
  <c r="O56" i="26" s="1"/>
  <c r="N56" i="26"/>
  <c r="W25" i="9"/>
  <c r="E59" i="33"/>
  <c r="L59" i="33" s="1"/>
  <c r="N26" i="26"/>
  <c r="W26" i="26" s="1"/>
  <c r="O26" i="26" l="1"/>
  <c r="G59" i="33"/>
  <c r="N59" i="33" s="1"/>
  <c r="W56" i="26"/>
  <c r="N147" i="26"/>
  <c r="O147" i="26"/>
</calcChain>
</file>

<file path=xl/sharedStrings.xml><?xml version="1.0" encoding="utf-8"?>
<sst xmlns="http://schemas.openxmlformats.org/spreadsheetml/2006/main" count="4731" uniqueCount="339">
  <si>
    <t>Catagory Size</t>
  </si>
  <si>
    <t>Capacity Size Distribution</t>
  </si>
  <si>
    <t>Reopening Capacity Factor</t>
  </si>
  <si>
    <t>Reopening REC Price</t>
  </si>
  <si>
    <t>Total</t>
  </si>
  <si>
    <t>ABP Total</t>
  </si>
  <si>
    <t xml:space="preserve">SDG &lt; 25 kW </t>
  </si>
  <si>
    <t>SDG A</t>
  </si>
  <si>
    <t xml:space="preserve"> &lt; 10</t>
  </si>
  <si>
    <t xml:space="preserve"> &gt;10-25</t>
  </si>
  <si>
    <t xml:space="preserve">SDG B </t>
  </si>
  <si>
    <t>&lt; 10</t>
  </si>
  <si>
    <t>LDG &gt; 25 - 5000kW</t>
  </si>
  <si>
    <t xml:space="preserve">LDG A </t>
  </si>
  <si>
    <t>&gt;25-100</t>
  </si>
  <si>
    <t>&gt;100-200</t>
  </si>
  <si>
    <t>&gt;200-500</t>
  </si>
  <si>
    <t>&gt;500-2000</t>
  </si>
  <si>
    <t>LDG B</t>
  </si>
  <si>
    <t xml:space="preserve"> &gt;25-100</t>
  </si>
  <si>
    <t xml:space="preserve"> &gt;500-2000</t>
  </si>
  <si>
    <t>Traditional Community Solar</t>
  </si>
  <si>
    <t>CS A</t>
  </si>
  <si>
    <t>&gt;2000-5000</t>
  </si>
  <si>
    <t>CS B</t>
  </si>
  <si>
    <t>Public Schools</t>
  </si>
  <si>
    <t>Public Schools A</t>
  </si>
  <si>
    <t xml:space="preserve"> &gt; 25</t>
  </si>
  <si>
    <t>Public Schools B</t>
  </si>
  <si>
    <t>Community Driven Community Solar</t>
  </si>
  <si>
    <t>CD Community Solar A</t>
  </si>
  <si>
    <t xml:space="preserve"> &gt;2000-5000</t>
  </si>
  <si>
    <t>CD Community Solar B</t>
  </si>
  <si>
    <t>Equity Eligible Contractor</t>
  </si>
  <si>
    <t>EEC A</t>
  </si>
  <si>
    <t>&gt;500-5000</t>
  </si>
  <si>
    <t>EEC B</t>
  </si>
  <si>
    <t xml:space="preserve"> &gt;500-5000</t>
  </si>
  <si>
    <t>RECs</t>
  </si>
  <si>
    <t>Estimated Price</t>
  </si>
  <si>
    <t>Utility Wind</t>
  </si>
  <si>
    <t>Utility Solar</t>
  </si>
  <si>
    <t>Brownfield</t>
  </si>
  <si>
    <t>Delivery Year</t>
  </si>
  <si>
    <t>Job Training</t>
  </si>
  <si>
    <t>2020-2021</t>
  </si>
  <si>
    <t>2021-2022</t>
  </si>
  <si>
    <t>2022-2023</t>
  </si>
  <si>
    <t>2023-2024</t>
  </si>
  <si>
    <t>2024-2025</t>
  </si>
  <si>
    <t>2025-2026</t>
  </si>
  <si>
    <t>2026-2027</t>
  </si>
  <si>
    <t>2027-2028</t>
  </si>
  <si>
    <t>2028-2029</t>
  </si>
  <si>
    <t>2029-2030</t>
  </si>
  <si>
    <t>2030-2031</t>
  </si>
  <si>
    <t>2031-2032</t>
  </si>
  <si>
    <t>2032-2033</t>
  </si>
  <si>
    <t>2033-2034</t>
  </si>
  <si>
    <t>2034-2035</t>
  </si>
  <si>
    <t>2035-2036</t>
  </si>
  <si>
    <t>2036-2037</t>
  </si>
  <si>
    <t>2037-2038</t>
  </si>
  <si>
    <t>2038-2039</t>
  </si>
  <si>
    <t>2039-2040</t>
  </si>
  <si>
    <t>2040-2041</t>
  </si>
  <si>
    <t>2041-2042</t>
  </si>
  <si>
    <t>2042-2043</t>
  </si>
  <si>
    <t>REC Degredation Rate</t>
  </si>
  <si>
    <t>Utility Wind and Brownfield REC Degredation Rate</t>
  </si>
  <si>
    <t>2022-2023 DY kW Capacity Size Distribution</t>
  </si>
  <si>
    <t>2022-2023 DY Block Size (kW)</t>
  </si>
  <si>
    <t>2023-2024 DY kW Capacity Size Distribution</t>
  </si>
  <si>
    <t>2023-2024 DY Block Size (kW)</t>
  </si>
  <si>
    <t>Capacity Factor</t>
  </si>
  <si>
    <t>2022 REC Price</t>
  </si>
  <si>
    <t>2023 REC Price</t>
  </si>
  <si>
    <t>Activity Size kW / Total</t>
  </si>
  <si>
    <t>&gt; 2000 - 5000</t>
  </si>
  <si>
    <t>&gt; 2000-5000</t>
  </si>
  <si>
    <t>Procurement Volumes</t>
  </si>
  <si>
    <t>DY</t>
  </si>
  <si>
    <t>REC Price Annual Decrease</t>
  </si>
  <si>
    <t xml:space="preserve">2024-2025 DY kW Capacity Size Distribution </t>
  </si>
  <si>
    <t>2024-2025 DY Block Size (kW)</t>
  </si>
  <si>
    <t>2025-2026 DY kW Capacity Size Distribution</t>
  </si>
  <si>
    <t>2025-2026 DY Block Size (kW)</t>
  </si>
  <si>
    <t>2024 REC Price</t>
  </si>
  <si>
    <t>2025 REC Price</t>
  </si>
  <si>
    <t>2026 REC Price</t>
  </si>
  <si>
    <t>2027 REC Price</t>
  </si>
  <si>
    <t>2028 REC Price</t>
  </si>
  <si>
    <t>2029 REC Price</t>
  </si>
  <si>
    <t>2030 REC Price</t>
  </si>
  <si>
    <t>Ameren</t>
  </si>
  <si>
    <t>Reference Year</t>
  </si>
  <si>
    <t>Utility</t>
  </si>
  <si>
    <t>Delivery Year
RPS Goal (%)</t>
  </si>
  <si>
    <t>Total Applicable Reference Year Delivered Volume (MWh) Source: Utilities</t>
  </si>
  <si>
    <t>Overall
RPS Target
(RECs)</t>
  </si>
  <si>
    <t>RPS Rate Cap [$/MWh]</t>
  </si>
  <si>
    <t>Delivery Year
RPS Budget ($)</t>
  </si>
  <si>
    <t>2017-2018</t>
  </si>
  <si>
    <t>2016-2017</t>
  </si>
  <si>
    <t>2018-2019</t>
  </si>
  <si>
    <t>2019-2020</t>
  </si>
  <si>
    <t>ComEd</t>
  </si>
  <si>
    <t>Total Applicable Reference Year Delivered Volume (MWh)</t>
  </si>
  <si>
    <t>MidAmerican</t>
  </si>
  <si>
    <t>PROXY Applicable Reference Year Delivered Volume (MWh) = MWh volume times 26.0253830755776%</t>
  </si>
  <si>
    <t>MidAm Load Forecast</t>
  </si>
  <si>
    <t>Statewide</t>
  </si>
  <si>
    <t>ALL</t>
  </si>
  <si>
    <t>All Utilities</t>
  </si>
  <si>
    <t>Available Funds at start of DY</t>
  </si>
  <si>
    <t>SDG (2019-2021)</t>
  </si>
  <si>
    <t>Original LDG</t>
  </si>
  <si>
    <t xml:space="preserve">Original CS </t>
  </si>
  <si>
    <t>LTTPA</t>
  </si>
  <si>
    <t>ILSFA</t>
  </si>
  <si>
    <t>Forward Procurements (2017-2019)</t>
  </si>
  <si>
    <t>DY Collections (Source: Utilities)</t>
  </si>
  <si>
    <t xml:space="preserve">Available Funds at start of DY + Collections
</t>
  </si>
  <si>
    <t>Total Spend</t>
  </si>
  <si>
    <t>EOY Balance</t>
  </si>
  <si>
    <t>Original SDG</t>
  </si>
  <si>
    <t>Forward Procurements</t>
  </si>
  <si>
    <t xml:space="preserve">Available Funds at start of DY (inlcuding ACP)
</t>
  </si>
  <si>
    <t>DY Collections (Provided by Utilities)</t>
  </si>
  <si>
    <t xml:space="preserve">Available Funds at start of DY (inlcuding ACP) 
</t>
  </si>
  <si>
    <t>MidAm</t>
  </si>
  <si>
    <t xml:space="preserve">Available Funds at start of DY (inlcuding ACP $101,198,368)
</t>
  </si>
  <si>
    <t>State</t>
  </si>
  <si>
    <t>SDG RECs</t>
  </si>
  <si>
    <t>LDG RECs</t>
  </si>
  <si>
    <t>CS RECs</t>
  </si>
  <si>
    <t xml:space="preserve">ABP RECs under contract </t>
  </si>
  <si>
    <t>Legacy DG</t>
  </si>
  <si>
    <t>Forward Procurement</t>
  </si>
  <si>
    <t>Non -ABP RECs under contract</t>
  </si>
  <si>
    <t>Total new RECs</t>
  </si>
  <si>
    <t>Total Recs</t>
  </si>
  <si>
    <t>(B+C+D)</t>
  </si>
  <si>
    <t xml:space="preserve"> (F+G+H+I)</t>
  </si>
  <si>
    <t>2020-21</t>
  </si>
  <si>
    <t>2021-22</t>
  </si>
  <si>
    <t>2022-23</t>
  </si>
  <si>
    <t>2023-24</t>
  </si>
  <si>
    <t>2024-25</t>
  </si>
  <si>
    <t>2025-26</t>
  </si>
  <si>
    <t>2026-27</t>
  </si>
  <si>
    <t>2027-28</t>
  </si>
  <si>
    <t>2028-29</t>
  </si>
  <si>
    <t>2029-30</t>
  </si>
  <si>
    <t>2030-31</t>
  </si>
  <si>
    <t>2031-32</t>
  </si>
  <si>
    <t>2032-33</t>
  </si>
  <si>
    <t>2033-34</t>
  </si>
  <si>
    <t>2034-35</t>
  </si>
  <si>
    <t>2035-36</t>
  </si>
  <si>
    <t>Table 3-11</t>
  </si>
  <si>
    <t>Legacy Programs</t>
  </si>
  <si>
    <t>In Progress</t>
  </si>
  <si>
    <t>Proposed in This Plan</t>
  </si>
  <si>
    <t>Potential Future Activities</t>
  </si>
  <si>
    <t>Set Asides</t>
  </si>
  <si>
    <t>LTPPAs</t>
  </si>
  <si>
    <t>2019-2020 ABP</t>
  </si>
  <si>
    <t>2017-2019 Foreword Procurements</t>
  </si>
  <si>
    <t>2021 ABP Blocks</t>
  </si>
  <si>
    <t>Subsequent Forward Procurement (Wind, Solar, and Brownfield)</t>
  </si>
  <si>
    <t>2022-2023 ABP</t>
  </si>
  <si>
    <t>2022-2023 Wind, Solar, and Brownfield</t>
  </si>
  <si>
    <t>2024-2030 ABP</t>
  </si>
  <si>
    <t>2024-2030 Wind, Solar, and Brownfield</t>
  </si>
  <si>
    <t>Solar for All &amp; Admin and Job Training</t>
  </si>
  <si>
    <t>Total Expenses</t>
  </si>
  <si>
    <t>Table 3-12</t>
  </si>
  <si>
    <t>Delivery Year Starting Balance</t>
  </si>
  <si>
    <t>RPS Collections</t>
  </si>
  <si>
    <t>Total Funds Available</t>
  </si>
  <si>
    <t>Total Expenditures</t>
  </si>
  <si>
    <t>Delivery Year Ending Balance</t>
  </si>
  <si>
    <t>Figure 3.1</t>
  </si>
  <si>
    <t>Total Wind</t>
  </si>
  <si>
    <t>Total Solar</t>
  </si>
  <si>
    <t>Total All RECs</t>
  </si>
  <si>
    <t>Legacy Wind</t>
  </si>
  <si>
    <t>Legacy Solar</t>
  </si>
  <si>
    <t xml:space="preserve">Table 3.1 </t>
  </si>
  <si>
    <t xml:space="preserve">Delivery Year </t>
  </si>
  <si>
    <t>ComED</t>
  </si>
  <si>
    <t>Total Wind RECs</t>
  </si>
  <si>
    <t>Total Solar RECs</t>
  </si>
  <si>
    <t>Table 3.5</t>
  </si>
  <si>
    <t>2010 LTTPAs</t>
  </si>
  <si>
    <t>2017-2019 Forward Procurements</t>
  </si>
  <si>
    <t>Overall RPS Target</t>
  </si>
  <si>
    <t>Goal REC Gap</t>
  </si>
  <si>
    <t>Figure 3.2</t>
  </si>
  <si>
    <t>LTPPA RECs</t>
  </si>
  <si>
    <t>REC GAP</t>
  </si>
  <si>
    <t>RPS REC Goal %</t>
  </si>
  <si>
    <t>Table 3-10</t>
  </si>
  <si>
    <t>Illinois Solar for All</t>
  </si>
  <si>
    <t>Job Training (DCEO Budget)</t>
  </si>
  <si>
    <t>Administrative Expenses (2% of Annual RPS Budget)</t>
  </si>
  <si>
    <t>Total Set Asides</t>
  </si>
  <si>
    <t>Statewide Goals and Targets</t>
  </si>
  <si>
    <t>Ameren Goals and Targets</t>
  </si>
  <si>
    <t>ComEd Goals and Targets</t>
  </si>
  <si>
    <t>MidAm Goals and Targets</t>
  </si>
  <si>
    <t>Delivery Year
RPS Goal Percentage</t>
  </si>
  <si>
    <t>Statewide RPS Budget Summary</t>
  </si>
  <si>
    <t>Ameren RPS Budget Summary</t>
  </si>
  <si>
    <t>ComEd RPS Budget Summary</t>
  </si>
  <si>
    <t>MidAm RPS Budget Summary</t>
  </si>
  <si>
    <t>Statewide REC Portfolio</t>
  </si>
  <si>
    <t>Ameren REC Portfolio</t>
  </si>
  <si>
    <t>ComEd REC Portfolio</t>
  </si>
  <si>
    <t>MidAm REC Portfolio</t>
  </si>
  <si>
    <t>Legacy ABP RECs</t>
  </si>
  <si>
    <t>Legacy Non - ABP RECs</t>
  </si>
  <si>
    <t>New ABP RECs</t>
  </si>
  <si>
    <t>New Utility Scale &amp; Brownfield RECs</t>
  </si>
  <si>
    <t>Total RECs</t>
  </si>
  <si>
    <t>Available Funds at start of DY + Collections</t>
  </si>
  <si>
    <t>Legacy</t>
  </si>
  <si>
    <t>Total Available Funds</t>
  </si>
  <si>
    <t>Total Double Check</t>
  </si>
  <si>
    <t>Non- ABP RECs under contract</t>
  </si>
  <si>
    <t>New Wind, Solar and Brownfield</t>
  </si>
  <si>
    <t>Reopening Activities</t>
  </si>
  <si>
    <t>REC Spend</t>
  </si>
  <si>
    <t>DY 2022</t>
  </si>
  <si>
    <t>Combined Spend</t>
  </si>
  <si>
    <t>Reopening</t>
  </si>
  <si>
    <t>DY2022 &amp; DY2023</t>
  </si>
  <si>
    <t>DY2024 - DY2030</t>
  </si>
  <si>
    <t>Test</t>
  </si>
  <si>
    <t>£</t>
  </si>
  <si>
    <t>RECs Delivered</t>
  </si>
  <si>
    <t>Combined Delivery</t>
  </si>
  <si>
    <t>REC Delivery Schedule</t>
  </si>
  <si>
    <t>kW</t>
  </si>
  <si>
    <t>CF</t>
  </si>
  <si>
    <t>Combined Total</t>
  </si>
  <si>
    <t>REC Payment Schedule</t>
  </si>
  <si>
    <t>REC $</t>
  </si>
  <si>
    <t>Traditonal Community Solar</t>
  </si>
  <si>
    <t>2043-2044</t>
  </si>
  <si>
    <t>2044-2045</t>
  </si>
  <si>
    <t xml:space="preserve">Total </t>
  </si>
  <si>
    <t>2019-2021 Adjustable Block and Illinois Solar for All Programs</t>
  </si>
  <si>
    <t>ABP Reopening</t>
  </si>
  <si>
    <t>Wind RECs</t>
  </si>
  <si>
    <t>Combined Wind and Solar RECs</t>
  </si>
  <si>
    <t xml:space="preserve">Solar RECs  </t>
  </si>
  <si>
    <t>Table 3-7</t>
  </si>
  <si>
    <t>Reopen Activities</t>
  </si>
  <si>
    <t xml:space="preserve">Available Funds at start of DY (including ACP)
</t>
  </si>
  <si>
    <t>2031 REC Price</t>
  </si>
  <si>
    <t>2032 REC Price</t>
  </si>
  <si>
    <t>2033 REC Price</t>
  </si>
  <si>
    <t>2034 REC Price</t>
  </si>
  <si>
    <t>2035 REC Price</t>
  </si>
  <si>
    <t>2036 REC Price</t>
  </si>
  <si>
    <t>2037 REC Price</t>
  </si>
  <si>
    <t>2038 REC Price</t>
  </si>
  <si>
    <t>2039 REC Price</t>
  </si>
  <si>
    <t>2040 REC Price</t>
  </si>
  <si>
    <t>Before Reopening</t>
  </si>
  <si>
    <t>Net Available ACPs ($) as of Aug 2022</t>
  </si>
  <si>
    <t>Late 2021/2022 Activities</t>
  </si>
  <si>
    <t>Forward Price Curve</t>
  </si>
  <si>
    <t>Admin (3%)</t>
  </si>
  <si>
    <t>Estimated Forward Price Increase</t>
  </si>
  <si>
    <t>Initial Forward Price</t>
  </si>
  <si>
    <t>2021 Reopening ABP Bhock Size (kW)</t>
  </si>
  <si>
    <t>Estimated Strike Price Increase</t>
  </si>
  <si>
    <t>Utility Wind Strike Price</t>
  </si>
  <si>
    <t>Utility Solar Strike Price</t>
  </si>
  <si>
    <t>Brownfield Strike Price</t>
  </si>
  <si>
    <t>Spring 2022 Procurement Volumes</t>
  </si>
  <si>
    <t>Public Sclools</t>
  </si>
  <si>
    <t>Public Sclools A</t>
  </si>
  <si>
    <t>Public Sclools B</t>
  </si>
  <si>
    <t>2022 Procurement</t>
  </si>
  <si>
    <t>2023 procurement</t>
  </si>
  <si>
    <t>2024 procurement</t>
  </si>
  <si>
    <t>2025 procurement</t>
  </si>
  <si>
    <t>2026 procurement</t>
  </si>
  <si>
    <t>2027 procurement</t>
  </si>
  <si>
    <t>2028 procurement</t>
  </si>
  <si>
    <t>2029 procurement</t>
  </si>
  <si>
    <t>2030 procurement</t>
  </si>
  <si>
    <t>2022 Forward Price</t>
  </si>
  <si>
    <t>forward price</t>
  </si>
  <si>
    <t>Forward price escalator</t>
  </si>
  <si>
    <t>Procurement Results</t>
  </si>
  <si>
    <t>2022 strike price</t>
  </si>
  <si>
    <t>Annual strike price increase</t>
  </si>
  <si>
    <t>Utility Scale Solar</t>
  </si>
  <si>
    <t>Utility Scale Wind</t>
  </si>
  <si>
    <t>2031 procurement</t>
  </si>
  <si>
    <t>2032 procurement</t>
  </si>
  <si>
    <t>2033 procurement</t>
  </si>
  <si>
    <t>2034 procurement</t>
  </si>
  <si>
    <t>2035 procurement</t>
  </si>
  <si>
    <t>2036 procurement</t>
  </si>
  <si>
    <t>2037 procurement</t>
  </si>
  <si>
    <t>2038 procurement</t>
  </si>
  <si>
    <t>2039 procurement</t>
  </si>
  <si>
    <t>2040 procurement</t>
  </si>
  <si>
    <t>2036-37</t>
  </si>
  <si>
    <t>2037-38</t>
  </si>
  <si>
    <t>2038-39</t>
  </si>
  <si>
    <t>2039-40</t>
  </si>
  <si>
    <t>2040-41</t>
  </si>
  <si>
    <t>2041-42</t>
  </si>
  <si>
    <t>2042-43</t>
  </si>
  <si>
    <t>Wind-Solar Balance</t>
  </si>
  <si>
    <t>All Solar RECs</t>
  </si>
  <si>
    <t>All Wind RECs</t>
  </si>
  <si>
    <t>Solar RECs</t>
  </si>
  <si>
    <t>Legacy ABP</t>
  </si>
  <si>
    <t>Solar</t>
  </si>
  <si>
    <t>Wind</t>
  </si>
  <si>
    <t>Total Statewide Reopening REC Portfolio</t>
  </si>
  <si>
    <t>Total Statewide  REC Portfolio</t>
  </si>
  <si>
    <t>Projected Wind</t>
  </si>
  <si>
    <t>Projected Solar</t>
  </si>
  <si>
    <t>Includes Reopening &amp; 2022</t>
  </si>
  <si>
    <t>2022 Forward Procurements</t>
  </si>
  <si>
    <t>May</t>
  </si>
  <si>
    <t>Fall</t>
  </si>
  <si>
    <t>2022 Procurements</t>
  </si>
  <si>
    <t>Base Case</t>
  </si>
  <si>
    <t>2022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</si>
</sst>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_(* #,##0.000_);_(* \(#,##0.000\);_(* &quot;-&quot;??_);_(@_)"/>
    <numFmt numFmtId="167" formatCode="&quot;$&quot;#,##0"/>
    <numFmt numFmtId="168" formatCode="_(* #,##0.0_);_(* \(#,##0.0\);_(* &quot;-&quot;?_);_(@_)"/>
    <numFmt numFmtId="169" formatCode="0.0%"/>
    <numFmt numFmtId="170" formatCode="0.0"/>
    <numFmt numFmtId="171" formatCode="0.0000"/>
    <numFmt numFmtId="172" formatCode="#,##0.0000_);\(#,##0.0000\)"/>
    <numFmt numFmtId="173" formatCode="0.0000000000"/>
    <numFmt numFmtId="174" formatCode="&quot;$&quot;#,##0.0000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1"/>
      <color rgb="FF000000"/>
      <name val="Calibri"/>
      <family val="2"/>
    </font>
    <font>
      <sz val="8"/>
      <name val="Calibri"/>
      <family val="2"/>
      <scheme val="minor"/>
    </font>
    <font>
      <sz val="12"/>
      <color theme="1"/>
      <name val="Calibri"/>
      <family val="2"/>
      <scheme val="minor"/>
    </font>
    <font>
      <sz val="11"/>
      <color theme="8"/>
      <name val="Calibri"/>
      <family val="2"/>
      <scheme val="minor"/>
    </font>
    <font>
      <sz val="11"/>
      <color rgb="FFC00000"/>
      <name val="Calibri"/>
      <family val="2"/>
      <scheme val="minor"/>
    </font>
    <font>
      <sz val="11"/>
      <name val="Calibri"/>
      <family val="2"/>
      <scheme val="minor"/>
    </font>
    <font>
      <sz val="11"/>
      <color theme="9"/>
      <name val="Calibri"/>
      <family val="2"/>
      <scheme val="minor"/>
    </font>
    <font>
      <sz val="11"/>
      <color theme="8" tint="-0.499984740745262"/>
      <name val="Calibri"/>
      <family val="2"/>
      <scheme val="minor"/>
    </font>
    <font>
      <b/>
      <sz val="9"/>
      <color rgb="FF000000"/>
      <name val="Calibri"/>
      <family val="2"/>
      <scheme val="minor"/>
    </font>
    <font>
      <b/>
      <sz val="8"/>
      <color rgb="FF000000"/>
      <name val="Calibri"/>
      <family val="2"/>
    </font>
    <font>
      <sz val="8"/>
      <color rgb="FF000000"/>
      <name val="Calibri"/>
      <family val="2"/>
    </font>
    <font>
      <b/>
      <sz val="11"/>
      <color rgb="FF000000"/>
      <name val="Calibri"/>
      <family val="2"/>
      <scheme val="minor"/>
    </font>
    <font>
      <sz val="14"/>
      <color theme="1"/>
      <name val="Calibri"/>
      <family val="2"/>
      <scheme val="minor"/>
    </font>
    <font>
      <b/>
      <sz val="14"/>
      <color theme="1"/>
      <name val="Calibri"/>
      <family val="2"/>
      <scheme val="minor"/>
    </font>
    <font>
      <sz val="14"/>
      <color rgb="FF000000"/>
      <name val="Calibri"/>
      <family val="2"/>
    </font>
    <font>
      <sz val="7"/>
      <color rgb="FF202124"/>
      <name val="Roboto"/>
    </font>
    <font>
      <sz val="11"/>
      <color rgb="FFFF0000"/>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D9D9D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7"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medium">
        <color rgb="FF000000"/>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auto="1"/>
      </top>
      <bottom/>
      <diagonal/>
    </border>
    <border>
      <left/>
      <right style="thin">
        <color indexed="64"/>
      </right>
      <top style="thin">
        <color indexed="64"/>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24">
    <xf numFmtId="0" fontId="0" fillId="0" borderId="0" xfId="0"/>
    <xf numFmtId="0" fontId="0" fillId="2" borderId="1" xfId="0" applyFill="1" applyBorder="1"/>
    <xf numFmtId="0" fontId="3" fillId="2" borderId="1" xfId="0" applyFont="1" applyFill="1" applyBorder="1" applyAlignment="1">
      <alignment horizontal="center"/>
    </xf>
    <xf numFmtId="0" fontId="2" fillId="3" borderId="1" xfId="0" applyFont="1" applyFill="1" applyBorder="1"/>
    <xf numFmtId="3" fontId="0" fillId="4" borderId="1" xfId="0" applyNumberFormat="1" applyFill="1" applyBorder="1"/>
    <xf numFmtId="0" fontId="2" fillId="5" borderId="1" xfId="0" applyFont="1" applyFill="1" applyBorder="1"/>
    <xf numFmtId="165" fontId="0" fillId="5" borderId="1" xfId="1" applyNumberFormat="1" applyFont="1" applyFill="1" applyBorder="1"/>
    <xf numFmtId="164" fontId="0" fillId="5" borderId="1" xfId="2" applyNumberFormat="1" applyFont="1" applyFill="1" applyBorder="1"/>
    <xf numFmtId="165" fontId="0" fillId="6" borderId="1" xfId="1" applyNumberFormat="1" applyFont="1" applyFill="1" applyBorder="1"/>
    <xf numFmtId="0" fontId="0" fillId="0" borderId="1" xfId="0" applyBorder="1"/>
    <xf numFmtId="165" fontId="0" fillId="7" borderId="1" xfId="1" applyNumberFormat="1" applyFont="1" applyFill="1" applyBorder="1"/>
    <xf numFmtId="166" fontId="0" fillId="7" borderId="1" xfId="1" applyNumberFormat="1" applyFont="1" applyFill="1" applyBorder="1"/>
    <xf numFmtId="43" fontId="0" fillId="0" borderId="1" xfId="1" applyFont="1" applyBorder="1"/>
    <xf numFmtId="9" fontId="2" fillId="5" borderId="1" xfId="0" applyNumberFormat="1" applyFont="1" applyFill="1" applyBorder="1"/>
    <xf numFmtId="164" fontId="0" fillId="2" borderId="1" xfId="2" applyNumberFormat="1" applyFont="1" applyFill="1" applyBorder="1"/>
    <xf numFmtId="167" fontId="0" fillId="4" borderId="1" xfId="0" applyNumberFormat="1" applyFill="1" applyBorder="1"/>
    <xf numFmtId="167" fontId="0" fillId="2" borderId="1" xfId="0" applyNumberFormat="1" applyFill="1" applyBorder="1"/>
    <xf numFmtId="167" fontId="0" fillId="0" borderId="1" xfId="2" applyNumberFormat="1" applyFont="1" applyBorder="1"/>
    <xf numFmtId="164" fontId="0" fillId="7" borderId="1" xfId="2" applyNumberFormat="1" applyFont="1" applyFill="1" applyBorder="1"/>
    <xf numFmtId="43" fontId="0" fillId="0" borderId="0" xfId="0" applyNumberFormat="1"/>
    <xf numFmtId="165" fontId="0" fillId="2" borderId="1" xfId="0" applyNumberFormat="1" applyFill="1" applyBorder="1"/>
    <xf numFmtId="165" fontId="0" fillId="0" borderId="1" xfId="1" applyNumberFormat="1" applyFont="1" applyBorder="1"/>
    <xf numFmtId="166" fontId="0" fillId="0" borderId="1" xfId="1" applyNumberFormat="1" applyFont="1" applyBorder="1"/>
    <xf numFmtId="165" fontId="0" fillId="5" borderId="1" xfId="0" applyNumberFormat="1" applyFill="1" applyBorder="1"/>
    <xf numFmtId="167" fontId="0" fillId="5" borderId="1" xfId="0" applyNumberFormat="1" applyFill="1" applyBorder="1"/>
    <xf numFmtId="3" fontId="0" fillId="5" borderId="1" xfId="0" applyNumberFormat="1" applyFill="1" applyBorder="1"/>
    <xf numFmtId="9" fontId="2" fillId="5" borderId="0" xfId="0" applyNumberFormat="1" applyFont="1" applyFill="1" applyBorder="1"/>
    <xf numFmtId="165" fontId="0" fillId="5" borderId="0" xfId="0" applyNumberFormat="1" applyFill="1" applyBorder="1"/>
    <xf numFmtId="165" fontId="0" fillId="7" borderId="1" xfId="0" applyNumberFormat="1" applyFill="1" applyBorder="1"/>
    <xf numFmtId="0" fontId="2" fillId="2" borderId="1" xfId="0" applyFont="1" applyFill="1" applyBorder="1"/>
    <xf numFmtId="9" fontId="2" fillId="2" borderId="1" xfId="0" applyNumberFormat="1" applyFont="1" applyFill="1" applyBorder="1"/>
    <xf numFmtId="165" fontId="0" fillId="8" borderId="1" xfId="0" applyNumberFormat="1" applyFill="1" applyBorder="1"/>
    <xf numFmtId="165" fontId="0" fillId="8" borderId="1" xfId="1" applyNumberFormat="1" applyFont="1" applyFill="1" applyBorder="1"/>
    <xf numFmtId="43" fontId="0" fillId="8" borderId="1" xfId="1" applyFont="1" applyFill="1" applyBorder="1"/>
    <xf numFmtId="3" fontId="0" fillId="8" borderId="1" xfId="0" applyNumberFormat="1" applyFill="1" applyBorder="1"/>
    <xf numFmtId="0" fontId="2" fillId="0" borderId="1" xfId="0" applyFont="1" applyBorder="1"/>
    <xf numFmtId="165" fontId="0" fillId="9" borderId="1" xfId="1" applyNumberFormat="1" applyFont="1" applyFill="1" applyBorder="1"/>
    <xf numFmtId="3" fontId="0" fillId="3" borderId="1" xfId="0" applyNumberFormat="1" applyFill="1" applyBorder="1"/>
    <xf numFmtId="2" fontId="0" fillId="0" borderId="0" xfId="0" applyNumberFormat="1"/>
    <xf numFmtId="8" fontId="4" fillId="5" borderId="1" xfId="0" applyNumberFormat="1" applyFont="1" applyFill="1" applyBorder="1" applyAlignment="1">
      <alignment horizontal="right" vertical="center"/>
    </xf>
    <xf numFmtId="167" fontId="0" fillId="5" borderId="1" xfId="2" applyNumberFormat="1" applyFont="1" applyFill="1" applyBorder="1"/>
    <xf numFmtId="17" fontId="0" fillId="2" borderId="1" xfId="0" applyNumberFormat="1" applyFill="1" applyBorder="1"/>
    <xf numFmtId="17" fontId="0" fillId="0" borderId="1" xfId="0" applyNumberFormat="1" applyBorder="1"/>
    <xf numFmtId="0" fontId="2" fillId="0" borderId="1" xfId="0" applyFont="1" applyBorder="1" applyAlignment="1">
      <alignment horizontal="center"/>
    </xf>
    <xf numFmtId="164" fontId="0" fillId="0" borderId="1" xfId="0" applyNumberFormat="1" applyBorder="1"/>
    <xf numFmtId="167" fontId="0" fillId="7" borderId="1" xfId="2" applyNumberFormat="1" applyFont="1" applyFill="1" applyBorder="1"/>
    <xf numFmtId="165" fontId="0" fillId="2" borderId="1" xfId="1" applyNumberFormat="1" applyFont="1" applyFill="1" applyBorder="1"/>
    <xf numFmtId="3" fontId="0" fillId="2" borderId="1" xfId="0" applyNumberFormat="1" applyFill="1" applyBorder="1"/>
    <xf numFmtId="168" fontId="0" fillId="0" borderId="0" xfId="0" applyNumberFormat="1"/>
    <xf numFmtId="166" fontId="0" fillId="6" borderId="1" xfId="1" applyNumberFormat="1" applyFont="1" applyFill="1" applyBorder="1"/>
    <xf numFmtId="164" fontId="0" fillId="6" borderId="1" xfId="2" applyNumberFormat="1" applyFont="1" applyFill="1" applyBorder="1"/>
    <xf numFmtId="8" fontId="4" fillId="6" borderId="1" xfId="0" applyNumberFormat="1" applyFont="1" applyFill="1" applyBorder="1" applyAlignment="1">
      <alignment horizontal="right" vertical="center"/>
    </xf>
    <xf numFmtId="166" fontId="0" fillId="2" borderId="1" xfId="1" applyNumberFormat="1" applyFont="1" applyFill="1" applyBorder="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3" fontId="0" fillId="6" borderId="1" xfId="1" applyFont="1" applyFill="1" applyBorder="1"/>
    <xf numFmtId="43" fontId="0" fillId="2" borderId="1" xfId="1" applyFont="1" applyFill="1" applyBorder="1"/>
    <xf numFmtId="0" fontId="0" fillId="6" borderId="1" xfId="0" applyFill="1" applyBorder="1"/>
    <xf numFmtId="167" fontId="0" fillId="6" borderId="1" xfId="1" applyNumberFormat="1" applyFont="1" applyFill="1" applyBorder="1"/>
    <xf numFmtId="165" fontId="0" fillId="2" borderId="2" xfId="1" applyNumberFormat="1" applyFont="1" applyFill="1" applyBorder="1"/>
    <xf numFmtId="165" fontId="0" fillId="0" borderId="1" xfId="0" applyNumberFormat="1" applyBorder="1"/>
    <xf numFmtId="0" fontId="2" fillId="11" borderId="1" xfId="0" applyFont="1" applyFill="1" applyBorder="1"/>
    <xf numFmtId="167" fontId="0" fillId="2" borderId="1" xfId="1" applyNumberFormat="1" applyFont="1" applyFill="1" applyBorder="1"/>
    <xf numFmtId="43" fontId="2" fillId="0" borderId="1" xfId="0" applyNumberFormat="1" applyFont="1" applyBorder="1"/>
    <xf numFmtId="164" fontId="0" fillId="5" borderId="2" xfId="2" applyNumberFormat="1" applyFont="1" applyFill="1" applyBorder="1"/>
    <xf numFmtId="167" fontId="0" fillId="2" borderId="2" xfId="0" applyNumberFormat="1" applyFill="1" applyBorder="1"/>
    <xf numFmtId="164" fontId="0" fillId="7" borderId="2" xfId="2" applyNumberFormat="1" applyFont="1" applyFill="1" applyBorder="1"/>
    <xf numFmtId="0" fontId="0" fillId="0" borderId="2" xfId="0" applyBorder="1"/>
    <xf numFmtId="167" fontId="0" fillId="5" borderId="2" xfId="2" applyNumberFormat="1" applyFont="1" applyFill="1" applyBorder="1"/>
    <xf numFmtId="167" fontId="0" fillId="7" borderId="2" xfId="2" applyNumberFormat="1" applyFont="1" applyFill="1" applyBorder="1"/>
    <xf numFmtId="43" fontId="0" fillId="2" borderId="1" xfId="0" applyNumberFormat="1" applyFill="1" applyBorder="1"/>
    <xf numFmtId="3" fontId="2" fillId="4" borderId="1" xfId="0" applyNumberFormat="1" applyFont="1" applyFill="1" applyBorder="1"/>
    <xf numFmtId="0" fontId="3" fillId="2" borderId="2" xfId="0" applyFont="1" applyFill="1" applyBorder="1" applyAlignment="1">
      <alignment horizontal="center"/>
    </xf>
    <xf numFmtId="167" fontId="0" fillId="5" borderId="1" xfId="1" applyNumberFormat="1" applyFont="1" applyFill="1" applyBorder="1"/>
    <xf numFmtId="0" fontId="3" fillId="2" borderId="1" xfId="0" applyFont="1" applyFill="1" applyBorder="1" applyAlignment="1">
      <alignment vertical="center" wrapText="1"/>
    </xf>
    <xf numFmtId="0" fontId="0" fillId="0" borderId="1" xfId="0" applyFont="1" applyBorder="1"/>
    <xf numFmtId="0" fontId="0" fillId="3" borderId="1" xfId="0" applyFont="1" applyFill="1" applyBorder="1"/>
    <xf numFmtId="2" fontId="0" fillId="9" borderId="1" xfId="0" applyNumberFormat="1" applyFont="1" applyFill="1" applyBorder="1" applyAlignment="1">
      <alignment horizontal="right"/>
    </xf>
    <xf numFmtId="3" fontId="0" fillId="2" borderId="1" xfId="0" applyNumberFormat="1" applyFont="1" applyFill="1" applyBorder="1"/>
    <xf numFmtId="0" fontId="0" fillId="5" borderId="1" xfId="0" applyFont="1" applyFill="1" applyBorder="1"/>
    <xf numFmtId="165" fontId="1" fillId="6" borderId="1" xfId="1" applyNumberFormat="1" applyFont="1" applyFill="1" applyBorder="1"/>
    <xf numFmtId="165" fontId="1" fillId="2" borderId="1" xfId="1" applyNumberFormat="1" applyFont="1" applyFill="1" applyBorder="1"/>
    <xf numFmtId="164" fontId="1" fillId="2" borderId="1" xfId="2" applyNumberFormat="1" applyFont="1" applyFill="1" applyBorder="1"/>
    <xf numFmtId="0" fontId="0" fillId="2" borderId="1" xfId="0" applyFont="1" applyFill="1" applyBorder="1"/>
    <xf numFmtId="0" fontId="0" fillId="2" borderId="1" xfId="0" applyFont="1" applyFill="1" applyBorder="1" applyAlignment="1">
      <alignment horizontal="right" vertical="center"/>
    </xf>
    <xf numFmtId="167" fontId="0" fillId="2" borderId="1" xfId="0" applyNumberFormat="1" applyFont="1" applyFill="1" applyBorder="1"/>
    <xf numFmtId="165" fontId="1" fillId="7" borderId="1" xfId="1" applyNumberFormat="1" applyFont="1" applyFill="1" applyBorder="1"/>
    <xf numFmtId="166" fontId="1" fillId="6" borderId="1" xfId="1" applyNumberFormat="1" applyFont="1" applyFill="1" applyBorder="1"/>
    <xf numFmtId="164" fontId="1" fillId="6" borderId="1" xfId="2" applyNumberFormat="1" applyFont="1" applyFill="1" applyBorder="1"/>
    <xf numFmtId="165" fontId="1" fillId="5" borderId="1" xfId="1" applyNumberFormat="1" applyFont="1" applyFill="1" applyBorder="1"/>
    <xf numFmtId="164" fontId="1" fillId="5" borderId="1" xfId="2" applyNumberFormat="1" applyFont="1" applyFill="1" applyBorder="1"/>
    <xf numFmtId="2" fontId="0" fillId="2" borderId="1" xfId="0" applyNumberFormat="1" applyFont="1" applyFill="1" applyBorder="1" applyAlignment="1">
      <alignment horizontal="right" vertical="center"/>
    </xf>
    <xf numFmtId="166" fontId="1" fillId="2" borderId="1" xfId="1" applyNumberFormat="1" applyFont="1" applyFill="1" applyBorder="1"/>
    <xf numFmtId="9" fontId="0" fillId="5" borderId="1" xfId="0" applyNumberFormat="1" applyFont="1" applyFill="1" applyBorder="1"/>
    <xf numFmtId="3" fontId="0" fillId="5" borderId="1" xfId="0" applyNumberFormat="1" applyFont="1" applyFill="1" applyBorder="1"/>
    <xf numFmtId="165" fontId="0" fillId="6" borderId="1" xfId="1" applyNumberFormat="1" applyFont="1" applyFill="1" applyBorder="1" applyAlignment="1">
      <alignment horizontal="right"/>
    </xf>
    <xf numFmtId="0" fontId="0" fillId="0" borderId="1" xfId="0" applyBorder="1" applyAlignment="1">
      <alignment horizontal="center" vertical="center" wrapText="1"/>
    </xf>
    <xf numFmtId="0" fontId="0" fillId="0" borderId="0" xfId="0" applyAlignment="1">
      <alignment horizontal="center"/>
    </xf>
    <xf numFmtId="0" fontId="11" fillId="0" borderId="0" xfId="0" applyFont="1" applyAlignment="1">
      <alignment horizontal="left" vertical="center"/>
    </xf>
    <xf numFmtId="0" fontId="0" fillId="0" borderId="1" xfId="0" applyBorder="1" applyAlignment="1">
      <alignment horizontal="center" wrapText="1"/>
    </xf>
    <xf numFmtId="0" fontId="0" fillId="0" borderId="1" xfId="0" applyBorder="1" applyAlignment="1">
      <alignment horizontal="center"/>
    </xf>
    <xf numFmtId="169" fontId="7" fillId="0" borderId="1" xfId="0" applyNumberFormat="1" applyFont="1" applyBorder="1" applyAlignment="1">
      <alignment horizontal="center"/>
    </xf>
    <xf numFmtId="37" fontId="9" fillId="0" borderId="1" xfId="0" applyNumberFormat="1" applyFont="1" applyBorder="1" applyAlignment="1">
      <alignment horizontal="center"/>
    </xf>
    <xf numFmtId="0" fontId="10" fillId="0" borderId="1" xfId="2" applyNumberFormat="1" applyFont="1" applyFill="1" applyBorder="1" applyAlignment="1">
      <alignment horizontal="center"/>
    </xf>
    <xf numFmtId="37" fontId="10" fillId="0" borderId="1" xfId="0" applyNumberFormat="1" applyFont="1" applyBorder="1" applyAlignment="1">
      <alignment horizontal="center"/>
    </xf>
    <xf numFmtId="10" fontId="0" fillId="0" borderId="1" xfId="0" applyNumberFormat="1" applyBorder="1" applyAlignment="1">
      <alignment horizontal="center" vertical="center" wrapText="1"/>
    </xf>
    <xf numFmtId="2" fontId="10" fillId="0" borderId="1" xfId="1" applyNumberFormat="1" applyFont="1" applyFill="1" applyBorder="1" applyAlignment="1">
      <alignment horizontal="center"/>
    </xf>
    <xf numFmtId="37" fontId="10" fillId="0" borderId="0" xfId="0" applyNumberFormat="1" applyFont="1" applyAlignment="1">
      <alignment horizontal="center"/>
    </xf>
    <xf numFmtId="14" fontId="0" fillId="10" borderId="0" xfId="0" applyNumberFormat="1" applyFill="1" applyAlignment="1">
      <alignment horizontal="center"/>
    </xf>
    <xf numFmtId="37" fontId="10" fillId="0" borderId="3" xfId="0" applyNumberFormat="1" applyFont="1" applyBorder="1" applyAlignment="1">
      <alignment horizontal="center"/>
    </xf>
    <xf numFmtId="37" fontId="10" fillId="10" borderId="4" xfId="0" applyNumberFormat="1" applyFont="1" applyFill="1" applyBorder="1" applyAlignment="1">
      <alignment horizontal="center"/>
    </xf>
    <xf numFmtId="37" fontId="10" fillId="0" borderId="4" xfId="0" applyNumberFormat="1" applyFont="1" applyBorder="1" applyAlignment="1">
      <alignment horizontal="center"/>
    </xf>
    <xf numFmtId="37" fontId="10" fillId="0" borderId="5" xfId="0" applyNumberFormat="1" applyFont="1" applyBorder="1" applyAlignment="1">
      <alignment horizontal="center"/>
    </xf>
    <xf numFmtId="167" fontId="0" fillId="0" borderId="1" xfId="1" applyNumberFormat="1" applyFont="1" applyBorder="1"/>
    <xf numFmtId="167" fontId="0" fillId="0" borderId="1" xfId="0" applyNumberFormat="1" applyBorder="1"/>
    <xf numFmtId="0" fontId="12" fillId="2" borderId="3" xfId="0" applyFont="1" applyFill="1" applyBorder="1" applyAlignment="1">
      <alignment horizontal="center" vertical="center" wrapText="1"/>
    </xf>
    <xf numFmtId="3" fontId="0" fillId="0" borderId="0" xfId="0" applyNumberFormat="1"/>
    <xf numFmtId="167" fontId="0" fillId="0" borderId="0" xfId="0" applyNumberFormat="1"/>
    <xf numFmtId="166" fontId="0" fillId="5" borderId="1" xfId="1" applyNumberFormat="1" applyFont="1" applyFill="1" applyBorder="1"/>
    <xf numFmtId="0" fontId="0" fillId="5" borderId="1" xfId="0" applyFill="1" applyBorder="1"/>
    <xf numFmtId="165" fontId="0" fillId="4" borderId="1" xfId="1" applyNumberFormat="1" applyFont="1" applyFill="1" applyBorder="1"/>
    <xf numFmtId="0" fontId="2" fillId="4" borderId="1" xfId="0" applyFont="1" applyFill="1" applyBorder="1"/>
    <xf numFmtId="167" fontId="0" fillId="2" borderId="1" xfId="2" applyNumberFormat="1" applyFont="1" applyFill="1" applyBorder="1"/>
    <xf numFmtId="167" fontId="0" fillId="2" borderId="2" xfId="2" applyNumberFormat="1" applyFont="1" applyFill="1" applyBorder="1"/>
    <xf numFmtId="167" fontId="0" fillId="0" borderId="2" xfId="2" applyNumberFormat="1" applyFont="1" applyBorder="1"/>
    <xf numFmtId="0" fontId="2" fillId="0" borderId="0" xfId="0" applyFont="1"/>
    <xf numFmtId="10" fontId="2" fillId="0" borderId="1" xfId="0" applyNumberFormat="1" applyFont="1" applyBorder="1"/>
    <xf numFmtId="164" fontId="0" fillId="6" borderId="1" xfId="1" applyNumberFormat="1" applyFont="1" applyFill="1" applyBorder="1"/>
    <xf numFmtId="0" fontId="13" fillId="12" borderId="9" xfId="0" applyFont="1" applyFill="1" applyBorder="1" applyAlignment="1">
      <alignment vertical="center"/>
    </xf>
    <xf numFmtId="0" fontId="13" fillId="12" borderId="11" xfId="0" applyFont="1" applyFill="1" applyBorder="1" applyAlignment="1">
      <alignment horizontal="center" vertical="center" wrapText="1"/>
    </xf>
    <xf numFmtId="0" fontId="13" fillId="12" borderId="12" xfId="0" applyFont="1" applyFill="1" applyBorder="1" applyAlignment="1">
      <alignment horizontal="center" vertical="center" wrapText="1"/>
    </xf>
    <xf numFmtId="0" fontId="13" fillId="12" borderId="13" xfId="0" applyFont="1" applyFill="1" applyBorder="1" applyAlignment="1">
      <alignment horizontal="center" vertical="center" wrapText="1"/>
    </xf>
    <xf numFmtId="0" fontId="14" fillId="0" borderId="11" xfId="0" applyFont="1" applyBorder="1" applyAlignment="1">
      <alignment vertical="center"/>
    </xf>
    <xf numFmtId="6" fontId="4" fillId="13" borderId="12" xfId="0" applyNumberFormat="1" applyFont="1" applyFill="1" applyBorder="1" applyAlignment="1">
      <alignment horizontal="right" vertical="center"/>
    </xf>
    <xf numFmtId="6" fontId="4" fillId="0" borderId="12" xfId="0" applyNumberFormat="1" applyFont="1" applyBorder="1" applyAlignment="1">
      <alignment horizontal="right" vertical="center"/>
    </xf>
    <xf numFmtId="6" fontId="0" fillId="0" borderId="1" xfId="0" applyNumberFormat="1" applyBorder="1"/>
    <xf numFmtId="0" fontId="14" fillId="0" borderId="9" xfId="0" applyFont="1" applyBorder="1" applyAlignment="1">
      <alignment vertical="center"/>
    </xf>
    <xf numFmtId="6" fontId="4" fillId="13" borderId="10" xfId="0" applyNumberFormat="1" applyFont="1" applyFill="1" applyBorder="1" applyAlignment="1">
      <alignment horizontal="right" vertical="center"/>
    </xf>
    <xf numFmtId="6" fontId="4" fillId="0" borderId="10" xfId="0" applyNumberFormat="1" applyFont="1" applyBorder="1" applyAlignment="1">
      <alignment horizontal="right" vertical="center"/>
    </xf>
    <xf numFmtId="0" fontId="13" fillId="12" borderId="1" xfId="0" applyFont="1" applyFill="1" applyBorder="1" applyAlignment="1">
      <alignment horizontal="center" vertical="center" wrapText="1"/>
    </xf>
    <xf numFmtId="0" fontId="13" fillId="12" borderId="1" xfId="0" applyFont="1" applyFill="1" applyBorder="1" applyAlignment="1">
      <alignment vertical="center" wrapText="1"/>
    </xf>
    <xf numFmtId="164" fontId="0" fillId="0" borderId="0" xfId="0" applyNumberFormat="1"/>
    <xf numFmtId="6" fontId="4" fillId="0" borderId="12" xfId="0" quotePrefix="1" applyNumberFormat="1" applyFont="1" applyBorder="1" applyAlignment="1">
      <alignment horizontal="right" vertical="center"/>
    </xf>
    <xf numFmtId="6" fontId="0" fillId="0" borderId="0" xfId="0" applyNumberFormat="1"/>
    <xf numFmtId="0" fontId="2" fillId="0" borderId="0" xfId="0" applyFont="1" applyAlignment="1">
      <alignment wrapText="1"/>
    </xf>
    <xf numFmtId="165" fontId="9" fillId="8" borderId="1" xfId="1" applyNumberFormat="1" applyFont="1" applyFill="1" applyBorder="1"/>
    <xf numFmtId="43" fontId="9" fillId="0" borderId="1" xfId="1" applyFont="1" applyBorder="1"/>
    <xf numFmtId="165" fontId="9" fillId="0" borderId="1" xfId="1" applyNumberFormat="1" applyFont="1" applyBorder="1"/>
    <xf numFmtId="0" fontId="9" fillId="0" borderId="1" xfId="0" applyFont="1" applyBorder="1"/>
    <xf numFmtId="0" fontId="0" fillId="0" borderId="0" xfId="0" applyBorder="1" applyAlignment="1">
      <alignment horizontal="center"/>
    </xf>
    <xf numFmtId="169" fontId="7" fillId="0" borderId="0" xfId="0" applyNumberFormat="1" applyFont="1" applyBorder="1" applyAlignment="1">
      <alignment horizontal="center"/>
    </xf>
    <xf numFmtId="37" fontId="8" fillId="0" borderId="0" xfId="0" applyNumberFormat="1" applyFont="1" applyBorder="1"/>
    <xf numFmtId="37" fontId="9" fillId="0" borderId="0" xfId="0" applyNumberFormat="1" applyFont="1" applyBorder="1" applyAlignment="1">
      <alignment horizontal="center"/>
    </xf>
    <xf numFmtId="0" fontId="10" fillId="0" borderId="0" xfId="2" applyNumberFormat="1" applyFont="1" applyFill="1" applyBorder="1" applyAlignment="1">
      <alignment horizontal="center"/>
    </xf>
    <xf numFmtId="37" fontId="10" fillId="0" borderId="0" xfId="0" applyNumberFormat="1" applyFont="1" applyBorder="1" applyAlignment="1">
      <alignment horizontal="center"/>
    </xf>
    <xf numFmtId="170" fontId="0" fillId="0" borderId="0" xfId="0" applyNumberFormat="1"/>
    <xf numFmtId="0" fontId="15" fillId="3" borderId="3" xfId="0" applyFont="1" applyFill="1" applyBorder="1" applyAlignment="1">
      <alignment horizontal="center" vertical="center" wrapText="1"/>
    </xf>
    <xf numFmtId="0" fontId="13" fillId="12" borderId="9" xfId="0" applyFont="1" applyFill="1" applyBorder="1" applyAlignment="1">
      <alignment horizontal="center" vertical="center" wrapText="1"/>
    </xf>
    <xf numFmtId="0" fontId="13" fillId="12" borderId="9" xfId="0" applyFont="1" applyFill="1" applyBorder="1" applyAlignment="1">
      <alignment horizontal="center" vertical="center"/>
    </xf>
    <xf numFmtId="0" fontId="13" fillId="12" borderId="9" xfId="0" applyFont="1" applyFill="1" applyBorder="1" applyAlignment="1">
      <alignment vertical="center" wrapText="1"/>
    </xf>
    <xf numFmtId="0" fontId="0" fillId="0" borderId="5" xfId="0" applyBorder="1"/>
    <xf numFmtId="164" fontId="0" fillId="0" borderId="5" xfId="0" applyNumberFormat="1" applyBorder="1"/>
    <xf numFmtId="167" fontId="0" fillId="0" borderId="5" xfId="0" applyNumberFormat="1" applyBorder="1"/>
    <xf numFmtId="0" fontId="13" fillId="12" borderId="15" xfId="0" applyFont="1" applyFill="1" applyBorder="1" applyAlignment="1">
      <alignment horizontal="center" vertical="center" wrapText="1"/>
    </xf>
    <xf numFmtId="169" fontId="0" fillId="0" borderId="1" xfId="3" applyNumberFormat="1" applyFont="1" applyBorder="1"/>
    <xf numFmtId="37" fontId="0" fillId="0" borderId="1" xfId="0" applyNumberFormat="1" applyBorder="1"/>
    <xf numFmtId="2" fontId="0" fillId="0" borderId="1" xfId="0" applyNumberFormat="1" applyBorder="1"/>
    <xf numFmtId="171" fontId="10" fillId="0" borderId="1" xfId="2" applyNumberFormat="1" applyFont="1" applyFill="1" applyBorder="1" applyAlignment="1">
      <alignment horizontal="center"/>
    </xf>
    <xf numFmtId="171" fontId="0" fillId="0" borderId="1" xfId="0" applyNumberFormat="1" applyBorder="1"/>
    <xf numFmtId="172" fontId="0" fillId="0" borderId="1" xfId="0" applyNumberFormat="1" applyBorder="1"/>
    <xf numFmtId="0" fontId="0" fillId="0" borderId="1" xfId="0" applyBorder="1" applyAlignment="1">
      <alignment horizontal="right"/>
    </xf>
    <xf numFmtId="0" fontId="0" fillId="0" borderId="1" xfId="0" applyBorder="1" applyAlignment="1">
      <alignment horizontal="right" wrapText="1"/>
    </xf>
    <xf numFmtId="43" fontId="0" fillId="0" borderId="1" xfId="0" applyNumberFormat="1" applyBorder="1"/>
    <xf numFmtId="9" fontId="0" fillId="6" borderId="1" xfId="3" applyFont="1" applyFill="1" applyBorder="1" applyAlignment="1">
      <alignment horizontal="right" vertical="center"/>
    </xf>
    <xf numFmtId="0" fontId="6" fillId="2" borderId="1" xfId="0" applyFont="1" applyFill="1" applyBorder="1" applyAlignment="1">
      <alignment horizontal="center" vertical="center" wrapText="1"/>
    </xf>
    <xf numFmtId="0" fontId="0" fillId="0" borderId="0" xfId="0" applyAlignment="1">
      <alignment horizontal="left"/>
    </xf>
    <xf numFmtId="167" fontId="0" fillId="6" borderId="1" xfId="0" applyNumberFormat="1" applyFill="1" applyBorder="1"/>
    <xf numFmtId="37" fontId="9" fillId="6" borderId="1" xfId="0" applyNumberFormat="1" applyFont="1" applyFill="1" applyBorder="1"/>
    <xf numFmtId="165" fontId="9" fillId="6" borderId="1" xfId="1" applyNumberFormat="1" applyFont="1" applyFill="1" applyBorder="1"/>
    <xf numFmtId="37" fontId="9" fillId="6" borderId="1" xfId="0" applyNumberFormat="1" applyFont="1" applyFill="1" applyBorder="1" applyAlignment="1">
      <alignment horizontal="right"/>
    </xf>
    <xf numFmtId="3" fontId="9" fillId="6" borderId="1" xfId="0" applyNumberFormat="1" applyFont="1" applyFill="1" applyBorder="1" applyAlignment="1">
      <alignment horizontal="right"/>
    </xf>
    <xf numFmtId="0" fontId="2" fillId="2" borderId="1" xfId="0" applyFont="1" applyFill="1" applyBorder="1" applyAlignment="1">
      <alignment wrapText="1"/>
    </xf>
    <xf numFmtId="0" fontId="9" fillId="0" borderId="0" xfId="0" applyFont="1"/>
    <xf numFmtId="37" fontId="9" fillId="7" borderId="1" xfId="0" applyNumberFormat="1" applyFont="1" applyFill="1" applyBorder="1"/>
    <xf numFmtId="0" fontId="16" fillId="0" borderId="0" xfId="0" applyFont="1" applyAlignment="1">
      <alignment horizontal="center"/>
    </xf>
    <xf numFmtId="0" fontId="0" fillId="2" borderId="1" xfId="0" applyFill="1" applyBorder="1" applyAlignment="1">
      <alignment horizontal="center"/>
    </xf>
    <xf numFmtId="37" fontId="0" fillId="0" borderId="0" xfId="0" applyNumberFormat="1"/>
    <xf numFmtId="165" fontId="0" fillId="0" borderId="0" xfId="1" applyNumberFormat="1" applyFont="1" applyBorder="1"/>
    <xf numFmtId="37" fontId="0" fillId="0" borderId="0" xfId="0" applyNumberFormat="1" applyBorder="1"/>
    <xf numFmtId="165" fontId="0" fillId="0" borderId="0" xfId="0" applyNumberFormat="1" applyBorder="1"/>
    <xf numFmtId="9" fontId="0" fillId="0" borderId="0" xfId="3" applyFont="1" applyBorder="1"/>
    <xf numFmtId="0" fontId="0" fillId="10" borderId="0" xfId="0" applyFill="1"/>
    <xf numFmtId="165" fontId="0" fillId="0" borderId="1" xfId="3" applyNumberFormat="1" applyFont="1" applyBorder="1"/>
    <xf numFmtId="8" fontId="4" fillId="13" borderId="12" xfId="0" applyNumberFormat="1" applyFont="1" applyFill="1" applyBorder="1" applyAlignment="1">
      <alignment horizontal="right" vertical="center"/>
    </xf>
    <xf numFmtId="0" fontId="2" fillId="2" borderId="1" xfId="0" applyFont="1" applyFill="1" applyBorder="1" applyAlignment="1">
      <alignment vertical="center"/>
    </xf>
    <xf numFmtId="43" fontId="2" fillId="2" borderId="1" xfId="0" applyNumberFormat="1" applyFont="1" applyFill="1" applyBorder="1" applyAlignment="1">
      <alignment horizontal="right" vertical="center"/>
    </xf>
    <xf numFmtId="165" fontId="2" fillId="2" borderId="1" xfId="1" applyNumberFormat="1" applyFont="1" applyFill="1" applyBorder="1" applyAlignment="1">
      <alignment horizontal="center"/>
    </xf>
    <xf numFmtId="166" fontId="2" fillId="2" borderId="1" xfId="1" applyNumberFormat="1" applyFont="1" applyFill="1" applyBorder="1"/>
    <xf numFmtId="165" fontId="2" fillId="2" borderId="1" xfId="1" applyNumberFormat="1" applyFont="1" applyFill="1" applyBorder="1"/>
    <xf numFmtId="9" fontId="2" fillId="6" borderId="1" xfId="3" applyFont="1" applyFill="1" applyBorder="1"/>
    <xf numFmtId="9" fontId="0" fillId="2" borderId="1" xfId="3" applyFont="1" applyFill="1" applyBorder="1" applyAlignment="1">
      <alignment horizontal="right" vertical="center"/>
    </xf>
    <xf numFmtId="9" fontId="2" fillId="2" borderId="1" xfId="3" applyFont="1" applyFill="1" applyBorder="1"/>
    <xf numFmtId="165" fontId="0" fillId="0" borderId="0" xfId="0" applyNumberFormat="1"/>
    <xf numFmtId="1" fontId="1" fillId="7" borderId="1" xfId="1" applyNumberFormat="1" applyFont="1" applyFill="1" applyBorder="1"/>
    <xf numFmtId="166" fontId="1" fillId="5" borderId="1" xfId="1" applyNumberFormat="1" applyFont="1" applyFill="1" applyBorder="1"/>
    <xf numFmtId="165" fontId="0" fillId="0" borderId="0" xfId="0" quotePrefix="1" applyNumberFormat="1"/>
    <xf numFmtId="0" fontId="13" fillId="12" borderId="10" xfId="0" applyFont="1" applyFill="1" applyBorder="1" applyAlignment="1">
      <alignment horizontal="center" vertical="center" wrapText="1"/>
    </xf>
    <xf numFmtId="0" fontId="13" fillId="12" borderId="10" xfId="0" applyFont="1" applyFill="1" applyBorder="1" applyAlignment="1">
      <alignment horizontal="center" vertical="center"/>
    </xf>
    <xf numFmtId="0" fontId="2" fillId="2" borderId="1" xfId="0" applyFont="1" applyFill="1" applyBorder="1" applyAlignment="1">
      <alignment horizontal="center"/>
    </xf>
    <xf numFmtId="165" fontId="0" fillId="0" borderId="2" xfId="1" applyNumberFormat="1" applyFont="1" applyBorder="1"/>
    <xf numFmtId="3" fontId="0" fillId="0" borderId="1" xfId="0" applyNumberFormat="1" applyBorder="1"/>
    <xf numFmtId="0" fontId="16" fillId="0" borderId="0" xfId="0" applyFont="1"/>
    <xf numFmtId="0" fontId="16" fillId="0" borderId="1" xfId="0" applyFont="1" applyBorder="1"/>
    <xf numFmtId="0" fontId="17" fillId="2" borderId="1" xfId="0" applyFont="1" applyFill="1" applyBorder="1" applyAlignment="1">
      <alignment vertical="center" wrapText="1"/>
    </xf>
    <xf numFmtId="0" fontId="17" fillId="3" borderId="1" xfId="0" applyFont="1" applyFill="1" applyBorder="1"/>
    <xf numFmtId="165" fontId="16" fillId="6" borderId="1" xfId="1" applyNumberFormat="1" applyFont="1" applyFill="1" applyBorder="1" applyAlignment="1">
      <alignment horizontal="right"/>
    </xf>
    <xf numFmtId="3" fontId="16" fillId="2" borderId="1" xfId="0" applyNumberFormat="1" applyFont="1" applyFill="1" applyBorder="1"/>
    <xf numFmtId="0" fontId="17" fillId="5" borderId="1" xfId="0" applyFont="1" applyFill="1" applyBorder="1"/>
    <xf numFmtId="3" fontId="16" fillId="5" borderId="1" xfId="0" applyNumberFormat="1" applyFont="1" applyFill="1" applyBorder="1"/>
    <xf numFmtId="9" fontId="17" fillId="6" borderId="1" xfId="3" applyFont="1" applyFill="1" applyBorder="1"/>
    <xf numFmtId="165" fontId="16" fillId="5" borderId="1" xfId="1" applyNumberFormat="1" applyFont="1" applyFill="1" applyBorder="1"/>
    <xf numFmtId="164" fontId="16" fillId="5" borderId="1" xfId="2" applyNumberFormat="1" applyFont="1" applyFill="1" applyBorder="1"/>
    <xf numFmtId="0" fontId="16" fillId="2" borderId="1" xfId="0" applyFont="1" applyFill="1" applyBorder="1"/>
    <xf numFmtId="9" fontId="16" fillId="2" borderId="1" xfId="3" applyFont="1" applyFill="1" applyBorder="1" applyAlignment="1">
      <alignment horizontal="right" vertical="center"/>
    </xf>
    <xf numFmtId="165" fontId="16" fillId="2" borderId="1" xfId="1" applyNumberFormat="1" applyFont="1" applyFill="1" applyBorder="1"/>
    <xf numFmtId="167" fontId="16" fillId="2" borderId="1" xfId="0" applyNumberFormat="1" applyFont="1" applyFill="1" applyBorder="1"/>
    <xf numFmtId="9" fontId="16" fillId="6" borderId="1" xfId="3" applyFont="1" applyFill="1" applyBorder="1" applyAlignment="1">
      <alignment horizontal="right" vertical="center"/>
    </xf>
    <xf numFmtId="166" fontId="16" fillId="6" borderId="1" xfId="1" applyNumberFormat="1" applyFont="1" applyFill="1" applyBorder="1"/>
    <xf numFmtId="164" fontId="16" fillId="6" borderId="1" xfId="2" applyNumberFormat="1" applyFont="1" applyFill="1" applyBorder="1"/>
    <xf numFmtId="164" fontId="16" fillId="2" borderId="1" xfId="2" applyNumberFormat="1" applyFont="1" applyFill="1" applyBorder="1"/>
    <xf numFmtId="166" fontId="16" fillId="2" borderId="1" xfId="1" applyNumberFormat="1" applyFont="1" applyFill="1" applyBorder="1"/>
    <xf numFmtId="9" fontId="17" fillId="2" borderId="1" xfId="3" applyFont="1" applyFill="1" applyBorder="1"/>
    <xf numFmtId="0" fontId="17" fillId="2" borderId="1" xfId="0" applyFont="1" applyFill="1" applyBorder="1"/>
    <xf numFmtId="9" fontId="17" fillId="5" borderId="1" xfId="0" applyNumberFormat="1" applyFont="1" applyFill="1" applyBorder="1"/>
    <xf numFmtId="43" fontId="17" fillId="2" borderId="1" xfId="0" applyNumberFormat="1" applyFont="1" applyFill="1" applyBorder="1" applyAlignment="1">
      <alignment horizontal="right" vertical="center"/>
    </xf>
    <xf numFmtId="165" fontId="17" fillId="2" borderId="1" xfId="1" applyNumberFormat="1" applyFont="1" applyFill="1" applyBorder="1" applyAlignment="1">
      <alignment horizontal="center"/>
    </xf>
    <xf numFmtId="166" fontId="17" fillId="2" borderId="1" xfId="1" applyNumberFormat="1" applyFont="1" applyFill="1" applyBorder="1"/>
    <xf numFmtId="165" fontId="16" fillId="6" borderId="1" xfId="1" applyNumberFormat="1" applyFont="1" applyFill="1" applyBorder="1"/>
    <xf numFmtId="8" fontId="18" fillId="6" borderId="1" xfId="0" applyNumberFormat="1" applyFont="1" applyFill="1" applyBorder="1" applyAlignment="1">
      <alignment horizontal="right" vertical="center"/>
    </xf>
    <xf numFmtId="173" fontId="0" fillId="0" borderId="0" xfId="0" applyNumberFormat="1"/>
    <xf numFmtId="0" fontId="19" fillId="0" borderId="0" xfId="0" applyFont="1"/>
    <xf numFmtId="165" fontId="0" fillId="0" borderId="0" xfId="1" applyNumberFormat="1" applyFont="1"/>
    <xf numFmtId="0" fontId="0" fillId="2" borderId="0" xfId="0" applyFill="1" applyBorder="1" applyAlignment="1">
      <alignment horizontal="center" wrapText="1"/>
    </xf>
    <xf numFmtId="167" fontId="2" fillId="0" borderId="1" xfId="0" applyNumberFormat="1" applyFont="1" applyBorder="1" applyAlignment="1">
      <alignment horizontal="center"/>
    </xf>
    <xf numFmtId="167" fontId="2" fillId="2" borderId="1" xfId="0" applyNumberFormat="1" applyFont="1" applyFill="1" applyBorder="1"/>
    <xf numFmtId="167" fontId="2" fillId="5" borderId="1" xfId="0" applyNumberFormat="1" applyFont="1" applyFill="1" applyBorder="1"/>
    <xf numFmtId="167" fontId="2" fillId="6" borderId="1" xfId="0" applyNumberFormat="1" applyFont="1" applyFill="1" applyBorder="1" applyAlignment="1">
      <alignment horizontal="center"/>
    </xf>
    <xf numFmtId="0" fontId="3" fillId="2" borderId="1" xfId="0" applyNumberFormat="1" applyFont="1" applyFill="1" applyBorder="1" applyAlignment="1">
      <alignment horizontal="center"/>
    </xf>
    <xf numFmtId="0" fontId="2" fillId="0" borderId="1" xfId="0" applyNumberFormat="1" applyFont="1" applyBorder="1" applyAlignment="1">
      <alignment horizontal="center"/>
    </xf>
    <xf numFmtId="174" fontId="0" fillId="0" borderId="0" xfId="0" applyNumberFormat="1"/>
    <xf numFmtId="8" fontId="16" fillId="0" borderId="0" xfId="0" applyNumberFormat="1" applyFont="1"/>
    <xf numFmtId="167" fontId="0" fillId="7" borderId="1" xfId="2" quotePrefix="1" applyNumberFormat="1" applyFont="1" applyFill="1" applyBorder="1"/>
    <xf numFmtId="164" fontId="16" fillId="3" borderId="5" xfId="3" applyNumberFormat="1" applyFont="1" applyFill="1" applyBorder="1"/>
    <xf numFmtId="8" fontId="4" fillId="4" borderId="1" xfId="0" applyNumberFormat="1" applyFont="1" applyFill="1" applyBorder="1" applyAlignment="1">
      <alignment horizontal="right" vertical="center"/>
    </xf>
    <xf numFmtId="44" fontId="0" fillId="0" borderId="0" xfId="2" applyFont="1"/>
    <xf numFmtId="44" fontId="0" fillId="0" borderId="0" xfId="0" applyNumberFormat="1"/>
    <xf numFmtId="0" fontId="2" fillId="0" borderId="18" xfId="0" applyFont="1" applyBorder="1"/>
    <xf numFmtId="0" fontId="0" fillId="0" borderId="19" xfId="0" applyBorder="1"/>
    <xf numFmtId="0" fontId="0" fillId="0" borderId="20" xfId="0" applyBorder="1"/>
    <xf numFmtId="0" fontId="0" fillId="6" borderId="11" xfId="0" applyFill="1" applyBorder="1"/>
    <xf numFmtId="0" fontId="0" fillId="6" borderId="20" xfId="0" applyFill="1" applyBorder="1"/>
    <xf numFmtId="0" fontId="0" fillId="6" borderId="21" xfId="0" applyFill="1" applyBorder="1"/>
    <xf numFmtId="0" fontId="0" fillId="2" borderId="4" xfId="0" applyFill="1" applyBorder="1" applyAlignment="1">
      <alignment horizontal="center"/>
    </xf>
    <xf numFmtId="0" fontId="0" fillId="14" borderId="16" xfId="0" applyFill="1" applyBorder="1"/>
    <xf numFmtId="0" fontId="0" fillId="0" borderId="16" xfId="0" applyBorder="1" applyAlignment="1">
      <alignment horizontal="center" vertical="center" wrapText="1"/>
    </xf>
    <xf numFmtId="0" fontId="0" fillId="0" borderId="2" xfId="0" applyBorder="1" applyAlignment="1">
      <alignment horizontal="center" vertical="center"/>
    </xf>
    <xf numFmtId="0" fontId="0" fillId="0" borderId="24" xfId="0" applyBorder="1" applyAlignment="1">
      <alignment horizontal="center"/>
    </xf>
    <xf numFmtId="37" fontId="0" fillId="0" borderId="25" xfId="0" applyNumberFormat="1" applyBorder="1" applyAlignment="1">
      <alignment horizontal="center"/>
    </xf>
    <xf numFmtId="165" fontId="0" fillId="0" borderId="0" xfId="0" applyNumberFormat="1" applyBorder="1" applyAlignment="1">
      <alignment horizontal="center"/>
    </xf>
    <xf numFmtId="37" fontId="0" fillId="0" borderId="24" xfId="0" applyNumberFormat="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37" fontId="0" fillId="0" borderId="0" xfId="0" applyNumberFormat="1" applyBorder="1" applyAlignment="1">
      <alignment horizontal="center"/>
    </xf>
    <xf numFmtId="0" fontId="0" fillId="0" borderId="27" xfId="0" applyBorder="1" applyAlignment="1">
      <alignment horizontal="center" wrapText="1"/>
    </xf>
    <xf numFmtId="0" fontId="2" fillId="15" borderId="1" xfId="0" applyFont="1" applyFill="1" applyBorder="1" applyAlignment="1">
      <alignment horizontal="center" vertical="center"/>
    </xf>
    <xf numFmtId="0" fontId="0" fillId="14" borderId="29" xfId="0" applyFill="1" applyBorder="1"/>
    <xf numFmtId="0" fontId="0" fillId="0" borderId="29" xfId="0" applyBorder="1" applyAlignment="1">
      <alignment horizontal="center" vertical="center" wrapText="1"/>
    </xf>
    <xf numFmtId="0" fontId="0" fillId="0" borderId="22" xfId="0" applyBorder="1" applyAlignment="1">
      <alignment horizontal="center" vertical="center" wrapText="1"/>
    </xf>
    <xf numFmtId="0" fontId="0" fillId="0" borderId="22" xfId="0" applyBorder="1" applyAlignment="1">
      <alignment horizontal="center" vertical="center"/>
    </xf>
    <xf numFmtId="0" fontId="0" fillId="0" borderId="22" xfId="0" applyBorder="1"/>
    <xf numFmtId="0" fontId="0" fillId="0" borderId="23" xfId="0" applyBorder="1"/>
    <xf numFmtId="37" fontId="0" fillId="0" borderId="24" xfId="0" applyNumberFormat="1" applyBorder="1"/>
    <xf numFmtId="165" fontId="0" fillId="0" borderId="25" xfId="0" applyNumberFormat="1" applyBorder="1"/>
    <xf numFmtId="37" fontId="0" fillId="0" borderId="26" xfId="0" applyNumberFormat="1" applyBorder="1"/>
    <xf numFmtId="165" fontId="0" fillId="2" borderId="0" xfId="0" applyNumberFormat="1" applyFill="1" applyBorder="1" applyAlignment="1">
      <alignment horizontal="center"/>
    </xf>
    <xf numFmtId="37" fontId="0" fillId="2" borderId="24" xfId="0" applyNumberFormat="1" applyFill="1" applyBorder="1" applyAlignment="1">
      <alignment horizontal="center"/>
    </xf>
    <xf numFmtId="37" fontId="0" fillId="2" borderId="0" xfId="0" applyNumberFormat="1" applyFill="1" applyBorder="1" applyAlignment="1">
      <alignment horizontal="center"/>
    </xf>
    <xf numFmtId="0" fontId="20" fillId="0" borderId="0" xfId="0" applyFont="1"/>
    <xf numFmtId="165" fontId="20" fillId="0" borderId="0" xfId="0" applyNumberFormat="1" applyFont="1"/>
    <xf numFmtId="165" fontId="0" fillId="0" borderId="1" xfId="1" applyNumberFormat="1" applyFont="1" applyFill="1" applyBorder="1"/>
    <xf numFmtId="3" fontId="0" fillId="0" borderId="5" xfId="0" applyNumberFormat="1" applyBorder="1"/>
    <xf numFmtId="37" fontId="0" fillId="0" borderId="5" xfId="0" applyNumberFormat="1" applyBorder="1"/>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6" xfId="0" applyFont="1" applyFill="1" applyBorder="1" applyAlignment="1">
      <alignment horizontal="center"/>
    </xf>
    <xf numFmtId="0" fontId="2" fillId="2" borderId="2" xfId="0" applyFont="1" applyFill="1" applyBorder="1" applyAlignment="1">
      <alignment horizontal="center"/>
    </xf>
    <xf numFmtId="0" fontId="13" fillId="12" borderId="7" xfId="0" applyFont="1" applyFill="1" applyBorder="1" applyAlignment="1">
      <alignment horizontal="center" vertical="center" wrapText="1"/>
    </xf>
    <xf numFmtId="0" fontId="13" fillId="12" borderId="8"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3" fillId="12" borderId="14" xfId="0" applyFont="1" applyFill="1" applyBorder="1" applyAlignment="1">
      <alignment horizontal="center" vertical="center" wrapText="1"/>
    </xf>
    <xf numFmtId="0" fontId="13" fillId="12" borderId="10" xfId="0" applyFont="1" applyFill="1" applyBorder="1" applyAlignment="1">
      <alignment horizontal="center" vertical="center" wrapText="1"/>
    </xf>
    <xf numFmtId="0" fontId="13" fillId="12" borderId="6" xfId="0" applyFont="1" applyFill="1" applyBorder="1" applyAlignment="1">
      <alignment horizontal="center" vertical="center"/>
    </xf>
    <xf numFmtId="0" fontId="13" fillId="12" borderId="10" xfId="0" applyFont="1" applyFill="1" applyBorder="1" applyAlignment="1">
      <alignment horizontal="center" vertical="center"/>
    </xf>
    <xf numFmtId="0" fontId="13" fillId="12" borderId="7" xfId="0" applyFont="1" applyFill="1" applyBorder="1" applyAlignment="1">
      <alignment horizontal="center" vertical="center"/>
    </xf>
    <xf numFmtId="0" fontId="0" fillId="14" borderId="17" xfId="0" applyFill="1" applyBorder="1" applyAlignment="1">
      <alignment horizontal="center"/>
    </xf>
    <xf numFmtId="0" fontId="0" fillId="14" borderId="22" xfId="0" applyFill="1" applyBorder="1" applyAlignment="1">
      <alignment horizontal="center"/>
    </xf>
    <xf numFmtId="164" fontId="2" fillId="2" borderId="16" xfId="2" applyNumberFormat="1" applyFont="1" applyFill="1" applyBorder="1" applyAlignment="1">
      <alignment horizontal="center"/>
    </xf>
    <xf numFmtId="164" fontId="2" fillId="2" borderId="17" xfId="2" applyNumberFormat="1" applyFont="1" applyFill="1" applyBorder="1" applyAlignment="1">
      <alignment horizontal="center"/>
    </xf>
    <xf numFmtId="164" fontId="2" fillId="2" borderId="2" xfId="2" applyNumberFormat="1" applyFont="1" applyFill="1" applyBorder="1" applyAlignment="1">
      <alignment horizontal="center"/>
    </xf>
    <xf numFmtId="0" fontId="17" fillId="2" borderId="1" xfId="0" applyFont="1" applyFill="1" applyBorder="1" applyAlignment="1">
      <alignment horizontal="center"/>
    </xf>
    <xf numFmtId="0" fontId="2" fillId="0" borderId="0" xfId="0" applyFont="1" applyAlignment="1">
      <alignment horizontal="center"/>
    </xf>
    <xf numFmtId="0" fontId="2" fillId="4" borderId="1" xfId="0" applyFont="1" applyFill="1" applyBorder="1" applyAlignment="1">
      <alignment horizontal="center"/>
    </xf>
    <xf numFmtId="0" fontId="2" fillId="4" borderId="3" xfId="0" applyFont="1" applyFill="1" applyBorder="1" applyAlignment="1">
      <alignment horizontal="center"/>
    </xf>
    <xf numFmtId="0" fontId="0" fillId="0" borderId="29" xfId="0" applyBorder="1"/>
    <xf numFmtId="0" fontId="0" fillId="0" borderId="27" xfId="0" applyBorder="1"/>
    <xf numFmtId="0" fontId="0" fillId="0" borderId="0" xfId="0" applyBorder="1"/>
    <xf numFmtId="0" fontId="0" fillId="0" borderId="24" xfId="0" applyBorder="1"/>
    <xf numFmtId="165" fontId="0" fillId="0" borderId="27" xfId="0" applyNumberFormat="1" applyBorder="1"/>
    <xf numFmtId="165" fontId="0" fillId="0" borderId="24" xfId="0" applyNumberFormat="1" applyBorder="1"/>
    <xf numFmtId="165" fontId="0" fillId="0" borderId="28" xfId="0" applyNumberFormat="1" applyBorder="1"/>
    <xf numFmtId="0" fontId="0" fillId="0" borderId="25" xfId="0" applyBorder="1"/>
    <xf numFmtId="165" fontId="0" fillId="0" borderId="26" xfId="0" applyNumberFormat="1" applyBorder="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'Ch. 3 Tables and Graphs'!$D$113</c:f>
              <c:strCache>
                <c:ptCount val="1"/>
                <c:pt idx="0">
                  <c:v>LTPPA RECs</c:v>
                </c:pt>
              </c:strCache>
            </c:strRef>
          </c:tx>
          <c:spPr>
            <a:solidFill>
              <a:schemeClr val="accent1"/>
            </a:solidFill>
            <a:ln>
              <a:noFill/>
            </a:ln>
            <a:effectLst/>
          </c:spPr>
          <c:invertIfNegative val="0"/>
          <c:cat>
            <c:strRef>
              <c:f>'Ch. 3 Tables and Graphs'!$C$114:$C$136</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strCache>
            </c:strRef>
          </c:cat>
          <c:val>
            <c:numRef>
              <c:f>'Ch. 3 Tables and Graphs'!$D$114:$D$136</c:f>
              <c:numCache>
                <c:formatCode>_(* #,##0_);_(* \(#,##0\);_(* "-"??_);_(@_)</c:formatCode>
                <c:ptCount val="23"/>
                <c:pt idx="0">
                  <c:v>1861725</c:v>
                </c:pt>
                <c:pt idx="1">
                  <c:v>1861725</c:v>
                </c:pt>
                <c:pt idx="2">
                  <c:v>1861725</c:v>
                </c:pt>
                <c:pt idx="3">
                  <c:v>1861725</c:v>
                </c:pt>
                <c:pt idx="4">
                  <c:v>1861725</c:v>
                </c:pt>
                <c:pt idx="5">
                  <c:v>1861725</c:v>
                </c:pt>
                <c:pt idx="6">
                  <c:v>1861725</c:v>
                </c:pt>
                <c:pt idx="7">
                  <c:v>1861725</c:v>
                </c:pt>
                <c:pt idx="8">
                  <c:v>1861725</c:v>
                </c:pt>
                <c:pt idx="9">
                  <c:v>1861725</c:v>
                </c:pt>
                <c:pt idx="10">
                  <c:v>1861725</c:v>
                </c:pt>
                <c:pt idx="11">
                  <c:v>1861725</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0-2F48-4ED8-9548-CF0163876B10}"/>
            </c:ext>
          </c:extLst>
        </c:ser>
        <c:ser>
          <c:idx val="1"/>
          <c:order val="1"/>
          <c:tx>
            <c:strRef>
              <c:f>'Ch. 3 Tables and Graphs'!$E$113</c:f>
              <c:strCache>
                <c:ptCount val="1"/>
                <c:pt idx="0">
                  <c:v>2017-2019 Forward Procurements</c:v>
                </c:pt>
              </c:strCache>
            </c:strRef>
          </c:tx>
          <c:spPr>
            <a:solidFill>
              <a:schemeClr val="accent2"/>
            </a:solidFill>
            <a:ln>
              <a:noFill/>
            </a:ln>
            <a:effectLst/>
          </c:spPr>
          <c:invertIfNegative val="0"/>
          <c:cat>
            <c:strRef>
              <c:f>'Ch. 3 Tables and Graphs'!$C$114:$C$136</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strCache>
            </c:strRef>
          </c:cat>
          <c:val>
            <c:numRef>
              <c:f>'Ch. 3 Tables and Graphs'!$E$114:$E$136</c:f>
              <c:numCache>
                <c:formatCode>_(* #,##0_);_(* \(#,##0\);_(* "-"??_);_(@_)</c:formatCode>
                <c:ptCount val="23"/>
                <c:pt idx="0">
                  <c:v>730000</c:v>
                </c:pt>
                <c:pt idx="1">
                  <c:v>2983670.5745999999</c:v>
                </c:pt>
                <c:pt idx="2">
                  <c:v>4001148.5745999999</c:v>
                </c:pt>
                <c:pt idx="3">
                  <c:v>4001148.5745999999</c:v>
                </c:pt>
                <c:pt idx="4">
                  <c:v>4001148.5745999999</c:v>
                </c:pt>
                <c:pt idx="5">
                  <c:v>4001148.5745999999</c:v>
                </c:pt>
                <c:pt idx="6">
                  <c:v>4001148.5745999999</c:v>
                </c:pt>
                <c:pt idx="7">
                  <c:v>4001148.5745999999</c:v>
                </c:pt>
                <c:pt idx="8">
                  <c:v>4001148.5745999999</c:v>
                </c:pt>
                <c:pt idx="9">
                  <c:v>4001148.5745999999</c:v>
                </c:pt>
                <c:pt idx="10">
                  <c:v>4001148.5745999999</c:v>
                </c:pt>
                <c:pt idx="11">
                  <c:v>4001148.5745999999</c:v>
                </c:pt>
                <c:pt idx="12">
                  <c:v>4001148.5745999999</c:v>
                </c:pt>
                <c:pt idx="13">
                  <c:v>3571148.5745999999</c:v>
                </c:pt>
                <c:pt idx="14">
                  <c:v>3571148.5745999999</c:v>
                </c:pt>
                <c:pt idx="15">
                  <c:v>3271148.5745999999</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1-2F48-4ED8-9548-CF0163876B10}"/>
            </c:ext>
          </c:extLst>
        </c:ser>
        <c:ser>
          <c:idx val="2"/>
          <c:order val="2"/>
          <c:tx>
            <c:strRef>
              <c:f>'Ch. 3 Tables and Graphs'!$F$113</c:f>
              <c:strCache>
                <c:ptCount val="1"/>
                <c:pt idx="0">
                  <c:v>2019-2021 Adjustable Block and Illinois Solar for All Programs</c:v>
                </c:pt>
              </c:strCache>
            </c:strRef>
          </c:tx>
          <c:spPr>
            <a:solidFill>
              <a:srgbClr val="FFFF00"/>
            </a:solidFill>
            <a:ln>
              <a:noFill/>
            </a:ln>
            <a:effectLst/>
          </c:spPr>
          <c:invertIfNegative val="0"/>
          <c:cat>
            <c:strRef>
              <c:f>'Ch. 3 Tables and Graphs'!$C$114:$C$136</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strCache>
            </c:strRef>
          </c:cat>
          <c:val>
            <c:numRef>
              <c:f>'Ch. 3 Tables and Graphs'!$F$114:$F$136</c:f>
              <c:numCache>
                <c:formatCode>_(* #,##0_);_(* \(#,##0\);_(* "-"??_);_(@_)</c:formatCode>
                <c:ptCount val="23"/>
                <c:pt idx="0">
                  <c:v>710879.50247266702</c:v>
                </c:pt>
                <c:pt idx="1">
                  <c:v>1093239.1429146675</c:v>
                </c:pt>
                <c:pt idx="2">
                  <c:v>1177057.653438265</c:v>
                </c:pt>
                <c:pt idx="3">
                  <c:v>1314907.3343563289</c:v>
                </c:pt>
                <c:pt idx="4">
                  <c:v>1308770.015585033</c:v>
                </c:pt>
                <c:pt idx="5">
                  <c:v>1302669.4659517191</c:v>
                </c:pt>
                <c:pt idx="6">
                  <c:v>1296588.5739500469</c:v>
                </c:pt>
                <c:pt idx="7">
                  <c:v>1289945.1873260573</c:v>
                </c:pt>
                <c:pt idx="8">
                  <c:v>1283842.214987312</c:v>
                </c:pt>
                <c:pt idx="9">
                  <c:v>1277566.8146444117</c:v>
                </c:pt>
                <c:pt idx="10">
                  <c:v>1271621.4421854771</c:v>
                </c:pt>
                <c:pt idx="11">
                  <c:v>1261248.1243816298</c:v>
                </c:pt>
                <c:pt idx="12">
                  <c:v>1258316.2940146669</c:v>
                </c:pt>
                <c:pt idx="13">
                  <c:v>1255178.4896424208</c:v>
                </c:pt>
                <c:pt idx="14">
                  <c:v>1124106.5374679584</c:v>
                </c:pt>
                <c:pt idx="15">
                  <c:v>648419.86434194515</c:v>
                </c:pt>
                <c:pt idx="16">
                  <c:v>223142.8222349303</c:v>
                </c:pt>
                <c:pt idx="17">
                  <c:v>60312.326277697503</c:v>
                </c:pt>
                <c:pt idx="18">
                  <c:v>59857.275492589011</c:v>
                </c:pt>
                <c:pt idx="19">
                  <c:v>59557.989115126067</c:v>
                </c:pt>
                <c:pt idx="20">
                  <c:v>59260.199169550433</c:v>
                </c:pt>
                <c:pt idx="21">
                  <c:v>58963.898173702677</c:v>
                </c:pt>
                <c:pt idx="22">
                  <c:v>58669.078682834166</c:v>
                </c:pt>
              </c:numCache>
            </c:numRef>
          </c:val>
          <c:extLst>
            <c:ext xmlns:c16="http://schemas.microsoft.com/office/drawing/2014/chart" uri="{C3380CC4-5D6E-409C-BE32-E72D297353CC}">
              <c16:uniqueId val="{00000002-2F48-4ED8-9548-CF0163876B10}"/>
            </c:ext>
          </c:extLst>
        </c:ser>
        <c:ser>
          <c:idx val="3"/>
          <c:order val="3"/>
          <c:tx>
            <c:strRef>
              <c:f>'Ch. 3 Tables and Graphs'!$G$113</c:f>
              <c:strCache>
                <c:ptCount val="1"/>
                <c:pt idx="0">
                  <c:v>ABP Reopening</c:v>
                </c:pt>
              </c:strCache>
            </c:strRef>
          </c:tx>
          <c:spPr>
            <a:solidFill>
              <a:schemeClr val="accent1">
                <a:lumMod val="75000"/>
              </a:schemeClr>
            </a:solidFill>
            <a:ln>
              <a:noFill/>
            </a:ln>
            <a:effectLst/>
          </c:spPr>
          <c:invertIfNegative val="0"/>
          <c:cat>
            <c:strRef>
              <c:f>'Ch. 3 Tables and Graphs'!$C$114:$C$136</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strCache>
            </c:strRef>
          </c:cat>
          <c:val>
            <c:numRef>
              <c:f>'Ch. 3 Tables and Graphs'!$G$114:$G$136</c:f>
              <c:numCache>
                <c:formatCode>_(* #,##0_);_(* \(#,##0\);_(* "-"??_);_(@_)</c:formatCode>
                <c:ptCount val="23"/>
                <c:pt idx="0">
                  <c:v>0</c:v>
                </c:pt>
                <c:pt idx="1">
                  <c:v>0</c:v>
                </c:pt>
                <c:pt idx="2">
                  <c:v>270933.21471990406</c:v>
                </c:pt>
                <c:pt idx="3">
                  <c:v>644285.00824630458</c:v>
                </c:pt>
                <c:pt idx="4">
                  <c:v>641063.58320507302</c:v>
                </c:pt>
                <c:pt idx="5">
                  <c:v>637858.26528904762</c:v>
                </c:pt>
                <c:pt idx="6">
                  <c:v>634668.97396260232</c:v>
                </c:pt>
                <c:pt idx="7">
                  <c:v>631495.62909278937</c:v>
                </c:pt>
                <c:pt idx="8">
                  <c:v>628338.15094732551</c:v>
                </c:pt>
                <c:pt idx="9">
                  <c:v>625196.46019258886</c:v>
                </c:pt>
                <c:pt idx="10">
                  <c:v>622070.47789162584</c:v>
                </c:pt>
                <c:pt idx="11">
                  <c:v>618960.12550216774</c:v>
                </c:pt>
                <c:pt idx="12">
                  <c:v>615865.32487465697</c:v>
                </c:pt>
                <c:pt idx="13">
                  <c:v>612785.99825028342</c:v>
                </c:pt>
                <c:pt idx="14">
                  <c:v>609722.06825903221</c:v>
                </c:pt>
                <c:pt idx="15">
                  <c:v>606673.45791773708</c:v>
                </c:pt>
                <c:pt idx="16">
                  <c:v>603640.09062814829</c:v>
                </c:pt>
                <c:pt idx="17">
                  <c:v>350205.60392179945</c:v>
                </c:pt>
                <c:pt idx="18">
                  <c:v>344333.23893372319</c:v>
                </c:pt>
                <c:pt idx="19">
                  <c:v>342611.57273905457</c:v>
                </c:pt>
                <c:pt idx="20">
                  <c:v>340898.51487535931</c:v>
                </c:pt>
                <c:pt idx="21">
                  <c:v>339194.02230098256</c:v>
                </c:pt>
                <c:pt idx="22">
                  <c:v>336627.19762921083</c:v>
                </c:pt>
              </c:numCache>
            </c:numRef>
          </c:val>
          <c:extLst>
            <c:ext xmlns:c16="http://schemas.microsoft.com/office/drawing/2014/chart" uri="{C3380CC4-5D6E-409C-BE32-E72D297353CC}">
              <c16:uniqueId val="{00000003-2F48-4ED8-9548-CF0163876B10}"/>
            </c:ext>
          </c:extLst>
        </c:ser>
        <c:ser>
          <c:idx val="4"/>
          <c:order val="4"/>
          <c:tx>
            <c:strRef>
              <c:f>'Ch. 3 Tables and Graphs'!$H$113</c:f>
              <c:strCache>
                <c:ptCount val="1"/>
                <c:pt idx="0">
                  <c:v>2022 Procurements</c:v>
                </c:pt>
              </c:strCache>
            </c:strRef>
          </c:tx>
          <c:spPr>
            <a:solidFill>
              <a:schemeClr val="accent4"/>
            </a:solidFill>
            <a:ln>
              <a:noFill/>
            </a:ln>
            <a:effectLst/>
          </c:spPr>
          <c:invertIfNegative val="0"/>
          <c:cat>
            <c:strRef>
              <c:f>'Ch. 3 Tables and Graphs'!$C$114:$C$136</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strCache>
            </c:strRef>
          </c:cat>
          <c:val>
            <c:numRef>
              <c:f>'Ch. 3 Tables and Graphs'!$H$114:$H$136</c:f>
              <c:numCache>
                <c:formatCode>_(* #,##0_);_(* \(#,##0\);_(* "-"??_);_(@_)</c:formatCode>
                <c:ptCount val="23"/>
                <c:pt idx="1">
                  <c:v>0</c:v>
                </c:pt>
                <c:pt idx="2">
                  <c:v>0</c:v>
                </c:pt>
                <c:pt idx="3">
                  <c:v>0</c:v>
                </c:pt>
                <c:pt idx="4">
                  <c:v>0</c:v>
                </c:pt>
                <c:pt idx="5">
                  <c:v>2409391</c:v>
                </c:pt>
                <c:pt idx="6">
                  <c:v>2399644.0449999999</c:v>
                </c:pt>
                <c:pt idx="7">
                  <c:v>2389945.8247750001</c:v>
                </c:pt>
                <c:pt idx="8">
                  <c:v>2380296.0956511246</c:v>
                </c:pt>
                <c:pt idx="9">
                  <c:v>2370694.6151728695</c:v>
                </c:pt>
                <c:pt idx="10">
                  <c:v>2361141.1420970052</c:v>
                </c:pt>
                <c:pt idx="11">
                  <c:v>2351635.43638652</c:v>
                </c:pt>
                <c:pt idx="12">
                  <c:v>2342177.259204587</c:v>
                </c:pt>
                <c:pt idx="13">
                  <c:v>2332766.3729085643</c:v>
                </c:pt>
                <c:pt idx="14">
                  <c:v>2323402.5410440215</c:v>
                </c:pt>
                <c:pt idx="15">
                  <c:v>2314085.5283388011</c:v>
                </c:pt>
                <c:pt idx="16">
                  <c:v>2304815.1006971076</c:v>
                </c:pt>
                <c:pt idx="17">
                  <c:v>2295591.0251936214</c:v>
                </c:pt>
                <c:pt idx="18">
                  <c:v>2286413.0700676534</c:v>
                </c:pt>
                <c:pt idx="19">
                  <c:v>2277281.0047173155</c:v>
                </c:pt>
                <c:pt idx="20">
                  <c:v>2268194.5996937286</c:v>
                </c:pt>
                <c:pt idx="21">
                  <c:v>2259153.6266952599</c:v>
                </c:pt>
                <c:pt idx="22">
                  <c:v>2250157.8585617836</c:v>
                </c:pt>
              </c:numCache>
            </c:numRef>
          </c:val>
          <c:extLst>
            <c:ext xmlns:c16="http://schemas.microsoft.com/office/drawing/2014/chart" uri="{C3380CC4-5D6E-409C-BE32-E72D297353CC}">
              <c16:uniqueId val="{00000004-2F48-4ED8-9548-CF0163876B10}"/>
            </c:ext>
          </c:extLst>
        </c:ser>
        <c:ser>
          <c:idx val="5"/>
          <c:order val="5"/>
          <c:tx>
            <c:strRef>
              <c:f>'Ch. 3 Tables and Graphs'!$J$113</c:f>
              <c:strCache>
                <c:ptCount val="1"/>
                <c:pt idx="0">
                  <c:v>REC GAP</c:v>
                </c:pt>
              </c:strCache>
            </c:strRef>
          </c:tx>
          <c:spPr>
            <a:solidFill>
              <a:schemeClr val="bg2">
                <a:lumMod val="75000"/>
              </a:schemeClr>
            </a:solidFill>
            <a:ln>
              <a:noFill/>
            </a:ln>
            <a:effectLst/>
          </c:spPr>
          <c:invertIfNegative val="0"/>
          <c:cat>
            <c:strRef>
              <c:f>'Ch. 3 Tables and Graphs'!$C$114:$C$136</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strCache>
            </c:strRef>
          </c:cat>
          <c:val>
            <c:numRef>
              <c:f>'Ch. 3 Tables and Graphs'!$J$114:$J$136</c:f>
              <c:numCache>
                <c:formatCode>_(* #,##0_);_(* \(#,##0\);_(* "-"??_);_(@_)</c:formatCode>
                <c:ptCount val="23"/>
                <c:pt idx="0">
                  <c:v>17846577.656317368</c:v>
                </c:pt>
                <c:pt idx="1">
                  <c:v>16846817.96730854</c:v>
                </c:pt>
                <c:pt idx="2">
                  <c:v>17351112.769831952</c:v>
                </c:pt>
                <c:pt idx="3">
                  <c:v>18708334.896185957</c:v>
                </c:pt>
                <c:pt idx="4">
                  <c:v>20430387.087274686</c:v>
                </c:pt>
                <c:pt idx="5">
                  <c:v>19729136.431708965</c:v>
                </c:pt>
                <c:pt idx="6">
                  <c:v>23377127.982370362</c:v>
                </c:pt>
                <c:pt idx="7">
                  <c:v>27102009.615509152</c:v>
                </c:pt>
                <c:pt idx="8">
                  <c:v>30922979.678720415</c:v>
                </c:pt>
                <c:pt idx="9">
                  <c:v>34620526.643071063</c:v>
                </c:pt>
                <c:pt idx="10">
                  <c:v>38416144.623083636</c:v>
                </c:pt>
                <c:pt idx="11">
                  <c:v>39713704.84524639</c:v>
                </c:pt>
                <c:pt idx="12">
                  <c:v>43054684.746845424</c:v>
                </c:pt>
                <c:pt idx="13">
                  <c:v>44740084.347923271</c:v>
                </c:pt>
                <c:pt idx="14">
                  <c:v>46215178.879200161</c:v>
                </c:pt>
                <c:pt idx="15">
                  <c:v>48398806.096211985</c:v>
                </c:pt>
                <c:pt idx="16">
                  <c:v>53595469.079907149</c:v>
                </c:pt>
                <c:pt idx="17">
                  <c:v>55336348.143574603</c:v>
                </c:pt>
                <c:pt idx="18">
                  <c:v>56834785.297114395</c:v>
                </c:pt>
                <c:pt idx="19">
                  <c:v>58189140.620228164</c:v>
                </c:pt>
                <c:pt idx="20">
                  <c:v>59573749.80690942</c:v>
                </c:pt>
                <c:pt idx="21">
                  <c:v>59584780.960171342</c:v>
                </c:pt>
                <c:pt idx="22">
                  <c:v>59596638.372467458</c:v>
                </c:pt>
              </c:numCache>
            </c:numRef>
          </c:val>
          <c:extLst>
            <c:ext xmlns:c16="http://schemas.microsoft.com/office/drawing/2014/chart" uri="{C3380CC4-5D6E-409C-BE32-E72D297353CC}">
              <c16:uniqueId val="{00000005-2F48-4ED8-9548-CF0163876B10}"/>
            </c:ext>
          </c:extLst>
        </c:ser>
        <c:dLbls>
          <c:showLegendKey val="0"/>
          <c:showVal val="0"/>
          <c:showCatName val="0"/>
          <c:showSerName val="0"/>
          <c:showPercent val="0"/>
          <c:showBubbleSize val="0"/>
        </c:dLbls>
        <c:gapWidth val="150"/>
        <c:overlap val="100"/>
        <c:axId val="764494072"/>
        <c:axId val="764491120"/>
      </c:barChart>
      <c:lineChart>
        <c:grouping val="standard"/>
        <c:varyColors val="0"/>
        <c:ser>
          <c:idx val="6"/>
          <c:order val="6"/>
          <c:tx>
            <c:strRef>
              <c:f>'Ch. 3 Tables and Graphs'!$K$113</c:f>
              <c:strCache>
                <c:ptCount val="1"/>
                <c:pt idx="0">
                  <c:v>RPS REC Goal %</c:v>
                </c:pt>
              </c:strCache>
            </c:strRef>
          </c:tx>
          <c:spPr>
            <a:ln w="28575" cap="rnd">
              <a:solidFill>
                <a:schemeClr val="accent6"/>
              </a:solidFill>
              <a:round/>
            </a:ln>
            <a:effectLst/>
          </c:spPr>
          <c:marker>
            <c:symbol val="none"/>
          </c:marker>
          <c:cat>
            <c:strRef>
              <c:f>'Ch. 3 Tables and Graphs'!$C$114:$C$136</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strCache>
            </c:strRef>
          </c:cat>
          <c:val>
            <c:numRef>
              <c:f>'Ch. 3 Tables and Graphs'!$K$114:$K$136</c:f>
              <c:numCache>
                <c:formatCode>0.0%</c:formatCode>
                <c:ptCount val="23"/>
                <c:pt idx="0">
                  <c:v>0.17500000000000004</c:v>
                </c:pt>
                <c:pt idx="1">
                  <c:v>0.19000000000000006</c:v>
                </c:pt>
                <c:pt idx="2">
                  <c:v>0.20500000000000007</c:v>
                </c:pt>
                <c:pt idx="3">
                  <c:v>0.22000000000000008</c:v>
                </c:pt>
                <c:pt idx="4">
                  <c:v>0.2350000000000001</c:v>
                </c:pt>
                <c:pt idx="5">
                  <c:v>0.25000000000000011</c:v>
                </c:pt>
                <c:pt idx="6">
                  <c:v>0.28000000000000003</c:v>
                </c:pt>
                <c:pt idx="7">
                  <c:v>0.31</c:v>
                </c:pt>
                <c:pt idx="8">
                  <c:v>0.34</c:v>
                </c:pt>
                <c:pt idx="9">
                  <c:v>0.37</c:v>
                </c:pt>
                <c:pt idx="10">
                  <c:v>0.4</c:v>
                </c:pt>
                <c:pt idx="11">
                  <c:v>0.40902608000000001</c:v>
                </c:pt>
                <c:pt idx="12">
                  <c:v>0.41825583530041599</c:v>
                </c:pt>
                <c:pt idx="13">
                  <c:v>0.42769386187513697</c:v>
                </c:pt>
                <c:pt idx="14">
                  <c:v>0.43734485940712181</c:v>
                </c:pt>
                <c:pt idx="15">
                  <c:v>0.44721363362861538</c:v>
                </c:pt>
                <c:pt idx="16">
                  <c:v>0.45730509871417185</c:v>
                </c:pt>
                <c:pt idx="17">
                  <c:v>0.46762427972767689</c:v>
                </c:pt>
                <c:pt idx="18">
                  <c:v>0.47817631512458791</c:v>
                </c:pt>
                <c:pt idx="19">
                  <c:v>0.48896645931063754</c:v>
                </c:pt>
                <c:pt idx="20">
                  <c:v>0.50000008525827411</c:v>
                </c:pt>
                <c:pt idx="21">
                  <c:v>0.5</c:v>
                </c:pt>
                <c:pt idx="22">
                  <c:v>0.5</c:v>
                </c:pt>
              </c:numCache>
            </c:numRef>
          </c:val>
          <c:smooth val="0"/>
          <c:extLst>
            <c:ext xmlns:c16="http://schemas.microsoft.com/office/drawing/2014/chart" uri="{C3380CC4-5D6E-409C-BE32-E72D297353CC}">
              <c16:uniqueId val="{00000006-2F48-4ED8-9548-CF0163876B10}"/>
            </c:ext>
          </c:extLst>
        </c:ser>
        <c:dLbls>
          <c:showLegendKey val="0"/>
          <c:showVal val="0"/>
          <c:showCatName val="0"/>
          <c:showSerName val="0"/>
          <c:showPercent val="0"/>
          <c:showBubbleSize val="0"/>
        </c:dLbls>
        <c:marker val="1"/>
        <c:smooth val="0"/>
        <c:axId val="757906784"/>
        <c:axId val="757910392"/>
      </c:lineChart>
      <c:catAx>
        <c:axId val="764494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491120"/>
        <c:crosses val="autoZero"/>
        <c:auto val="1"/>
        <c:lblAlgn val="ctr"/>
        <c:lblOffset val="100"/>
        <c:noMultiLvlLbl val="0"/>
      </c:catAx>
      <c:valAx>
        <c:axId val="764491120"/>
        <c:scaling>
          <c:orientation val="minMax"/>
          <c:max val="65000000"/>
          <c:min val="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494072"/>
        <c:crosses val="autoZero"/>
        <c:crossBetween val="between"/>
      </c:valAx>
      <c:valAx>
        <c:axId val="757910392"/>
        <c:scaling>
          <c:orientation val="minMax"/>
          <c:max val="0.52"/>
          <c:min val="0"/>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7906784"/>
        <c:crosses val="max"/>
        <c:crossBetween val="between"/>
        <c:majorUnit val="0.1"/>
      </c:valAx>
      <c:catAx>
        <c:axId val="757906784"/>
        <c:scaling>
          <c:orientation val="minMax"/>
        </c:scaling>
        <c:delete val="1"/>
        <c:axPos val="b"/>
        <c:numFmt formatCode="General" sourceLinked="1"/>
        <c:majorTickMark val="out"/>
        <c:minorTickMark val="none"/>
        <c:tickLblPos val="nextTo"/>
        <c:crossAx val="757910392"/>
        <c:crosses val="autoZero"/>
        <c:auto val="1"/>
        <c:lblAlgn val="ctr"/>
        <c:lblOffset val="100"/>
        <c:noMultiLvlLbl val="0"/>
      </c:catAx>
      <c:spPr>
        <a:noFill/>
        <a:ln cmpd="sng">
          <a:noFill/>
        </a:ln>
        <a:effectLst/>
      </c:spPr>
    </c:plotArea>
    <c:legend>
      <c:legendPos val="b"/>
      <c:layout>
        <c:manualLayout>
          <c:xMode val="edge"/>
          <c:yMode val="edge"/>
          <c:x val="7.7639847963933556E-2"/>
          <c:y val="0.7984120079915662"/>
          <c:w val="0.89741191600610415"/>
          <c:h val="0.18306244250635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Ameren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'Delivery Tables and Graphs'!$B$31</c:f>
              <c:strCache>
                <c:ptCount val="1"/>
                <c:pt idx="0">
                  <c:v>ABP RECs under contract </c:v>
                </c:pt>
              </c:strCache>
            </c:strRef>
          </c:tx>
          <c:spPr>
            <a:solidFill>
              <a:schemeClr val="accent1"/>
            </a:solidFill>
            <a:ln>
              <a:noFill/>
            </a:ln>
            <a:effectLst/>
          </c:spPr>
          <c:invertIfNegative val="0"/>
          <c:cat>
            <c:strRef>
              <c:f>'Delivery Tables and Graphs'!$A$32:$A$54</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2036-2037</c:v>
                </c:pt>
                <c:pt idx="17">
                  <c:v>2037-2038</c:v>
                </c:pt>
                <c:pt idx="18">
                  <c:v>2038-2039</c:v>
                </c:pt>
                <c:pt idx="19">
                  <c:v>2039-2040</c:v>
                </c:pt>
                <c:pt idx="20">
                  <c:v>2040-2041</c:v>
                </c:pt>
                <c:pt idx="21">
                  <c:v>2041-2042</c:v>
                </c:pt>
                <c:pt idx="22">
                  <c:v>2042-2043</c:v>
                </c:pt>
              </c:strCache>
            </c:strRef>
          </c:cat>
          <c:val>
            <c:numRef>
              <c:f>'Delivery Tables and Graphs'!$B$32:$B$54</c:f>
              <c:numCache>
                <c:formatCode>_(* #,##0_);_(* \(#,##0\);_(* "-"??_);_(@_)</c:formatCode>
                <c:ptCount val="23"/>
                <c:pt idx="0">
                  <c:v>204901.20000000103</c:v>
                </c:pt>
                <c:pt idx="1">
                  <c:v>296266.80666666734</c:v>
                </c:pt>
                <c:pt idx="2">
                  <c:v>306562.02678307571</c:v>
                </c:pt>
                <c:pt idx="3">
                  <c:v>340869.00233641622</c:v>
                </c:pt>
                <c:pt idx="4">
                  <c:v>339307.74412618799</c:v>
                </c:pt>
                <c:pt idx="5">
                  <c:v>337755.82884451095</c:v>
                </c:pt>
                <c:pt idx="6">
                  <c:v>336208.84709214233</c:v>
                </c:pt>
                <c:pt idx="7">
                  <c:v>334671.67778243532</c:v>
                </c:pt>
                <c:pt idx="8">
                  <c:v>333141.27780037699</c:v>
                </c:pt>
                <c:pt idx="9">
                  <c:v>331618.97510162881</c:v>
                </c:pt>
                <c:pt idx="10">
                  <c:v>330104.45875157486</c:v>
                </c:pt>
                <c:pt idx="11">
                  <c:v>326891.1633299471</c:v>
                </c:pt>
                <c:pt idx="12">
                  <c:v>326174.92268808349</c:v>
                </c:pt>
                <c:pt idx="13">
                  <c:v>325401.73156972887</c:v>
                </c:pt>
                <c:pt idx="14">
                  <c:v>289633.11013210675</c:v>
                </c:pt>
                <c:pt idx="15">
                  <c:v>159681.74331319795</c:v>
                </c:pt>
                <c:pt idx="16">
                  <c:v>44498.219173198027</c:v>
                </c:pt>
                <c:pt idx="17">
                  <c:v>0</c:v>
                </c:pt>
                <c:pt idx="18">
                  <c:v>0</c:v>
                </c:pt>
                <c:pt idx="19">
                  <c:v>0</c:v>
                </c:pt>
                <c:pt idx="20">
                  <c:v>0</c:v>
                </c:pt>
                <c:pt idx="21">
                  <c:v>0</c:v>
                </c:pt>
                <c:pt idx="22">
                  <c:v>0</c:v>
                </c:pt>
              </c:numCache>
            </c:numRef>
          </c:val>
          <c:extLst>
            <c:ext xmlns:c16="http://schemas.microsoft.com/office/drawing/2014/chart" uri="{C3380CC4-5D6E-409C-BE32-E72D297353CC}">
              <c16:uniqueId val="{00000000-B4E8-4716-AD99-E8A62EAF7995}"/>
            </c:ext>
          </c:extLst>
        </c:ser>
        <c:ser>
          <c:idx val="1"/>
          <c:order val="1"/>
          <c:tx>
            <c:strRef>
              <c:f>'Delivery Tables and Graphs'!$C$31</c:f>
              <c:strCache>
                <c:ptCount val="1"/>
                <c:pt idx="0">
                  <c:v>Non- ABP RECs under contract</c:v>
                </c:pt>
              </c:strCache>
            </c:strRef>
          </c:tx>
          <c:spPr>
            <a:solidFill>
              <a:schemeClr val="accent2"/>
            </a:solidFill>
            <a:ln>
              <a:noFill/>
            </a:ln>
            <a:effectLst/>
          </c:spPr>
          <c:invertIfNegative val="0"/>
          <c:cat>
            <c:strRef>
              <c:f>'Delivery Tables and Graphs'!$A$32:$A$54</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2036-2037</c:v>
                </c:pt>
                <c:pt idx="17">
                  <c:v>2037-2038</c:v>
                </c:pt>
                <c:pt idx="18">
                  <c:v>2038-2039</c:v>
                </c:pt>
                <c:pt idx="19">
                  <c:v>2039-2040</c:v>
                </c:pt>
                <c:pt idx="20">
                  <c:v>2040-2041</c:v>
                </c:pt>
                <c:pt idx="21">
                  <c:v>2041-2042</c:v>
                </c:pt>
                <c:pt idx="22">
                  <c:v>2042-2043</c:v>
                </c:pt>
              </c:strCache>
            </c:strRef>
          </c:cat>
          <c:val>
            <c:numRef>
              <c:f>'Delivery Tables and Graphs'!$C$32:$C$54</c:f>
              <c:numCache>
                <c:formatCode>_(* #,##0_);_(* \(#,##0\);_(* "-"??_);_(@_)</c:formatCode>
                <c:ptCount val="23"/>
                <c:pt idx="0">
                  <c:v>833300.63568800001</c:v>
                </c:pt>
                <c:pt idx="1">
                  <c:v>1495753.5735760001</c:v>
                </c:pt>
                <c:pt idx="2">
                  <c:v>1791579.5421196201</c:v>
                </c:pt>
                <c:pt idx="3">
                  <c:v>1791163.955820522</c:v>
                </c:pt>
                <c:pt idx="4">
                  <c:v>1791075.8124529193</c:v>
                </c:pt>
                <c:pt idx="5">
                  <c:v>1790988.1098021548</c:v>
                </c:pt>
                <c:pt idx="6">
                  <c:v>1790900.8456646439</c:v>
                </c:pt>
                <c:pt idx="7">
                  <c:v>1790814.0178478209</c:v>
                </c:pt>
                <c:pt idx="8">
                  <c:v>1790727.6241700817</c:v>
                </c:pt>
                <c:pt idx="9">
                  <c:v>1790641.6624607313</c:v>
                </c:pt>
                <c:pt idx="10">
                  <c:v>1790556.1305599276</c:v>
                </c:pt>
                <c:pt idx="11">
                  <c:v>1790471.0263186279</c:v>
                </c:pt>
                <c:pt idx="12">
                  <c:v>1190386.3475985348</c:v>
                </c:pt>
                <c:pt idx="13">
                  <c:v>1064183.0922720421</c:v>
                </c:pt>
                <c:pt idx="14">
                  <c:v>1064099.258222182</c:v>
                </c:pt>
                <c:pt idx="15">
                  <c:v>976025.84334257105</c:v>
                </c:pt>
                <c:pt idx="16">
                  <c:v>16516.56323735811</c:v>
                </c:pt>
                <c:pt idx="17">
                  <c:v>16433.98042117132</c:v>
                </c:pt>
                <c:pt idx="18">
                  <c:v>16351.810519065464</c:v>
                </c:pt>
                <c:pt idx="19">
                  <c:v>16270.051466470139</c:v>
                </c:pt>
                <c:pt idx="20">
                  <c:v>16188.701209137786</c:v>
                </c:pt>
                <c:pt idx="21">
                  <c:v>16107.757703092097</c:v>
                </c:pt>
                <c:pt idx="22">
                  <c:v>16027.218914576637</c:v>
                </c:pt>
              </c:numCache>
            </c:numRef>
          </c:val>
          <c:extLst>
            <c:ext xmlns:c16="http://schemas.microsoft.com/office/drawing/2014/chart" uri="{C3380CC4-5D6E-409C-BE32-E72D297353CC}">
              <c16:uniqueId val="{00000001-B4E8-4716-AD99-E8A62EAF7995}"/>
            </c:ext>
          </c:extLst>
        </c:ser>
        <c:ser>
          <c:idx val="2"/>
          <c:order val="2"/>
          <c:tx>
            <c:strRef>
              <c:f>'Delivery Tables and Graphs'!$D$31</c:f>
              <c:strCache>
                <c:ptCount val="1"/>
                <c:pt idx="0">
                  <c:v>New ABP RECs</c:v>
                </c:pt>
              </c:strCache>
            </c:strRef>
          </c:tx>
          <c:spPr>
            <a:solidFill>
              <a:schemeClr val="accent1">
                <a:lumMod val="40000"/>
                <a:lumOff val="60000"/>
              </a:schemeClr>
            </a:solidFill>
            <a:ln>
              <a:noFill/>
            </a:ln>
            <a:effectLst/>
          </c:spPr>
          <c:invertIfNegative val="0"/>
          <c:cat>
            <c:strRef>
              <c:f>'Delivery Tables and Graphs'!$A$32:$A$54</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2036-2037</c:v>
                </c:pt>
                <c:pt idx="17">
                  <c:v>2037-2038</c:v>
                </c:pt>
                <c:pt idx="18">
                  <c:v>2038-2039</c:v>
                </c:pt>
                <c:pt idx="19">
                  <c:v>2039-2040</c:v>
                </c:pt>
                <c:pt idx="20">
                  <c:v>2040-2041</c:v>
                </c:pt>
                <c:pt idx="21">
                  <c:v>2041-2042</c:v>
                </c:pt>
                <c:pt idx="22">
                  <c:v>2042-2043</c:v>
                </c:pt>
              </c:strCache>
            </c:strRef>
          </c:cat>
          <c:val>
            <c:numRef>
              <c:f>'Delivery Tables and Graphs'!$D$32:$D$54</c:f>
              <c:numCache>
                <c:formatCode>_(* #,##0_);_(* \(#,##0\);_(* "-"??_);_(@_)</c:formatCode>
                <c:ptCount val="23"/>
                <c:pt idx="0">
                  <c:v>0</c:v>
                </c:pt>
                <c:pt idx="1">
                  <c:v>0</c:v>
                </c:pt>
                <c:pt idx="2">
                  <c:v>318650.30451840756</c:v>
                </c:pt>
                <c:pt idx="3">
                  <c:v>655832.79016235634</c:v>
                </c:pt>
                <c:pt idx="4">
                  <c:v>902500.72583029442</c:v>
                </c:pt>
                <c:pt idx="5">
                  <c:v>1147935.3218198929</c:v>
                </c:pt>
                <c:pt idx="6">
                  <c:v>1392142.7448295434</c:v>
                </c:pt>
                <c:pt idx="7">
                  <c:v>1635129.1307241456</c:v>
                </c:pt>
                <c:pt idx="8">
                  <c:v>1876900.5846892747</c:v>
                </c:pt>
                <c:pt idx="9">
                  <c:v>2117463.1813845779</c:v>
                </c:pt>
                <c:pt idx="10">
                  <c:v>2356822.9650964057</c:v>
                </c:pt>
                <c:pt idx="11">
                  <c:v>2594985.9498896729</c:v>
                </c:pt>
                <c:pt idx="12">
                  <c:v>2831958.1197589748</c:v>
                </c:pt>
                <c:pt idx="13">
                  <c:v>2989998.1268300232</c:v>
                </c:pt>
                <c:pt idx="14">
                  <c:v>3100021.6860052482</c:v>
                </c:pt>
                <c:pt idx="15">
                  <c:v>3209495.1273845965</c:v>
                </c:pt>
                <c:pt idx="16">
                  <c:v>3318421.2015570491</c:v>
                </c:pt>
                <c:pt idx="17">
                  <c:v>3206290.2998525784</c:v>
                </c:pt>
                <c:pt idx="18">
                  <c:v>3192410.663043472</c:v>
                </c:pt>
                <c:pt idx="19">
                  <c:v>3182221.9627313744</c:v>
                </c:pt>
                <c:pt idx="20">
                  <c:v>3172084.2059208369</c:v>
                </c:pt>
                <c:pt idx="21">
                  <c:v>3084249.835945447</c:v>
                </c:pt>
                <c:pt idx="22">
                  <c:v>2876428.3749521798</c:v>
                </c:pt>
              </c:numCache>
            </c:numRef>
          </c:val>
          <c:extLst>
            <c:ext xmlns:c16="http://schemas.microsoft.com/office/drawing/2014/chart" uri="{C3380CC4-5D6E-409C-BE32-E72D297353CC}">
              <c16:uniqueId val="{00000002-B4E8-4716-AD99-E8A62EAF7995}"/>
            </c:ext>
          </c:extLst>
        </c:ser>
        <c:ser>
          <c:idx val="3"/>
          <c:order val="3"/>
          <c:tx>
            <c:strRef>
              <c:f>'Delivery Tables and Graphs'!$E$31</c:f>
              <c:strCache>
                <c:ptCount val="1"/>
                <c:pt idx="0">
                  <c:v>New Wind, Solar and Brownfield</c:v>
                </c:pt>
              </c:strCache>
            </c:strRef>
          </c:tx>
          <c:spPr>
            <a:solidFill>
              <a:schemeClr val="accent4"/>
            </a:solidFill>
            <a:ln>
              <a:noFill/>
            </a:ln>
            <a:effectLst/>
          </c:spPr>
          <c:invertIfNegative val="0"/>
          <c:cat>
            <c:strRef>
              <c:f>'Delivery Tables and Graphs'!$A$32:$A$54</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2036-2037</c:v>
                </c:pt>
                <c:pt idx="17">
                  <c:v>2037-2038</c:v>
                </c:pt>
                <c:pt idx="18">
                  <c:v>2038-2039</c:v>
                </c:pt>
                <c:pt idx="19">
                  <c:v>2039-2040</c:v>
                </c:pt>
                <c:pt idx="20">
                  <c:v>2040-2041</c:v>
                </c:pt>
                <c:pt idx="21">
                  <c:v>2041-2042</c:v>
                </c:pt>
                <c:pt idx="22">
                  <c:v>2042-2043</c:v>
                </c:pt>
              </c:strCache>
            </c:strRef>
          </c:cat>
          <c:val>
            <c:numRef>
              <c:f>'Delivery Tables and Graphs'!$E$32:$E$54</c:f>
              <c:numCache>
                <c:formatCode>_(* #,##0_);_(* \(#,##0\);_(* "-"??_);_(@_)</c:formatCode>
                <c:ptCount val="23"/>
                <c:pt idx="0">
                  <c:v>0</c:v>
                </c:pt>
                <c:pt idx="1">
                  <c:v>0</c:v>
                </c:pt>
                <c:pt idx="2">
                  <c:v>0</c:v>
                </c:pt>
                <c:pt idx="3">
                  <c:v>0</c:v>
                </c:pt>
                <c:pt idx="4">
                  <c:v>0</c:v>
                </c:pt>
                <c:pt idx="5">
                  <c:v>658197.43337999994</c:v>
                </c:pt>
                <c:pt idx="6">
                  <c:v>1922323.1439530998</c:v>
                </c:pt>
                <c:pt idx="7">
                  <c:v>2687122.1922333338</c:v>
                </c:pt>
                <c:pt idx="8">
                  <c:v>3944943.3702721675</c:v>
                </c:pt>
                <c:pt idx="9">
                  <c:v>5202792.7299208073</c:v>
                </c:pt>
                <c:pt idx="10">
                  <c:v>6460670.1302712029</c:v>
                </c:pt>
                <c:pt idx="11">
                  <c:v>7718575.4311198462</c:v>
                </c:pt>
                <c:pt idx="12">
                  <c:v>8976508.4929642454</c:v>
                </c:pt>
                <c:pt idx="13">
                  <c:v>10234469.176999426</c:v>
                </c:pt>
                <c:pt idx="14">
                  <c:v>11492457.345114429</c:v>
                </c:pt>
                <c:pt idx="15">
                  <c:v>12750472.859888855</c:v>
                </c:pt>
                <c:pt idx="16">
                  <c:v>13376786.834589412</c:v>
                </c:pt>
                <c:pt idx="17">
                  <c:v>14003127.883166464</c:v>
                </c:pt>
                <c:pt idx="18">
                  <c:v>14629495.870250633</c:v>
                </c:pt>
                <c:pt idx="19">
                  <c:v>15255890.661149379</c:v>
                </c:pt>
                <c:pt idx="20">
                  <c:v>15882312.121843632</c:v>
                </c:pt>
                <c:pt idx="21">
                  <c:v>16508760.118984414</c:v>
                </c:pt>
                <c:pt idx="22">
                  <c:v>17135234.519889493</c:v>
                </c:pt>
              </c:numCache>
            </c:numRef>
          </c:val>
          <c:extLst>
            <c:ext xmlns:c16="http://schemas.microsoft.com/office/drawing/2014/chart" uri="{C3380CC4-5D6E-409C-BE32-E72D297353CC}">
              <c16:uniqueId val="{00000003-B4E8-4716-AD99-E8A62EAF7995}"/>
            </c:ext>
          </c:extLst>
        </c:ser>
        <c:dLbls>
          <c:showLegendKey val="0"/>
          <c:showVal val="0"/>
          <c:showCatName val="0"/>
          <c:showSerName val="0"/>
          <c:showPercent val="0"/>
          <c:showBubbleSize val="0"/>
        </c:dLbls>
        <c:gapWidth val="150"/>
        <c:overlap val="100"/>
        <c:axId val="445103272"/>
        <c:axId val="445101960"/>
      </c:barChart>
      <c:catAx>
        <c:axId val="445103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445101960"/>
        <c:crosses val="autoZero"/>
        <c:auto val="1"/>
        <c:lblAlgn val="ctr"/>
        <c:lblOffset val="100"/>
        <c:noMultiLvlLbl val="0"/>
      </c:catAx>
      <c:valAx>
        <c:axId val="4451019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a:t>Renewable Energy Credits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445103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ComEd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'Delivery Tables and Graphs'!$B$60</c:f>
              <c:strCache>
                <c:ptCount val="1"/>
                <c:pt idx="0">
                  <c:v>ABP RECs under contract </c:v>
                </c:pt>
              </c:strCache>
            </c:strRef>
          </c:tx>
          <c:spPr>
            <a:solidFill>
              <a:schemeClr val="accent1"/>
            </a:solidFill>
            <a:ln>
              <a:noFill/>
            </a:ln>
            <a:effectLst/>
          </c:spPr>
          <c:invertIfNegative val="0"/>
          <c:cat>
            <c:strRef>
              <c:f>'Delivery Tables and Graphs'!$A$61:$A$83</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2036-2037</c:v>
                </c:pt>
                <c:pt idx="17">
                  <c:v>2037-2038</c:v>
                </c:pt>
                <c:pt idx="18">
                  <c:v>2038-2039</c:v>
                </c:pt>
                <c:pt idx="19">
                  <c:v>2039-2040</c:v>
                </c:pt>
                <c:pt idx="20">
                  <c:v>2040-2041</c:v>
                </c:pt>
                <c:pt idx="21">
                  <c:v>2041-2042</c:v>
                </c:pt>
                <c:pt idx="22">
                  <c:v>2042-2043</c:v>
                </c:pt>
              </c:strCache>
            </c:strRef>
          </c:cat>
          <c:val>
            <c:numRef>
              <c:f>'Delivery Tables and Graphs'!$B$61:$B$83</c:f>
              <c:numCache>
                <c:formatCode>_(* #,##0_);_(* \(#,##0\);_(* "-"??_);_(@_)</c:formatCode>
                <c:ptCount val="23"/>
                <c:pt idx="0">
                  <c:v>446162.99791666603</c:v>
                </c:pt>
                <c:pt idx="1">
                  <c:v>726444.01636000001</c:v>
                </c:pt>
                <c:pt idx="2">
                  <c:v>799716.82934333594</c:v>
                </c:pt>
                <c:pt idx="3">
                  <c:v>903955.4460158752</c:v>
                </c:pt>
                <c:pt idx="4">
                  <c:v>899815.12274770078</c:v>
                </c:pt>
                <c:pt idx="5">
                  <c:v>895699.5761271175</c:v>
                </c:pt>
                <c:pt idx="6">
                  <c:v>891597.11280438746</c:v>
                </c:pt>
                <c:pt idx="7">
                  <c:v>887520.67124052031</c:v>
                </c:pt>
                <c:pt idx="8">
                  <c:v>883462.18135472271</c:v>
                </c:pt>
                <c:pt idx="9">
                  <c:v>879425.16477185371</c:v>
                </c:pt>
                <c:pt idx="10">
                  <c:v>875408.79691990046</c:v>
                </c:pt>
                <c:pt idx="11">
                  <c:v>866887.41223508376</c:v>
                </c:pt>
                <c:pt idx="12">
                  <c:v>864988.00329959043</c:v>
                </c:pt>
                <c:pt idx="13">
                  <c:v>862937.56657035695</c:v>
                </c:pt>
                <c:pt idx="14">
                  <c:v>768082.24114212138</c:v>
                </c:pt>
                <c:pt idx="15">
                  <c:v>423462.32865966129</c:v>
                </c:pt>
                <c:pt idx="16">
                  <c:v>118005.47214299478</c:v>
                </c:pt>
                <c:pt idx="17">
                  <c:v>0</c:v>
                </c:pt>
                <c:pt idx="18">
                  <c:v>0</c:v>
                </c:pt>
                <c:pt idx="19">
                  <c:v>0</c:v>
                </c:pt>
                <c:pt idx="20">
                  <c:v>0</c:v>
                </c:pt>
                <c:pt idx="21">
                  <c:v>0</c:v>
                </c:pt>
                <c:pt idx="22">
                  <c:v>0</c:v>
                </c:pt>
              </c:numCache>
            </c:numRef>
          </c:val>
          <c:extLst>
            <c:ext xmlns:c16="http://schemas.microsoft.com/office/drawing/2014/chart" uri="{C3380CC4-5D6E-409C-BE32-E72D297353CC}">
              <c16:uniqueId val="{00000000-FBAE-4B92-A080-E9C3FBD063C0}"/>
            </c:ext>
          </c:extLst>
        </c:ser>
        <c:ser>
          <c:idx val="1"/>
          <c:order val="1"/>
          <c:tx>
            <c:strRef>
              <c:f>'Delivery Tables and Graphs'!$C$60</c:f>
              <c:strCache>
                <c:ptCount val="1"/>
                <c:pt idx="0">
                  <c:v>Non- ABP RECs under contract</c:v>
                </c:pt>
              </c:strCache>
            </c:strRef>
          </c:tx>
          <c:spPr>
            <a:solidFill>
              <a:schemeClr val="accent2"/>
            </a:solidFill>
            <a:ln>
              <a:noFill/>
            </a:ln>
            <a:effectLst/>
          </c:spPr>
          <c:invertIfNegative val="0"/>
          <c:cat>
            <c:strRef>
              <c:f>'Delivery Tables and Graphs'!$A$61:$A$83</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2036-2037</c:v>
                </c:pt>
                <c:pt idx="17">
                  <c:v>2037-2038</c:v>
                </c:pt>
                <c:pt idx="18">
                  <c:v>2038-2039</c:v>
                </c:pt>
                <c:pt idx="19">
                  <c:v>2039-2040</c:v>
                </c:pt>
                <c:pt idx="20">
                  <c:v>2040-2041</c:v>
                </c:pt>
                <c:pt idx="21">
                  <c:v>2041-2042</c:v>
                </c:pt>
                <c:pt idx="22">
                  <c:v>2042-2043</c:v>
                </c:pt>
              </c:strCache>
            </c:strRef>
          </c:cat>
          <c:val>
            <c:numRef>
              <c:f>'Delivery Tables and Graphs'!$C$61:$C$83</c:f>
              <c:numCache>
                <c:formatCode>_(* #,##0_);_(* \(#,##0\);_(* "-"??_);_(@_)</c:formatCode>
                <c:ptCount val="23"/>
                <c:pt idx="0">
                  <c:v>1817421.8606199999</c:v>
                </c:pt>
                <c:pt idx="1">
                  <c:v>3426105.7618233333</c:v>
                </c:pt>
                <c:pt idx="2">
                  <c:v>4128404.6580142165</c:v>
                </c:pt>
                <c:pt idx="3">
                  <c:v>4122883.7347241454</c:v>
                </c:pt>
                <c:pt idx="4">
                  <c:v>4122649.9860505247</c:v>
                </c:pt>
                <c:pt idx="5">
                  <c:v>4122417.4061202724</c:v>
                </c:pt>
                <c:pt idx="6">
                  <c:v>4122185.9890896711</c:v>
                </c:pt>
                <c:pt idx="7">
                  <c:v>4121955.7291442226</c:v>
                </c:pt>
                <c:pt idx="8">
                  <c:v>4121726.6204985012</c:v>
                </c:pt>
                <c:pt idx="9">
                  <c:v>4121498.6573960087</c:v>
                </c:pt>
                <c:pt idx="10">
                  <c:v>4121271.8341090288</c:v>
                </c:pt>
                <c:pt idx="11">
                  <c:v>4121046.1449384838</c:v>
                </c:pt>
                <c:pt idx="12">
                  <c:v>2859096.5842137914</c:v>
                </c:pt>
                <c:pt idx="13">
                  <c:v>2556411.1462927223</c:v>
                </c:pt>
                <c:pt idx="14">
                  <c:v>2556188.8255612589</c:v>
                </c:pt>
                <c:pt idx="15">
                  <c:v>2344947.6164334523</c:v>
                </c:pt>
                <c:pt idx="16">
                  <c:v>43800.513351285183</c:v>
                </c:pt>
                <c:pt idx="17">
                  <c:v>43581.510784528757</c:v>
                </c:pt>
                <c:pt idx="18">
                  <c:v>43363.60323060611</c:v>
                </c:pt>
                <c:pt idx="19">
                  <c:v>43146.785214453084</c:v>
                </c:pt>
                <c:pt idx="20">
                  <c:v>42931.051288380811</c:v>
                </c:pt>
                <c:pt idx="21">
                  <c:v>42716.396031938908</c:v>
                </c:pt>
                <c:pt idx="22">
                  <c:v>42502.814051779213</c:v>
                </c:pt>
              </c:numCache>
            </c:numRef>
          </c:val>
          <c:extLst>
            <c:ext xmlns:c16="http://schemas.microsoft.com/office/drawing/2014/chart" uri="{C3380CC4-5D6E-409C-BE32-E72D297353CC}">
              <c16:uniqueId val="{00000001-FBAE-4B92-A080-E9C3FBD063C0}"/>
            </c:ext>
          </c:extLst>
        </c:ser>
        <c:ser>
          <c:idx val="2"/>
          <c:order val="2"/>
          <c:tx>
            <c:strRef>
              <c:f>'Delivery Tables and Graphs'!$D$60</c:f>
              <c:strCache>
                <c:ptCount val="1"/>
                <c:pt idx="0">
                  <c:v>New ABP RECs</c:v>
                </c:pt>
              </c:strCache>
            </c:strRef>
          </c:tx>
          <c:spPr>
            <a:solidFill>
              <a:schemeClr val="accent1">
                <a:lumMod val="40000"/>
                <a:lumOff val="60000"/>
              </a:schemeClr>
            </a:solidFill>
            <a:ln>
              <a:noFill/>
            </a:ln>
            <a:effectLst/>
          </c:spPr>
          <c:invertIfNegative val="0"/>
          <c:cat>
            <c:strRef>
              <c:f>'Delivery Tables and Graphs'!$A$61:$A$83</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2036-2037</c:v>
                </c:pt>
                <c:pt idx="17">
                  <c:v>2037-2038</c:v>
                </c:pt>
                <c:pt idx="18">
                  <c:v>2038-2039</c:v>
                </c:pt>
                <c:pt idx="19">
                  <c:v>2039-2040</c:v>
                </c:pt>
                <c:pt idx="20">
                  <c:v>2040-2041</c:v>
                </c:pt>
                <c:pt idx="21">
                  <c:v>2041-2042</c:v>
                </c:pt>
                <c:pt idx="22">
                  <c:v>2042-2043</c:v>
                </c:pt>
              </c:strCache>
            </c:strRef>
          </c:cat>
          <c:val>
            <c:numRef>
              <c:f>'Delivery Tables and Graphs'!$D$61:$D$83</c:f>
              <c:numCache>
                <c:formatCode>_(* #,##0_);_(* \(#,##0\);_(* "-"??_);_(@_)</c:formatCode>
                <c:ptCount val="23"/>
                <c:pt idx="0">
                  <c:v>0</c:v>
                </c:pt>
                <c:pt idx="1">
                  <c:v>0</c:v>
                </c:pt>
                <c:pt idx="2">
                  <c:v>845033.35935412708</c:v>
                </c:pt>
                <c:pt idx="3">
                  <c:v>1739212.4783407245</c:v>
                </c:pt>
                <c:pt idx="4">
                  <c:v>2393354.7508154213</c:v>
                </c:pt>
                <c:pt idx="5">
                  <c:v>3044226.3119277451</c:v>
                </c:pt>
                <c:pt idx="6">
                  <c:v>3691843.5152345076</c:v>
                </c:pt>
                <c:pt idx="7">
                  <c:v>4336222.6325247362</c:v>
                </c:pt>
                <c:pt idx="8">
                  <c:v>4977379.8542285133</c:v>
                </c:pt>
                <c:pt idx="9">
                  <c:v>5615331.2898237715</c:v>
                </c:pt>
                <c:pt idx="10">
                  <c:v>6250092.9682410536</c:v>
                </c:pt>
                <c:pt idx="11">
                  <c:v>6881680.8382662497</c:v>
                </c:pt>
                <c:pt idx="12">
                  <c:v>7510110.7689413186</c:v>
                </c:pt>
                <c:pt idx="13">
                  <c:v>7929219.353473939</c:v>
                </c:pt>
                <c:pt idx="14">
                  <c:v>8220992.4241397697</c:v>
                </c:pt>
                <c:pt idx="15">
                  <c:v>8511306.6294522732</c:v>
                </c:pt>
                <c:pt idx="16">
                  <c:v>8800169.2637382112</c:v>
                </c:pt>
                <c:pt idx="17">
                  <c:v>8502807.7008865997</c:v>
                </c:pt>
                <c:pt idx="18">
                  <c:v>8466000.0909358058</c:v>
                </c:pt>
                <c:pt idx="19">
                  <c:v>8438980.5289579928</c:v>
                </c:pt>
                <c:pt idx="20">
                  <c:v>8412096.0647900663</c:v>
                </c:pt>
                <c:pt idx="21">
                  <c:v>8179166.8264539093</c:v>
                </c:pt>
                <c:pt idx="22">
                  <c:v>7628042.0830006097</c:v>
                </c:pt>
              </c:numCache>
            </c:numRef>
          </c:val>
          <c:extLst>
            <c:ext xmlns:c16="http://schemas.microsoft.com/office/drawing/2014/chart" uri="{C3380CC4-5D6E-409C-BE32-E72D297353CC}">
              <c16:uniqueId val="{00000002-FBAE-4B92-A080-E9C3FBD063C0}"/>
            </c:ext>
          </c:extLst>
        </c:ser>
        <c:ser>
          <c:idx val="3"/>
          <c:order val="3"/>
          <c:tx>
            <c:strRef>
              <c:f>'Delivery Tables and Graphs'!$E$60</c:f>
              <c:strCache>
                <c:ptCount val="1"/>
                <c:pt idx="0">
                  <c:v>New Wind, Solar and Brownfield</c:v>
                </c:pt>
              </c:strCache>
            </c:strRef>
          </c:tx>
          <c:spPr>
            <a:solidFill>
              <a:schemeClr val="accent4"/>
            </a:solidFill>
            <a:ln>
              <a:noFill/>
            </a:ln>
            <a:effectLst/>
          </c:spPr>
          <c:invertIfNegative val="0"/>
          <c:cat>
            <c:strRef>
              <c:f>'Delivery Tables and Graphs'!$A$61:$A$83</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2036-2037</c:v>
                </c:pt>
                <c:pt idx="17">
                  <c:v>2037-2038</c:v>
                </c:pt>
                <c:pt idx="18">
                  <c:v>2038-2039</c:v>
                </c:pt>
                <c:pt idx="19">
                  <c:v>2039-2040</c:v>
                </c:pt>
                <c:pt idx="20">
                  <c:v>2040-2041</c:v>
                </c:pt>
                <c:pt idx="21">
                  <c:v>2041-2042</c:v>
                </c:pt>
                <c:pt idx="22">
                  <c:v>2042-2043</c:v>
                </c:pt>
              </c:strCache>
            </c:strRef>
          </c:cat>
          <c:val>
            <c:numRef>
              <c:f>'Delivery Tables and Graphs'!$E$61:$E$83</c:f>
              <c:numCache>
                <c:formatCode>_(* #,##0_);_(* \(#,##0\);_(* "-"??_);_(@_)</c:formatCode>
                <c:ptCount val="23"/>
                <c:pt idx="0">
                  <c:v>0</c:v>
                </c:pt>
                <c:pt idx="1">
                  <c:v>0</c:v>
                </c:pt>
                <c:pt idx="2">
                  <c:v>0</c:v>
                </c:pt>
                <c:pt idx="3">
                  <c:v>0</c:v>
                </c:pt>
                <c:pt idx="4">
                  <c:v>0</c:v>
                </c:pt>
                <c:pt idx="5">
                  <c:v>1745483.3099499999</c:v>
                </c:pt>
                <c:pt idx="6">
                  <c:v>5097836.5972502502</c:v>
                </c:pt>
                <c:pt idx="7">
                  <c:v>7126018.2742639985</c:v>
                </c:pt>
                <c:pt idx="8">
                  <c:v>10461652.480392678</c:v>
                </c:pt>
                <c:pt idx="9">
                  <c:v>13797361.421740716</c:v>
                </c:pt>
                <c:pt idx="10">
                  <c:v>17133144.724632014</c:v>
                </c:pt>
                <c:pt idx="11">
                  <c:v>20469002.017258853</c:v>
                </c:pt>
                <c:pt idx="12">
                  <c:v>23804932.929672558</c:v>
                </c:pt>
                <c:pt idx="13">
                  <c:v>27140937.093774196</c:v>
                </c:pt>
                <c:pt idx="14">
                  <c:v>30477014.143305324</c:v>
                </c:pt>
                <c:pt idx="15">
                  <c:v>33813163.713838793</c:v>
                </c:pt>
                <c:pt idx="16">
                  <c:v>35474094.817769602</c:v>
                </c:pt>
                <c:pt idx="17">
                  <c:v>37135097.719305754</c:v>
                </c:pt>
                <c:pt idx="18">
                  <c:v>38796172.059459232</c:v>
                </c:pt>
                <c:pt idx="19">
                  <c:v>40457317.481036931</c:v>
                </c:pt>
                <c:pt idx="20">
                  <c:v>42118533.628631741</c:v>
                </c:pt>
                <c:pt idx="21">
                  <c:v>43779820.148613594</c:v>
                </c:pt>
                <c:pt idx="22">
                  <c:v>45441176.689120524</c:v>
                </c:pt>
              </c:numCache>
            </c:numRef>
          </c:val>
          <c:extLst>
            <c:ext xmlns:c16="http://schemas.microsoft.com/office/drawing/2014/chart" uri="{C3380CC4-5D6E-409C-BE32-E72D297353CC}">
              <c16:uniqueId val="{00000003-FBAE-4B92-A080-E9C3FBD063C0}"/>
            </c:ext>
          </c:extLst>
        </c:ser>
        <c:dLbls>
          <c:showLegendKey val="0"/>
          <c:showVal val="0"/>
          <c:showCatName val="0"/>
          <c:showSerName val="0"/>
          <c:showPercent val="0"/>
          <c:showBubbleSize val="0"/>
        </c:dLbls>
        <c:gapWidth val="150"/>
        <c:overlap val="100"/>
        <c:axId val="545016392"/>
        <c:axId val="545015736"/>
      </c:barChart>
      <c:catAx>
        <c:axId val="545016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45015736"/>
        <c:crosses val="autoZero"/>
        <c:auto val="1"/>
        <c:lblAlgn val="ctr"/>
        <c:lblOffset val="100"/>
        <c:noMultiLvlLbl val="0"/>
      </c:catAx>
      <c:valAx>
        <c:axId val="5450157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sz="1000" b="1" i="0" baseline="0">
                    <a:effectLst/>
                  </a:rPr>
                  <a:t>Renewable Energy Credits</a:t>
                </a:r>
                <a:endParaRPr lang="en-US" sz="1000">
                  <a:effectLst/>
                </a:endParaRP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45016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MidAm</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'Delivery Tables and Graphs'!$B$88</c:f>
              <c:strCache>
                <c:ptCount val="1"/>
                <c:pt idx="0">
                  <c:v>ABP RECs under contract </c:v>
                </c:pt>
              </c:strCache>
            </c:strRef>
          </c:tx>
          <c:spPr>
            <a:solidFill>
              <a:schemeClr val="accent1"/>
            </a:solidFill>
            <a:ln>
              <a:noFill/>
            </a:ln>
            <a:effectLst/>
          </c:spPr>
          <c:invertIfNegative val="0"/>
          <c:cat>
            <c:strRef>
              <c:f>'Delivery Tables and Graphs'!$A$89:$A$111</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2036-2037</c:v>
                </c:pt>
                <c:pt idx="17">
                  <c:v>2037-2038</c:v>
                </c:pt>
                <c:pt idx="18">
                  <c:v>2038-2039</c:v>
                </c:pt>
                <c:pt idx="19">
                  <c:v>2039-2040</c:v>
                </c:pt>
                <c:pt idx="20">
                  <c:v>2040-2041</c:v>
                </c:pt>
                <c:pt idx="21">
                  <c:v>2041-2042</c:v>
                </c:pt>
                <c:pt idx="22">
                  <c:v>2042-2043</c:v>
                </c:pt>
              </c:strCache>
            </c:strRef>
          </c:cat>
          <c:val>
            <c:numRef>
              <c:f>'Delivery Tables and Graphs'!$B$89:$B$111</c:f>
              <c:numCache>
                <c:formatCode>_(* #,##0_);_(* \(#,##0\);_(* "-"??_);_(@_)</c:formatCode>
                <c:ptCount val="23"/>
                <c:pt idx="0">
                  <c:v>1543.7045560000197</c:v>
                </c:pt>
                <c:pt idx="1">
                  <c:v>5346.7865546666544</c:v>
                </c:pt>
                <c:pt idx="2">
                  <c:v>5923.171645186686</c:v>
                </c:pt>
                <c:pt idx="3">
                  <c:v>5551.538465704095</c:v>
                </c:pt>
                <c:pt idx="4">
                  <c:v>5438.4579105026069</c:v>
                </c:pt>
                <c:pt idx="5">
                  <c:v>5326.4136334521281</c:v>
                </c:pt>
                <c:pt idx="6">
                  <c:v>5214.4049436119003</c:v>
                </c:pt>
                <c:pt idx="7">
                  <c:v>4502.4702387458728</c:v>
                </c:pt>
                <c:pt idx="8">
                  <c:v>4304.6396081782468</c:v>
                </c:pt>
                <c:pt idx="9">
                  <c:v>3903.2291280153136</c:v>
                </c:pt>
                <c:pt idx="10">
                  <c:v>3801.8380993022724</c:v>
                </c:pt>
                <c:pt idx="11">
                  <c:v>5474.7321439732295</c:v>
                </c:pt>
                <c:pt idx="12">
                  <c:v>5468.5254377303982</c:v>
                </c:pt>
                <c:pt idx="13">
                  <c:v>5462.7731260187775</c:v>
                </c:pt>
                <c:pt idx="14">
                  <c:v>5321.6499092957201</c:v>
                </c:pt>
                <c:pt idx="15">
                  <c:v>4511.6037660733273</c:v>
                </c:pt>
                <c:pt idx="16">
                  <c:v>178.76325873999434</c:v>
                </c:pt>
                <c:pt idx="17">
                  <c:v>154.260456</c:v>
                </c:pt>
                <c:pt idx="18">
                  <c:v>0</c:v>
                </c:pt>
                <c:pt idx="19">
                  <c:v>0</c:v>
                </c:pt>
                <c:pt idx="20">
                  <c:v>0</c:v>
                </c:pt>
                <c:pt idx="21">
                  <c:v>0</c:v>
                </c:pt>
                <c:pt idx="22">
                  <c:v>0</c:v>
                </c:pt>
              </c:numCache>
            </c:numRef>
          </c:val>
          <c:extLst>
            <c:ext xmlns:c16="http://schemas.microsoft.com/office/drawing/2014/chart" uri="{C3380CC4-5D6E-409C-BE32-E72D297353CC}">
              <c16:uniqueId val="{00000000-7B3F-4DB7-B5A8-E22C361539A0}"/>
            </c:ext>
          </c:extLst>
        </c:ser>
        <c:ser>
          <c:idx val="1"/>
          <c:order val="1"/>
          <c:tx>
            <c:strRef>
              <c:f>'Delivery Tables and Graphs'!$C$88</c:f>
              <c:strCache>
                <c:ptCount val="1"/>
                <c:pt idx="0">
                  <c:v>Non -ABP RECs under contract</c:v>
                </c:pt>
              </c:strCache>
            </c:strRef>
          </c:tx>
          <c:spPr>
            <a:solidFill>
              <a:schemeClr val="accent2"/>
            </a:solidFill>
            <a:ln>
              <a:noFill/>
            </a:ln>
            <a:effectLst/>
          </c:spPr>
          <c:invertIfNegative val="0"/>
          <c:cat>
            <c:strRef>
              <c:f>'Delivery Tables and Graphs'!$A$89:$A$111</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2036-2037</c:v>
                </c:pt>
                <c:pt idx="17">
                  <c:v>2037-2038</c:v>
                </c:pt>
                <c:pt idx="18">
                  <c:v>2038-2039</c:v>
                </c:pt>
                <c:pt idx="19">
                  <c:v>2039-2040</c:v>
                </c:pt>
                <c:pt idx="20">
                  <c:v>2040-2041</c:v>
                </c:pt>
                <c:pt idx="21">
                  <c:v>2041-2042</c:v>
                </c:pt>
                <c:pt idx="22">
                  <c:v>2042-2043</c:v>
                </c:pt>
              </c:strCache>
            </c:strRef>
          </c:cat>
          <c:val>
            <c:numRef>
              <c:f>'Delivery Tables and Graphs'!$C$89:$C$111</c:f>
              <c:numCache>
                <c:formatCode>_(* #,##0_);_(* \(#,##0\);_(* "-"??_);_(@_)</c:formatCode>
                <c:ptCount val="23"/>
                <c:pt idx="0">
                  <c:v>2547.1036920000001</c:v>
                </c:pt>
                <c:pt idx="1">
                  <c:v>10449.772534</c:v>
                </c:pt>
                <c:pt idx="2">
                  <c:v>13358.000132829999</c:v>
                </c:pt>
                <c:pt idx="3">
                  <c:v>13357.231593665849</c:v>
                </c:pt>
                <c:pt idx="4">
                  <c:v>13356.466897197521</c:v>
                </c:pt>
                <c:pt idx="5">
                  <c:v>13355.706024211533</c:v>
                </c:pt>
                <c:pt idx="6">
                  <c:v>13354.948955590475</c:v>
                </c:pt>
                <c:pt idx="7">
                  <c:v>13354.195672312522</c:v>
                </c:pt>
                <c:pt idx="8">
                  <c:v>13353.44615545096</c:v>
                </c:pt>
                <c:pt idx="9">
                  <c:v>13352.700386173705</c:v>
                </c:pt>
                <c:pt idx="10">
                  <c:v>13351.958345742836</c:v>
                </c:pt>
                <c:pt idx="11">
                  <c:v>13351.220015514122</c:v>
                </c:pt>
                <c:pt idx="12">
                  <c:v>13350.485376936551</c:v>
                </c:pt>
                <c:pt idx="13">
                  <c:v>11930.754411551869</c:v>
                </c:pt>
                <c:pt idx="14">
                  <c:v>11930.02710099411</c:v>
                </c:pt>
                <c:pt idx="15">
                  <c:v>10939.30342698914</c:v>
                </c:pt>
                <c:pt idx="16">
                  <c:v>143.29107135419406</c:v>
                </c:pt>
                <c:pt idx="17">
                  <c:v>142.57461599742308</c:v>
                </c:pt>
                <c:pt idx="18">
                  <c:v>141.86174291743598</c:v>
                </c:pt>
                <c:pt idx="19">
                  <c:v>141.15243420284878</c:v>
                </c:pt>
                <c:pt idx="20">
                  <c:v>140.44667203183454</c:v>
                </c:pt>
                <c:pt idx="21">
                  <c:v>139.74443867167534</c:v>
                </c:pt>
                <c:pt idx="22">
                  <c:v>139.04571647831699</c:v>
                </c:pt>
              </c:numCache>
            </c:numRef>
          </c:val>
          <c:extLst>
            <c:ext xmlns:c16="http://schemas.microsoft.com/office/drawing/2014/chart" uri="{C3380CC4-5D6E-409C-BE32-E72D297353CC}">
              <c16:uniqueId val="{00000001-7B3F-4DB7-B5A8-E22C361539A0}"/>
            </c:ext>
          </c:extLst>
        </c:ser>
        <c:ser>
          <c:idx val="2"/>
          <c:order val="2"/>
          <c:tx>
            <c:strRef>
              <c:f>'Delivery Tables and Graphs'!$D$88</c:f>
              <c:strCache>
                <c:ptCount val="1"/>
                <c:pt idx="0">
                  <c:v>New ABP RECs</c:v>
                </c:pt>
              </c:strCache>
            </c:strRef>
          </c:tx>
          <c:spPr>
            <a:solidFill>
              <a:schemeClr val="accent1">
                <a:lumMod val="40000"/>
                <a:lumOff val="60000"/>
              </a:schemeClr>
            </a:solidFill>
            <a:ln>
              <a:noFill/>
            </a:ln>
            <a:effectLst/>
          </c:spPr>
          <c:invertIfNegative val="0"/>
          <c:cat>
            <c:strRef>
              <c:f>'Delivery Tables and Graphs'!$A$89:$A$111</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2036-2037</c:v>
                </c:pt>
                <c:pt idx="17">
                  <c:v>2037-2038</c:v>
                </c:pt>
                <c:pt idx="18">
                  <c:v>2038-2039</c:v>
                </c:pt>
                <c:pt idx="19">
                  <c:v>2039-2040</c:v>
                </c:pt>
                <c:pt idx="20">
                  <c:v>2040-2041</c:v>
                </c:pt>
                <c:pt idx="21">
                  <c:v>2041-2042</c:v>
                </c:pt>
                <c:pt idx="22">
                  <c:v>2042-2043</c:v>
                </c:pt>
              </c:strCache>
            </c:strRef>
          </c:cat>
          <c:val>
            <c:numRef>
              <c:f>'Delivery Tables and Graphs'!$D$89:$D$111</c:f>
              <c:numCache>
                <c:formatCode>_(* #,##0_);_(* \(#,##0\);_(* "-"??_);_(@_)</c:formatCode>
                <c:ptCount val="23"/>
                <c:pt idx="0">
                  <c:v>0</c:v>
                </c:pt>
                <c:pt idx="1">
                  <c:v>0</c:v>
                </c:pt>
                <c:pt idx="2">
                  <c:v>2764.4821059690535</c:v>
                </c:pt>
                <c:pt idx="3">
                  <c:v>5689.7419748326538</c:v>
                </c:pt>
                <c:pt idx="4">
                  <c:v>7829.7339491097373</c:v>
                </c:pt>
                <c:pt idx="5">
                  <c:v>9959.0259635154362</c:v>
                </c:pt>
                <c:pt idx="6">
                  <c:v>12077.671517849103</c:v>
                </c:pt>
                <c:pt idx="7">
                  <c:v>14185.723844411103</c:v>
                </c:pt>
                <c:pt idx="8">
                  <c:v>16283.235909340294</c:v>
                </c:pt>
                <c:pt idx="9">
                  <c:v>18370.260413944841</c:v>
                </c:pt>
                <c:pt idx="10">
                  <c:v>20446.849796026363</c:v>
                </c:pt>
                <c:pt idx="11">
                  <c:v>22513.056231197475</c:v>
                </c:pt>
                <c:pt idx="12">
                  <c:v>24568.93163419273</c:v>
                </c:pt>
                <c:pt idx="13">
                  <c:v>25940.023283502291</c:v>
                </c:pt>
                <c:pt idx="14">
                  <c:v>26894.543509160398</c:v>
                </c:pt>
                <c:pt idx="15">
                  <c:v>27844.291133690229</c:v>
                </c:pt>
                <c:pt idx="16">
                  <c:v>28789.290020097393</c:v>
                </c:pt>
                <c:pt idx="17">
                  <c:v>27816.487336739923</c:v>
                </c:pt>
                <c:pt idx="18">
                  <c:v>27696.073180368359</c:v>
                </c:pt>
                <c:pt idx="19">
                  <c:v>27607.680107157768</c:v>
                </c:pt>
                <c:pt idx="20">
                  <c:v>27519.728999313214</c:v>
                </c:pt>
                <c:pt idx="21">
                  <c:v>26757.713270337175</c:v>
                </c:pt>
                <c:pt idx="22">
                  <c:v>24954.737713729653</c:v>
                </c:pt>
              </c:numCache>
            </c:numRef>
          </c:val>
          <c:extLst>
            <c:ext xmlns:c16="http://schemas.microsoft.com/office/drawing/2014/chart" uri="{C3380CC4-5D6E-409C-BE32-E72D297353CC}">
              <c16:uniqueId val="{00000002-7B3F-4DB7-B5A8-E22C361539A0}"/>
            </c:ext>
          </c:extLst>
        </c:ser>
        <c:ser>
          <c:idx val="3"/>
          <c:order val="3"/>
          <c:tx>
            <c:strRef>
              <c:f>'Delivery Tables and Graphs'!$E$88</c:f>
              <c:strCache>
                <c:ptCount val="1"/>
                <c:pt idx="0">
                  <c:v>New Wind, Solar and Brownfield</c:v>
                </c:pt>
              </c:strCache>
            </c:strRef>
          </c:tx>
          <c:spPr>
            <a:solidFill>
              <a:schemeClr val="accent4"/>
            </a:solidFill>
            <a:ln>
              <a:noFill/>
            </a:ln>
            <a:effectLst/>
          </c:spPr>
          <c:invertIfNegative val="0"/>
          <c:cat>
            <c:strRef>
              <c:f>'Delivery Tables and Graphs'!$A$89:$A$111</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2036-2037</c:v>
                </c:pt>
                <c:pt idx="17">
                  <c:v>2037-2038</c:v>
                </c:pt>
                <c:pt idx="18">
                  <c:v>2038-2039</c:v>
                </c:pt>
                <c:pt idx="19">
                  <c:v>2039-2040</c:v>
                </c:pt>
                <c:pt idx="20">
                  <c:v>2040-2041</c:v>
                </c:pt>
                <c:pt idx="21">
                  <c:v>2041-2042</c:v>
                </c:pt>
                <c:pt idx="22">
                  <c:v>2042-2043</c:v>
                </c:pt>
              </c:strCache>
            </c:strRef>
          </c:cat>
          <c:val>
            <c:numRef>
              <c:f>'Delivery Tables and Graphs'!$E$89:$E$111</c:f>
              <c:numCache>
                <c:formatCode>_(* #,##0_);_(* \(#,##0\);_(* "-"??_);_(@_)</c:formatCode>
                <c:ptCount val="23"/>
                <c:pt idx="0">
                  <c:v>0</c:v>
                </c:pt>
                <c:pt idx="1">
                  <c:v>0</c:v>
                </c:pt>
                <c:pt idx="2">
                  <c:v>0</c:v>
                </c:pt>
                <c:pt idx="3">
                  <c:v>0</c:v>
                </c:pt>
                <c:pt idx="4">
                  <c:v>0</c:v>
                </c:pt>
                <c:pt idx="5">
                  <c:v>5710.2566699999998</c:v>
                </c:pt>
                <c:pt idx="6">
                  <c:v>16677.303796650001</c:v>
                </c:pt>
                <c:pt idx="7">
                  <c:v>23312.39327766675</c:v>
                </c:pt>
                <c:pt idx="8">
                  <c:v>34224.744811278419</c:v>
                </c:pt>
                <c:pt idx="9">
                  <c:v>45137.340837222022</c:v>
                </c:pt>
                <c:pt idx="10">
                  <c:v>56050.180133035916</c:v>
                </c:pt>
                <c:pt idx="11">
                  <c:v>66963.261482370741</c:v>
                </c:pt>
                <c:pt idx="12">
                  <c:v>77876.583674958893</c:v>
                </c:pt>
                <c:pt idx="13">
                  <c:v>88790.145506584086</c:v>
                </c:pt>
                <c:pt idx="14">
                  <c:v>99703.945779051181</c:v>
                </c:pt>
                <c:pt idx="15">
                  <c:v>110617.98330015592</c:v>
                </c:pt>
                <c:pt idx="16">
                  <c:v>116051.63188365514</c:v>
                </c:pt>
                <c:pt idx="17">
                  <c:v>121485.51534923684</c:v>
                </c:pt>
                <c:pt idx="18">
                  <c:v>126919.63252249068</c:v>
                </c:pt>
                <c:pt idx="19">
                  <c:v>132353.98223487823</c:v>
                </c:pt>
                <c:pt idx="20">
                  <c:v>137788.56332370383</c:v>
                </c:pt>
                <c:pt idx="21">
                  <c:v>143223.37463208532</c:v>
                </c:pt>
                <c:pt idx="22">
                  <c:v>148658.4150089249</c:v>
                </c:pt>
              </c:numCache>
            </c:numRef>
          </c:val>
          <c:extLst>
            <c:ext xmlns:c16="http://schemas.microsoft.com/office/drawing/2014/chart" uri="{C3380CC4-5D6E-409C-BE32-E72D297353CC}">
              <c16:uniqueId val="{00000003-7B3F-4DB7-B5A8-E22C361539A0}"/>
            </c:ext>
          </c:extLst>
        </c:ser>
        <c:dLbls>
          <c:showLegendKey val="0"/>
          <c:showVal val="0"/>
          <c:showCatName val="0"/>
          <c:showSerName val="0"/>
          <c:showPercent val="0"/>
          <c:showBubbleSize val="0"/>
        </c:dLbls>
        <c:gapWidth val="150"/>
        <c:overlap val="100"/>
        <c:axId val="566440632"/>
        <c:axId val="566441288"/>
      </c:barChart>
      <c:catAx>
        <c:axId val="566440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66441288"/>
        <c:crosses val="autoZero"/>
        <c:auto val="1"/>
        <c:lblAlgn val="ctr"/>
        <c:lblOffset val="100"/>
        <c:noMultiLvlLbl val="0"/>
      </c:catAx>
      <c:valAx>
        <c:axId val="566441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sz="1000" b="1" i="0" baseline="0">
                    <a:effectLst/>
                  </a:rPr>
                  <a:t>Renewable Energy Credits</a:t>
                </a:r>
                <a:endParaRPr lang="en-US" sz="1000">
                  <a:effectLst/>
                </a:endParaRP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66440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Reopening REC Delivery</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'Reopening Summary'!$A$2</c:f>
              <c:strCache>
                <c:ptCount val="1"/>
                <c:pt idx="0">
                  <c:v>SDG &lt; 25 kW </c:v>
                </c:pt>
              </c:strCache>
            </c:strRef>
          </c:tx>
          <c:spPr>
            <a:solidFill>
              <a:schemeClr val="accent1"/>
            </a:solidFill>
            <a:ln>
              <a:noFill/>
            </a:ln>
            <a:effectLst/>
          </c:spPr>
          <c:invertIfNegative val="0"/>
          <c:cat>
            <c:numRef>
              <c:f>'Reopening Summary'!$B$1:$V$1</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'Reopening Summary'!$B$2:$V$2</c:f>
              <c:numCache>
                <c:formatCode>_(* #,##0_);_(* \(#,##0\);_(* "-"??_);_(@_)</c:formatCode>
                <c:ptCount val="21"/>
                <c:pt idx="0">
                  <c:v>141374.73563951999</c:v>
                </c:pt>
                <c:pt idx="1">
                  <c:v>140667.8619613224</c:v>
                </c:pt>
                <c:pt idx="2">
                  <c:v>139964.52265151578</c:v>
                </c:pt>
                <c:pt idx="3">
                  <c:v>139264.70003825822</c:v>
                </c:pt>
                <c:pt idx="4">
                  <c:v>138568.37653806692</c:v>
                </c:pt>
                <c:pt idx="5">
                  <c:v>137875.5346553766</c:v>
                </c:pt>
                <c:pt idx="6">
                  <c:v>137186.1569820997</c:v>
                </c:pt>
                <c:pt idx="7">
                  <c:v>136500.22619718921</c:v>
                </c:pt>
                <c:pt idx="8">
                  <c:v>135817.72506620327</c:v>
                </c:pt>
                <c:pt idx="9">
                  <c:v>135138.63644087224</c:v>
                </c:pt>
                <c:pt idx="10">
                  <c:v>134462.94325866789</c:v>
                </c:pt>
                <c:pt idx="11">
                  <c:v>133790.62854237453</c:v>
                </c:pt>
                <c:pt idx="12">
                  <c:v>133121.67539966266</c:v>
                </c:pt>
                <c:pt idx="13">
                  <c:v>132456.06702266436</c:v>
                </c:pt>
                <c:pt idx="14">
                  <c:v>131793.78668755104</c:v>
                </c:pt>
                <c:pt idx="15">
                  <c:v>0</c:v>
                </c:pt>
                <c:pt idx="16">
                  <c:v>0</c:v>
                </c:pt>
                <c:pt idx="17">
                  <c:v>0</c:v>
                </c:pt>
                <c:pt idx="18">
                  <c:v>0</c:v>
                </c:pt>
                <c:pt idx="19">
                  <c:v>0</c:v>
                </c:pt>
                <c:pt idx="20">
                  <c:v>0</c:v>
                </c:pt>
              </c:numCache>
            </c:numRef>
          </c:val>
          <c:extLst>
            <c:ext xmlns:c16="http://schemas.microsoft.com/office/drawing/2014/chart" uri="{C3380CC4-5D6E-409C-BE32-E72D297353CC}">
              <c16:uniqueId val="{00000000-07B0-4E42-9025-F6A77459A515}"/>
            </c:ext>
          </c:extLst>
        </c:ser>
        <c:ser>
          <c:idx val="1"/>
          <c:order val="1"/>
          <c:tx>
            <c:strRef>
              <c:f>'Reopening Summary'!$A$3</c:f>
              <c:strCache>
                <c:ptCount val="1"/>
                <c:pt idx="0">
                  <c:v>LDG &gt; 25 - 5000kW</c:v>
                </c:pt>
              </c:strCache>
            </c:strRef>
          </c:tx>
          <c:spPr>
            <a:solidFill>
              <a:schemeClr val="accent2"/>
            </a:solidFill>
            <a:ln>
              <a:noFill/>
            </a:ln>
            <a:effectLst/>
          </c:spPr>
          <c:invertIfNegative val="0"/>
          <c:cat>
            <c:numRef>
              <c:f>'Reopening Summary'!$B$1:$V$1</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'Reopening Summary'!$B$3:$V$3</c:f>
              <c:numCache>
                <c:formatCode>_(* #,##0_);_(* \(#,##0\);_(* "-"??_);_(@_)</c:formatCode>
                <c:ptCount val="21"/>
                <c:pt idx="0">
                  <c:v>128595.79450038407</c:v>
                </c:pt>
                <c:pt idx="1">
                  <c:v>127952.81552788217</c:v>
                </c:pt>
                <c:pt idx="2">
                  <c:v>127313.05145024274</c:v>
                </c:pt>
                <c:pt idx="3">
                  <c:v>126676.48619299152</c:v>
                </c:pt>
                <c:pt idx="4">
                  <c:v>126043.10376202657</c:v>
                </c:pt>
                <c:pt idx="5">
                  <c:v>125412.88824321644</c:v>
                </c:pt>
                <c:pt idx="6">
                  <c:v>124785.82380200036</c:v>
                </c:pt>
                <c:pt idx="7">
                  <c:v>124161.89468299036</c:v>
                </c:pt>
                <c:pt idx="8">
                  <c:v>123541.08520957539</c:v>
                </c:pt>
                <c:pt idx="9">
                  <c:v>122923.37978352752</c:v>
                </c:pt>
                <c:pt idx="10">
                  <c:v>122308.76288460988</c:v>
                </c:pt>
                <c:pt idx="11">
                  <c:v>121697.21907018684</c:v>
                </c:pt>
                <c:pt idx="12">
                  <c:v>121088.7329748359</c:v>
                </c:pt>
                <c:pt idx="13">
                  <c:v>120483.28930996171</c:v>
                </c:pt>
                <c:pt idx="14">
                  <c:v>119880.8728634119</c:v>
                </c:pt>
                <c:pt idx="15">
                  <c:v>0</c:v>
                </c:pt>
                <c:pt idx="16">
                  <c:v>0</c:v>
                </c:pt>
                <c:pt idx="17">
                  <c:v>0</c:v>
                </c:pt>
                <c:pt idx="18">
                  <c:v>0</c:v>
                </c:pt>
                <c:pt idx="19">
                  <c:v>0</c:v>
                </c:pt>
                <c:pt idx="20">
                  <c:v>0</c:v>
                </c:pt>
              </c:numCache>
            </c:numRef>
          </c:val>
          <c:extLst>
            <c:ext xmlns:c16="http://schemas.microsoft.com/office/drawing/2014/chart" uri="{C3380CC4-5D6E-409C-BE32-E72D297353CC}">
              <c16:uniqueId val="{00000001-07B0-4E42-9025-F6A77459A515}"/>
            </c:ext>
          </c:extLst>
        </c:ser>
        <c:ser>
          <c:idx val="2"/>
          <c:order val="2"/>
          <c:tx>
            <c:strRef>
              <c:f>'Reopening Summary'!$A$4</c:f>
              <c:strCache>
                <c:ptCount val="1"/>
                <c:pt idx="0">
                  <c:v>Traditional Community Solar</c:v>
                </c:pt>
              </c:strCache>
            </c:strRef>
          </c:tx>
          <c:spPr>
            <a:solidFill>
              <a:schemeClr val="accent3"/>
            </a:solidFill>
            <a:ln>
              <a:noFill/>
            </a:ln>
            <a:effectLst/>
          </c:spPr>
          <c:invertIfNegative val="0"/>
          <c:cat>
            <c:numRef>
              <c:f>'Reopening Summary'!$B$1:$V$1</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'Reopening Summary'!$B$4:$V$4</c:f>
              <c:numCache>
                <c:formatCode>_(* #,##0_);_(* \(#,##0\);_(* "-"??_);_(@_)</c:formatCode>
                <c:ptCount val="21"/>
                <c:pt idx="0">
                  <c:v>0</c:v>
                </c:pt>
                <c:pt idx="1">
                  <c:v>370263.3</c:v>
                </c:pt>
                <c:pt idx="2">
                  <c:v>368411.98349999997</c:v>
                </c:pt>
                <c:pt idx="3">
                  <c:v>366569.92358249996</c:v>
                </c:pt>
                <c:pt idx="4">
                  <c:v>364737.07396458747</c:v>
                </c:pt>
                <c:pt idx="5">
                  <c:v>362913.38859476452</c:v>
                </c:pt>
                <c:pt idx="6">
                  <c:v>361098.8216517907</c:v>
                </c:pt>
                <c:pt idx="7">
                  <c:v>359293.32754353178</c:v>
                </c:pt>
                <c:pt idx="8">
                  <c:v>357496.8609058141</c:v>
                </c:pt>
                <c:pt idx="9">
                  <c:v>355709.37660128501</c:v>
                </c:pt>
                <c:pt idx="10">
                  <c:v>353930.8297182786</c:v>
                </c:pt>
                <c:pt idx="11">
                  <c:v>352161.17556968716</c:v>
                </c:pt>
                <c:pt idx="12">
                  <c:v>350400.36969183874</c:v>
                </c:pt>
                <c:pt idx="13">
                  <c:v>348648.36784337956</c:v>
                </c:pt>
                <c:pt idx="14">
                  <c:v>346905.12600416265</c:v>
                </c:pt>
                <c:pt idx="15">
                  <c:v>345170.60037414182</c:v>
                </c:pt>
                <c:pt idx="16">
                  <c:v>343444.74737227114</c:v>
                </c:pt>
                <c:pt idx="17">
                  <c:v>341727.52363540977</c:v>
                </c:pt>
                <c:pt idx="18">
                  <c:v>340018.88601723273</c:v>
                </c:pt>
                <c:pt idx="19">
                  <c:v>338318.79158714658</c:v>
                </c:pt>
                <c:pt idx="20">
                  <c:v>336627.19762921083</c:v>
                </c:pt>
              </c:numCache>
            </c:numRef>
          </c:val>
          <c:extLst>
            <c:ext xmlns:c16="http://schemas.microsoft.com/office/drawing/2014/chart" uri="{C3380CC4-5D6E-409C-BE32-E72D297353CC}">
              <c16:uniqueId val="{00000002-07B0-4E42-9025-F6A77459A515}"/>
            </c:ext>
          </c:extLst>
        </c:ser>
        <c:ser>
          <c:idx val="3"/>
          <c:order val="3"/>
          <c:tx>
            <c:strRef>
              <c:f>'Reopening Summary'!$A$5</c:f>
              <c:strCache>
                <c:ptCount val="1"/>
                <c:pt idx="0">
                  <c:v>Public Schools</c:v>
                </c:pt>
              </c:strCache>
            </c:strRef>
          </c:tx>
          <c:spPr>
            <a:solidFill>
              <a:schemeClr val="accent4"/>
            </a:solidFill>
            <a:ln>
              <a:noFill/>
            </a:ln>
            <a:effectLst/>
          </c:spPr>
          <c:invertIfNegative val="0"/>
          <c:cat>
            <c:numRef>
              <c:f>'Reopening Summary'!$B$1:$V$1</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'Reopening Summary'!$B$5:$V$5</c:f>
              <c:numCache>
                <c:formatCode>_(* #,##0_);_(* \(#,##0\);_(* "-"??_);_(@_)</c:formatCode>
                <c:ptCount val="21"/>
                <c:pt idx="0">
                  <c:v>962.68457999999987</c:v>
                </c:pt>
                <c:pt idx="1">
                  <c:v>957.87115709999989</c:v>
                </c:pt>
                <c:pt idx="2">
                  <c:v>953.0818013144999</c:v>
                </c:pt>
                <c:pt idx="3">
                  <c:v>948.31639230792734</c:v>
                </c:pt>
                <c:pt idx="4">
                  <c:v>943.57481034638784</c:v>
                </c:pt>
                <c:pt idx="5">
                  <c:v>938.85693629465584</c:v>
                </c:pt>
                <c:pt idx="6">
                  <c:v>934.16265161318245</c:v>
                </c:pt>
                <c:pt idx="7">
                  <c:v>929.49183835511656</c:v>
                </c:pt>
                <c:pt idx="8">
                  <c:v>924.84437916334093</c:v>
                </c:pt>
                <c:pt idx="9">
                  <c:v>920.22015726752431</c:v>
                </c:pt>
                <c:pt idx="10">
                  <c:v>915.61905648118682</c:v>
                </c:pt>
                <c:pt idx="11">
                  <c:v>911.04096119878079</c:v>
                </c:pt>
                <c:pt idx="12">
                  <c:v>906.48575639278693</c:v>
                </c:pt>
                <c:pt idx="13">
                  <c:v>901.95332761082295</c:v>
                </c:pt>
                <c:pt idx="14">
                  <c:v>897.44356097276886</c:v>
                </c:pt>
                <c:pt idx="15">
                  <c:v>892.95634316790506</c:v>
                </c:pt>
                <c:pt idx="16">
                  <c:v>888.49156145206541</c:v>
                </c:pt>
                <c:pt idx="17">
                  <c:v>884.04910364480509</c:v>
                </c:pt>
                <c:pt idx="18">
                  <c:v>879.62885812658124</c:v>
                </c:pt>
                <c:pt idx="19">
                  <c:v>875.23071383594834</c:v>
                </c:pt>
                <c:pt idx="20">
                  <c:v>0</c:v>
                </c:pt>
              </c:numCache>
            </c:numRef>
          </c:val>
          <c:extLst>
            <c:ext xmlns:c16="http://schemas.microsoft.com/office/drawing/2014/chart" uri="{C3380CC4-5D6E-409C-BE32-E72D297353CC}">
              <c16:uniqueId val="{00000003-07B0-4E42-9025-F6A77459A515}"/>
            </c:ext>
          </c:extLst>
        </c:ser>
        <c:ser>
          <c:idx val="4"/>
          <c:order val="4"/>
          <c:tx>
            <c:strRef>
              <c:f>'Reopening Summary'!$A$6</c:f>
              <c:strCache>
                <c:ptCount val="1"/>
                <c:pt idx="0">
                  <c:v>Community Driven Community Solar</c:v>
                </c:pt>
              </c:strCache>
            </c:strRef>
          </c:tx>
          <c:spPr>
            <a:solidFill>
              <a:schemeClr val="accent5"/>
            </a:solidFill>
            <a:ln>
              <a:noFill/>
            </a:ln>
            <a:effectLst/>
          </c:spPr>
          <c:invertIfNegative val="0"/>
          <c:cat>
            <c:numRef>
              <c:f>'Reopening Summary'!$B$1:$V$1</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'Reopening Summary'!$B$6:$V$6</c:f>
              <c:numCache>
                <c:formatCode>_(* #,##0_);_(* \(#,##0\);_(* "-"??_);_(@_)</c:formatCode>
                <c:ptCount val="21"/>
                <c:pt idx="0">
                  <c:v>0</c:v>
                </c:pt>
                <c:pt idx="1">
                  <c:v>4443.1596</c:v>
                </c:pt>
                <c:pt idx="2">
                  <c:v>4420.9438019999998</c:v>
                </c:pt>
                <c:pt idx="3">
                  <c:v>4398.83908299</c:v>
                </c:pt>
                <c:pt idx="4">
                  <c:v>4376.8448875750501</c:v>
                </c:pt>
                <c:pt idx="5">
                  <c:v>4354.9606631371744</c:v>
                </c:pt>
                <c:pt idx="6">
                  <c:v>4333.1858598214885</c:v>
                </c:pt>
                <c:pt idx="7">
                  <c:v>4311.5199305223814</c:v>
                </c:pt>
                <c:pt idx="8">
                  <c:v>4289.9623308697692</c:v>
                </c:pt>
                <c:pt idx="9">
                  <c:v>4268.5125192154201</c:v>
                </c:pt>
                <c:pt idx="10">
                  <c:v>4247.1699566193429</c:v>
                </c:pt>
                <c:pt idx="11">
                  <c:v>4225.9341068362464</c:v>
                </c:pt>
                <c:pt idx="12">
                  <c:v>4204.8044363020654</c:v>
                </c:pt>
                <c:pt idx="13">
                  <c:v>4183.7804141205552</c:v>
                </c:pt>
                <c:pt idx="14">
                  <c:v>4162.8615120499526</c:v>
                </c:pt>
                <c:pt idx="15">
                  <c:v>4142.0472044897024</c:v>
                </c:pt>
                <c:pt idx="16">
                  <c:v>0</c:v>
                </c:pt>
                <c:pt idx="17">
                  <c:v>0</c:v>
                </c:pt>
                <c:pt idx="18">
                  <c:v>0</c:v>
                </c:pt>
                <c:pt idx="19">
                  <c:v>0</c:v>
                </c:pt>
                <c:pt idx="20">
                  <c:v>0</c:v>
                </c:pt>
              </c:numCache>
            </c:numRef>
          </c:val>
          <c:extLst>
            <c:ext xmlns:c16="http://schemas.microsoft.com/office/drawing/2014/chart" uri="{C3380CC4-5D6E-409C-BE32-E72D297353CC}">
              <c16:uniqueId val="{00000004-07B0-4E42-9025-F6A77459A515}"/>
            </c:ext>
          </c:extLst>
        </c:ser>
        <c:ser>
          <c:idx val="5"/>
          <c:order val="5"/>
          <c:tx>
            <c:strRef>
              <c:f>'Reopening Summary'!$A$7</c:f>
              <c:strCache>
                <c:ptCount val="1"/>
                <c:pt idx="0">
                  <c:v>Equity Eligible Contractor</c:v>
                </c:pt>
              </c:strCache>
            </c:strRef>
          </c:tx>
          <c:spPr>
            <a:solidFill>
              <a:schemeClr val="accent6"/>
            </a:solidFill>
            <a:ln>
              <a:noFill/>
            </a:ln>
            <a:effectLst/>
          </c:spPr>
          <c:invertIfNegative val="0"/>
          <c:cat>
            <c:numRef>
              <c:f>'Reopening Summary'!$B$1:$V$1</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'Reopening Summary'!$B$7:$V$7</c:f>
              <c:numCache>
                <c:formatCode>_(* #,##0_);_(* \(#,##0\);_(* "-"??_);_(@_)</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5-07B0-4E42-9025-F6A77459A515}"/>
            </c:ext>
          </c:extLst>
        </c:ser>
        <c:ser>
          <c:idx val="6"/>
          <c:order val="6"/>
          <c:tx>
            <c:strRef>
              <c:f>'Reopening Summary'!$A$8</c:f>
              <c:strCache>
                <c:ptCount val="1"/>
                <c:pt idx="0">
                  <c:v>Utility Wind</c:v>
                </c:pt>
              </c:strCache>
            </c:strRef>
          </c:tx>
          <c:spPr>
            <a:solidFill>
              <a:schemeClr val="accent1">
                <a:lumMod val="60000"/>
              </a:schemeClr>
            </a:solidFill>
            <a:ln>
              <a:noFill/>
            </a:ln>
            <a:effectLst/>
          </c:spPr>
          <c:invertIfNegative val="0"/>
          <c:cat>
            <c:numRef>
              <c:f>'Reopening Summary'!$B$1:$V$1</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'Reopening Summary'!$B$8:$V$8</c:f>
              <c:numCache>
                <c:formatCode>_(* #,##0_);_(* \(#,##0\);_(* "-"??_);_(@_)</c:formatCode>
                <c:ptCount val="21"/>
                <c:pt idx="0">
                  <c:v>0</c:v>
                </c:pt>
                <c:pt idx="1">
                  <c:v>0</c:v>
                </c:pt>
                <c:pt idx="2">
                  <c:v>0</c:v>
                </c:pt>
                <c:pt idx="3">
                  <c:v>460000</c:v>
                </c:pt>
                <c:pt idx="4">
                  <c:v>460000</c:v>
                </c:pt>
                <c:pt idx="5">
                  <c:v>460000</c:v>
                </c:pt>
                <c:pt idx="6">
                  <c:v>460000</c:v>
                </c:pt>
                <c:pt idx="7">
                  <c:v>460000</c:v>
                </c:pt>
                <c:pt idx="8">
                  <c:v>460000</c:v>
                </c:pt>
                <c:pt idx="9">
                  <c:v>460000</c:v>
                </c:pt>
                <c:pt idx="10">
                  <c:v>460000</c:v>
                </c:pt>
                <c:pt idx="11">
                  <c:v>460000</c:v>
                </c:pt>
                <c:pt idx="12">
                  <c:v>460000</c:v>
                </c:pt>
                <c:pt idx="13">
                  <c:v>460000</c:v>
                </c:pt>
                <c:pt idx="14">
                  <c:v>460000</c:v>
                </c:pt>
                <c:pt idx="15">
                  <c:v>460000</c:v>
                </c:pt>
                <c:pt idx="16">
                  <c:v>460000</c:v>
                </c:pt>
                <c:pt idx="17">
                  <c:v>460000</c:v>
                </c:pt>
                <c:pt idx="18">
                  <c:v>460000</c:v>
                </c:pt>
                <c:pt idx="19">
                  <c:v>460000</c:v>
                </c:pt>
                <c:pt idx="20">
                  <c:v>460000</c:v>
                </c:pt>
              </c:numCache>
            </c:numRef>
          </c:val>
          <c:extLst>
            <c:ext xmlns:c16="http://schemas.microsoft.com/office/drawing/2014/chart" uri="{C3380CC4-5D6E-409C-BE32-E72D297353CC}">
              <c16:uniqueId val="{00000006-07B0-4E42-9025-F6A77459A515}"/>
            </c:ext>
          </c:extLst>
        </c:ser>
        <c:ser>
          <c:idx val="7"/>
          <c:order val="7"/>
          <c:tx>
            <c:strRef>
              <c:f>'Reopening Summary'!$A$9</c:f>
              <c:strCache>
                <c:ptCount val="1"/>
                <c:pt idx="0">
                  <c:v>Utility Solar</c:v>
                </c:pt>
              </c:strCache>
            </c:strRef>
          </c:tx>
          <c:spPr>
            <a:solidFill>
              <a:schemeClr val="accent2">
                <a:lumMod val="60000"/>
              </a:schemeClr>
            </a:solidFill>
            <a:ln>
              <a:noFill/>
            </a:ln>
            <a:effectLst/>
          </c:spPr>
          <c:invertIfNegative val="0"/>
          <c:cat>
            <c:numRef>
              <c:f>'Reopening Summary'!$B$1:$V$1</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'Reopening Summary'!$B$9:$V$9</c:f>
              <c:numCache>
                <c:formatCode>_(* #,##0_);_(* \(#,##0\);_(* "-"??_);_(@_)</c:formatCode>
                <c:ptCount val="21"/>
                <c:pt idx="0">
                  <c:v>0</c:v>
                </c:pt>
                <c:pt idx="1">
                  <c:v>0</c:v>
                </c:pt>
                <c:pt idx="2">
                  <c:v>0</c:v>
                </c:pt>
                <c:pt idx="3">
                  <c:v>948091</c:v>
                </c:pt>
                <c:pt idx="4">
                  <c:v>943350.54500000004</c:v>
                </c:pt>
                <c:pt idx="5">
                  <c:v>938633.79227500001</c:v>
                </c:pt>
                <c:pt idx="6">
                  <c:v>933940.62331362499</c:v>
                </c:pt>
                <c:pt idx="7">
                  <c:v>929270.92019705684</c:v>
                </c:pt>
                <c:pt idx="8">
                  <c:v>924624.56559607154</c:v>
                </c:pt>
                <c:pt idx="9">
                  <c:v>920001.44276809122</c:v>
                </c:pt>
                <c:pt idx="10">
                  <c:v>915401.43555425073</c:v>
                </c:pt>
                <c:pt idx="11">
                  <c:v>910824.42837647942</c:v>
                </c:pt>
                <c:pt idx="12">
                  <c:v>906270.306234597</c:v>
                </c:pt>
                <c:pt idx="13">
                  <c:v>901738.95470342401</c:v>
                </c:pt>
                <c:pt idx="14">
                  <c:v>897230.25992990693</c:v>
                </c:pt>
                <c:pt idx="15">
                  <c:v>892744.10863025743</c:v>
                </c:pt>
                <c:pt idx="16">
                  <c:v>888280.38808710617</c:v>
                </c:pt>
                <c:pt idx="17">
                  <c:v>883838.98614667065</c:v>
                </c:pt>
                <c:pt idx="18">
                  <c:v>879419.79121593724</c:v>
                </c:pt>
                <c:pt idx="19">
                  <c:v>875022.69225985755</c:v>
                </c:pt>
                <c:pt idx="20">
                  <c:v>870647.57879855821</c:v>
                </c:pt>
              </c:numCache>
            </c:numRef>
          </c:val>
          <c:extLst>
            <c:ext xmlns:c16="http://schemas.microsoft.com/office/drawing/2014/chart" uri="{C3380CC4-5D6E-409C-BE32-E72D297353CC}">
              <c16:uniqueId val="{00000007-07B0-4E42-9025-F6A77459A515}"/>
            </c:ext>
          </c:extLst>
        </c:ser>
        <c:ser>
          <c:idx val="8"/>
          <c:order val="8"/>
          <c:tx>
            <c:strRef>
              <c:f>'Reopening Summary'!$A$10</c:f>
              <c:strCache>
                <c:ptCount val="1"/>
                <c:pt idx="0">
                  <c:v>Brownfield</c:v>
                </c:pt>
              </c:strCache>
            </c:strRef>
          </c:tx>
          <c:spPr>
            <a:solidFill>
              <a:schemeClr val="accent3">
                <a:lumMod val="60000"/>
              </a:schemeClr>
            </a:solidFill>
            <a:ln>
              <a:noFill/>
            </a:ln>
            <a:effectLst/>
          </c:spPr>
          <c:invertIfNegative val="0"/>
          <c:cat>
            <c:numRef>
              <c:f>'Reopening Summary'!$B$1:$V$1</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'Reopening Summary'!$B$10:$V$10</c:f>
              <c:numCache>
                <c:formatCode>_(* #,##0_);_(* \(#,##0\);_(* "-"??_);_(@_)</c:formatCode>
                <c:ptCount val="21"/>
                <c:pt idx="0">
                  <c:v>0</c:v>
                </c:pt>
                <c:pt idx="1">
                  <c:v>0</c:v>
                </c:pt>
                <c:pt idx="2">
                  <c:v>0</c:v>
                </c:pt>
                <c:pt idx="3">
                  <c:v>8493</c:v>
                </c:pt>
                <c:pt idx="4">
                  <c:v>8450.5349999999999</c:v>
                </c:pt>
                <c:pt idx="5">
                  <c:v>8408.2823250000001</c:v>
                </c:pt>
                <c:pt idx="6">
                  <c:v>8366.2409133750007</c:v>
                </c:pt>
                <c:pt idx="7">
                  <c:v>8324.4097088081253</c:v>
                </c:pt>
                <c:pt idx="8">
                  <c:v>8282.7876602640845</c:v>
                </c:pt>
                <c:pt idx="9">
                  <c:v>8241.3737219627637</c:v>
                </c:pt>
                <c:pt idx="10">
                  <c:v>8200.1668533529501</c:v>
                </c:pt>
                <c:pt idx="11">
                  <c:v>8159.1660190861849</c:v>
                </c:pt>
                <c:pt idx="12">
                  <c:v>8118.3701889907543</c:v>
                </c:pt>
                <c:pt idx="13">
                  <c:v>8077.7783380458004</c:v>
                </c:pt>
                <c:pt idx="14">
                  <c:v>8037.3894463555716</c:v>
                </c:pt>
                <c:pt idx="15">
                  <c:v>7997.202499123794</c:v>
                </c:pt>
                <c:pt idx="16">
                  <c:v>7957.2164866281746</c:v>
                </c:pt>
                <c:pt idx="17">
                  <c:v>7917.4304041950336</c:v>
                </c:pt>
                <c:pt idx="18">
                  <c:v>7877.8432521740588</c:v>
                </c:pt>
                <c:pt idx="19">
                  <c:v>7838.4540359131888</c:v>
                </c:pt>
                <c:pt idx="20">
                  <c:v>7799.2617657336232</c:v>
                </c:pt>
              </c:numCache>
            </c:numRef>
          </c:val>
          <c:extLst>
            <c:ext xmlns:c16="http://schemas.microsoft.com/office/drawing/2014/chart" uri="{C3380CC4-5D6E-409C-BE32-E72D297353CC}">
              <c16:uniqueId val="{00000008-07B0-4E42-9025-F6A77459A515}"/>
            </c:ext>
          </c:extLst>
        </c:ser>
        <c:dLbls>
          <c:showLegendKey val="0"/>
          <c:showVal val="0"/>
          <c:showCatName val="0"/>
          <c:showSerName val="0"/>
          <c:showPercent val="0"/>
          <c:showBubbleSize val="0"/>
        </c:dLbls>
        <c:gapWidth val="150"/>
        <c:overlap val="100"/>
        <c:axId val="653028424"/>
        <c:axId val="653033016"/>
      </c:barChart>
      <c:catAx>
        <c:axId val="653028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53033016"/>
        <c:crosses val="autoZero"/>
        <c:auto val="1"/>
        <c:lblAlgn val="ctr"/>
        <c:lblOffset val="100"/>
        <c:noMultiLvlLbl val="0"/>
      </c:catAx>
      <c:valAx>
        <c:axId val="65303301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53028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Reopening</a:t>
            </a:r>
            <a:r>
              <a:rPr lang="en-US" b="1" baseline="0"/>
              <a:t> REC Payments</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'Reopening Summary'!$A$36</c:f>
              <c:strCache>
                <c:ptCount val="1"/>
                <c:pt idx="0">
                  <c:v>SDG &lt; 25 kW </c:v>
                </c:pt>
              </c:strCache>
            </c:strRef>
          </c:tx>
          <c:spPr>
            <a:solidFill>
              <a:schemeClr val="accent1"/>
            </a:solidFill>
            <a:ln>
              <a:noFill/>
            </a:ln>
            <a:effectLst/>
          </c:spPr>
          <c:invertIfNegative val="0"/>
          <c:cat>
            <c:numRef>
              <c:f>'Reopening Summary'!$B$35:$V$35</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'Reopening Summary'!$B$36:$V$36</c:f>
              <c:numCache>
                <c:formatCode>"$"#,##0</c:formatCode>
                <c:ptCount val="21"/>
                <c:pt idx="0">
                  <c:v>138837111.63146961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E536-4222-8F56-B39B45E4C6CF}"/>
            </c:ext>
          </c:extLst>
        </c:ser>
        <c:ser>
          <c:idx val="1"/>
          <c:order val="1"/>
          <c:tx>
            <c:strRef>
              <c:f>'Reopening Summary'!$A$37</c:f>
              <c:strCache>
                <c:ptCount val="1"/>
                <c:pt idx="0">
                  <c:v>LDG &gt; 25 - 5000kW</c:v>
                </c:pt>
              </c:strCache>
            </c:strRef>
          </c:tx>
          <c:spPr>
            <a:solidFill>
              <a:schemeClr val="accent2"/>
            </a:solidFill>
            <a:ln>
              <a:noFill/>
            </a:ln>
            <a:effectLst/>
          </c:spPr>
          <c:invertIfNegative val="0"/>
          <c:cat>
            <c:numRef>
              <c:f>'Reopening Summary'!$B$35:$V$35</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'Reopening Summary'!$B$37:$V$37</c:f>
              <c:numCache>
                <c:formatCode>"$"#,##0</c:formatCode>
                <c:ptCount val="21"/>
                <c:pt idx="0">
                  <c:v>11407011.035787132</c:v>
                </c:pt>
                <c:pt idx="1">
                  <c:v>10773288.200465625</c:v>
                </c:pt>
                <c:pt idx="2">
                  <c:v>10773288.200465625</c:v>
                </c:pt>
                <c:pt idx="3">
                  <c:v>10773288.200465625</c:v>
                </c:pt>
                <c:pt idx="4">
                  <c:v>10773288.200465625</c:v>
                </c:pt>
                <c:pt idx="5">
                  <c:v>10773288.200465625</c:v>
                </c:pt>
                <c:pt idx="6">
                  <c:v>10773288.200465625</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E536-4222-8F56-B39B45E4C6CF}"/>
            </c:ext>
          </c:extLst>
        </c:ser>
        <c:ser>
          <c:idx val="2"/>
          <c:order val="2"/>
          <c:tx>
            <c:strRef>
              <c:f>'Reopening Summary'!$A$38</c:f>
              <c:strCache>
                <c:ptCount val="1"/>
                <c:pt idx="0">
                  <c:v>Traditional Community Solar</c:v>
                </c:pt>
              </c:strCache>
            </c:strRef>
          </c:tx>
          <c:spPr>
            <a:solidFill>
              <a:schemeClr val="accent3"/>
            </a:solidFill>
            <a:ln>
              <a:noFill/>
            </a:ln>
            <a:effectLst/>
          </c:spPr>
          <c:invertIfNegative val="0"/>
          <c:cat>
            <c:numRef>
              <c:f>'Reopening Summary'!$B$35:$V$35</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'Reopening Summary'!$B$38:$V$38</c:f>
              <c:numCache>
                <c:formatCode>"$"#,##0</c:formatCode>
                <c:ptCount val="21"/>
                <c:pt idx="0">
                  <c:v>0</c:v>
                </c:pt>
                <c:pt idx="1">
                  <c:v>22628271.316199999</c:v>
                </c:pt>
                <c:pt idx="2">
                  <c:v>22515129.959619001</c:v>
                </c:pt>
                <c:pt idx="3">
                  <c:v>22402554.309820905</c:v>
                </c:pt>
                <c:pt idx="4">
                  <c:v>22290541.5382718</c:v>
                </c:pt>
                <c:pt idx="5">
                  <c:v>22179088.830580443</c:v>
                </c:pt>
                <c:pt idx="6">
                  <c:v>22068193.386427537</c:v>
                </c:pt>
                <c:pt idx="7">
                  <c:v>21957852.4194954</c:v>
                </c:pt>
                <c:pt idx="8">
                  <c:v>21848063.157397922</c:v>
                </c:pt>
                <c:pt idx="9">
                  <c:v>21738822.841610931</c:v>
                </c:pt>
                <c:pt idx="10">
                  <c:v>21630128.727402877</c:v>
                </c:pt>
                <c:pt idx="11">
                  <c:v>21521978.083765864</c:v>
                </c:pt>
                <c:pt idx="12">
                  <c:v>21414368.193347033</c:v>
                </c:pt>
                <c:pt idx="13">
                  <c:v>21307296.352380298</c:v>
                </c:pt>
                <c:pt idx="14">
                  <c:v>21200759.870618396</c:v>
                </c:pt>
                <c:pt idx="15">
                  <c:v>21094756.071265306</c:v>
                </c:pt>
                <c:pt idx="16">
                  <c:v>20989282.290908977</c:v>
                </c:pt>
                <c:pt idx="17">
                  <c:v>20884335.879454434</c:v>
                </c:pt>
                <c:pt idx="18">
                  <c:v>20779914.20005716</c:v>
                </c:pt>
                <c:pt idx="19">
                  <c:v>20676014.629056875</c:v>
                </c:pt>
                <c:pt idx="20">
                  <c:v>20572634.555911593</c:v>
                </c:pt>
              </c:numCache>
            </c:numRef>
          </c:val>
          <c:extLst>
            <c:ext xmlns:c16="http://schemas.microsoft.com/office/drawing/2014/chart" uri="{C3380CC4-5D6E-409C-BE32-E72D297353CC}">
              <c16:uniqueId val="{00000002-E536-4222-8F56-B39B45E4C6CF}"/>
            </c:ext>
          </c:extLst>
        </c:ser>
        <c:ser>
          <c:idx val="3"/>
          <c:order val="3"/>
          <c:tx>
            <c:strRef>
              <c:f>'Reopening Summary'!$A$39</c:f>
              <c:strCache>
                <c:ptCount val="1"/>
                <c:pt idx="0">
                  <c:v>Public Schools</c:v>
                </c:pt>
              </c:strCache>
            </c:strRef>
          </c:tx>
          <c:spPr>
            <a:solidFill>
              <a:schemeClr val="accent4"/>
            </a:solidFill>
            <a:ln>
              <a:noFill/>
            </a:ln>
            <a:effectLst/>
          </c:spPr>
          <c:invertIfNegative val="0"/>
          <c:cat>
            <c:numRef>
              <c:f>'Reopening Summary'!$B$35:$V$35</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'Reopening Summary'!$B$39:$V$39</c:f>
              <c:numCache>
                <c:formatCode>"$"#,##0</c:formatCode>
                <c:ptCount val="21"/>
                <c:pt idx="0">
                  <c:v>43118.909750583334</c:v>
                </c:pt>
                <c:pt idx="1">
                  <c:v>42903.315201830417</c:v>
                </c:pt>
                <c:pt idx="2">
                  <c:v>42688.798625821262</c:v>
                </c:pt>
                <c:pt idx="3">
                  <c:v>42475.354632692164</c:v>
                </c:pt>
                <c:pt idx="4">
                  <c:v>42262.977859528699</c:v>
                </c:pt>
                <c:pt idx="5">
                  <c:v>42051.662970231046</c:v>
                </c:pt>
                <c:pt idx="6">
                  <c:v>41841.404655379891</c:v>
                </c:pt>
                <c:pt idx="7">
                  <c:v>41632.197632102994</c:v>
                </c:pt>
                <c:pt idx="8">
                  <c:v>41424.036643942476</c:v>
                </c:pt>
                <c:pt idx="9">
                  <c:v>41216.916460722772</c:v>
                </c:pt>
                <c:pt idx="10">
                  <c:v>41010.831878419158</c:v>
                </c:pt>
                <c:pt idx="11">
                  <c:v>40805.777719027057</c:v>
                </c:pt>
                <c:pt idx="12">
                  <c:v>40601.748830431927</c:v>
                </c:pt>
                <c:pt idx="13">
                  <c:v>40398.740086279766</c:v>
                </c:pt>
                <c:pt idx="14">
                  <c:v>40196.746385848368</c:v>
                </c:pt>
                <c:pt idx="15">
                  <c:v>39995.762653919126</c:v>
                </c:pt>
                <c:pt idx="16">
                  <c:v>39795.783840649528</c:v>
                </c:pt>
                <c:pt idx="17">
                  <c:v>39596.804921446281</c:v>
                </c:pt>
                <c:pt idx="18">
                  <c:v>39398.820896839046</c:v>
                </c:pt>
                <c:pt idx="19">
                  <c:v>39201.826792354856</c:v>
                </c:pt>
                <c:pt idx="20">
                  <c:v>0</c:v>
                </c:pt>
              </c:numCache>
            </c:numRef>
          </c:val>
          <c:extLst>
            <c:ext xmlns:c16="http://schemas.microsoft.com/office/drawing/2014/chart" uri="{C3380CC4-5D6E-409C-BE32-E72D297353CC}">
              <c16:uniqueId val="{00000003-E536-4222-8F56-B39B45E4C6CF}"/>
            </c:ext>
          </c:extLst>
        </c:ser>
        <c:ser>
          <c:idx val="4"/>
          <c:order val="4"/>
          <c:tx>
            <c:strRef>
              <c:f>'Reopening Summary'!$A$40</c:f>
              <c:strCache>
                <c:ptCount val="1"/>
                <c:pt idx="0">
                  <c:v>Community Driven Community Solar</c:v>
                </c:pt>
              </c:strCache>
            </c:strRef>
          </c:tx>
          <c:spPr>
            <a:solidFill>
              <a:schemeClr val="accent5"/>
            </a:solidFill>
            <a:ln>
              <a:noFill/>
            </a:ln>
            <a:effectLst/>
          </c:spPr>
          <c:invertIfNegative val="0"/>
          <c:cat>
            <c:numRef>
              <c:f>'Reopening Summary'!$B$35:$V$35</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'Reopening Summary'!$B$40:$V$40</c:f>
              <c:numCache>
                <c:formatCode>"$"#,##0</c:formatCode>
                <c:ptCount val="21"/>
                <c:pt idx="0">
                  <c:v>0</c:v>
                </c:pt>
                <c:pt idx="1">
                  <c:v>617609.8121744924</c:v>
                </c:pt>
                <c:pt idx="2">
                  <c:v>583298.15594257612</c:v>
                </c:pt>
                <c:pt idx="3">
                  <c:v>583298.15594257612</c:v>
                </c:pt>
                <c:pt idx="4">
                  <c:v>583298.15594257612</c:v>
                </c:pt>
                <c:pt idx="5">
                  <c:v>583298.15594257612</c:v>
                </c:pt>
                <c:pt idx="6">
                  <c:v>583298.15594257612</c:v>
                </c:pt>
                <c:pt idx="7">
                  <c:v>583298.15594257612</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4-E536-4222-8F56-B39B45E4C6CF}"/>
            </c:ext>
          </c:extLst>
        </c:ser>
        <c:ser>
          <c:idx val="5"/>
          <c:order val="5"/>
          <c:tx>
            <c:strRef>
              <c:f>'Reopening Summary'!$A$41</c:f>
              <c:strCache>
                <c:ptCount val="1"/>
                <c:pt idx="0">
                  <c:v>Equity Eligible Contractor</c:v>
                </c:pt>
              </c:strCache>
            </c:strRef>
          </c:tx>
          <c:spPr>
            <a:solidFill>
              <a:schemeClr val="accent6"/>
            </a:solidFill>
            <a:ln>
              <a:noFill/>
            </a:ln>
            <a:effectLst/>
          </c:spPr>
          <c:invertIfNegative val="0"/>
          <c:cat>
            <c:numRef>
              <c:f>'Reopening Summary'!$B$35:$V$35</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'Reopening Summary'!$B$41:$V$41</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5-E536-4222-8F56-B39B45E4C6CF}"/>
            </c:ext>
          </c:extLst>
        </c:ser>
        <c:ser>
          <c:idx val="6"/>
          <c:order val="6"/>
          <c:tx>
            <c:strRef>
              <c:f>'Reopening Summary'!$A$42</c:f>
              <c:strCache>
                <c:ptCount val="1"/>
                <c:pt idx="0">
                  <c:v>Utility Wind</c:v>
                </c:pt>
              </c:strCache>
            </c:strRef>
          </c:tx>
          <c:spPr>
            <a:solidFill>
              <a:schemeClr val="accent1">
                <a:lumMod val="60000"/>
              </a:schemeClr>
            </a:solidFill>
            <a:ln>
              <a:noFill/>
            </a:ln>
            <a:effectLst/>
          </c:spPr>
          <c:invertIfNegative val="0"/>
          <c:cat>
            <c:numRef>
              <c:f>'Reopening Summary'!$B$35:$V$35</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'Reopening Summary'!$B$42:$V$42</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6-E536-4222-8F56-B39B45E4C6CF}"/>
            </c:ext>
          </c:extLst>
        </c:ser>
        <c:ser>
          <c:idx val="7"/>
          <c:order val="7"/>
          <c:tx>
            <c:strRef>
              <c:f>'Reopening Summary'!$A$43</c:f>
              <c:strCache>
                <c:ptCount val="1"/>
                <c:pt idx="0">
                  <c:v>Utility Solar</c:v>
                </c:pt>
              </c:strCache>
            </c:strRef>
          </c:tx>
          <c:spPr>
            <a:solidFill>
              <a:schemeClr val="accent2">
                <a:lumMod val="60000"/>
              </a:schemeClr>
            </a:solidFill>
            <a:ln>
              <a:noFill/>
            </a:ln>
            <a:effectLst/>
          </c:spPr>
          <c:invertIfNegative val="0"/>
          <c:cat>
            <c:numRef>
              <c:f>'Reopening Summary'!$B$35:$V$35</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'Reopening Summary'!$B$43:$V$43</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7-E536-4222-8F56-B39B45E4C6CF}"/>
            </c:ext>
          </c:extLst>
        </c:ser>
        <c:ser>
          <c:idx val="8"/>
          <c:order val="8"/>
          <c:tx>
            <c:strRef>
              <c:f>'Reopening Summary'!$A$44</c:f>
              <c:strCache>
                <c:ptCount val="1"/>
                <c:pt idx="0">
                  <c:v>Brownfield</c:v>
                </c:pt>
              </c:strCache>
            </c:strRef>
          </c:tx>
          <c:spPr>
            <a:solidFill>
              <a:schemeClr val="accent3">
                <a:lumMod val="60000"/>
              </a:schemeClr>
            </a:solidFill>
            <a:ln>
              <a:noFill/>
            </a:ln>
            <a:effectLst/>
          </c:spPr>
          <c:invertIfNegative val="0"/>
          <c:cat>
            <c:numRef>
              <c:f>'Reopening Summary'!$B$35:$V$35</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'Reopening Summary'!$B$44:$V$44</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8-E536-4222-8F56-B39B45E4C6CF}"/>
            </c:ext>
          </c:extLst>
        </c:ser>
        <c:dLbls>
          <c:showLegendKey val="0"/>
          <c:showVal val="0"/>
          <c:showCatName val="0"/>
          <c:showSerName val="0"/>
          <c:showPercent val="0"/>
          <c:showBubbleSize val="0"/>
        </c:dLbls>
        <c:gapWidth val="150"/>
        <c:overlap val="100"/>
        <c:axId val="614236072"/>
        <c:axId val="614236400"/>
      </c:barChart>
      <c:catAx>
        <c:axId val="614236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14236400"/>
        <c:crosses val="autoZero"/>
        <c:auto val="1"/>
        <c:lblAlgn val="ctr"/>
        <c:lblOffset val="100"/>
        <c:noMultiLvlLbl val="0"/>
      </c:catAx>
      <c:valAx>
        <c:axId val="61423640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14236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effectLst/>
              </a:rPr>
              <a:t>DY 2022 -2023 REC Payments</a:t>
            </a:r>
            <a:endParaRPr lang="en-US"/>
          </a:p>
        </c:rich>
      </c:tx>
      <c:layout>
        <c:manualLayout>
          <c:xMode val="edge"/>
          <c:yMode val="edge"/>
          <c:x val="0.28186681383772205"/>
          <c:y val="4.645760743321718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'DY 2022 Summary'!$A$2</c:f>
              <c:strCache>
                <c:ptCount val="1"/>
                <c:pt idx="0">
                  <c:v>SDG &lt; 25 kW </c:v>
                </c:pt>
              </c:strCache>
            </c:strRef>
          </c:tx>
          <c:spPr>
            <a:solidFill>
              <a:schemeClr val="accent1"/>
            </a:solidFill>
            <a:ln>
              <a:noFill/>
            </a:ln>
            <a:effectLst/>
          </c:spPr>
          <c:invertIfNegative val="0"/>
          <c:cat>
            <c:numRef>
              <c:f>'DY 2022 Summary'!$B$1:$V$1</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'DY 2022 Summary'!$B$2:$V$2</c:f>
              <c:numCache>
                <c:formatCode>_(* #,##0_);_(* \(#,##0\);_(* "-"??_);_(@_)</c:formatCode>
                <c:ptCount val="21"/>
                <c:pt idx="0">
                  <c:v>183009.9510192</c:v>
                </c:pt>
                <c:pt idx="1">
                  <c:v>182094.901264104</c:v>
                </c:pt>
                <c:pt idx="2">
                  <c:v>181184.42675778345</c:v>
                </c:pt>
                <c:pt idx="3">
                  <c:v>180278.50462399455</c:v>
                </c:pt>
                <c:pt idx="4">
                  <c:v>179377.11210087457</c:v>
                </c:pt>
                <c:pt idx="5">
                  <c:v>178480.2265403702</c:v>
                </c:pt>
                <c:pt idx="6">
                  <c:v>177587.82540766837</c:v>
                </c:pt>
                <c:pt idx="7">
                  <c:v>176699.88628063002</c:v>
                </c:pt>
                <c:pt idx="8">
                  <c:v>175816.3868492269</c:v>
                </c:pt>
                <c:pt idx="9">
                  <c:v>174937.30491498075</c:v>
                </c:pt>
                <c:pt idx="10">
                  <c:v>174062.61839040584</c:v>
                </c:pt>
                <c:pt idx="11">
                  <c:v>173192.30529845384</c:v>
                </c:pt>
                <c:pt idx="12">
                  <c:v>172326.34377196158</c:v>
                </c:pt>
                <c:pt idx="13">
                  <c:v>171464.71205310174</c:v>
                </c:pt>
                <c:pt idx="14">
                  <c:v>170607.38849283624</c:v>
                </c:pt>
                <c:pt idx="15">
                  <c:v>0</c:v>
                </c:pt>
                <c:pt idx="16">
                  <c:v>0</c:v>
                </c:pt>
                <c:pt idx="17">
                  <c:v>0</c:v>
                </c:pt>
                <c:pt idx="18">
                  <c:v>0</c:v>
                </c:pt>
                <c:pt idx="19">
                  <c:v>0</c:v>
                </c:pt>
                <c:pt idx="20">
                  <c:v>0</c:v>
                </c:pt>
              </c:numCache>
            </c:numRef>
          </c:val>
          <c:extLst>
            <c:ext xmlns:c16="http://schemas.microsoft.com/office/drawing/2014/chart" uri="{C3380CC4-5D6E-409C-BE32-E72D297353CC}">
              <c16:uniqueId val="{00000000-1AE5-4784-88B8-C764132BF723}"/>
            </c:ext>
          </c:extLst>
        </c:ser>
        <c:ser>
          <c:idx val="1"/>
          <c:order val="1"/>
          <c:tx>
            <c:strRef>
              <c:f>'DY 2022 Summary'!$A$3</c:f>
              <c:strCache>
                <c:ptCount val="1"/>
                <c:pt idx="0">
                  <c:v>LDG &gt; 25 - 5000kW</c:v>
                </c:pt>
              </c:strCache>
            </c:strRef>
          </c:tx>
          <c:spPr>
            <a:solidFill>
              <a:schemeClr val="accent2"/>
            </a:solidFill>
            <a:ln>
              <a:noFill/>
            </a:ln>
            <a:effectLst/>
          </c:spPr>
          <c:invertIfNegative val="0"/>
          <c:cat>
            <c:numRef>
              <c:f>'DY 2022 Summary'!$B$1:$V$1</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'DY 2022 Summary'!$B$3:$V$3</c:f>
              <c:numCache>
                <c:formatCode>_(* #,##0_);_(* \(#,##0\);_(* "-"??_);_(@_)</c:formatCode>
                <c:ptCount val="21"/>
                <c:pt idx="0">
                  <c:v>234824.40306947764</c:v>
                </c:pt>
                <c:pt idx="1">
                  <c:v>233650.28105413029</c:v>
                </c:pt>
                <c:pt idx="2">
                  <c:v>232482.02964885964</c:v>
                </c:pt>
                <c:pt idx="3">
                  <c:v>231319.61950061534</c:v>
                </c:pt>
                <c:pt idx="4">
                  <c:v>230163.02140311227</c:v>
                </c:pt>
                <c:pt idx="5">
                  <c:v>229012.2062960967</c:v>
                </c:pt>
                <c:pt idx="6">
                  <c:v>227867.14526461624</c:v>
                </c:pt>
                <c:pt idx="7">
                  <c:v>226727.80953829316</c:v>
                </c:pt>
                <c:pt idx="8">
                  <c:v>225594.17049060171</c:v>
                </c:pt>
                <c:pt idx="9">
                  <c:v>224466.19963814871</c:v>
                </c:pt>
                <c:pt idx="10">
                  <c:v>223343.86863995797</c:v>
                </c:pt>
                <c:pt idx="11">
                  <c:v>222227.14929675817</c:v>
                </c:pt>
                <c:pt idx="12">
                  <c:v>221116.01355027442</c:v>
                </c:pt>
                <c:pt idx="13">
                  <c:v>220010.43348252302</c:v>
                </c:pt>
                <c:pt idx="14">
                  <c:v>218910.3813151104</c:v>
                </c:pt>
                <c:pt idx="15">
                  <c:v>0</c:v>
                </c:pt>
                <c:pt idx="16">
                  <c:v>0</c:v>
                </c:pt>
                <c:pt idx="17">
                  <c:v>0</c:v>
                </c:pt>
                <c:pt idx="18">
                  <c:v>0</c:v>
                </c:pt>
                <c:pt idx="19">
                  <c:v>0</c:v>
                </c:pt>
                <c:pt idx="20">
                  <c:v>0</c:v>
                </c:pt>
              </c:numCache>
            </c:numRef>
          </c:val>
          <c:extLst>
            <c:ext xmlns:c16="http://schemas.microsoft.com/office/drawing/2014/chart" uri="{C3380CC4-5D6E-409C-BE32-E72D297353CC}">
              <c16:uniqueId val="{00000001-1AE5-4784-88B8-C764132BF723}"/>
            </c:ext>
          </c:extLst>
        </c:ser>
        <c:ser>
          <c:idx val="2"/>
          <c:order val="2"/>
          <c:tx>
            <c:strRef>
              <c:f>'DY 2022 Summary'!$A$4</c:f>
              <c:strCache>
                <c:ptCount val="1"/>
                <c:pt idx="0">
                  <c:v>Traditional Community Solar</c:v>
                </c:pt>
              </c:strCache>
            </c:strRef>
          </c:tx>
          <c:spPr>
            <a:solidFill>
              <a:schemeClr val="accent3"/>
            </a:solidFill>
            <a:ln>
              <a:noFill/>
            </a:ln>
            <a:effectLst/>
          </c:spPr>
          <c:invertIfNegative val="0"/>
          <c:cat>
            <c:numRef>
              <c:f>'DY 2022 Summary'!$B$1:$V$1</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'DY 2022 Summary'!$B$4:$V$4</c:f>
              <c:numCache>
                <c:formatCode>_(* #,##0_);_(* \(#,##0\);_(* "-"??_);_(@_)</c:formatCode>
                <c:ptCount val="21"/>
                <c:pt idx="0">
                  <c:v>0</c:v>
                </c:pt>
                <c:pt idx="1">
                  <c:v>236968.51199999999</c:v>
                </c:pt>
                <c:pt idx="2">
                  <c:v>235783.66944</c:v>
                </c:pt>
                <c:pt idx="3">
                  <c:v>234604.7510928</c:v>
                </c:pt>
                <c:pt idx="4">
                  <c:v>233431.72733733599</c:v>
                </c:pt>
                <c:pt idx="5">
                  <c:v>232264.56870064931</c:v>
                </c:pt>
                <c:pt idx="6">
                  <c:v>231103.2458571461</c:v>
                </c:pt>
                <c:pt idx="7">
                  <c:v>229947.72962786036</c:v>
                </c:pt>
                <c:pt idx="8">
                  <c:v>228797.99097972107</c:v>
                </c:pt>
                <c:pt idx="9">
                  <c:v>227654.00102482247</c:v>
                </c:pt>
                <c:pt idx="10">
                  <c:v>226515.73101969832</c:v>
                </c:pt>
                <c:pt idx="11">
                  <c:v>225383.15236459984</c:v>
                </c:pt>
                <c:pt idx="12">
                  <c:v>224256.23660277683</c:v>
                </c:pt>
                <c:pt idx="13">
                  <c:v>223134.95541976293</c:v>
                </c:pt>
                <c:pt idx="14">
                  <c:v>222019.28064266415</c:v>
                </c:pt>
                <c:pt idx="15">
                  <c:v>220909.18423945084</c:v>
                </c:pt>
                <c:pt idx="16">
                  <c:v>219804.63831825356</c:v>
                </c:pt>
                <c:pt idx="17">
                  <c:v>218705.61512666231</c:v>
                </c:pt>
                <c:pt idx="18">
                  <c:v>217612.08705102903</c:v>
                </c:pt>
                <c:pt idx="19">
                  <c:v>216524.02661577388</c:v>
                </c:pt>
                <c:pt idx="20">
                  <c:v>215441.40648269499</c:v>
                </c:pt>
              </c:numCache>
            </c:numRef>
          </c:val>
          <c:extLst>
            <c:ext xmlns:c16="http://schemas.microsoft.com/office/drawing/2014/chart" uri="{C3380CC4-5D6E-409C-BE32-E72D297353CC}">
              <c16:uniqueId val="{00000002-1AE5-4784-88B8-C764132BF723}"/>
            </c:ext>
          </c:extLst>
        </c:ser>
        <c:ser>
          <c:idx val="3"/>
          <c:order val="3"/>
          <c:tx>
            <c:strRef>
              <c:f>'DY 2022 Summary'!$A$5</c:f>
              <c:strCache>
                <c:ptCount val="1"/>
                <c:pt idx="0">
                  <c:v>Public Schools</c:v>
                </c:pt>
              </c:strCache>
            </c:strRef>
          </c:tx>
          <c:spPr>
            <a:solidFill>
              <a:schemeClr val="accent4"/>
            </a:solidFill>
            <a:ln>
              <a:noFill/>
            </a:ln>
            <a:effectLst/>
          </c:spPr>
          <c:invertIfNegative val="0"/>
          <c:cat>
            <c:numRef>
              <c:f>'DY 2022 Summary'!$B$1:$V$1</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'DY 2022 Summary'!$B$5:$V$5</c:f>
              <c:numCache>
                <c:formatCode>_(* #,##0_);_(* \(#,##0\);_(* "-"??_);_(@_)</c:formatCode>
                <c:ptCount val="21"/>
                <c:pt idx="0">
                  <c:v>295247.95542000001</c:v>
                </c:pt>
                <c:pt idx="1">
                  <c:v>293771.71564289997</c:v>
                </c:pt>
                <c:pt idx="2">
                  <c:v>292302.85706468544</c:v>
                </c:pt>
                <c:pt idx="3">
                  <c:v>290841.34277936205</c:v>
                </c:pt>
                <c:pt idx="4">
                  <c:v>289387.13606546522</c:v>
                </c:pt>
                <c:pt idx="5">
                  <c:v>287940.20038513793</c:v>
                </c:pt>
                <c:pt idx="6">
                  <c:v>286500.49938321218</c:v>
                </c:pt>
                <c:pt idx="7">
                  <c:v>285067.99688629614</c:v>
                </c:pt>
                <c:pt idx="8">
                  <c:v>283642.65690186468</c:v>
                </c:pt>
                <c:pt idx="9">
                  <c:v>282224.44361735537</c:v>
                </c:pt>
                <c:pt idx="10">
                  <c:v>280813.32139926858</c:v>
                </c:pt>
                <c:pt idx="11">
                  <c:v>279409.25479227223</c:v>
                </c:pt>
                <c:pt idx="12">
                  <c:v>278012.20851831092</c:v>
                </c:pt>
                <c:pt idx="13">
                  <c:v>276622.14747571934</c:v>
                </c:pt>
                <c:pt idx="14">
                  <c:v>275239.03673834074</c:v>
                </c:pt>
                <c:pt idx="15">
                  <c:v>273862.841554649</c:v>
                </c:pt>
                <c:pt idx="16">
                  <c:v>272493.52734687581</c:v>
                </c:pt>
                <c:pt idx="17">
                  <c:v>271131.05971014139</c:v>
                </c:pt>
                <c:pt idx="18">
                  <c:v>269775.40441159066</c:v>
                </c:pt>
                <c:pt idx="19">
                  <c:v>268426.52738953271</c:v>
                </c:pt>
                <c:pt idx="20">
                  <c:v>0</c:v>
                </c:pt>
              </c:numCache>
            </c:numRef>
          </c:val>
          <c:extLst>
            <c:ext xmlns:c16="http://schemas.microsoft.com/office/drawing/2014/chart" uri="{C3380CC4-5D6E-409C-BE32-E72D297353CC}">
              <c16:uniqueId val="{00000003-1AE5-4784-88B8-C764132BF723}"/>
            </c:ext>
          </c:extLst>
        </c:ser>
        <c:ser>
          <c:idx val="4"/>
          <c:order val="4"/>
          <c:tx>
            <c:strRef>
              <c:f>'DY 2022 Summary'!$A$6</c:f>
              <c:strCache>
                <c:ptCount val="1"/>
                <c:pt idx="0">
                  <c:v>Community Driven Community Solar</c:v>
                </c:pt>
              </c:strCache>
            </c:strRef>
          </c:tx>
          <c:spPr>
            <a:solidFill>
              <a:schemeClr val="accent5"/>
            </a:solidFill>
            <a:ln>
              <a:noFill/>
            </a:ln>
            <a:effectLst/>
          </c:spPr>
          <c:invertIfNegative val="0"/>
          <c:cat>
            <c:numRef>
              <c:f>'DY 2022 Summary'!$B$1:$V$1</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'DY 2022 Summary'!$B$6:$V$6</c:f>
              <c:numCache>
                <c:formatCode>_(* #,##0_);_(* \(#,##0\);_(* "-"??_);_(@_)</c:formatCode>
                <c:ptCount val="21"/>
                <c:pt idx="0">
                  <c:v>0</c:v>
                </c:pt>
                <c:pt idx="1">
                  <c:v>59242.127999999997</c:v>
                </c:pt>
                <c:pt idx="2">
                  <c:v>58945.917359999992</c:v>
                </c:pt>
                <c:pt idx="3">
                  <c:v>58651.187773199999</c:v>
                </c:pt>
                <c:pt idx="4">
                  <c:v>58357.931834333998</c:v>
                </c:pt>
                <c:pt idx="5">
                  <c:v>58066.142175162327</c:v>
                </c:pt>
                <c:pt idx="6">
                  <c:v>57775.811464286518</c:v>
                </c:pt>
                <c:pt idx="7">
                  <c:v>57486.932406965083</c:v>
                </c:pt>
                <c:pt idx="8">
                  <c:v>57199.497744930261</c:v>
                </c:pt>
                <c:pt idx="9">
                  <c:v>56913.500256205611</c:v>
                </c:pt>
                <c:pt idx="10">
                  <c:v>56628.932754924579</c:v>
                </c:pt>
                <c:pt idx="11">
                  <c:v>56345.788091149952</c:v>
                </c:pt>
                <c:pt idx="12">
                  <c:v>56064.059150694207</c:v>
                </c:pt>
                <c:pt idx="13">
                  <c:v>55783.738854940733</c:v>
                </c:pt>
                <c:pt idx="14">
                  <c:v>55504.82016066603</c:v>
                </c:pt>
                <c:pt idx="15">
                  <c:v>55227.296059862696</c:v>
                </c:pt>
                <c:pt idx="16">
                  <c:v>0</c:v>
                </c:pt>
                <c:pt idx="17">
                  <c:v>0</c:v>
                </c:pt>
                <c:pt idx="18">
                  <c:v>0</c:v>
                </c:pt>
                <c:pt idx="19">
                  <c:v>0</c:v>
                </c:pt>
                <c:pt idx="20">
                  <c:v>0</c:v>
                </c:pt>
              </c:numCache>
            </c:numRef>
          </c:val>
          <c:extLst>
            <c:ext xmlns:c16="http://schemas.microsoft.com/office/drawing/2014/chart" uri="{C3380CC4-5D6E-409C-BE32-E72D297353CC}">
              <c16:uniqueId val="{00000004-1AE5-4784-88B8-C764132BF723}"/>
            </c:ext>
          </c:extLst>
        </c:ser>
        <c:ser>
          <c:idx val="5"/>
          <c:order val="5"/>
          <c:tx>
            <c:strRef>
              <c:f>'DY 2022 Summary'!$A$7</c:f>
              <c:strCache>
                <c:ptCount val="1"/>
                <c:pt idx="0">
                  <c:v>Equity Eligible Contractor</c:v>
                </c:pt>
              </c:strCache>
            </c:strRef>
          </c:tx>
          <c:spPr>
            <a:solidFill>
              <a:schemeClr val="accent6"/>
            </a:solidFill>
            <a:ln>
              <a:noFill/>
            </a:ln>
            <a:effectLst/>
          </c:spPr>
          <c:invertIfNegative val="0"/>
          <c:cat>
            <c:numRef>
              <c:f>'DY 2022 Summary'!$B$1:$V$1</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'DY 2022 Summary'!$B$7:$V$7</c:f>
              <c:numCache>
                <c:formatCode>_(* #,##0_);_(* \(#,##0\);_(* "-"??_);_(@_)</c:formatCode>
                <c:ptCount val="21"/>
                <c:pt idx="0">
                  <c:v>182432.62174992182</c:v>
                </c:pt>
                <c:pt idx="1">
                  <c:v>181520.45864117221</c:v>
                </c:pt>
                <c:pt idx="2">
                  <c:v>180612.85634796636</c:v>
                </c:pt>
                <c:pt idx="3">
                  <c:v>179709.79206622654</c:v>
                </c:pt>
                <c:pt idx="4">
                  <c:v>178811.24310589541</c:v>
                </c:pt>
                <c:pt idx="5">
                  <c:v>177917.18689036591</c:v>
                </c:pt>
                <c:pt idx="6">
                  <c:v>177027.60095591407</c:v>
                </c:pt>
                <c:pt idx="7">
                  <c:v>176142.46295113451</c:v>
                </c:pt>
                <c:pt idx="8">
                  <c:v>175261.75063637883</c:v>
                </c:pt>
                <c:pt idx="9">
                  <c:v>174385.44188319694</c:v>
                </c:pt>
                <c:pt idx="10">
                  <c:v>173513.51467378094</c:v>
                </c:pt>
                <c:pt idx="11">
                  <c:v>172645.94710041204</c:v>
                </c:pt>
                <c:pt idx="12">
                  <c:v>171782.71736491</c:v>
                </c:pt>
                <c:pt idx="13">
                  <c:v>170923.80377808545</c:v>
                </c:pt>
                <c:pt idx="14">
                  <c:v>170069.18475919502</c:v>
                </c:pt>
                <c:pt idx="15">
                  <c:v>0</c:v>
                </c:pt>
                <c:pt idx="16">
                  <c:v>0</c:v>
                </c:pt>
                <c:pt idx="17">
                  <c:v>0</c:v>
                </c:pt>
                <c:pt idx="18">
                  <c:v>0</c:v>
                </c:pt>
                <c:pt idx="19">
                  <c:v>0</c:v>
                </c:pt>
                <c:pt idx="20">
                  <c:v>0</c:v>
                </c:pt>
              </c:numCache>
            </c:numRef>
          </c:val>
          <c:extLst>
            <c:ext xmlns:c16="http://schemas.microsoft.com/office/drawing/2014/chart" uri="{C3380CC4-5D6E-409C-BE32-E72D297353CC}">
              <c16:uniqueId val="{00000005-1AE5-4784-88B8-C764132BF723}"/>
            </c:ext>
          </c:extLst>
        </c:ser>
        <c:ser>
          <c:idx val="6"/>
          <c:order val="6"/>
          <c:tx>
            <c:strRef>
              <c:f>'DY 2022 Summary'!$A$8</c:f>
              <c:strCache>
                <c:ptCount val="1"/>
                <c:pt idx="0">
                  <c:v>Utility Wind</c:v>
                </c:pt>
              </c:strCache>
            </c:strRef>
          </c:tx>
          <c:spPr>
            <a:solidFill>
              <a:schemeClr val="accent1">
                <a:lumMod val="60000"/>
              </a:schemeClr>
            </a:solidFill>
            <a:ln>
              <a:noFill/>
            </a:ln>
            <a:effectLst/>
          </c:spPr>
          <c:invertIfNegative val="0"/>
          <c:cat>
            <c:numRef>
              <c:f>'DY 2022 Summary'!$B$1:$V$1</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'DY 2022 Summary'!$B$8:$V$8</c:f>
              <c:numCache>
                <c:formatCode>_(* #,##0_);_(* \(#,##0\);_(* "-"??_);_(@_)</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6-1AE5-4784-88B8-C764132BF723}"/>
            </c:ext>
          </c:extLst>
        </c:ser>
        <c:ser>
          <c:idx val="7"/>
          <c:order val="7"/>
          <c:tx>
            <c:strRef>
              <c:f>'DY 2022 Summary'!$A$9</c:f>
              <c:strCache>
                <c:ptCount val="1"/>
                <c:pt idx="0">
                  <c:v>Utility Solar</c:v>
                </c:pt>
              </c:strCache>
            </c:strRef>
          </c:tx>
          <c:spPr>
            <a:solidFill>
              <a:schemeClr val="accent2">
                <a:lumMod val="60000"/>
              </a:schemeClr>
            </a:solidFill>
            <a:ln>
              <a:noFill/>
            </a:ln>
            <a:effectLst/>
          </c:spPr>
          <c:invertIfNegative val="0"/>
          <c:cat>
            <c:numRef>
              <c:f>'DY 2022 Summary'!$B$1:$V$1</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'DY 2022 Summary'!$B$9:$V$9</c:f>
              <c:numCache>
                <c:formatCode>_(* #,##0_);_(* \(#,##0\);_(* "-"??_);_(@_)</c:formatCode>
                <c:ptCount val="21"/>
                <c:pt idx="0">
                  <c:v>0</c:v>
                </c:pt>
                <c:pt idx="1">
                  <c:v>0</c:v>
                </c:pt>
                <c:pt idx="2">
                  <c:v>0</c:v>
                </c:pt>
                <c:pt idx="3">
                  <c:v>943430</c:v>
                </c:pt>
                <c:pt idx="4">
                  <c:v>938712.85</c:v>
                </c:pt>
                <c:pt idx="5">
                  <c:v>934019.28574999992</c:v>
                </c:pt>
                <c:pt idx="6">
                  <c:v>929349.18932124996</c:v>
                </c:pt>
                <c:pt idx="7">
                  <c:v>924702.44337464368</c:v>
                </c:pt>
                <c:pt idx="8">
                  <c:v>920078.93115777045</c:v>
                </c:pt>
                <c:pt idx="9">
                  <c:v>915478.53650198155</c:v>
                </c:pt>
                <c:pt idx="10">
                  <c:v>910901.14381947159</c:v>
                </c:pt>
                <c:pt idx="11">
                  <c:v>906346.63810037426</c:v>
                </c:pt>
                <c:pt idx="12">
                  <c:v>901814.90490987233</c:v>
                </c:pt>
                <c:pt idx="13">
                  <c:v>897305.83038532292</c:v>
                </c:pt>
                <c:pt idx="14">
                  <c:v>892819.30123339628</c:v>
                </c:pt>
                <c:pt idx="15">
                  <c:v>888355.20472722931</c:v>
                </c:pt>
                <c:pt idx="16">
                  <c:v>883913.42870359321</c:v>
                </c:pt>
                <c:pt idx="17">
                  <c:v>879493.86156007519</c:v>
                </c:pt>
                <c:pt idx="18">
                  <c:v>875096.39225227479</c:v>
                </c:pt>
                <c:pt idx="19">
                  <c:v>870720.91029101342</c:v>
                </c:pt>
                <c:pt idx="20">
                  <c:v>866367.3057395583</c:v>
                </c:pt>
              </c:numCache>
            </c:numRef>
          </c:val>
          <c:extLst>
            <c:ext xmlns:c16="http://schemas.microsoft.com/office/drawing/2014/chart" uri="{C3380CC4-5D6E-409C-BE32-E72D297353CC}">
              <c16:uniqueId val="{00000007-1AE5-4784-88B8-C764132BF723}"/>
            </c:ext>
          </c:extLst>
        </c:ser>
        <c:ser>
          <c:idx val="8"/>
          <c:order val="8"/>
          <c:tx>
            <c:strRef>
              <c:f>'DY 2022 Summary'!$A$10</c:f>
              <c:strCache>
                <c:ptCount val="1"/>
                <c:pt idx="0">
                  <c:v>Brownfield</c:v>
                </c:pt>
              </c:strCache>
            </c:strRef>
          </c:tx>
          <c:spPr>
            <a:solidFill>
              <a:schemeClr val="accent3">
                <a:lumMod val="60000"/>
              </a:schemeClr>
            </a:solidFill>
            <a:ln>
              <a:noFill/>
            </a:ln>
            <a:effectLst/>
          </c:spPr>
          <c:invertIfNegative val="0"/>
          <c:cat>
            <c:numRef>
              <c:f>'DY 2022 Summary'!$B$1:$V$1</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'DY 2022 Summary'!$B$10:$V$10</c:f>
              <c:numCache>
                <c:formatCode>_(* #,##0_);_(* \(#,##0\);_(* "-"??_);_(@_)</c:formatCode>
                <c:ptCount val="21"/>
                <c:pt idx="0">
                  <c:v>0</c:v>
                </c:pt>
                <c:pt idx="1">
                  <c:v>0</c:v>
                </c:pt>
                <c:pt idx="2">
                  <c:v>0</c:v>
                </c:pt>
                <c:pt idx="3">
                  <c:v>49377</c:v>
                </c:pt>
                <c:pt idx="4">
                  <c:v>49130.114999999998</c:v>
                </c:pt>
                <c:pt idx="5">
                  <c:v>48884.464424999998</c:v>
                </c:pt>
                <c:pt idx="6">
                  <c:v>48640.042102874999</c:v>
                </c:pt>
                <c:pt idx="7">
                  <c:v>48396.841892360622</c:v>
                </c:pt>
                <c:pt idx="8">
                  <c:v>48154.857682898823</c:v>
                </c:pt>
                <c:pt idx="9">
                  <c:v>47914.083394484325</c:v>
                </c:pt>
                <c:pt idx="10">
                  <c:v>47674.512977511906</c:v>
                </c:pt>
                <c:pt idx="11">
                  <c:v>47436.140412624343</c:v>
                </c:pt>
                <c:pt idx="12">
                  <c:v>47198.959710561219</c:v>
                </c:pt>
                <c:pt idx="13">
                  <c:v>46962.964912008414</c:v>
                </c:pt>
                <c:pt idx="14">
                  <c:v>46728.150087448375</c:v>
                </c:pt>
                <c:pt idx="15">
                  <c:v>46494.509337011135</c:v>
                </c:pt>
                <c:pt idx="16">
                  <c:v>46262.036790326078</c:v>
                </c:pt>
                <c:pt idx="17">
                  <c:v>46030.726606374446</c:v>
                </c:pt>
                <c:pt idx="18">
                  <c:v>45800.572973342576</c:v>
                </c:pt>
                <c:pt idx="19">
                  <c:v>45571.570108475862</c:v>
                </c:pt>
                <c:pt idx="20">
                  <c:v>45343.712257933483</c:v>
                </c:pt>
              </c:numCache>
            </c:numRef>
          </c:val>
          <c:extLst>
            <c:ext xmlns:c16="http://schemas.microsoft.com/office/drawing/2014/chart" uri="{C3380CC4-5D6E-409C-BE32-E72D297353CC}">
              <c16:uniqueId val="{00000008-1AE5-4784-88B8-C764132BF723}"/>
            </c:ext>
          </c:extLst>
        </c:ser>
        <c:dLbls>
          <c:showLegendKey val="0"/>
          <c:showVal val="0"/>
          <c:showCatName val="0"/>
          <c:showSerName val="0"/>
          <c:showPercent val="0"/>
          <c:showBubbleSize val="0"/>
        </c:dLbls>
        <c:gapWidth val="150"/>
        <c:overlap val="100"/>
        <c:axId val="614246240"/>
        <c:axId val="614250504"/>
      </c:barChart>
      <c:catAx>
        <c:axId val="614246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14250504"/>
        <c:crosses val="autoZero"/>
        <c:auto val="1"/>
        <c:lblAlgn val="ctr"/>
        <c:lblOffset val="100"/>
        <c:noMultiLvlLbl val="0"/>
      </c:catAx>
      <c:valAx>
        <c:axId val="61425050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14246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effectLst/>
              </a:rPr>
              <a:t>DY 2022 -2023 REC Deliveries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'DY 2022 Summary'!$A$36</c:f>
              <c:strCache>
                <c:ptCount val="1"/>
                <c:pt idx="0">
                  <c:v>SDG &lt; 25 kW </c:v>
                </c:pt>
              </c:strCache>
            </c:strRef>
          </c:tx>
          <c:spPr>
            <a:solidFill>
              <a:schemeClr val="accent1"/>
            </a:solidFill>
            <a:ln>
              <a:noFill/>
            </a:ln>
            <a:effectLst/>
          </c:spPr>
          <c:invertIfNegative val="0"/>
          <c:cat>
            <c:numRef>
              <c:f>'DY 2022 Summary'!$B$35:$V$35</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'DY 2022 Summary'!$B$36:$V$36</c:f>
              <c:numCache>
                <c:formatCode>"$"#,##0</c:formatCode>
                <c:ptCount val="21"/>
                <c:pt idx="0">
                  <c:v>196896443.51041692</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9170-44FE-B64E-B9B471AF6697}"/>
            </c:ext>
          </c:extLst>
        </c:ser>
        <c:ser>
          <c:idx val="1"/>
          <c:order val="1"/>
          <c:tx>
            <c:strRef>
              <c:f>'DY 2022 Summary'!$A$37</c:f>
              <c:strCache>
                <c:ptCount val="1"/>
                <c:pt idx="0">
                  <c:v>LDG &gt; 25 - 5000kW</c:v>
                </c:pt>
              </c:strCache>
            </c:strRef>
          </c:tx>
          <c:spPr>
            <a:solidFill>
              <a:schemeClr val="accent2"/>
            </a:solidFill>
            <a:ln>
              <a:noFill/>
            </a:ln>
            <a:effectLst/>
          </c:spPr>
          <c:invertIfNegative val="0"/>
          <c:cat>
            <c:numRef>
              <c:f>'DY 2022 Summary'!$B$35:$V$35</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'DY 2022 Summary'!$B$37:$V$37</c:f>
              <c:numCache>
                <c:formatCode>"$"#,##0</c:formatCode>
                <c:ptCount val="21"/>
                <c:pt idx="0">
                  <c:v>25347753.897498447</c:v>
                </c:pt>
                <c:pt idx="1">
                  <c:v>23939545.347637422</c:v>
                </c:pt>
                <c:pt idx="2">
                  <c:v>23939545.347637422</c:v>
                </c:pt>
                <c:pt idx="3">
                  <c:v>23939545.347637422</c:v>
                </c:pt>
                <c:pt idx="4">
                  <c:v>23939545.347637422</c:v>
                </c:pt>
                <c:pt idx="5">
                  <c:v>23939545.347637422</c:v>
                </c:pt>
                <c:pt idx="6">
                  <c:v>23939545.347637422</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9170-44FE-B64E-B9B471AF6697}"/>
            </c:ext>
          </c:extLst>
        </c:ser>
        <c:ser>
          <c:idx val="2"/>
          <c:order val="2"/>
          <c:tx>
            <c:strRef>
              <c:f>'DY 2022 Summary'!$A$38</c:f>
              <c:strCache>
                <c:ptCount val="1"/>
                <c:pt idx="0">
                  <c:v>Traditional Community Solar</c:v>
                </c:pt>
              </c:strCache>
            </c:strRef>
          </c:tx>
          <c:spPr>
            <a:solidFill>
              <a:schemeClr val="accent3"/>
            </a:solidFill>
            <a:ln>
              <a:noFill/>
            </a:ln>
            <a:effectLst/>
          </c:spPr>
          <c:invertIfNegative val="0"/>
          <c:cat>
            <c:numRef>
              <c:f>'DY 2022 Summary'!$B$35:$V$35</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'DY 2022 Summary'!$B$38:$V$38</c:f>
              <c:numCache>
                <c:formatCode>"$"#,##0</c:formatCode>
                <c:ptCount val="21"/>
                <c:pt idx="0">
                  <c:v>0</c:v>
                </c:pt>
                <c:pt idx="1">
                  <c:v>12854593.901951998</c:v>
                </c:pt>
                <c:pt idx="2">
                  <c:v>12790320.93244224</c:v>
                </c:pt>
                <c:pt idx="3">
                  <c:v>12726369.327780029</c:v>
                </c:pt>
                <c:pt idx="4">
                  <c:v>12662737.48114113</c:v>
                </c:pt>
                <c:pt idx="5">
                  <c:v>12599423.793735424</c:v>
                </c:pt>
                <c:pt idx="6">
                  <c:v>12536426.674766747</c:v>
                </c:pt>
                <c:pt idx="7">
                  <c:v>12473744.541392913</c:v>
                </c:pt>
                <c:pt idx="8">
                  <c:v>12411375.818685949</c:v>
                </c:pt>
                <c:pt idx="9">
                  <c:v>12349318.93959252</c:v>
                </c:pt>
                <c:pt idx="10">
                  <c:v>12287572.344894556</c:v>
                </c:pt>
                <c:pt idx="11">
                  <c:v>12226134.483170083</c:v>
                </c:pt>
                <c:pt idx="12">
                  <c:v>12165003.810754232</c:v>
                </c:pt>
                <c:pt idx="13">
                  <c:v>12104178.791700462</c:v>
                </c:pt>
                <c:pt idx="14">
                  <c:v>12043657.897741958</c:v>
                </c:pt>
                <c:pt idx="15">
                  <c:v>11983439.608253248</c:v>
                </c:pt>
                <c:pt idx="16">
                  <c:v>11923522.410211984</c:v>
                </c:pt>
                <c:pt idx="17">
                  <c:v>11863904.798160924</c:v>
                </c:pt>
                <c:pt idx="18">
                  <c:v>11804585.274170119</c:v>
                </c:pt>
                <c:pt idx="19">
                  <c:v>11745562.347799269</c:v>
                </c:pt>
                <c:pt idx="20">
                  <c:v>11686834.536060272</c:v>
                </c:pt>
              </c:numCache>
            </c:numRef>
          </c:val>
          <c:extLst>
            <c:ext xmlns:c16="http://schemas.microsoft.com/office/drawing/2014/chart" uri="{C3380CC4-5D6E-409C-BE32-E72D297353CC}">
              <c16:uniqueId val="{00000002-9170-44FE-B64E-B9B471AF6697}"/>
            </c:ext>
          </c:extLst>
        </c:ser>
        <c:ser>
          <c:idx val="3"/>
          <c:order val="3"/>
          <c:tx>
            <c:strRef>
              <c:f>'DY 2022 Summary'!$A$39</c:f>
              <c:strCache>
                <c:ptCount val="1"/>
                <c:pt idx="0">
                  <c:v>Public Schools</c:v>
                </c:pt>
              </c:strCache>
            </c:strRef>
          </c:tx>
          <c:spPr>
            <a:solidFill>
              <a:schemeClr val="accent4"/>
            </a:solidFill>
            <a:ln>
              <a:noFill/>
            </a:ln>
            <a:effectLst/>
          </c:spPr>
          <c:invertIfNegative val="0"/>
          <c:cat>
            <c:numRef>
              <c:f>'DY 2022 Summary'!$B$35:$V$35</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'DY 2022 Summary'!$B$39:$V$39</c:f>
              <c:numCache>
                <c:formatCode>"$"#,##0</c:formatCode>
                <c:ptCount val="21"/>
                <c:pt idx="0">
                  <c:v>18094414.836347114</c:v>
                </c:pt>
                <c:pt idx="1">
                  <c:v>18003942.762165383</c:v>
                </c:pt>
                <c:pt idx="2">
                  <c:v>17913923.048354551</c:v>
                </c:pt>
                <c:pt idx="3">
                  <c:v>17824353.433112781</c:v>
                </c:pt>
                <c:pt idx="4">
                  <c:v>17735231.665947214</c:v>
                </c:pt>
                <c:pt idx="5">
                  <c:v>17646555.507617481</c:v>
                </c:pt>
                <c:pt idx="6">
                  <c:v>17558322.730079394</c:v>
                </c:pt>
                <c:pt idx="7">
                  <c:v>17470531.116428994</c:v>
                </c:pt>
                <c:pt idx="8">
                  <c:v>17383178.460846849</c:v>
                </c:pt>
                <c:pt idx="9">
                  <c:v>17296262.568542615</c:v>
                </c:pt>
                <c:pt idx="10">
                  <c:v>17209781.255699903</c:v>
                </c:pt>
                <c:pt idx="11">
                  <c:v>17123732.349421404</c:v>
                </c:pt>
                <c:pt idx="12">
                  <c:v>17038113.687674299</c:v>
                </c:pt>
                <c:pt idx="13">
                  <c:v>16952923.119235925</c:v>
                </c:pt>
                <c:pt idx="14">
                  <c:v>16868158.503639746</c:v>
                </c:pt>
                <c:pt idx="15">
                  <c:v>16783817.711121552</c:v>
                </c:pt>
                <c:pt idx="16">
                  <c:v>16699898.62256594</c:v>
                </c:pt>
                <c:pt idx="17">
                  <c:v>16616399.12945311</c:v>
                </c:pt>
                <c:pt idx="18">
                  <c:v>16533317.133805845</c:v>
                </c:pt>
                <c:pt idx="19">
                  <c:v>16450650.548136815</c:v>
                </c:pt>
                <c:pt idx="20">
                  <c:v>0</c:v>
                </c:pt>
              </c:numCache>
            </c:numRef>
          </c:val>
          <c:extLst>
            <c:ext xmlns:c16="http://schemas.microsoft.com/office/drawing/2014/chart" uri="{C3380CC4-5D6E-409C-BE32-E72D297353CC}">
              <c16:uniqueId val="{00000003-9170-44FE-B64E-B9B471AF6697}"/>
            </c:ext>
          </c:extLst>
        </c:ser>
        <c:ser>
          <c:idx val="4"/>
          <c:order val="4"/>
          <c:tx>
            <c:strRef>
              <c:f>'DY 2022 Summary'!$A$40</c:f>
              <c:strCache>
                <c:ptCount val="1"/>
                <c:pt idx="0">
                  <c:v>Community Driven Community Solar</c:v>
                </c:pt>
              </c:strCache>
            </c:strRef>
          </c:tx>
          <c:spPr>
            <a:solidFill>
              <a:schemeClr val="accent5"/>
            </a:solidFill>
            <a:ln>
              <a:noFill/>
            </a:ln>
            <a:effectLst/>
          </c:spPr>
          <c:invertIfNegative val="0"/>
          <c:cat>
            <c:numRef>
              <c:f>'DY 2022 Summary'!$B$35:$V$35</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'DY 2022 Summary'!$B$40:$V$40</c:f>
              <c:numCache>
                <c:formatCode>"$"#,##0</c:formatCode>
                <c:ptCount val="21"/>
                <c:pt idx="0">
                  <c:v>0</c:v>
                </c:pt>
                <c:pt idx="1">
                  <c:v>8853984.2387289014</c:v>
                </c:pt>
                <c:pt idx="2">
                  <c:v>8362096.2254661843</c:v>
                </c:pt>
                <c:pt idx="3">
                  <c:v>8362096.2254661843</c:v>
                </c:pt>
                <c:pt idx="4">
                  <c:v>8362096.2254661843</c:v>
                </c:pt>
                <c:pt idx="5">
                  <c:v>8362096.2254661843</c:v>
                </c:pt>
                <c:pt idx="6">
                  <c:v>8362096.2254661843</c:v>
                </c:pt>
                <c:pt idx="7">
                  <c:v>8362096.2254661843</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4-9170-44FE-B64E-B9B471AF6697}"/>
            </c:ext>
          </c:extLst>
        </c:ser>
        <c:ser>
          <c:idx val="5"/>
          <c:order val="5"/>
          <c:tx>
            <c:strRef>
              <c:f>'DY 2022 Summary'!$A$41</c:f>
              <c:strCache>
                <c:ptCount val="1"/>
                <c:pt idx="0">
                  <c:v>Equity Eligible Contractor</c:v>
                </c:pt>
              </c:strCache>
            </c:strRef>
          </c:tx>
          <c:spPr>
            <a:solidFill>
              <a:schemeClr val="accent6"/>
            </a:solidFill>
            <a:ln>
              <a:noFill/>
            </a:ln>
            <a:effectLst/>
          </c:spPr>
          <c:invertIfNegative val="0"/>
          <c:cat>
            <c:numRef>
              <c:f>'DY 2022 Summary'!$B$35:$V$35</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'DY 2022 Summary'!$B$41:$V$41</c:f>
              <c:numCache>
                <c:formatCode>"$"#,##0</c:formatCode>
                <c:ptCount val="21"/>
                <c:pt idx="0">
                  <c:v>19783279.830774501</c:v>
                </c:pt>
                <c:pt idx="1">
                  <c:v>18684208.729064807</c:v>
                </c:pt>
                <c:pt idx="2">
                  <c:v>18684208.729064807</c:v>
                </c:pt>
                <c:pt idx="3">
                  <c:v>18684208.729064807</c:v>
                </c:pt>
                <c:pt idx="4">
                  <c:v>18684208.729064807</c:v>
                </c:pt>
                <c:pt idx="5">
                  <c:v>18684208.729064807</c:v>
                </c:pt>
                <c:pt idx="6">
                  <c:v>18684208.729064807</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5-9170-44FE-B64E-B9B471AF6697}"/>
            </c:ext>
          </c:extLst>
        </c:ser>
        <c:ser>
          <c:idx val="6"/>
          <c:order val="6"/>
          <c:tx>
            <c:strRef>
              <c:f>'DY 2022 Summary'!$A$42</c:f>
              <c:strCache>
                <c:ptCount val="1"/>
                <c:pt idx="0">
                  <c:v>Utility Wind</c:v>
                </c:pt>
              </c:strCache>
            </c:strRef>
          </c:tx>
          <c:spPr>
            <a:solidFill>
              <a:schemeClr val="accent1">
                <a:lumMod val="60000"/>
              </a:schemeClr>
            </a:solidFill>
            <a:ln>
              <a:noFill/>
            </a:ln>
            <a:effectLst/>
          </c:spPr>
          <c:invertIfNegative val="0"/>
          <c:cat>
            <c:numRef>
              <c:f>'DY 2022 Summary'!$B$35:$V$35</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'DY 2022 Summary'!$B$42:$V$42</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6-9170-44FE-B64E-B9B471AF6697}"/>
            </c:ext>
          </c:extLst>
        </c:ser>
        <c:ser>
          <c:idx val="7"/>
          <c:order val="7"/>
          <c:tx>
            <c:strRef>
              <c:f>'DY 2022 Summary'!$A$43</c:f>
              <c:strCache>
                <c:ptCount val="1"/>
                <c:pt idx="0">
                  <c:v>Utility Solar</c:v>
                </c:pt>
              </c:strCache>
            </c:strRef>
          </c:tx>
          <c:spPr>
            <a:solidFill>
              <a:schemeClr val="accent2">
                <a:lumMod val="60000"/>
              </a:schemeClr>
            </a:solidFill>
            <a:ln>
              <a:noFill/>
            </a:ln>
            <a:effectLst/>
          </c:spPr>
          <c:invertIfNegative val="0"/>
          <c:cat>
            <c:numRef>
              <c:f>'DY 2022 Summary'!$B$35:$V$35</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'DY 2022 Summary'!$B$43:$V$43</c:f>
              <c:numCache>
                <c:formatCode>"$"#,##0</c:formatCode>
                <c:ptCount val="21"/>
                <c:pt idx="0">
                  <c:v>0</c:v>
                </c:pt>
                <c:pt idx="1">
                  <c:v>0</c:v>
                </c:pt>
                <c:pt idx="2">
                  <c:v>0</c:v>
                </c:pt>
                <c:pt idx="3">
                  <c:v>67568456.600000009</c:v>
                </c:pt>
                <c:pt idx="4">
                  <c:v>67230614.317000002</c:v>
                </c:pt>
                <c:pt idx="5">
                  <c:v>66894461.245415002</c:v>
                </c:pt>
                <c:pt idx="6">
                  <c:v>66559988.939187929</c:v>
                </c:pt>
                <c:pt idx="7">
                  <c:v>66227188.994491987</c:v>
                </c:pt>
                <c:pt idx="8">
                  <c:v>65896053.049519524</c:v>
                </c:pt>
                <c:pt idx="9">
                  <c:v>65566572.784271926</c:v>
                </c:pt>
                <c:pt idx="10">
                  <c:v>65238739.920350559</c:v>
                </c:pt>
                <c:pt idx="11">
                  <c:v>64912546.220748812</c:v>
                </c:pt>
                <c:pt idx="12">
                  <c:v>64587983.489645064</c:v>
                </c:pt>
                <c:pt idx="13">
                  <c:v>64265043.572196834</c:v>
                </c:pt>
                <c:pt idx="14">
                  <c:v>63943718.354335845</c:v>
                </c:pt>
                <c:pt idx="15">
                  <c:v>63623999.762564167</c:v>
                </c:pt>
                <c:pt idx="16">
                  <c:v>63305879.76375135</c:v>
                </c:pt>
                <c:pt idx="17">
                  <c:v>62989350.364932589</c:v>
                </c:pt>
                <c:pt idx="18">
                  <c:v>62674403.613107927</c:v>
                </c:pt>
                <c:pt idx="19">
                  <c:v>62361031.595042385</c:v>
                </c:pt>
                <c:pt idx="20">
                  <c:v>62049226.437067166</c:v>
                </c:pt>
              </c:numCache>
            </c:numRef>
          </c:val>
          <c:extLst>
            <c:ext xmlns:c16="http://schemas.microsoft.com/office/drawing/2014/chart" uri="{C3380CC4-5D6E-409C-BE32-E72D297353CC}">
              <c16:uniqueId val="{00000007-9170-44FE-B64E-B9B471AF6697}"/>
            </c:ext>
          </c:extLst>
        </c:ser>
        <c:ser>
          <c:idx val="8"/>
          <c:order val="8"/>
          <c:tx>
            <c:strRef>
              <c:f>'DY 2022 Summary'!$A$44</c:f>
              <c:strCache>
                <c:ptCount val="1"/>
                <c:pt idx="0">
                  <c:v>Brownfield</c:v>
                </c:pt>
              </c:strCache>
            </c:strRef>
          </c:tx>
          <c:spPr>
            <a:solidFill>
              <a:schemeClr val="accent3">
                <a:lumMod val="60000"/>
              </a:schemeClr>
            </a:solidFill>
            <a:ln>
              <a:noFill/>
            </a:ln>
            <a:effectLst/>
          </c:spPr>
          <c:invertIfNegative val="0"/>
          <c:cat>
            <c:numRef>
              <c:f>'DY 2022 Summary'!$B$35:$V$35</c:f>
              <c:numCache>
                <c:formatCode>General</c:formatCode>
                <c:ptCount val="21"/>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pt idx="15">
                  <c:v>2037</c:v>
                </c:pt>
                <c:pt idx="16">
                  <c:v>2038</c:v>
                </c:pt>
                <c:pt idx="17">
                  <c:v>2039</c:v>
                </c:pt>
                <c:pt idx="18">
                  <c:v>2040</c:v>
                </c:pt>
                <c:pt idx="19">
                  <c:v>2041</c:v>
                </c:pt>
                <c:pt idx="20">
                  <c:v>2042</c:v>
                </c:pt>
              </c:numCache>
            </c:numRef>
          </c:cat>
          <c:val>
            <c:numRef>
              <c:f>'DY 2022 Summary'!$B$44:$V$44</c:f>
              <c:numCache>
                <c:formatCode>"$"#,##0</c:formatCode>
                <c:ptCount val="21"/>
                <c:pt idx="0">
                  <c:v>0</c:v>
                </c:pt>
                <c:pt idx="1">
                  <c:v>0</c:v>
                </c:pt>
                <c:pt idx="2">
                  <c:v>0</c:v>
                </c:pt>
                <c:pt idx="3">
                  <c:v>4502688.63</c:v>
                </c:pt>
                <c:pt idx="4">
                  <c:v>4480175.1868499992</c:v>
                </c:pt>
                <c:pt idx="5">
                  <c:v>4457774.3109157495</c:v>
                </c:pt>
                <c:pt idx="6">
                  <c:v>4435485.4393611709</c:v>
                </c:pt>
                <c:pt idx="7">
                  <c:v>4413308.0121643655</c:v>
                </c:pt>
                <c:pt idx="8">
                  <c:v>4391241.4721035436</c:v>
                </c:pt>
                <c:pt idx="9">
                  <c:v>4369285.2647430254</c:v>
                </c:pt>
                <c:pt idx="10">
                  <c:v>4347438.8384193107</c:v>
                </c:pt>
                <c:pt idx="11">
                  <c:v>4325701.6442272142</c:v>
                </c:pt>
                <c:pt idx="12">
                  <c:v>4304073.1360060778</c:v>
                </c:pt>
                <c:pt idx="13">
                  <c:v>4282552.7703260472</c:v>
                </c:pt>
                <c:pt idx="14">
                  <c:v>4261140.0064744176</c:v>
                </c:pt>
                <c:pt idx="15">
                  <c:v>4239834.3064420456</c:v>
                </c:pt>
                <c:pt idx="16">
                  <c:v>4218635.1349098347</c:v>
                </c:pt>
                <c:pt idx="17">
                  <c:v>4197541.9592352854</c:v>
                </c:pt>
                <c:pt idx="18">
                  <c:v>4176554.2494391096</c:v>
                </c:pt>
                <c:pt idx="19">
                  <c:v>4155671.4781919136</c:v>
                </c:pt>
                <c:pt idx="20">
                  <c:v>4134893.1208009543</c:v>
                </c:pt>
              </c:numCache>
            </c:numRef>
          </c:val>
          <c:extLst>
            <c:ext xmlns:c16="http://schemas.microsoft.com/office/drawing/2014/chart" uri="{C3380CC4-5D6E-409C-BE32-E72D297353CC}">
              <c16:uniqueId val="{00000008-9170-44FE-B64E-B9B471AF6697}"/>
            </c:ext>
          </c:extLst>
        </c:ser>
        <c:dLbls>
          <c:showLegendKey val="0"/>
          <c:showVal val="0"/>
          <c:showCatName val="0"/>
          <c:showSerName val="0"/>
          <c:showPercent val="0"/>
          <c:showBubbleSize val="0"/>
        </c:dLbls>
        <c:gapWidth val="150"/>
        <c:overlap val="100"/>
        <c:axId val="616082240"/>
        <c:axId val="616082568"/>
      </c:barChart>
      <c:catAx>
        <c:axId val="616082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16082568"/>
        <c:crosses val="autoZero"/>
        <c:auto val="1"/>
        <c:lblAlgn val="ctr"/>
        <c:lblOffset val="100"/>
        <c:noMultiLvlLbl val="0"/>
      </c:catAx>
      <c:valAx>
        <c:axId val="61608256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16082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effectLst/>
              </a:rPr>
              <a:t>DY 2023 -2024 REC Deliveries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'DY 2023 Summary'!$A$2</c:f>
              <c:strCache>
                <c:ptCount val="1"/>
                <c:pt idx="0">
                  <c:v>SDG &lt; 25 kW </c:v>
                </c:pt>
              </c:strCache>
            </c:strRef>
          </c:tx>
          <c:spPr>
            <a:solidFill>
              <a:schemeClr val="accent1"/>
            </a:solidFill>
            <a:ln>
              <a:noFill/>
            </a:ln>
            <a:effectLst/>
          </c:spPr>
          <c:invertIfNegative val="0"/>
          <c:cat>
            <c:numRef>
              <c:f>'DY 2023 Summary'!$B$1:$V$1</c:f>
              <c:numCache>
                <c:formatCode>General</c:formatCode>
                <c:ptCount val="21"/>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numCache>
            </c:numRef>
          </c:cat>
          <c:val>
            <c:numRef>
              <c:f>'DY 2023 Summary'!$B$2:$V$2</c:f>
              <c:numCache>
                <c:formatCode>_(* #,##0_);_(* \(#,##0\);_(* "-"??_);_(@_)</c:formatCode>
                <c:ptCount val="21"/>
                <c:pt idx="0">
                  <c:v>162118.73341728002</c:v>
                </c:pt>
                <c:pt idx="1">
                  <c:v>161308.1397501936</c:v>
                </c:pt>
                <c:pt idx="2">
                  <c:v>160501.59905144264</c:v>
                </c:pt>
                <c:pt idx="3">
                  <c:v>159699.09105618543</c:v>
                </c:pt>
                <c:pt idx="4">
                  <c:v>158900.59560090449</c:v>
                </c:pt>
                <c:pt idx="5">
                  <c:v>158106.09262289997</c:v>
                </c:pt>
                <c:pt idx="6">
                  <c:v>157315.56215978548</c:v>
                </c:pt>
                <c:pt idx="7">
                  <c:v>156528.98434898653</c:v>
                </c:pt>
                <c:pt idx="8">
                  <c:v>155746.33942724159</c:v>
                </c:pt>
                <c:pt idx="9">
                  <c:v>154967.6077301054</c:v>
                </c:pt>
                <c:pt idx="10">
                  <c:v>154192.76969145489</c:v>
                </c:pt>
                <c:pt idx="11">
                  <c:v>153421.80584299756</c:v>
                </c:pt>
                <c:pt idx="12">
                  <c:v>152654.69681378259</c:v>
                </c:pt>
                <c:pt idx="13">
                  <c:v>151891.42332971367</c:v>
                </c:pt>
                <c:pt idx="14">
                  <c:v>151131.96621306511</c:v>
                </c:pt>
                <c:pt idx="15">
                  <c:v>0</c:v>
                </c:pt>
                <c:pt idx="16">
                  <c:v>0</c:v>
                </c:pt>
                <c:pt idx="17">
                  <c:v>0</c:v>
                </c:pt>
                <c:pt idx="18">
                  <c:v>0</c:v>
                </c:pt>
                <c:pt idx="19">
                  <c:v>0</c:v>
                </c:pt>
                <c:pt idx="20">
                  <c:v>0</c:v>
                </c:pt>
              </c:numCache>
            </c:numRef>
          </c:val>
          <c:extLst>
            <c:ext xmlns:c16="http://schemas.microsoft.com/office/drawing/2014/chart" uri="{C3380CC4-5D6E-409C-BE32-E72D297353CC}">
              <c16:uniqueId val="{00000000-8BC8-4222-BBDD-8E9A6222219B}"/>
            </c:ext>
          </c:extLst>
        </c:ser>
        <c:ser>
          <c:idx val="1"/>
          <c:order val="1"/>
          <c:tx>
            <c:strRef>
              <c:f>'DY 2023 Summary'!$A$3</c:f>
              <c:strCache>
                <c:ptCount val="1"/>
                <c:pt idx="0">
                  <c:v>LDG &gt; 25 - 5000kW</c:v>
                </c:pt>
              </c:strCache>
            </c:strRef>
          </c:tx>
          <c:spPr>
            <a:solidFill>
              <a:schemeClr val="accent2"/>
            </a:solidFill>
            <a:ln>
              <a:noFill/>
            </a:ln>
            <a:effectLst/>
          </c:spPr>
          <c:invertIfNegative val="0"/>
          <c:cat>
            <c:numRef>
              <c:f>'DY 2023 Summary'!$B$1:$V$1</c:f>
              <c:numCache>
                <c:formatCode>General</c:formatCode>
                <c:ptCount val="21"/>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numCache>
            </c:numRef>
          </c:cat>
          <c:val>
            <c:numRef>
              <c:f>'DY 2023 Summary'!$B$3:$V$3</c:f>
              <c:numCache>
                <c:formatCode>_(* #,##0_);_(* \(#,##0\);_(* "-"??_);_(@_)</c:formatCode>
                <c:ptCount val="21"/>
                <c:pt idx="0">
                  <c:v>172602.59970134808</c:v>
                </c:pt>
                <c:pt idx="1">
                  <c:v>171739.58670284133</c:v>
                </c:pt>
                <c:pt idx="2">
                  <c:v>170880.88876932714</c:v>
                </c:pt>
                <c:pt idx="3">
                  <c:v>170026.4843254805</c:v>
                </c:pt>
                <c:pt idx="4">
                  <c:v>169176.35190385312</c:v>
                </c:pt>
                <c:pt idx="5">
                  <c:v>168330.47014433384</c:v>
                </c:pt>
                <c:pt idx="6">
                  <c:v>167488.81779361214</c:v>
                </c:pt>
                <c:pt idx="7">
                  <c:v>166651.37370464409</c:v>
                </c:pt>
                <c:pt idx="8">
                  <c:v>165818.11683612087</c:v>
                </c:pt>
                <c:pt idx="9">
                  <c:v>164989.02625194026</c:v>
                </c:pt>
                <c:pt idx="10">
                  <c:v>164164.08112068055</c:v>
                </c:pt>
                <c:pt idx="11">
                  <c:v>163343.26071507717</c:v>
                </c:pt>
                <c:pt idx="12">
                  <c:v>162526.54441150179</c:v>
                </c:pt>
                <c:pt idx="13">
                  <c:v>161713.91168944424</c:v>
                </c:pt>
                <c:pt idx="14">
                  <c:v>160905.34213099704</c:v>
                </c:pt>
                <c:pt idx="15">
                  <c:v>0</c:v>
                </c:pt>
                <c:pt idx="16">
                  <c:v>0</c:v>
                </c:pt>
                <c:pt idx="17">
                  <c:v>0</c:v>
                </c:pt>
                <c:pt idx="18">
                  <c:v>0</c:v>
                </c:pt>
                <c:pt idx="19">
                  <c:v>0</c:v>
                </c:pt>
                <c:pt idx="20">
                  <c:v>0</c:v>
                </c:pt>
              </c:numCache>
            </c:numRef>
          </c:val>
          <c:extLst>
            <c:ext xmlns:c16="http://schemas.microsoft.com/office/drawing/2014/chart" uri="{C3380CC4-5D6E-409C-BE32-E72D297353CC}">
              <c16:uniqueId val="{00000001-8BC8-4222-BBDD-8E9A6222219B}"/>
            </c:ext>
          </c:extLst>
        </c:ser>
        <c:ser>
          <c:idx val="2"/>
          <c:order val="2"/>
          <c:tx>
            <c:strRef>
              <c:f>'DY 2023 Summary'!$A$4</c:f>
              <c:strCache>
                <c:ptCount val="1"/>
                <c:pt idx="0">
                  <c:v>Traditional Community Solar</c:v>
                </c:pt>
              </c:strCache>
            </c:strRef>
          </c:tx>
          <c:spPr>
            <a:solidFill>
              <a:schemeClr val="accent3"/>
            </a:solidFill>
            <a:ln>
              <a:noFill/>
            </a:ln>
            <a:effectLst/>
          </c:spPr>
          <c:invertIfNegative val="0"/>
          <c:cat>
            <c:numRef>
              <c:f>'DY 2023 Summary'!$B$1:$V$1</c:f>
              <c:numCache>
                <c:formatCode>General</c:formatCode>
                <c:ptCount val="21"/>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numCache>
            </c:numRef>
          </c:cat>
          <c:val>
            <c:numRef>
              <c:f>'DY 2023 Summary'!$B$4:$V$4</c:f>
              <c:numCache>
                <c:formatCode>_(* #,##0_);_(* \(#,##0\);_(* "-"??_);_(@_)</c:formatCode>
                <c:ptCount val="21"/>
                <c:pt idx="0">
                  <c:v>0</c:v>
                </c:pt>
                <c:pt idx="1">
                  <c:v>296358.74531999999</c:v>
                </c:pt>
                <c:pt idx="2">
                  <c:v>294876.95159339998</c:v>
                </c:pt>
                <c:pt idx="3">
                  <c:v>293402.56683543301</c:v>
                </c:pt>
                <c:pt idx="4">
                  <c:v>291935.55400125583</c:v>
                </c:pt>
                <c:pt idx="5">
                  <c:v>290475.87623124954</c:v>
                </c:pt>
                <c:pt idx="6">
                  <c:v>289023.4968500933</c:v>
                </c:pt>
                <c:pt idx="7">
                  <c:v>287578.37936584279</c:v>
                </c:pt>
                <c:pt idx="8">
                  <c:v>286140.48746901361</c:v>
                </c:pt>
                <c:pt idx="9">
                  <c:v>284709.78503166855</c:v>
                </c:pt>
                <c:pt idx="10">
                  <c:v>283286.23610651016</c:v>
                </c:pt>
                <c:pt idx="11">
                  <c:v>281869.8049259776</c:v>
                </c:pt>
                <c:pt idx="12">
                  <c:v>280460.45590134774</c:v>
                </c:pt>
                <c:pt idx="13">
                  <c:v>279058.15362184099</c:v>
                </c:pt>
                <c:pt idx="14">
                  <c:v>277662.86285373179</c:v>
                </c:pt>
                <c:pt idx="15">
                  <c:v>276274.54853946314</c:v>
                </c:pt>
                <c:pt idx="16">
                  <c:v>274893.17579676583</c:v>
                </c:pt>
                <c:pt idx="17">
                  <c:v>273518.70991778199</c:v>
                </c:pt>
                <c:pt idx="18">
                  <c:v>272151.11636819306</c:v>
                </c:pt>
                <c:pt idx="19">
                  <c:v>270790.36078635213</c:v>
                </c:pt>
                <c:pt idx="20">
                  <c:v>269436.40898242034</c:v>
                </c:pt>
              </c:numCache>
            </c:numRef>
          </c:val>
          <c:extLst>
            <c:ext xmlns:c16="http://schemas.microsoft.com/office/drawing/2014/chart" uri="{C3380CC4-5D6E-409C-BE32-E72D297353CC}">
              <c16:uniqueId val="{00000002-8BC8-4222-BBDD-8E9A6222219B}"/>
            </c:ext>
          </c:extLst>
        </c:ser>
        <c:ser>
          <c:idx val="3"/>
          <c:order val="3"/>
          <c:tx>
            <c:strRef>
              <c:f>'DY 2023 Summary'!$A$5</c:f>
              <c:strCache>
                <c:ptCount val="1"/>
                <c:pt idx="0">
                  <c:v>Public Schools</c:v>
                </c:pt>
              </c:strCache>
            </c:strRef>
          </c:tx>
          <c:spPr>
            <a:solidFill>
              <a:schemeClr val="accent4"/>
            </a:solidFill>
            <a:ln>
              <a:noFill/>
            </a:ln>
            <a:effectLst/>
          </c:spPr>
          <c:invertIfNegative val="0"/>
          <c:cat>
            <c:numRef>
              <c:f>'DY 2023 Summary'!$B$1:$V$1</c:f>
              <c:numCache>
                <c:formatCode>General</c:formatCode>
                <c:ptCount val="21"/>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numCache>
            </c:numRef>
          </c:cat>
          <c:val>
            <c:numRef>
              <c:f>'DY 2023 Summary'!$B$5:$V$5</c:f>
              <c:numCache>
                <c:formatCode>_(* #,##0_);_(* \(#,##0\);_(* "-"??_);_(@_)</c:formatCode>
                <c:ptCount val="21"/>
                <c:pt idx="0">
                  <c:v>148179.37265999999</c:v>
                </c:pt>
                <c:pt idx="1">
                  <c:v>147438.47579669999</c:v>
                </c:pt>
                <c:pt idx="2">
                  <c:v>146701.28341771651</c:v>
                </c:pt>
                <c:pt idx="3">
                  <c:v>145967.77700062795</c:v>
                </c:pt>
                <c:pt idx="4">
                  <c:v>145237.9381156248</c:v>
                </c:pt>
                <c:pt idx="5">
                  <c:v>144511.74842504668</c:v>
                </c:pt>
                <c:pt idx="6">
                  <c:v>143789.18968292145</c:v>
                </c:pt>
                <c:pt idx="7">
                  <c:v>143070.24373450683</c:v>
                </c:pt>
                <c:pt idx="8">
                  <c:v>142354.8925158343</c:v>
                </c:pt>
                <c:pt idx="9">
                  <c:v>141643.11805325511</c:v>
                </c:pt>
                <c:pt idx="10">
                  <c:v>140934.90246298886</c:v>
                </c:pt>
                <c:pt idx="11">
                  <c:v>140230.2279506739</c:v>
                </c:pt>
                <c:pt idx="12">
                  <c:v>139529.07681092052</c:v>
                </c:pt>
                <c:pt idx="13">
                  <c:v>138831.43142686592</c:v>
                </c:pt>
                <c:pt idx="14">
                  <c:v>138137.2742697316</c:v>
                </c:pt>
                <c:pt idx="15">
                  <c:v>137446.58789838295</c:v>
                </c:pt>
                <c:pt idx="16">
                  <c:v>136759.35495889102</c:v>
                </c:pt>
                <c:pt idx="17">
                  <c:v>136075.55818409656</c:v>
                </c:pt>
                <c:pt idx="18">
                  <c:v>135395.1803931761</c:v>
                </c:pt>
                <c:pt idx="19">
                  <c:v>134718.20449121023</c:v>
                </c:pt>
                <c:pt idx="20">
                  <c:v>0</c:v>
                </c:pt>
              </c:numCache>
            </c:numRef>
          </c:val>
          <c:extLst>
            <c:ext xmlns:c16="http://schemas.microsoft.com/office/drawing/2014/chart" uri="{C3380CC4-5D6E-409C-BE32-E72D297353CC}">
              <c16:uniqueId val="{00000003-8BC8-4222-BBDD-8E9A6222219B}"/>
            </c:ext>
          </c:extLst>
        </c:ser>
        <c:ser>
          <c:idx val="4"/>
          <c:order val="4"/>
          <c:tx>
            <c:strRef>
              <c:f>'DY 2023 Summary'!$A$6</c:f>
              <c:strCache>
                <c:ptCount val="1"/>
                <c:pt idx="0">
                  <c:v>Community Driven Community Solar</c:v>
                </c:pt>
              </c:strCache>
            </c:strRef>
          </c:tx>
          <c:spPr>
            <a:solidFill>
              <a:schemeClr val="accent5"/>
            </a:solidFill>
            <a:ln>
              <a:noFill/>
            </a:ln>
            <a:effectLst/>
          </c:spPr>
          <c:invertIfNegative val="0"/>
          <c:cat>
            <c:numRef>
              <c:f>'DY 2023 Summary'!$B$1:$V$1</c:f>
              <c:numCache>
                <c:formatCode>General</c:formatCode>
                <c:ptCount val="21"/>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numCache>
            </c:numRef>
          </c:cat>
          <c:val>
            <c:numRef>
              <c:f>'DY 2023 Summary'!$B$6:$V$6</c:f>
              <c:numCache>
                <c:formatCode>_(* #,##0_);_(* \(#,##0\);_(* "-"??_);_(@_)</c:formatCode>
                <c:ptCount val="21"/>
                <c:pt idx="0">
                  <c:v>0</c:v>
                </c:pt>
                <c:pt idx="1">
                  <c:v>49393.124220000005</c:v>
                </c:pt>
                <c:pt idx="2">
                  <c:v>49146.158598900001</c:v>
                </c:pt>
                <c:pt idx="3">
                  <c:v>48900.4278059055</c:v>
                </c:pt>
                <c:pt idx="4">
                  <c:v>48655.92566687597</c:v>
                </c:pt>
                <c:pt idx="5">
                  <c:v>48412.646038541592</c:v>
                </c:pt>
                <c:pt idx="6">
                  <c:v>48170.582808348889</c:v>
                </c:pt>
                <c:pt idx="7">
                  <c:v>47929.729894307144</c:v>
                </c:pt>
                <c:pt idx="8">
                  <c:v>47690.081244835608</c:v>
                </c:pt>
                <c:pt idx="9">
                  <c:v>47451.630838611432</c:v>
                </c:pt>
                <c:pt idx="10">
                  <c:v>47214.372684418369</c:v>
                </c:pt>
                <c:pt idx="11">
                  <c:v>46978.300820996279</c:v>
                </c:pt>
                <c:pt idx="12">
                  <c:v>46743.409316891295</c:v>
                </c:pt>
                <c:pt idx="13">
                  <c:v>46509.692270306841</c:v>
                </c:pt>
                <c:pt idx="14">
                  <c:v>46277.143808955305</c:v>
                </c:pt>
                <c:pt idx="15">
                  <c:v>46045.758089910531</c:v>
                </c:pt>
                <c:pt idx="16">
                  <c:v>0</c:v>
                </c:pt>
                <c:pt idx="17">
                  <c:v>0</c:v>
                </c:pt>
                <c:pt idx="18">
                  <c:v>0</c:v>
                </c:pt>
                <c:pt idx="19">
                  <c:v>0</c:v>
                </c:pt>
                <c:pt idx="20">
                  <c:v>0</c:v>
                </c:pt>
              </c:numCache>
            </c:numRef>
          </c:val>
          <c:extLst>
            <c:ext xmlns:c16="http://schemas.microsoft.com/office/drawing/2014/chart" uri="{C3380CC4-5D6E-409C-BE32-E72D297353CC}">
              <c16:uniqueId val="{00000004-8BC8-4222-BBDD-8E9A6222219B}"/>
            </c:ext>
          </c:extLst>
        </c:ser>
        <c:ser>
          <c:idx val="5"/>
          <c:order val="5"/>
          <c:tx>
            <c:strRef>
              <c:f>'DY 2023 Summary'!$A$7</c:f>
              <c:strCache>
                <c:ptCount val="1"/>
                <c:pt idx="0">
                  <c:v>Equity Eligible Contractor</c:v>
                </c:pt>
              </c:strCache>
            </c:strRef>
          </c:tx>
          <c:spPr>
            <a:solidFill>
              <a:schemeClr val="accent6"/>
            </a:solidFill>
            <a:ln>
              <a:noFill/>
            </a:ln>
            <a:effectLst/>
          </c:spPr>
          <c:invertIfNegative val="0"/>
          <c:cat>
            <c:numRef>
              <c:f>'DY 2023 Summary'!$B$1:$V$1</c:f>
              <c:numCache>
                <c:formatCode>General</c:formatCode>
                <c:ptCount val="21"/>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numCache>
            </c:numRef>
          </c:cat>
          <c:val>
            <c:numRef>
              <c:f>'DY 2023 Summary'!$B$7:$V$7</c:f>
              <c:numCache>
                <c:formatCode>_(* #,##0_);_(* \(#,##0\);_(* "-"??_);_(@_)</c:formatCode>
                <c:ptCount val="21"/>
                <c:pt idx="0">
                  <c:v>86301.29985067404</c:v>
                </c:pt>
                <c:pt idx="1">
                  <c:v>85869.793351420667</c:v>
                </c:pt>
                <c:pt idx="2">
                  <c:v>85440.44438466357</c:v>
                </c:pt>
                <c:pt idx="3">
                  <c:v>85013.242162740251</c:v>
                </c:pt>
                <c:pt idx="4">
                  <c:v>84588.175951926562</c:v>
                </c:pt>
                <c:pt idx="5">
                  <c:v>84165.235072166921</c:v>
                </c:pt>
                <c:pt idx="6">
                  <c:v>83744.408896806068</c:v>
                </c:pt>
                <c:pt idx="7">
                  <c:v>83325.686852322047</c:v>
                </c:pt>
                <c:pt idx="8">
                  <c:v>82909.058418060435</c:v>
                </c:pt>
                <c:pt idx="9">
                  <c:v>82494.51312597013</c:v>
                </c:pt>
                <c:pt idx="10">
                  <c:v>82082.040560340276</c:v>
                </c:pt>
                <c:pt idx="11">
                  <c:v>81671.630357538583</c:v>
                </c:pt>
                <c:pt idx="12">
                  <c:v>81263.272205750894</c:v>
                </c:pt>
                <c:pt idx="13">
                  <c:v>80856.955844722121</c:v>
                </c:pt>
                <c:pt idx="14">
                  <c:v>80452.671065498522</c:v>
                </c:pt>
                <c:pt idx="15">
                  <c:v>0</c:v>
                </c:pt>
                <c:pt idx="16">
                  <c:v>0</c:v>
                </c:pt>
                <c:pt idx="17">
                  <c:v>0</c:v>
                </c:pt>
                <c:pt idx="18">
                  <c:v>0</c:v>
                </c:pt>
                <c:pt idx="19">
                  <c:v>0</c:v>
                </c:pt>
                <c:pt idx="20">
                  <c:v>0</c:v>
                </c:pt>
              </c:numCache>
            </c:numRef>
          </c:val>
          <c:extLst>
            <c:ext xmlns:c16="http://schemas.microsoft.com/office/drawing/2014/chart" uri="{C3380CC4-5D6E-409C-BE32-E72D297353CC}">
              <c16:uniqueId val="{00000005-8BC8-4222-BBDD-8E9A6222219B}"/>
            </c:ext>
          </c:extLst>
        </c:ser>
        <c:ser>
          <c:idx val="6"/>
          <c:order val="6"/>
          <c:tx>
            <c:strRef>
              <c:f>'DY 2023 Summary'!$A$8</c:f>
              <c:strCache>
                <c:ptCount val="1"/>
                <c:pt idx="0">
                  <c:v>Utility Wind</c:v>
                </c:pt>
              </c:strCache>
            </c:strRef>
          </c:tx>
          <c:spPr>
            <a:solidFill>
              <a:schemeClr val="accent1">
                <a:lumMod val="60000"/>
              </a:schemeClr>
            </a:solidFill>
            <a:ln>
              <a:noFill/>
            </a:ln>
            <a:effectLst/>
          </c:spPr>
          <c:invertIfNegative val="0"/>
          <c:cat>
            <c:numRef>
              <c:f>'DY 2023 Summary'!$B$1:$V$1</c:f>
              <c:numCache>
                <c:formatCode>General</c:formatCode>
                <c:ptCount val="21"/>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numCache>
            </c:numRef>
          </c:cat>
          <c:val>
            <c:numRef>
              <c:f>'DY 2023 Summary'!$B$8:$V$8</c:f>
              <c:numCache>
                <c:formatCode>_(* #,##0_);_(* \(#,##0\);_(* "-"??_);_(@_)</c:formatCode>
                <c:ptCount val="21"/>
                <c:pt idx="0">
                  <c:v>0</c:v>
                </c:pt>
                <c:pt idx="1">
                  <c:v>0</c:v>
                </c:pt>
                <c:pt idx="2">
                  <c:v>0</c:v>
                </c:pt>
                <c:pt idx="3">
                  <c:v>3500000</c:v>
                </c:pt>
                <c:pt idx="4">
                  <c:v>3500000</c:v>
                </c:pt>
                <c:pt idx="5">
                  <c:v>3500000</c:v>
                </c:pt>
                <c:pt idx="6">
                  <c:v>3500000</c:v>
                </c:pt>
                <c:pt idx="7">
                  <c:v>3500000</c:v>
                </c:pt>
                <c:pt idx="8">
                  <c:v>3500000</c:v>
                </c:pt>
                <c:pt idx="9">
                  <c:v>3500000</c:v>
                </c:pt>
                <c:pt idx="10">
                  <c:v>3500000</c:v>
                </c:pt>
                <c:pt idx="11">
                  <c:v>3500000</c:v>
                </c:pt>
                <c:pt idx="12">
                  <c:v>3500000</c:v>
                </c:pt>
                <c:pt idx="13">
                  <c:v>3500000</c:v>
                </c:pt>
                <c:pt idx="14">
                  <c:v>3500000</c:v>
                </c:pt>
                <c:pt idx="15">
                  <c:v>3500000</c:v>
                </c:pt>
                <c:pt idx="16">
                  <c:v>3500000</c:v>
                </c:pt>
                <c:pt idx="17">
                  <c:v>3500000</c:v>
                </c:pt>
                <c:pt idx="18">
                  <c:v>3500000</c:v>
                </c:pt>
                <c:pt idx="19">
                  <c:v>3500000</c:v>
                </c:pt>
                <c:pt idx="20">
                  <c:v>3500000</c:v>
                </c:pt>
              </c:numCache>
            </c:numRef>
          </c:val>
          <c:extLst>
            <c:ext xmlns:c16="http://schemas.microsoft.com/office/drawing/2014/chart" uri="{C3380CC4-5D6E-409C-BE32-E72D297353CC}">
              <c16:uniqueId val="{00000006-8BC8-4222-BBDD-8E9A6222219B}"/>
            </c:ext>
          </c:extLst>
        </c:ser>
        <c:ser>
          <c:idx val="7"/>
          <c:order val="7"/>
          <c:tx>
            <c:strRef>
              <c:f>'DY 2023 Summary'!$A$9</c:f>
              <c:strCache>
                <c:ptCount val="1"/>
                <c:pt idx="0">
                  <c:v>Utility Solar</c:v>
                </c:pt>
              </c:strCache>
            </c:strRef>
          </c:tx>
          <c:spPr>
            <a:solidFill>
              <a:schemeClr val="accent2">
                <a:lumMod val="60000"/>
              </a:schemeClr>
            </a:solidFill>
            <a:ln>
              <a:noFill/>
            </a:ln>
            <a:effectLst/>
          </c:spPr>
          <c:invertIfNegative val="0"/>
          <c:cat>
            <c:numRef>
              <c:f>'DY 2023 Summary'!$B$1:$V$1</c:f>
              <c:numCache>
                <c:formatCode>General</c:formatCode>
                <c:ptCount val="21"/>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numCache>
            </c:numRef>
          </c:cat>
          <c:val>
            <c:numRef>
              <c:f>'DY 2023 Summary'!$B$9:$V$9</c:f>
              <c:numCache>
                <c:formatCode>_(* #,##0_);_(* \(#,##0\);_(* "-"??_);_(@_)</c:formatCode>
                <c:ptCount val="21"/>
                <c:pt idx="0">
                  <c:v>0</c:v>
                </c:pt>
                <c:pt idx="1">
                  <c:v>0</c:v>
                </c:pt>
                <c:pt idx="2">
                  <c:v>0</c:v>
                </c:pt>
                <c:pt idx="3">
                  <c:v>1056570</c:v>
                </c:pt>
                <c:pt idx="4">
                  <c:v>1051287.1499999999</c:v>
                </c:pt>
                <c:pt idx="5">
                  <c:v>1046030.71425</c:v>
                </c:pt>
                <c:pt idx="6">
                  <c:v>1040800.5606787499</c:v>
                </c:pt>
                <c:pt idx="7">
                  <c:v>1035596.5578753562</c:v>
                </c:pt>
                <c:pt idx="8">
                  <c:v>1030418.5750859794</c:v>
                </c:pt>
                <c:pt idx="9">
                  <c:v>1025266.4822105495</c:v>
                </c:pt>
                <c:pt idx="10">
                  <c:v>1020140.1497994968</c:v>
                </c:pt>
                <c:pt idx="11">
                  <c:v>1015039.4490504992</c:v>
                </c:pt>
                <c:pt idx="12">
                  <c:v>1009964.2518052467</c:v>
                </c:pt>
                <c:pt idx="13">
                  <c:v>1004914.4305462205</c:v>
                </c:pt>
                <c:pt idx="14">
                  <c:v>999889.85839348938</c:v>
                </c:pt>
                <c:pt idx="15">
                  <c:v>994890.40910152195</c:v>
                </c:pt>
                <c:pt idx="16">
                  <c:v>989915.95705601433</c:v>
                </c:pt>
                <c:pt idx="17">
                  <c:v>984966.37727073429</c:v>
                </c:pt>
                <c:pt idx="18">
                  <c:v>980041.54538438062</c:v>
                </c:pt>
                <c:pt idx="19">
                  <c:v>975141.33765745873</c:v>
                </c:pt>
                <c:pt idx="20">
                  <c:v>970265.63096917141</c:v>
                </c:pt>
              </c:numCache>
            </c:numRef>
          </c:val>
          <c:extLst>
            <c:ext xmlns:c16="http://schemas.microsoft.com/office/drawing/2014/chart" uri="{C3380CC4-5D6E-409C-BE32-E72D297353CC}">
              <c16:uniqueId val="{00000007-8BC8-4222-BBDD-8E9A6222219B}"/>
            </c:ext>
          </c:extLst>
        </c:ser>
        <c:ser>
          <c:idx val="8"/>
          <c:order val="8"/>
          <c:tx>
            <c:strRef>
              <c:f>'DY 2023 Summary'!$A$10</c:f>
              <c:strCache>
                <c:ptCount val="1"/>
                <c:pt idx="0">
                  <c:v>Brownfield</c:v>
                </c:pt>
              </c:strCache>
            </c:strRef>
          </c:tx>
          <c:spPr>
            <a:solidFill>
              <a:schemeClr val="accent3">
                <a:lumMod val="60000"/>
              </a:schemeClr>
            </a:solidFill>
            <a:ln>
              <a:noFill/>
            </a:ln>
            <a:effectLst/>
          </c:spPr>
          <c:invertIfNegative val="0"/>
          <c:cat>
            <c:numRef>
              <c:f>'DY 2023 Summary'!$B$1:$V$1</c:f>
              <c:numCache>
                <c:formatCode>General</c:formatCode>
                <c:ptCount val="21"/>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numCache>
            </c:numRef>
          </c:cat>
          <c:val>
            <c:numRef>
              <c:f>'DY 2023 Summary'!$B$10:$V$10</c:f>
              <c:numCache>
                <c:formatCode>_(* #,##0_);_(* \(#,##0\);_(* "-"??_);_(@_)</c:formatCode>
                <c:ptCount val="21"/>
                <c:pt idx="0">
                  <c:v>0</c:v>
                </c:pt>
                <c:pt idx="1">
                  <c:v>0</c:v>
                </c:pt>
                <c:pt idx="2">
                  <c:v>0</c:v>
                </c:pt>
                <c:pt idx="3">
                  <c:v>80623</c:v>
                </c:pt>
                <c:pt idx="4">
                  <c:v>80219.884999999995</c:v>
                </c:pt>
                <c:pt idx="5">
                  <c:v>79818.785575000002</c:v>
                </c:pt>
                <c:pt idx="6">
                  <c:v>79419.691647125001</c:v>
                </c:pt>
                <c:pt idx="7">
                  <c:v>79022.593188889368</c:v>
                </c:pt>
                <c:pt idx="8">
                  <c:v>78627.480222944927</c:v>
                </c:pt>
                <c:pt idx="9">
                  <c:v>78234.3428218302</c:v>
                </c:pt>
                <c:pt idx="10">
                  <c:v>77843.171107721049</c:v>
                </c:pt>
                <c:pt idx="11">
                  <c:v>77453.955252182437</c:v>
                </c:pt>
                <c:pt idx="12">
                  <c:v>77066.68547592152</c:v>
                </c:pt>
                <c:pt idx="13">
                  <c:v>76681.352048541914</c:v>
                </c:pt>
                <c:pt idx="14">
                  <c:v>76297.945288299205</c:v>
                </c:pt>
                <c:pt idx="15">
                  <c:v>75916.455561857714</c:v>
                </c:pt>
                <c:pt idx="16">
                  <c:v>75536.87328404843</c:v>
                </c:pt>
                <c:pt idx="17">
                  <c:v>75159.188917628184</c:v>
                </c:pt>
                <c:pt idx="18">
                  <c:v>74783.392973040041</c:v>
                </c:pt>
                <c:pt idx="19">
                  <c:v>74409.476008174839</c:v>
                </c:pt>
                <c:pt idx="20">
                  <c:v>74037.428628133959</c:v>
                </c:pt>
              </c:numCache>
            </c:numRef>
          </c:val>
          <c:extLst>
            <c:ext xmlns:c16="http://schemas.microsoft.com/office/drawing/2014/chart" uri="{C3380CC4-5D6E-409C-BE32-E72D297353CC}">
              <c16:uniqueId val="{00000008-8BC8-4222-BBDD-8E9A6222219B}"/>
            </c:ext>
          </c:extLst>
        </c:ser>
        <c:dLbls>
          <c:showLegendKey val="0"/>
          <c:showVal val="0"/>
          <c:showCatName val="0"/>
          <c:showSerName val="0"/>
          <c:showPercent val="0"/>
          <c:showBubbleSize val="0"/>
        </c:dLbls>
        <c:gapWidth val="150"/>
        <c:overlap val="100"/>
        <c:axId val="653022192"/>
        <c:axId val="653025800"/>
      </c:barChart>
      <c:catAx>
        <c:axId val="65302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3025800"/>
        <c:crosses val="autoZero"/>
        <c:auto val="1"/>
        <c:lblAlgn val="ctr"/>
        <c:lblOffset val="100"/>
        <c:noMultiLvlLbl val="0"/>
      </c:catAx>
      <c:valAx>
        <c:axId val="65302580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3022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effectLst/>
              </a:rPr>
              <a:t>DY 2023 -2024 REC Payments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'DY 2023 Summary'!$A$36</c:f>
              <c:strCache>
                <c:ptCount val="1"/>
                <c:pt idx="0">
                  <c:v>SDG &lt; 25 kW </c:v>
                </c:pt>
              </c:strCache>
            </c:strRef>
          </c:tx>
          <c:spPr>
            <a:solidFill>
              <a:schemeClr val="accent1"/>
            </a:solidFill>
            <a:ln>
              <a:noFill/>
            </a:ln>
            <a:effectLst/>
          </c:spPr>
          <c:invertIfNegative val="0"/>
          <c:cat>
            <c:numRef>
              <c:f>'DY 2023 Summary'!$B$35:$V$35</c:f>
              <c:numCache>
                <c:formatCode>General</c:formatCode>
                <c:ptCount val="21"/>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numCache>
            </c:numRef>
          </c:cat>
          <c:val>
            <c:numRef>
              <c:f>'DY 2023 Summary'!$B$36:$V$36</c:f>
              <c:numCache>
                <c:formatCode>"$"#,##0</c:formatCode>
                <c:ptCount val="21"/>
                <c:pt idx="0">
                  <c:v>153483990.97419566</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F4F4-4BF9-A8C3-45B32F621CCE}"/>
            </c:ext>
          </c:extLst>
        </c:ser>
        <c:ser>
          <c:idx val="1"/>
          <c:order val="1"/>
          <c:tx>
            <c:strRef>
              <c:f>'DY 2023 Summary'!$A$37</c:f>
              <c:strCache>
                <c:ptCount val="1"/>
                <c:pt idx="0">
                  <c:v>LDG &gt; 25 - 5000kW</c:v>
                </c:pt>
              </c:strCache>
            </c:strRef>
          </c:tx>
          <c:spPr>
            <a:solidFill>
              <a:schemeClr val="accent2"/>
            </a:solidFill>
            <a:ln>
              <a:noFill/>
            </a:ln>
            <a:effectLst/>
          </c:spPr>
          <c:invertIfNegative val="0"/>
          <c:cat>
            <c:numRef>
              <c:f>'DY 2023 Summary'!$B$35:$V$35</c:f>
              <c:numCache>
                <c:formatCode>General</c:formatCode>
                <c:ptCount val="21"/>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numCache>
            </c:numRef>
          </c:cat>
          <c:val>
            <c:numRef>
              <c:f>'DY 2023 Summary'!$B$37:$V$37</c:f>
              <c:numCache>
                <c:formatCode>"$"#,##0</c:formatCode>
                <c:ptCount val="21"/>
                <c:pt idx="0">
                  <c:v>16469891.409817562</c:v>
                </c:pt>
                <c:pt idx="1">
                  <c:v>15554897.442605475</c:v>
                </c:pt>
                <c:pt idx="2">
                  <c:v>15554897.442605475</c:v>
                </c:pt>
                <c:pt idx="3">
                  <c:v>15554897.442605475</c:v>
                </c:pt>
                <c:pt idx="4">
                  <c:v>15554897.442605475</c:v>
                </c:pt>
                <c:pt idx="5">
                  <c:v>15554897.442605475</c:v>
                </c:pt>
                <c:pt idx="6">
                  <c:v>15554897.442605475</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F4F4-4BF9-A8C3-45B32F621CCE}"/>
            </c:ext>
          </c:extLst>
        </c:ser>
        <c:ser>
          <c:idx val="2"/>
          <c:order val="2"/>
          <c:tx>
            <c:strRef>
              <c:f>'DY 2023 Summary'!$A$38</c:f>
              <c:strCache>
                <c:ptCount val="1"/>
                <c:pt idx="0">
                  <c:v>Traditional Community Solar</c:v>
                </c:pt>
              </c:strCache>
            </c:strRef>
          </c:tx>
          <c:spPr>
            <a:solidFill>
              <a:schemeClr val="accent3"/>
            </a:solidFill>
            <a:ln>
              <a:noFill/>
            </a:ln>
            <a:effectLst/>
          </c:spPr>
          <c:invertIfNegative val="0"/>
          <c:cat>
            <c:numRef>
              <c:f>'DY 2023 Summary'!$B$35:$V$35</c:f>
              <c:numCache>
                <c:formatCode>General</c:formatCode>
                <c:ptCount val="21"/>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numCache>
            </c:numRef>
          </c:cat>
          <c:val>
            <c:numRef>
              <c:f>'DY 2023 Summary'!$B$38:$V$38</c:f>
              <c:numCache>
                <c:formatCode>"$"#,##0</c:formatCode>
                <c:ptCount val="21"/>
                <c:pt idx="0">
                  <c:v>0</c:v>
                </c:pt>
                <c:pt idx="1">
                  <c:v>14147123.318793274</c:v>
                </c:pt>
                <c:pt idx="2">
                  <c:v>14076387.702199306</c:v>
                </c:pt>
                <c:pt idx="3">
                  <c:v>14006005.763688311</c:v>
                </c:pt>
                <c:pt idx="4">
                  <c:v>13935975.734869869</c:v>
                </c:pt>
                <c:pt idx="5">
                  <c:v>13866295.856195521</c:v>
                </c:pt>
                <c:pt idx="6">
                  <c:v>13796964.376914542</c:v>
                </c:pt>
                <c:pt idx="7">
                  <c:v>13727979.55502997</c:v>
                </c:pt>
                <c:pt idx="8">
                  <c:v>13659339.657254821</c:v>
                </c:pt>
                <c:pt idx="9">
                  <c:v>13591042.958968544</c:v>
                </c:pt>
                <c:pt idx="10">
                  <c:v>13523087.744173702</c:v>
                </c:pt>
                <c:pt idx="11">
                  <c:v>13455472.305452833</c:v>
                </c:pt>
                <c:pt idx="12">
                  <c:v>13388194.943925569</c:v>
                </c:pt>
                <c:pt idx="13">
                  <c:v>13321253.969205942</c:v>
                </c:pt>
                <c:pt idx="14">
                  <c:v>13254647.699359912</c:v>
                </c:pt>
                <c:pt idx="15">
                  <c:v>13188374.460863113</c:v>
                </c:pt>
                <c:pt idx="16">
                  <c:v>13122432.588558799</c:v>
                </c:pt>
                <c:pt idx="17">
                  <c:v>13056820.425616004</c:v>
                </c:pt>
                <c:pt idx="18">
                  <c:v>12991536.323487923</c:v>
                </c:pt>
                <c:pt idx="19">
                  <c:v>12926578.641870482</c:v>
                </c:pt>
                <c:pt idx="20">
                  <c:v>12861945.748661131</c:v>
                </c:pt>
              </c:numCache>
            </c:numRef>
          </c:val>
          <c:extLst>
            <c:ext xmlns:c16="http://schemas.microsoft.com/office/drawing/2014/chart" uri="{C3380CC4-5D6E-409C-BE32-E72D297353CC}">
              <c16:uniqueId val="{00000002-F4F4-4BF9-A8C3-45B32F621CCE}"/>
            </c:ext>
          </c:extLst>
        </c:ser>
        <c:ser>
          <c:idx val="3"/>
          <c:order val="3"/>
          <c:tx>
            <c:strRef>
              <c:f>'DY 2023 Summary'!$A$39</c:f>
              <c:strCache>
                <c:ptCount val="1"/>
                <c:pt idx="0">
                  <c:v>Public Schools</c:v>
                </c:pt>
              </c:strCache>
            </c:strRef>
          </c:tx>
          <c:spPr>
            <a:solidFill>
              <a:schemeClr val="accent4"/>
            </a:solidFill>
            <a:ln>
              <a:noFill/>
            </a:ln>
            <a:effectLst/>
          </c:spPr>
          <c:invertIfNegative val="0"/>
          <c:cat>
            <c:numRef>
              <c:f>'DY 2023 Summary'!$B$35:$V$35</c:f>
              <c:numCache>
                <c:formatCode>General</c:formatCode>
                <c:ptCount val="21"/>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numCache>
            </c:numRef>
          </c:cat>
          <c:val>
            <c:numRef>
              <c:f>'DY 2023 Summary'!$B$39:$V$39</c:f>
              <c:numCache>
                <c:formatCode>"$"#,##0</c:formatCode>
                <c:ptCount val="21"/>
                <c:pt idx="0">
                  <c:v>7994999.9410580872</c:v>
                </c:pt>
                <c:pt idx="1">
                  <c:v>7955024.9413527967</c:v>
                </c:pt>
                <c:pt idx="2">
                  <c:v>7915249.816646032</c:v>
                </c:pt>
                <c:pt idx="3">
                  <c:v>7875673.5675628018</c:v>
                </c:pt>
                <c:pt idx="4">
                  <c:v>7836295.1997249871</c:v>
                </c:pt>
                <c:pt idx="5">
                  <c:v>7797113.7237263639</c:v>
                </c:pt>
                <c:pt idx="6">
                  <c:v>7758128.155107731</c:v>
                </c:pt>
                <c:pt idx="7">
                  <c:v>7719337.514332192</c:v>
                </c:pt>
                <c:pt idx="8">
                  <c:v>7680740.8267605323</c:v>
                </c:pt>
                <c:pt idx="9">
                  <c:v>7642337.1226267302</c:v>
                </c:pt>
                <c:pt idx="10">
                  <c:v>7604125.4370135954</c:v>
                </c:pt>
                <c:pt idx="11">
                  <c:v>7566104.8098285282</c:v>
                </c:pt>
                <c:pt idx="12">
                  <c:v>7528274.2857793849</c:v>
                </c:pt>
                <c:pt idx="13">
                  <c:v>7490632.9143504873</c:v>
                </c:pt>
                <c:pt idx="14">
                  <c:v>7453179.7497787355</c:v>
                </c:pt>
                <c:pt idx="15">
                  <c:v>7415913.8510298431</c:v>
                </c:pt>
                <c:pt idx="16">
                  <c:v>7378834.2817746932</c:v>
                </c:pt>
                <c:pt idx="17">
                  <c:v>7341940.1103658192</c:v>
                </c:pt>
                <c:pt idx="18">
                  <c:v>7305230.4098139908</c:v>
                </c:pt>
                <c:pt idx="19">
                  <c:v>7268704.2577649206</c:v>
                </c:pt>
                <c:pt idx="20">
                  <c:v>0</c:v>
                </c:pt>
              </c:numCache>
            </c:numRef>
          </c:val>
          <c:extLst>
            <c:ext xmlns:c16="http://schemas.microsoft.com/office/drawing/2014/chart" uri="{C3380CC4-5D6E-409C-BE32-E72D297353CC}">
              <c16:uniqueId val="{00000003-F4F4-4BF9-A8C3-45B32F621CCE}"/>
            </c:ext>
          </c:extLst>
        </c:ser>
        <c:ser>
          <c:idx val="4"/>
          <c:order val="4"/>
          <c:tx>
            <c:strRef>
              <c:f>'DY 2023 Summary'!$A$40</c:f>
              <c:strCache>
                <c:ptCount val="1"/>
                <c:pt idx="0">
                  <c:v>Community Driven Community Solar</c:v>
                </c:pt>
              </c:strCache>
            </c:strRef>
          </c:tx>
          <c:spPr>
            <a:solidFill>
              <a:schemeClr val="accent5"/>
            </a:solidFill>
            <a:ln>
              <a:noFill/>
            </a:ln>
            <a:effectLst/>
          </c:spPr>
          <c:invertIfNegative val="0"/>
          <c:cat>
            <c:numRef>
              <c:f>'DY 2023 Summary'!$B$35:$V$35</c:f>
              <c:numCache>
                <c:formatCode>General</c:formatCode>
                <c:ptCount val="21"/>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numCache>
            </c:numRef>
          </c:cat>
          <c:val>
            <c:numRef>
              <c:f>'DY 2023 Summary'!$B$40:$V$40</c:f>
              <c:numCache>
                <c:formatCode>"$"#,##0</c:formatCode>
                <c:ptCount val="21"/>
                <c:pt idx="0">
                  <c:v>0</c:v>
                </c:pt>
                <c:pt idx="1">
                  <c:v>6470856.0363735966</c:v>
                </c:pt>
                <c:pt idx="2">
                  <c:v>6111364.0343528409</c:v>
                </c:pt>
                <c:pt idx="3">
                  <c:v>6111364.0343528409</c:v>
                </c:pt>
                <c:pt idx="4">
                  <c:v>6111364.0343528409</c:v>
                </c:pt>
                <c:pt idx="5">
                  <c:v>6111364.0343528409</c:v>
                </c:pt>
                <c:pt idx="6">
                  <c:v>6111364.0343528409</c:v>
                </c:pt>
                <c:pt idx="7">
                  <c:v>6111364.0343528409</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4-F4F4-4BF9-A8C3-45B32F621CCE}"/>
            </c:ext>
          </c:extLst>
        </c:ser>
        <c:ser>
          <c:idx val="5"/>
          <c:order val="5"/>
          <c:tx>
            <c:strRef>
              <c:f>'DY 2023 Summary'!$A$41</c:f>
              <c:strCache>
                <c:ptCount val="1"/>
                <c:pt idx="0">
                  <c:v>Equity Eligible Contractor</c:v>
                </c:pt>
              </c:strCache>
            </c:strRef>
          </c:tx>
          <c:spPr>
            <a:solidFill>
              <a:schemeClr val="accent6"/>
            </a:solidFill>
            <a:ln>
              <a:noFill/>
            </a:ln>
            <a:effectLst/>
          </c:spPr>
          <c:invertIfNegative val="0"/>
          <c:cat>
            <c:numRef>
              <c:f>'DY 2023 Summary'!$B$35:$V$35</c:f>
              <c:numCache>
                <c:formatCode>General</c:formatCode>
                <c:ptCount val="21"/>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numCache>
            </c:numRef>
          </c:cat>
          <c:val>
            <c:numRef>
              <c:f>'DY 2023 Summary'!$B$41:$V$41</c:f>
              <c:numCache>
                <c:formatCode>"$"#,##0</c:formatCode>
                <c:ptCount val="21"/>
                <c:pt idx="0">
                  <c:v>8234945.7049087808</c:v>
                </c:pt>
                <c:pt idx="1">
                  <c:v>7777448.7213027375</c:v>
                </c:pt>
                <c:pt idx="2">
                  <c:v>7777448.7213027375</c:v>
                </c:pt>
                <c:pt idx="3">
                  <c:v>7777448.7213027375</c:v>
                </c:pt>
                <c:pt idx="4">
                  <c:v>7777448.7213027375</c:v>
                </c:pt>
                <c:pt idx="5">
                  <c:v>7777448.7213027375</c:v>
                </c:pt>
                <c:pt idx="6">
                  <c:v>7777448.7213027375</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5-F4F4-4BF9-A8C3-45B32F621CCE}"/>
            </c:ext>
          </c:extLst>
        </c:ser>
        <c:ser>
          <c:idx val="6"/>
          <c:order val="6"/>
          <c:tx>
            <c:strRef>
              <c:f>'DY 2023 Summary'!$A$42</c:f>
              <c:strCache>
                <c:ptCount val="1"/>
                <c:pt idx="0">
                  <c:v>Utility Wind</c:v>
                </c:pt>
              </c:strCache>
            </c:strRef>
          </c:tx>
          <c:spPr>
            <a:solidFill>
              <a:schemeClr val="accent1">
                <a:lumMod val="60000"/>
              </a:schemeClr>
            </a:solidFill>
            <a:ln>
              <a:noFill/>
            </a:ln>
            <a:effectLst/>
          </c:spPr>
          <c:invertIfNegative val="0"/>
          <c:cat>
            <c:numRef>
              <c:f>'DY 2023 Summary'!$B$35:$V$35</c:f>
              <c:numCache>
                <c:formatCode>General</c:formatCode>
                <c:ptCount val="21"/>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numCache>
            </c:numRef>
          </c:cat>
          <c:val>
            <c:numRef>
              <c:f>'DY 2023 Summary'!$B$42:$V$42</c:f>
              <c:numCache>
                <c:formatCode>"$"#,##0</c:formatCode>
                <c:ptCount val="21"/>
                <c:pt idx="0">
                  <c:v>0</c:v>
                </c:pt>
                <c:pt idx="1">
                  <c:v>0</c:v>
                </c:pt>
                <c:pt idx="2">
                  <c:v>0</c:v>
                </c:pt>
                <c:pt idx="3">
                  <c:v>184205000</c:v>
                </c:pt>
                <c:pt idx="4">
                  <c:v>184205000</c:v>
                </c:pt>
                <c:pt idx="5">
                  <c:v>184205000</c:v>
                </c:pt>
                <c:pt idx="6">
                  <c:v>184205000</c:v>
                </c:pt>
                <c:pt idx="7">
                  <c:v>184205000</c:v>
                </c:pt>
                <c:pt idx="8">
                  <c:v>184205000</c:v>
                </c:pt>
                <c:pt idx="9">
                  <c:v>184205000</c:v>
                </c:pt>
                <c:pt idx="10">
                  <c:v>184205000</c:v>
                </c:pt>
                <c:pt idx="11">
                  <c:v>184205000</c:v>
                </c:pt>
                <c:pt idx="12">
                  <c:v>184205000</c:v>
                </c:pt>
                <c:pt idx="13">
                  <c:v>184205000</c:v>
                </c:pt>
                <c:pt idx="14">
                  <c:v>184205000</c:v>
                </c:pt>
                <c:pt idx="15">
                  <c:v>184205000</c:v>
                </c:pt>
                <c:pt idx="16">
                  <c:v>184205000</c:v>
                </c:pt>
                <c:pt idx="17">
                  <c:v>184205000</c:v>
                </c:pt>
                <c:pt idx="18">
                  <c:v>184205000</c:v>
                </c:pt>
                <c:pt idx="19">
                  <c:v>184205000</c:v>
                </c:pt>
                <c:pt idx="20">
                  <c:v>0</c:v>
                </c:pt>
              </c:numCache>
            </c:numRef>
          </c:val>
          <c:extLst>
            <c:ext xmlns:c16="http://schemas.microsoft.com/office/drawing/2014/chart" uri="{C3380CC4-5D6E-409C-BE32-E72D297353CC}">
              <c16:uniqueId val="{00000006-F4F4-4BF9-A8C3-45B32F621CCE}"/>
            </c:ext>
          </c:extLst>
        </c:ser>
        <c:ser>
          <c:idx val="7"/>
          <c:order val="7"/>
          <c:tx>
            <c:strRef>
              <c:f>'DY 2023 Summary'!$A$43</c:f>
              <c:strCache>
                <c:ptCount val="1"/>
                <c:pt idx="0">
                  <c:v>Utility Solar</c:v>
                </c:pt>
              </c:strCache>
            </c:strRef>
          </c:tx>
          <c:spPr>
            <a:solidFill>
              <a:schemeClr val="accent2">
                <a:lumMod val="60000"/>
              </a:schemeClr>
            </a:solidFill>
            <a:ln>
              <a:noFill/>
            </a:ln>
            <a:effectLst/>
          </c:spPr>
          <c:invertIfNegative val="0"/>
          <c:cat>
            <c:numRef>
              <c:f>'DY 2023 Summary'!$B$35:$V$35</c:f>
              <c:numCache>
                <c:formatCode>General</c:formatCode>
                <c:ptCount val="21"/>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numCache>
            </c:numRef>
          </c:cat>
          <c:val>
            <c:numRef>
              <c:f>'DY 2023 Summary'!$B$43:$V$43</c:f>
              <c:numCache>
                <c:formatCode>"$"#,##0</c:formatCode>
                <c:ptCount val="21"/>
                <c:pt idx="0">
                  <c:v>0</c:v>
                </c:pt>
                <c:pt idx="1">
                  <c:v>0</c:v>
                </c:pt>
                <c:pt idx="2">
                  <c:v>0</c:v>
                </c:pt>
                <c:pt idx="3">
                  <c:v>75671543.400000006</c:v>
                </c:pt>
                <c:pt idx="4">
                  <c:v>75293185.682999998</c:v>
                </c:pt>
                <c:pt idx="5">
                  <c:v>74916719.754584998</c:v>
                </c:pt>
                <c:pt idx="6">
                  <c:v>74542136.15581207</c:v>
                </c:pt>
                <c:pt idx="7">
                  <c:v>74169425.475033015</c:v>
                </c:pt>
                <c:pt idx="8">
                  <c:v>73798578.347657844</c:v>
                </c:pt>
                <c:pt idx="9">
                  <c:v>73429585.455919564</c:v>
                </c:pt>
                <c:pt idx="10">
                  <c:v>73062437.528639957</c:v>
                </c:pt>
                <c:pt idx="11">
                  <c:v>72697125.340996757</c:v>
                </c:pt>
                <c:pt idx="12">
                  <c:v>72333639.714291766</c:v>
                </c:pt>
                <c:pt idx="13">
                  <c:v>71971971.515720323</c:v>
                </c:pt>
                <c:pt idx="14">
                  <c:v>71612111.658141717</c:v>
                </c:pt>
                <c:pt idx="15">
                  <c:v>71254051.099851012</c:v>
                </c:pt>
                <c:pt idx="16">
                  <c:v>70897780.844351754</c:v>
                </c:pt>
                <c:pt idx="17">
                  <c:v>70543291.940129995</c:v>
                </c:pt>
                <c:pt idx="18">
                  <c:v>70190575.480429351</c:v>
                </c:pt>
                <c:pt idx="19">
                  <c:v>69839622.603027195</c:v>
                </c:pt>
                <c:pt idx="20">
                  <c:v>0</c:v>
                </c:pt>
              </c:numCache>
            </c:numRef>
          </c:val>
          <c:extLst>
            <c:ext xmlns:c16="http://schemas.microsoft.com/office/drawing/2014/chart" uri="{C3380CC4-5D6E-409C-BE32-E72D297353CC}">
              <c16:uniqueId val="{00000007-F4F4-4BF9-A8C3-45B32F621CCE}"/>
            </c:ext>
          </c:extLst>
        </c:ser>
        <c:ser>
          <c:idx val="8"/>
          <c:order val="8"/>
          <c:tx>
            <c:strRef>
              <c:f>'DY 2023 Summary'!$A$44</c:f>
              <c:strCache>
                <c:ptCount val="1"/>
                <c:pt idx="0">
                  <c:v>Brownfield</c:v>
                </c:pt>
              </c:strCache>
            </c:strRef>
          </c:tx>
          <c:spPr>
            <a:solidFill>
              <a:schemeClr val="accent3">
                <a:lumMod val="60000"/>
              </a:schemeClr>
            </a:solidFill>
            <a:ln>
              <a:noFill/>
            </a:ln>
            <a:effectLst/>
          </c:spPr>
          <c:invertIfNegative val="0"/>
          <c:cat>
            <c:numRef>
              <c:f>'DY 2023 Summary'!$B$35:$V$35</c:f>
              <c:numCache>
                <c:formatCode>General</c:formatCode>
                <c:ptCount val="21"/>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pt idx="20">
                  <c:v>2043</c:v>
                </c:pt>
              </c:numCache>
            </c:numRef>
          </c:cat>
          <c:val>
            <c:numRef>
              <c:f>'DY 2023 Summary'!$B$44:$V$44</c:f>
              <c:numCache>
                <c:formatCode>"$"#,##0</c:formatCode>
                <c:ptCount val="21"/>
                <c:pt idx="0">
                  <c:v>0</c:v>
                </c:pt>
                <c:pt idx="1">
                  <c:v>0</c:v>
                </c:pt>
                <c:pt idx="2">
                  <c:v>0</c:v>
                </c:pt>
                <c:pt idx="3">
                  <c:v>7352011.3700000001</c:v>
                </c:pt>
                <c:pt idx="4">
                  <c:v>7315251.3131499989</c:v>
                </c:pt>
                <c:pt idx="5">
                  <c:v>7278675.0565842502</c:v>
                </c:pt>
                <c:pt idx="6">
                  <c:v>7242281.6813013284</c:v>
                </c:pt>
                <c:pt idx="7">
                  <c:v>7206070.2728948211</c:v>
                </c:pt>
                <c:pt idx="8">
                  <c:v>7170039.9215303473</c:v>
                </c:pt>
                <c:pt idx="9">
                  <c:v>7134189.7219226956</c:v>
                </c:pt>
                <c:pt idx="10">
                  <c:v>7098518.7733130828</c:v>
                </c:pt>
                <c:pt idx="11">
                  <c:v>7063026.1794465166</c:v>
                </c:pt>
                <c:pt idx="12">
                  <c:v>7027711.0485492833</c:v>
                </c:pt>
                <c:pt idx="13">
                  <c:v>6992572.4933065372</c:v>
                </c:pt>
                <c:pt idx="14">
                  <c:v>6957609.6308400044</c:v>
                </c:pt>
                <c:pt idx="15">
                  <c:v>6922821.5826858049</c:v>
                </c:pt>
                <c:pt idx="16">
                  <c:v>6888207.474772376</c:v>
                </c:pt>
                <c:pt idx="17">
                  <c:v>6853766.4373985138</c:v>
                </c:pt>
                <c:pt idx="18">
                  <c:v>6819497.6052115215</c:v>
                </c:pt>
                <c:pt idx="19">
                  <c:v>6785400.1171854632</c:v>
                </c:pt>
                <c:pt idx="20">
                  <c:v>0</c:v>
                </c:pt>
              </c:numCache>
            </c:numRef>
          </c:val>
          <c:extLst>
            <c:ext xmlns:c16="http://schemas.microsoft.com/office/drawing/2014/chart" uri="{C3380CC4-5D6E-409C-BE32-E72D297353CC}">
              <c16:uniqueId val="{00000008-F4F4-4BF9-A8C3-45B32F621CCE}"/>
            </c:ext>
          </c:extLst>
        </c:ser>
        <c:dLbls>
          <c:showLegendKey val="0"/>
          <c:showVal val="0"/>
          <c:showCatName val="0"/>
          <c:showSerName val="0"/>
          <c:showPercent val="0"/>
          <c:showBubbleSize val="0"/>
        </c:dLbls>
        <c:gapWidth val="150"/>
        <c:overlap val="100"/>
        <c:axId val="677333080"/>
        <c:axId val="677332424"/>
      </c:barChart>
      <c:catAx>
        <c:axId val="6773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7332424"/>
        <c:crosses val="autoZero"/>
        <c:auto val="1"/>
        <c:lblAlgn val="ctr"/>
        <c:lblOffset val="100"/>
        <c:noMultiLvlLbl val="0"/>
      </c:catAx>
      <c:valAx>
        <c:axId val="67733242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7333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effectLst/>
              </a:rPr>
              <a:t>DY 2024 -2025 REC Deliveries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'DY 2024 Summary'!$A$2</c:f>
              <c:strCache>
                <c:ptCount val="1"/>
                <c:pt idx="0">
                  <c:v>SDG &lt; 25 kW </c:v>
                </c:pt>
              </c:strCache>
            </c:strRef>
          </c:tx>
          <c:spPr>
            <a:solidFill>
              <a:schemeClr val="accent1"/>
            </a:solidFill>
            <a:ln>
              <a:noFill/>
            </a:ln>
            <a:effectLst/>
          </c:spPr>
          <c:invertIfNegative val="0"/>
          <c:cat>
            <c:numRef>
              <c:f>'DY 2024 Summary'!$B$1:$V$1</c:f>
              <c:numCache>
                <c:formatCode>General</c:formatCode>
                <c:ptCount val="21"/>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numCache>
            </c:numRef>
          </c:cat>
          <c:val>
            <c:numRef>
              <c:f>'DY 2024 Summary'!$B$2:$V$2</c:f>
              <c:numCache>
                <c:formatCode>_(* #,##0_);_(* \(#,##0\);_(* "-"??_);_(@_)</c:formatCode>
                <c:ptCount val="21"/>
                <c:pt idx="0">
                  <c:v>162118.73341728002</c:v>
                </c:pt>
                <c:pt idx="1">
                  <c:v>161308.1397501936</c:v>
                </c:pt>
                <c:pt idx="2">
                  <c:v>160501.59905144264</c:v>
                </c:pt>
                <c:pt idx="3">
                  <c:v>159699.09105618543</c:v>
                </c:pt>
                <c:pt idx="4">
                  <c:v>158900.59560090449</c:v>
                </c:pt>
                <c:pt idx="5">
                  <c:v>158106.09262289997</c:v>
                </c:pt>
                <c:pt idx="6">
                  <c:v>157315.56215978548</c:v>
                </c:pt>
                <c:pt idx="7">
                  <c:v>156528.98434898653</c:v>
                </c:pt>
                <c:pt idx="8">
                  <c:v>155746.33942724159</c:v>
                </c:pt>
                <c:pt idx="9">
                  <c:v>154967.6077301054</c:v>
                </c:pt>
                <c:pt idx="10">
                  <c:v>154192.76969145489</c:v>
                </c:pt>
                <c:pt idx="11">
                  <c:v>153421.80584299756</c:v>
                </c:pt>
                <c:pt idx="12">
                  <c:v>152654.69681378259</c:v>
                </c:pt>
                <c:pt idx="13">
                  <c:v>151891.42332971367</c:v>
                </c:pt>
                <c:pt idx="14">
                  <c:v>151131.96621306511</c:v>
                </c:pt>
                <c:pt idx="15">
                  <c:v>0</c:v>
                </c:pt>
                <c:pt idx="16">
                  <c:v>0</c:v>
                </c:pt>
                <c:pt idx="17">
                  <c:v>0</c:v>
                </c:pt>
                <c:pt idx="18">
                  <c:v>0</c:v>
                </c:pt>
                <c:pt idx="19">
                  <c:v>0</c:v>
                </c:pt>
                <c:pt idx="20">
                  <c:v>0</c:v>
                </c:pt>
              </c:numCache>
            </c:numRef>
          </c:val>
          <c:extLst>
            <c:ext xmlns:c16="http://schemas.microsoft.com/office/drawing/2014/chart" uri="{C3380CC4-5D6E-409C-BE32-E72D297353CC}">
              <c16:uniqueId val="{00000000-AD9A-43C9-A9CF-B9F88DC4A236}"/>
            </c:ext>
          </c:extLst>
        </c:ser>
        <c:ser>
          <c:idx val="1"/>
          <c:order val="1"/>
          <c:tx>
            <c:strRef>
              <c:f>'DY 2024 Summary'!$A$3</c:f>
              <c:strCache>
                <c:ptCount val="1"/>
                <c:pt idx="0">
                  <c:v>LDG &gt; 25 - 5000kW</c:v>
                </c:pt>
              </c:strCache>
            </c:strRef>
          </c:tx>
          <c:spPr>
            <a:solidFill>
              <a:schemeClr val="accent2"/>
            </a:solidFill>
            <a:ln>
              <a:noFill/>
            </a:ln>
            <a:effectLst/>
          </c:spPr>
          <c:invertIfNegative val="0"/>
          <c:cat>
            <c:numRef>
              <c:f>'DY 2024 Summary'!$B$1:$V$1</c:f>
              <c:numCache>
                <c:formatCode>General</c:formatCode>
                <c:ptCount val="21"/>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numCache>
            </c:numRef>
          </c:cat>
          <c:val>
            <c:numRef>
              <c:f>'DY 2024 Summary'!$B$3:$V$3</c:f>
              <c:numCache>
                <c:formatCode>_(* #,##0_);_(* \(#,##0\);_(* "-"??_);_(@_)</c:formatCode>
                <c:ptCount val="21"/>
                <c:pt idx="0">
                  <c:v>172602.59970134808</c:v>
                </c:pt>
                <c:pt idx="1">
                  <c:v>171739.58670284133</c:v>
                </c:pt>
                <c:pt idx="2">
                  <c:v>170880.88876932714</c:v>
                </c:pt>
                <c:pt idx="3">
                  <c:v>170026.4843254805</c:v>
                </c:pt>
                <c:pt idx="4">
                  <c:v>169176.35190385312</c:v>
                </c:pt>
                <c:pt idx="5">
                  <c:v>168330.47014433384</c:v>
                </c:pt>
                <c:pt idx="6">
                  <c:v>167488.81779361214</c:v>
                </c:pt>
                <c:pt idx="7">
                  <c:v>166651.37370464409</c:v>
                </c:pt>
                <c:pt idx="8">
                  <c:v>165818.11683612087</c:v>
                </c:pt>
                <c:pt idx="9">
                  <c:v>164989.02625194026</c:v>
                </c:pt>
                <c:pt idx="10">
                  <c:v>164164.08112068055</c:v>
                </c:pt>
                <c:pt idx="11">
                  <c:v>163343.26071507717</c:v>
                </c:pt>
                <c:pt idx="12">
                  <c:v>162526.54441150179</c:v>
                </c:pt>
                <c:pt idx="13">
                  <c:v>161713.91168944424</c:v>
                </c:pt>
                <c:pt idx="14">
                  <c:v>160905.34213099704</c:v>
                </c:pt>
                <c:pt idx="15">
                  <c:v>0</c:v>
                </c:pt>
                <c:pt idx="16">
                  <c:v>0</c:v>
                </c:pt>
                <c:pt idx="17">
                  <c:v>0</c:v>
                </c:pt>
                <c:pt idx="18">
                  <c:v>0</c:v>
                </c:pt>
                <c:pt idx="19">
                  <c:v>0</c:v>
                </c:pt>
                <c:pt idx="20">
                  <c:v>0</c:v>
                </c:pt>
              </c:numCache>
            </c:numRef>
          </c:val>
          <c:extLst>
            <c:ext xmlns:c16="http://schemas.microsoft.com/office/drawing/2014/chart" uri="{C3380CC4-5D6E-409C-BE32-E72D297353CC}">
              <c16:uniqueId val="{00000001-AD9A-43C9-A9CF-B9F88DC4A236}"/>
            </c:ext>
          </c:extLst>
        </c:ser>
        <c:ser>
          <c:idx val="2"/>
          <c:order val="2"/>
          <c:tx>
            <c:strRef>
              <c:f>'DY 2024 Summary'!$A$4</c:f>
              <c:strCache>
                <c:ptCount val="1"/>
                <c:pt idx="0">
                  <c:v>Traditional Community Solar</c:v>
                </c:pt>
              </c:strCache>
            </c:strRef>
          </c:tx>
          <c:spPr>
            <a:solidFill>
              <a:schemeClr val="accent3"/>
            </a:solidFill>
            <a:ln>
              <a:noFill/>
            </a:ln>
            <a:effectLst/>
          </c:spPr>
          <c:invertIfNegative val="0"/>
          <c:cat>
            <c:numRef>
              <c:f>'DY 2024 Summary'!$B$1:$V$1</c:f>
              <c:numCache>
                <c:formatCode>General</c:formatCode>
                <c:ptCount val="21"/>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numCache>
            </c:numRef>
          </c:cat>
          <c:val>
            <c:numRef>
              <c:f>'DY 2024 Summary'!$B$4:$V$4</c:f>
              <c:numCache>
                <c:formatCode>_(* #,##0_);_(* \(#,##0\);_(* "-"??_);_(@_)</c:formatCode>
                <c:ptCount val="21"/>
                <c:pt idx="0">
                  <c:v>0</c:v>
                </c:pt>
                <c:pt idx="1">
                  <c:v>296358.74531999999</c:v>
                </c:pt>
                <c:pt idx="2">
                  <c:v>294876.95159339998</c:v>
                </c:pt>
                <c:pt idx="3">
                  <c:v>293402.56683543301</c:v>
                </c:pt>
                <c:pt idx="4">
                  <c:v>291935.55400125583</c:v>
                </c:pt>
                <c:pt idx="5">
                  <c:v>290475.87623124954</c:v>
                </c:pt>
                <c:pt idx="6">
                  <c:v>289023.4968500933</c:v>
                </c:pt>
                <c:pt idx="7">
                  <c:v>287578.37936584279</c:v>
                </c:pt>
                <c:pt idx="8">
                  <c:v>286140.48746901361</c:v>
                </c:pt>
                <c:pt idx="9">
                  <c:v>284709.78503166855</c:v>
                </c:pt>
                <c:pt idx="10">
                  <c:v>283286.23610651016</c:v>
                </c:pt>
                <c:pt idx="11">
                  <c:v>281869.8049259776</c:v>
                </c:pt>
                <c:pt idx="12">
                  <c:v>280460.45590134774</c:v>
                </c:pt>
                <c:pt idx="13">
                  <c:v>279058.15362184099</c:v>
                </c:pt>
                <c:pt idx="14">
                  <c:v>277662.86285373179</c:v>
                </c:pt>
                <c:pt idx="15">
                  <c:v>276274.54853946314</c:v>
                </c:pt>
                <c:pt idx="16">
                  <c:v>274893.17579676583</c:v>
                </c:pt>
                <c:pt idx="17">
                  <c:v>273518.70991778199</c:v>
                </c:pt>
                <c:pt idx="18">
                  <c:v>272151.11636819306</c:v>
                </c:pt>
                <c:pt idx="19">
                  <c:v>270790.36078635213</c:v>
                </c:pt>
                <c:pt idx="20">
                  <c:v>269436.40898242034</c:v>
                </c:pt>
              </c:numCache>
            </c:numRef>
          </c:val>
          <c:extLst>
            <c:ext xmlns:c16="http://schemas.microsoft.com/office/drawing/2014/chart" uri="{C3380CC4-5D6E-409C-BE32-E72D297353CC}">
              <c16:uniqueId val="{00000002-AD9A-43C9-A9CF-B9F88DC4A236}"/>
            </c:ext>
          </c:extLst>
        </c:ser>
        <c:ser>
          <c:idx val="3"/>
          <c:order val="3"/>
          <c:tx>
            <c:strRef>
              <c:f>'DY 2024 Summary'!$A$5</c:f>
              <c:strCache>
                <c:ptCount val="1"/>
                <c:pt idx="0">
                  <c:v>Public Schools</c:v>
                </c:pt>
              </c:strCache>
            </c:strRef>
          </c:tx>
          <c:spPr>
            <a:solidFill>
              <a:schemeClr val="accent4"/>
            </a:solidFill>
            <a:ln>
              <a:noFill/>
            </a:ln>
            <a:effectLst/>
          </c:spPr>
          <c:invertIfNegative val="0"/>
          <c:cat>
            <c:numRef>
              <c:f>'DY 2024 Summary'!$B$1:$V$1</c:f>
              <c:numCache>
                <c:formatCode>General</c:formatCode>
                <c:ptCount val="21"/>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numCache>
            </c:numRef>
          </c:cat>
          <c:val>
            <c:numRef>
              <c:f>'DY 2024 Summary'!$B$5:$V$5</c:f>
              <c:numCache>
                <c:formatCode>_(* #,##0_);_(* \(#,##0\);_(* "-"??_);_(@_)</c:formatCode>
                <c:ptCount val="21"/>
                <c:pt idx="0">
                  <c:v>148179.37265999999</c:v>
                </c:pt>
                <c:pt idx="1">
                  <c:v>147438.47579669999</c:v>
                </c:pt>
                <c:pt idx="2">
                  <c:v>146701.28341771651</c:v>
                </c:pt>
                <c:pt idx="3">
                  <c:v>145967.77700062795</c:v>
                </c:pt>
                <c:pt idx="4">
                  <c:v>145237.9381156248</c:v>
                </c:pt>
                <c:pt idx="5">
                  <c:v>144511.74842504668</c:v>
                </c:pt>
                <c:pt idx="6">
                  <c:v>143789.18968292145</c:v>
                </c:pt>
                <c:pt idx="7">
                  <c:v>143070.24373450683</c:v>
                </c:pt>
                <c:pt idx="8">
                  <c:v>142354.8925158343</c:v>
                </c:pt>
                <c:pt idx="9">
                  <c:v>141643.11805325511</c:v>
                </c:pt>
                <c:pt idx="10">
                  <c:v>140934.90246298886</c:v>
                </c:pt>
                <c:pt idx="11">
                  <c:v>140230.2279506739</c:v>
                </c:pt>
                <c:pt idx="12">
                  <c:v>139529.07681092052</c:v>
                </c:pt>
                <c:pt idx="13">
                  <c:v>138831.43142686592</c:v>
                </c:pt>
                <c:pt idx="14">
                  <c:v>138137.2742697316</c:v>
                </c:pt>
                <c:pt idx="15">
                  <c:v>137446.58789838295</c:v>
                </c:pt>
                <c:pt idx="16">
                  <c:v>136759.35495889102</c:v>
                </c:pt>
                <c:pt idx="17">
                  <c:v>136075.55818409656</c:v>
                </c:pt>
                <c:pt idx="18">
                  <c:v>135395.1803931761</c:v>
                </c:pt>
                <c:pt idx="19">
                  <c:v>134718.20449121023</c:v>
                </c:pt>
                <c:pt idx="20">
                  <c:v>0</c:v>
                </c:pt>
              </c:numCache>
            </c:numRef>
          </c:val>
          <c:extLst>
            <c:ext xmlns:c16="http://schemas.microsoft.com/office/drawing/2014/chart" uri="{C3380CC4-5D6E-409C-BE32-E72D297353CC}">
              <c16:uniqueId val="{00000003-AD9A-43C9-A9CF-B9F88DC4A236}"/>
            </c:ext>
          </c:extLst>
        </c:ser>
        <c:ser>
          <c:idx val="4"/>
          <c:order val="4"/>
          <c:tx>
            <c:strRef>
              <c:f>'DY 2024 Summary'!$A$6</c:f>
              <c:strCache>
                <c:ptCount val="1"/>
                <c:pt idx="0">
                  <c:v>Community Driven Community Solar</c:v>
                </c:pt>
              </c:strCache>
            </c:strRef>
          </c:tx>
          <c:spPr>
            <a:solidFill>
              <a:schemeClr val="accent5"/>
            </a:solidFill>
            <a:ln>
              <a:noFill/>
            </a:ln>
            <a:effectLst/>
          </c:spPr>
          <c:invertIfNegative val="0"/>
          <c:cat>
            <c:numRef>
              <c:f>'DY 2024 Summary'!$B$1:$V$1</c:f>
              <c:numCache>
                <c:formatCode>General</c:formatCode>
                <c:ptCount val="21"/>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numCache>
            </c:numRef>
          </c:cat>
          <c:val>
            <c:numRef>
              <c:f>'DY 2024 Summary'!$B$6:$V$6</c:f>
              <c:numCache>
                <c:formatCode>_(* #,##0_);_(* \(#,##0\);_(* "-"??_);_(@_)</c:formatCode>
                <c:ptCount val="21"/>
                <c:pt idx="0">
                  <c:v>0</c:v>
                </c:pt>
                <c:pt idx="1">
                  <c:v>49393.124220000005</c:v>
                </c:pt>
                <c:pt idx="2">
                  <c:v>49146.158598900001</c:v>
                </c:pt>
                <c:pt idx="3">
                  <c:v>48900.4278059055</c:v>
                </c:pt>
                <c:pt idx="4">
                  <c:v>48655.92566687597</c:v>
                </c:pt>
                <c:pt idx="5">
                  <c:v>48412.646038541592</c:v>
                </c:pt>
                <c:pt idx="6">
                  <c:v>48170.582808348889</c:v>
                </c:pt>
                <c:pt idx="7">
                  <c:v>47929.729894307144</c:v>
                </c:pt>
                <c:pt idx="8">
                  <c:v>47690.081244835608</c:v>
                </c:pt>
                <c:pt idx="9">
                  <c:v>47451.630838611432</c:v>
                </c:pt>
                <c:pt idx="10">
                  <c:v>47214.372684418369</c:v>
                </c:pt>
                <c:pt idx="11">
                  <c:v>46978.300820996279</c:v>
                </c:pt>
                <c:pt idx="12">
                  <c:v>46743.409316891295</c:v>
                </c:pt>
                <c:pt idx="13">
                  <c:v>46509.692270306841</c:v>
                </c:pt>
                <c:pt idx="14">
                  <c:v>46277.143808955305</c:v>
                </c:pt>
                <c:pt idx="15">
                  <c:v>46045.758089910531</c:v>
                </c:pt>
                <c:pt idx="16">
                  <c:v>0</c:v>
                </c:pt>
                <c:pt idx="17">
                  <c:v>0</c:v>
                </c:pt>
                <c:pt idx="18">
                  <c:v>0</c:v>
                </c:pt>
                <c:pt idx="19">
                  <c:v>0</c:v>
                </c:pt>
                <c:pt idx="20">
                  <c:v>0</c:v>
                </c:pt>
              </c:numCache>
            </c:numRef>
          </c:val>
          <c:extLst>
            <c:ext xmlns:c16="http://schemas.microsoft.com/office/drawing/2014/chart" uri="{C3380CC4-5D6E-409C-BE32-E72D297353CC}">
              <c16:uniqueId val="{00000004-AD9A-43C9-A9CF-B9F88DC4A236}"/>
            </c:ext>
          </c:extLst>
        </c:ser>
        <c:ser>
          <c:idx val="5"/>
          <c:order val="5"/>
          <c:tx>
            <c:strRef>
              <c:f>'DY 2024 Summary'!$A$7</c:f>
              <c:strCache>
                <c:ptCount val="1"/>
                <c:pt idx="0">
                  <c:v>Equity Eligible Contractor</c:v>
                </c:pt>
              </c:strCache>
            </c:strRef>
          </c:tx>
          <c:spPr>
            <a:solidFill>
              <a:schemeClr val="accent6"/>
            </a:solidFill>
            <a:ln>
              <a:noFill/>
            </a:ln>
            <a:effectLst/>
          </c:spPr>
          <c:invertIfNegative val="0"/>
          <c:cat>
            <c:numRef>
              <c:f>'DY 2024 Summary'!$B$1:$V$1</c:f>
              <c:numCache>
                <c:formatCode>General</c:formatCode>
                <c:ptCount val="21"/>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numCache>
            </c:numRef>
          </c:cat>
          <c:val>
            <c:numRef>
              <c:f>'DY 2024 Summary'!$B$7:$V$7</c:f>
              <c:numCache>
                <c:formatCode>_(* #,##0_);_(* \(#,##0\);_(* "-"??_);_(@_)</c:formatCode>
                <c:ptCount val="21"/>
                <c:pt idx="0">
                  <c:v>86301.29985067404</c:v>
                </c:pt>
                <c:pt idx="1">
                  <c:v>85869.793351420667</c:v>
                </c:pt>
                <c:pt idx="2">
                  <c:v>85440.44438466357</c:v>
                </c:pt>
                <c:pt idx="3">
                  <c:v>85013.242162740251</c:v>
                </c:pt>
                <c:pt idx="4">
                  <c:v>84588.175951926562</c:v>
                </c:pt>
                <c:pt idx="5">
                  <c:v>84165.235072166921</c:v>
                </c:pt>
                <c:pt idx="6">
                  <c:v>83744.408896806068</c:v>
                </c:pt>
                <c:pt idx="7">
                  <c:v>83325.686852322047</c:v>
                </c:pt>
                <c:pt idx="8">
                  <c:v>82909.058418060435</c:v>
                </c:pt>
                <c:pt idx="9">
                  <c:v>82494.51312597013</c:v>
                </c:pt>
                <c:pt idx="10">
                  <c:v>82082.040560340276</c:v>
                </c:pt>
                <c:pt idx="11">
                  <c:v>81671.630357538583</c:v>
                </c:pt>
                <c:pt idx="12">
                  <c:v>81263.272205750894</c:v>
                </c:pt>
                <c:pt idx="13">
                  <c:v>80856.955844722121</c:v>
                </c:pt>
                <c:pt idx="14">
                  <c:v>80452.671065498522</c:v>
                </c:pt>
                <c:pt idx="15">
                  <c:v>0</c:v>
                </c:pt>
                <c:pt idx="16">
                  <c:v>0</c:v>
                </c:pt>
                <c:pt idx="17">
                  <c:v>0</c:v>
                </c:pt>
                <c:pt idx="18">
                  <c:v>0</c:v>
                </c:pt>
                <c:pt idx="19">
                  <c:v>0</c:v>
                </c:pt>
                <c:pt idx="20">
                  <c:v>0</c:v>
                </c:pt>
              </c:numCache>
            </c:numRef>
          </c:val>
          <c:extLst>
            <c:ext xmlns:c16="http://schemas.microsoft.com/office/drawing/2014/chart" uri="{C3380CC4-5D6E-409C-BE32-E72D297353CC}">
              <c16:uniqueId val="{00000005-AD9A-43C9-A9CF-B9F88DC4A236}"/>
            </c:ext>
          </c:extLst>
        </c:ser>
        <c:ser>
          <c:idx val="6"/>
          <c:order val="6"/>
          <c:tx>
            <c:strRef>
              <c:f>'DY 2024 Summary'!$A$8</c:f>
              <c:strCache>
                <c:ptCount val="1"/>
                <c:pt idx="0">
                  <c:v>Utility Wind</c:v>
                </c:pt>
              </c:strCache>
            </c:strRef>
          </c:tx>
          <c:spPr>
            <a:solidFill>
              <a:schemeClr val="accent1">
                <a:lumMod val="60000"/>
              </a:schemeClr>
            </a:solidFill>
            <a:ln>
              <a:noFill/>
            </a:ln>
            <a:effectLst/>
          </c:spPr>
          <c:invertIfNegative val="0"/>
          <c:cat>
            <c:numRef>
              <c:f>'DY 2024 Summary'!$B$1:$V$1</c:f>
              <c:numCache>
                <c:formatCode>General</c:formatCode>
                <c:ptCount val="21"/>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numCache>
            </c:numRef>
          </c:cat>
          <c:val>
            <c:numRef>
              <c:f>'DY 2024 Summary'!$B$8:$V$8</c:f>
              <c:numCache>
                <c:formatCode>_(* #,##0_);_(* \(#,##0\);_(* "-"??_);_(@_)</c:formatCode>
                <c:ptCount val="21"/>
                <c:pt idx="0">
                  <c:v>0</c:v>
                </c:pt>
                <c:pt idx="1">
                  <c:v>0</c:v>
                </c:pt>
                <c:pt idx="2">
                  <c:v>0</c:v>
                </c:pt>
                <c:pt idx="3">
                  <c:v>1750000</c:v>
                </c:pt>
                <c:pt idx="4">
                  <c:v>1750000</c:v>
                </c:pt>
                <c:pt idx="5">
                  <c:v>1750000</c:v>
                </c:pt>
                <c:pt idx="6">
                  <c:v>1750000</c:v>
                </c:pt>
                <c:pt idx="7">
                  <c:v>1750000</c:v>
                </c:pt>
                <c:pt idx="8">
                  <c:v>1750000</c:v>
                </c:pt>
                <c:pt idx="9">
                  <c:v>1750000</c:v>
                </c:pt>
                <c:pt idx="10">
                  <c:v>1750000</c:v>
                </c:pt>
                <c:pt idx="11">
                  <c:v>1750000</c:v>
                </c:pt>
                <c:pt idx="12">
                  <c:v>1750000</c:v>
                </c:pt>
                <c:pt idx="13">
                  <c:v>1750000</c:v>
                </c:pt>
                <c:pt idx="14">
                  <c:v>1750000</c:v>
                </c:pt>
                <c:pt idx="15">
                  <c:v>1750000</c:v>
                </c:pt>
                <c:pt idx="16">
                  <c:v>1750000</c:v>
                </c:pt>
                <c:pt idx="17">
                  <c:v>1750000</c:v>
                </c:pt>
                <c:pt idx="18">
                  <c:v>1750000</c:v>
                </c:pt>
                <c:pt idx="19">
                  <c:v>1750000</c:v>
                </c:pt>
                <c:pt idx="20">
                  <c:v>1750000</c:v>
                </c:pt>
              </c:numCache>
            </c:numRef>
          </c:val>
          <c:extLst>
            <c:ext xmlns:c16="http://schemas.microsoft.com/office/drawing/2014/chart" uri="{C3380CC4-5D6E-409C-BE32-E72D297353CC}">
              <c16:uniqueId val="{00000006-AD9A-43C9-A9CF-B9F88DC4A236}"/>
            </c:ext>
          </c:extLst>
        </c:ser>
        <c:ser>
          <c:idx val="7"/>
          <c:order val="7"/>
          <c:tx>
            <c:strRef>
              <c:f>'DY 2024 Summary'!$A$9</c:f>
              <c:strCache>
                <c:ptCount val="1"/>
                <c:pt idx="0">
                  <c:v>Utility Solar</c:v>
                </c:pt>
              </c:strCache>
            </c:strRef>
          </c:tx>
          <c:spPr>
            <a:solidFill>
              <a:schemeClr val="accent2">
                <a:lumMod val="60000"/>
              </a:schemeClr>
            </a:solidFill>
            <a:ln>
              <a:noFill/>
            </a:ln>
            <a:effectLst/>
          </c:spPr>
          <c:invertIfNegative val="0"/>
          <c:cat>
            <c:numRef>
              <c:f>'DY 2024 Summary'!$B$1:$V$1</c:f>
              <c:numCache>
                <c:formatCode>General</c:formatCode>
                <c:ptCount val="21"/>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numCache>
            </c:numRef>
          </c:cat>
          <c:val>
            <c:numRef>
              <c:f>'DY 2024 Summary'!$B$9:$V$9</c:f>
              <c:numCache>
                <c:formatCode>_(* #,##0_);_(* \(#,##0\);_(* "-"??_);_(@_)</c:formatCode>
                <c:ptCount val="21"/>
                <c:pt idx="0">
                  <c:v>0</c:v>
                </c:pt>
                <c:pt idx="1">
                  <c:v>0</c:v>
                </c:pt>
                <c:pt idx="2">
                  <c:v>0</c:v>
                </c:pt>
                <c:pt idx="3">
                  <c:v>1000000</c:v>
                </c:pt>
                <c:pt idx="4">
                  <c:v>995000</c:v>
                </c:pt>
                <c:pt idx="5">
                  <c:v>990025</c:v>
                </c:pt>
                <c:pt idx="6">
                  <c:v>985074.875</c:v>
                </c:pt>
                <c:pt idx="7">
                  <c:v>980149.50062499999</c:v>
                </c:pt>
                <c:pt idx="8">
                  <c:v>975248.75312187499</c:v>
                </c:pt>
                <c:pt idx="9">
                  <c:v>970372.50935626565</c:v>
                </c:pt>
                <c:pt idx="10">
                  <c:v>965520.64680948434</c:v>
                </c:pt>
                <c:pt idx="11">
                  <c:v>960693.04357543692</c:v>
                </c:pt>
                <c:pt idx="12">
                  <c:v>955889.57835755975</c:v>
                </c:pt>
                <c:pt idx="13">
                  <c:v>951110.13046577189</c:v>
                </c:pt>
                <c:pt idx="14">
                  <c:v>946354.57981344301</c:v>
                </c:pt>
                <c:pt idx="15">
                  <c:v>941622.80691437575</c:v>
                </c:pt>
                <c:pt idx="16">
                  <c:v>936914.69287980383</c:v>
                </c:pt>
                <c:pt idx="17">
                  <c:v>932230.11941540486</c:v>
                </c:pt>
                <c:pt idx="18">
                  <c:v>927568.96881832788</c:v>
                </c:pt>
                <c:pt idx="19">
                  <c:v>922931.12397423619</c:v>
                </c:pt>
                <c:pt idx="20">
                  <c:v>918316.46835436497</c:v>
                </c:pt>
              </c:numCache>
            </c:numRef>
          </c:val>
          <c:extLst>
            <c:ext xmlns:c16="http://schemas.microsoft.com/office/drawing/2014/chart" uri="{C3380CC4-5D6E-409C-BE32-E72D297353CC}">
              <c16:uniqueId val="{00000007-AD9A-43C9-A9CF-B9F88DC4A236}"/>
            </c:ext>
          </c:extLst>
        </c:ser>
        <c:ser>
          <c:idx val="8"/>
          <c:order val="8"/>
          <c:tx>
            <c:strRef>
              <c:f>'DY 2024 Summary'!$A$10</c:f>
              <c:strCache>
                <c:ptCount val="1"/>
                <c:pt idx="0">
                  <c:v>Brownfield</c:v>
                </c:pt>
              </c:strCache>
            </c:strRef>
          </c:tx>
          <c:spPr>
            <a:solidFill>
              <a:schemeClr val="accent3">
                <a:lumMod val="60000"/>
              </a:schemeClr>
            </a:solidFill>
            <a:ln>
              <a:noFill/>
            </a:ln>
            <a:effectLst/>
          </c:spPr>
          <c:invertIfNegative val="0"/>
          <c:cat>
            <c:numRef>
              <c:f>'DY 2024 Summary'!$B$1:$V$1</c:f>
              <c:numCache>
                <c:formatCode>General</c:formatCode>
                <c:ptCount val="21"/>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numCache>
            </c:numRef>
          </c:cat>
          <c:val>
            <c:numRef>
              <c:f>'DY 2024 Summary'!$B$10:$V$10</c:f>
              <c:numCache>
                <c:formatCode>_(* #,##0_);_(* \(#,##0\);_(* "-"??_);_(@_)</c:formatCode>
                <c:ptCount val="21"/>
                <c:pt idx="0">
                  <c:v>0</c:v>
                </c:pt>
                <c:pt idx="1">
                  <c:v>0</c:v>
                </c:pt>
                <c:pt idx="2">
                  <c:v>0</c:v>
                </c:pt>
                <c:pt idx="3">
                  <c:v>65000</c:v>
                </c:pt>
                <c:pt idx="4">
                  <c:v>64675</c:v>
                </c:pt>
                <c:pt idx="5">
                  <c:v>64351.625</c:v>
                </c:pt>
                <c:pt idx="6">
                  <c:v>64029.866875</c:v>
                </c:pt>
                <c:pt idx="7">
                  <c:v>63709.717540625003</c:v>
                </c:pt>
                <c:pt idx="8">
                  <c:v>63391.168952921878</c:v>
                </c:pt>
                <c:pt idx="9">
                  <c:v>63074.213108157266</c:v>
                </c:pt>
                <c:pt idx="10">
                  <c:v>62758.842042616481</c:v>
                </c:pt>
                <c:pt idx="11">
                  <c:v>62445.047832403397</c:v>
                </c:pt>
                <c:pt idx="12">
                  <c:v>62132.822593241377</c:v>
                </c:pt>
                <c:pt idx="13">
                  <c:v>61822.158480275168</c:v>
                </c:pt>
                <c:pt idx="14">
                  <c:v>61513.04768787379</c:v>
                </c:pt>
                <c:pt idx="15">
                  <c:v>61205.482449434421</c:v>
                </c:pt>
                <c:pt idx="16">
                  <c:v>60899.455037187246</c:v>
                </c:pt>
                <c:pt idx="17">
                  <c:v>60594.957762001308</c:v>
                </c:pt>
                <c:pt idx="18">
                  <c:v>60291.982973191298</c:v>
                </c:pt>
                <c:pt idx="19">
                  <c:v>59990.523058325343</c:v>
                </c:pt>
                <c:pt idx="20">
                  <c:v>59690.570443033714</c:v>
                </c:pt>
              </c:numCache>
            </c:numRef>
          </c:val>
          <c:extLst>
            <c:ext xmlns:c16="http://schemas.microsoft.com/office/drawing/2014/chart" uri="{C3380CC4-5D6E-409C-BE32-E72D297353CC}">
              <c16:uniqueId val="{00000008-AD9A-43C9-A9CF-B9F88DC4A236}"/>
            </c:ext>
          </c:extLst>
        </c:ser>
        <c:dLbls>
          <c:showLegendKey val="0"/>
          <c:showVal val="0"/>
          <c:showCatName val="0"/>
          <c:showSerName val="0"/>
          <c:showPercent val="0"/>
          <c:showBubbleSize val="0"/>
        </c:dLbls>
        <c:gapWidth val="150"/>
        <c:overlap val="100"/>
        <c:axId val="614244928"/>
        <c:axId val="614248864"/>
      </c:barChart>
      <c:catAx>
        <c:axId val="614244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14248864"/>
        <c:crosses val="autoZero"/>
        <c:auto val="1"/>
        <c:lblAlgn val="ctr"/>
        <c:lblOffset val="100"/>
        <c:noMultiLvlLbl val="0"/>
      </c:catAx>
      <c:valAx>
        <c:axId val="61424886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14244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800" b="0" i="0" baseline="0">
                <a:effectLst/>
              </a:rPr>
              <a:t>Renewable Energy Credits (RECs)</a:t>
            </a:r>
            <a:endParaRPr lang="en-US">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'Ch. 3 Tables and Graphs'!$H$30</c:f>
              <c:strCache>
                <c:ptCount val="1"/>
                <c:pt idx="0">
                  <c:v>Total Wind</c:v>
                </c:pt>
              </c:strCache>
            </c:strRef>
          </c:tx>
          <c:spPr>
            <a:solidFill>
              <a:schemeClr val="accent1"/>
            </a:solidFill>
            <a:ln>
              <a:noFill/>
            </a:ln>
            <a:effectLst/>
          </c:spPr>
          <c:invertIfNegative val="0"/>
          <c:cat>
            <c:strRef>
              <c:f>'Ch. 3 Tables and Graphs'!$C$31:$C$53</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strCache>
            </c:strRef>
          </c:cat>
          <c:val>
            <c:numRef>
              <c:f>'Ch. 3 Tables and Graphs'!$H$31:$H$53</c:f>
              <c:numCache>
                <c:formatCode>_(* #,##0_);_(* \(#,##0\);_(* "-"??_);_(@_)</c:formatCode>
                <c:ptCount val="23"/>
                <c:pt idx="0">
                  <c:v>2591725</c:v>
                </c:pt>
                <c:pt idx="1">
                  <c:v>3927244</c:v>
                </c:pt>
                <c:pt idx="2">
                  <c:v>3927244</c:v>
                </c:pt>
                <c:pt idx="3">
                  <c:v>3927244</c:v>
                </c:pt>
                <c:pt idx="4">
                  <c:v>3927244</c:v>
                </c:pt>
                <c:pt idx="5">
                  <c:v>4980580.6993800001</c:v>
                </c:pt>
                <c:pt idx="6">
                  <c:v>8479285.7018831</c:v>
                </c:pt>
                <c:pt idx="7">
                  <c:v>10227997.179373685</c:v>
                </c:pt>
                <c:pt idx="8">
                  <c:v>12726715.099476816</c:v>
                </c:pt>
                <c:pt idx="9">
                  <c:v>15225439.429979432</c:v>
                </c:pt>
                <c:pt idx="10">
                  <c:v>17724170.138829537</c:v>
                </c:pt>
                <c:pt idx="11">
                  <c:v>20222907.194135386</c:v>
                </c:pt>
                <c:pt idx="12">
                  <c:v>20859925.564164709</c:v>
                </c:pt>
                <c:pt idx="13">
                  <c:v>22928675.217343885</c:v>
                </c:pt>
                <c:pt idx="14">
                  <c:v>25427431.122257166</c:v>
                </c:pt>
                <c:pt idx="15">
                  <c:v>27626193.247645881</c:v>
                </c:pt>
                <c:pt idx="16">
                  <c:v>27539442.56240765</c:v>
                </c:pt>
                <c:pt idx="17">
                  <c:v>28788217.035595614</c:v>
                </c:pt>
                <c:pt idx="18">
                  <c:v>30036997.636417635</c:v>
                </c:pt>
                <c:pt idx="19">
                  <c:v>31285784.334235549</c:v>
                </c:pt>
                <c:pt idx="20">
                  <c:v>32534577.098564371</c:v>
                </c:pt>
                <c:pt idx="21">
                  <c:v>33783375.899071544</c:v>
                </c:pt>
                <c:pt idx="22">
                  <c:v>35032180.705576189</c:v>
                </c:pt>
              </c:numCache>
            </c:numRef>
          </c:val>
          <c:extLst>
            <c:ext xmlns:c16="http://schemas.microsoft.com/office/drawing/2014/chart" uri="{C3380CC4-5D6E-409C-BE32-E72D297353CC}">
              <c16:uniqueId val="{00000000-9880-4B5D-978E-D12D13FA2439}"/>
            </c:ext>
          </c:extLst>
        </c:ser>
        <c:ser>
          <c:idx val="1"/>
          <c:order val="1"/>
          <c:tx>
            <c:strRef>
              <c:f>'Ch. 3 Tables and Graphs'!$I$30</c:f>
              <c:strCache>
                <c:ptCount val="1"/>
                <c:pt idx="0">
                  <c:v>Total Solar</c:v>
                </c:pt>
              </c:strCache>
            </c:strRef>
          </c:tx>
          <c:spPr>
            <a:solidFill>
              <a:srgbClr val="FFFF00"/>
            </a:solidFill>
            <a:ln>
              <a:noFill/>
            </a:ln>
            <a:effectLst/>
          </c:spPr>
          <c:invertIfNegative val="0"/>
          <c:cat>
            <c:strRef>
              <c:f>'Ch. 3 Tables and Graphs'!$C$31:$C$53</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strCache>
            </c:strRef>
          </c:cat>
          <c:val>
            <c:numRef>
              <c:f>'Ch. 3 Tables and Graphs'!$I$31:$I$53</c:f>
              <c:numCache>
                <c:formatCode>_(* #,##0_);_(* \(#,##0\);_(* "-"??_);_(@_)</c:formatCode>
                <c:ptCount val="23"/>
                <c:pt idx="0">
                  <c:v>714152.50247266702</c:v>
                </c:pt>
                <c:pt idx="1">
                  <c:v>2033122.7175146674</c:v>
                </c:pt>
                <c:pt idx="2">
                  <c:v>4555681.5887366729</c:v>
                </c:pt>
                <c:pt idx="3">
                  <c:v>6295556.9276805464</c:v>
                </c:pt>
                <c:pt idx="4">
                  <c:v>7189148.3839849317</c:v>
                </c:pt>
                <c:pt idx="5">
                  <c:v>11927682.96555192</c:v>
                </c:pt>
                <c:pt idx="6">
                  <c:v>13930302.029094551</c:v>
                </c:pt>
                <c:pt idx="7">
                  <c:v>15850122.09823714</c:v>
                </c:pt>
                <c:pt idx="8">
                  <c:v>18820850.264386144</c:v>
                </c:pt>
                <c:pt idx="9">
                  <c:v>21787146.846838549</c:v>
                </c:pt>
                <c:pt idx="10">
                  <c:v>24749535.597260945</c:v>
                </c:pt>
                <c:pt idx="11">
                  <c:v>27703279.731724024</c:v>
                </c:pt>
                <c:pt idx="12">
                  <c:v>30660269.766362648</c:v>
                </c:pt>
                <c:pt idx="13">
                  <c:v>33328278.214856308</c:v>
                </c:pt>
                <c:pt idx="14">
                  <c:v>35692745.849513434</c:v>
                </c:pt>
                <c:pt idx="15">
                  <c:v>37710746.065284848</c:v>
                </c:pt>
                <c:pt idx="16">
                  <c:v>36779182.903030768</c:v>
                </c:pt>
                <c:pt idx="17">
                  <c:v>36986240.05195348</c:v>
                </c:pt>
                <c:pt idx="18">
                  <c:v>37963035.937095635</c:v>
                </c:pt>
                <c:pt idx="19">
                  <c:v>38957792.136182837</c:v>
                </c:pt>
                <c:pt idx="20">
                  <c:v>39952887.054274589</c:v>
                </c:pt>
                <c:pt idx="21">
                  <c:v>40663717.994961247</c:v>
                </c:pt>
                <c:pt idx="22">
                  <c:v>40934605.242301352</c:v>
                </c:pt>
              </c:numCache>
            </c:numRef>
          </c:val>
          <c:extLst>
            <c:ext xmlns:c16="http://schemas.microsoft.com/office/drawing/2014/chart" uri="{C3380CC4-5D6E-409C-BE32-E72D297353CC}">
              <c16:uniqueId val="{00000001-9880-4B5D-978E-D12D13FA2439}"/>
            </c:ext>
          </c:extLst>
        </c:ser>
        <c:ser>
          <c:idx val="2"/>
          <c:order val="2"/>
          <c:tx>
            <c:strRef>
              <c:f>'Ch. 3 Tables and Graphs'!$J$30</c:f>
              <c:strCache>
                <c:ptCount val="1"/>
                <c:pt idx="0">
                  <c:v>Total All RECs</c:v>
                </c:pt>
              </c:strCache>
            </c:strRef>
          </c:tx>
          <c:spPr>
            <a:solidFill>
              <a:schemeClr val="accent6">
                <a:lumMod val="75000"/>
              </a:schemeClr>
            </a:solidFill>
            <a:ln>
              <a:noFill/>
            </a:ln>
            <a:effectLst/>
          </c:spPr>
          <c:invertIfNegative val="0"/>
          <c:cat>
            <c:strRef>
              <c:f>'Ch. 3 Tables and Graphs'!$C$31:$C$53</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strCache>
            </c:strRef>
          </c:cat>
          <c:val>
            <c:numRef>
              <c:f>'Ch. 3 Tables and Graphs'!$J$31:$J$53</c:f>
              <c:numCache>
                <c:formatCode>_(* #,##0_);_(* \(#,##0\);_(* "-"??_);_(@_)</c:formatCode>
                <c:ptCount val="23"/>
                <c:pt idx="0">
                  <c:v>3305877.502472667</c:v>
                </c:pt>
                <c:pt idx="1">
                  <c:v>5960366.7175146677</c:v>
                </c:pt>
                <c:pt idx="2">
                  <c:v>8482925.588736672</c:v>
                </c:pt>
                <c:pt idx="3">
                  <c:v>10222800.927680546</c:v>
                </c:pt>
                <c:pt idx="4">
                  <c:v>11116392.383984931</c:v>
                </c:pt>
                <c:pt idx="5">
                  <c:v>16908263.664931919</c:v>
                </c:pt>
                <c:pt idx="6">
                  <c:v>22409587.730977651</c:v>
                </c:pt>
                <c:pt idx="7">
                  <c:v>26078119.277610824</c:v>
                </c:pt>
                <c:pt idx="8">
                  <c:v>31547565.363862962</c:v>
                </c:pt>
                <c:pt idx="9">
                  <c:v>37012586.276817977</c:v>
                </c:pt>
                <c:pt idx="10">
                  <c:v>42473705.736090481</c:v>
                </c:pt>
                <c:pt idx="11">
                  <c:v>47926186.925859407</c:v>
                </c:pt>
                <c:pt idx="12">
                  <c:v>51520195.330527358</c:v>
                </c:pt>
                <c:pt idx="13">
                  <c:v>56256953.432200193</c:v>
                </c:pt>
                <c:pt idx="14">
                  <c:v>61120176.971770599</c:v>
                </c:pt>
                <c:pt idx="15">
                  <c:v>65336939.312930733</c:v>
                </c:pt>
                <c:pt idx="16">
                  <c:v>64318625.465438418</c:v>
                </c:pt>
                <c:pt idx="17">
                  <c:v>65774457.08754909</c:v>
                </c:pt>
                <c:pt idx="18">
                  <c:v>68000033.573513269</c:v>
                </c:pt>
                <c:pt idx="19">
                  <c:v>70243576.470418394</c:v>
                </c:pt>
                <c:pt idx="20">
                  <c:v>72487464.15283896</c:v>
                </c:pt>
                <c:pt idx="21">
                  <c:v>74447093.894032791</c:v>
                </c:pt>
                <c:pt idx="22">
                  <c:v>75966785.947877541</c:v>
                </c:pt>
              </c:numCache>
            </c:numRef>
          </c:val>
          <c:extLst>
            <c:ext xmlns:c16="http://schemas.microsoft.com/office/drawing/2014/chart" uri="{C3380CC4-5D6E-409C-BE32-E72D297353CC}">
              <c16:uniqueId val="{00000002-9880-4B5D-978E-D12D13FA2439}"/>
            </c:ext>
          </c:extLst>
        </c:ser>
        <c:dLbls>
          <c:showLegendKey val="0"/>
          <c:showVal val="0"/>
          <c:showCatName val="0"/>
          <c:showSerName val="0"/>
          <c:showPercent val="0"/>
          <c:showBubbleSize val="0"/>
        </c:dLbls>
        <c:gapWidth val="219"/>
        <c:overlap val="-27"/>
        <c:axId val="742201680"/>
        <c:axId val="742200040"/>
      </c:barChart>
      <c:catAx>
        <c:axId val="742201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2200040"/>
        <c:crosses val="autoZero"/>
        <c:auto val="1"/>
        <c:lblAlgn val="ctr"/>
        <c:lblOffset val="100"/>
        <c:noMultiLvlLbl val="0"/>
      </c:catAx>
      <c:valAx>
        <c:axId val="74220004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2201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effectLst/>
              </a:rPr>
              <a:t>DY 2024 -2025 REC Payments</a:t>
            </a:r>
            <a:endParaRPr lang="en-US"/>
          </a:p>
        </c:rich>
      </c:tx>
      <c:layout>
        <c:manualLayout>
          <c:xMode val="edge"/>
          <c:yMode val="edge"/>
          <c:x val="0.40393744531933506"/>
          <c:y val="3.24825986078886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'DY 2024 Summary'!$A$36</c:f>
              <c:strCache>
                <c:ptCount val="1"/>
                <c:pt idx="0">
                  <c:v>SDG &lt; 25 kW </c:v>
                </c:pt>
              </c:strCache>
            </c:strRef>
          </c:tx>
          <c:spPr>
            <a:solidFill>
              <a:schemeClr val="accent1"/>
            </a:solidFill>
            <a:ln>
              <a:noFill/>
            </a:ln>
            <a:effectLst/>
          </c:spPr>
          <c:invertIfNegative val="0"/>
          <c:cat>
            <c:numRef>
              <c:f>'DY 2024 Summary'!$B$35:$V$35</c:f>
              <c:numCache>
                <c:formatCode>General</c:formatCode>
                <c:ptCount val="21"/>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numCache>
            </c:numRef>
          </c:cat>
          <c:val>
            <c:numRef>
              <c:f>'DY 2024 Summary'!$B$36:$V$36</c:f>
              <c:numCache>
                <c:formatCode>"$"#,##0</c:formatCode>
                <c:ptCount val="21"/>
                <c:pt idx="0">
                  <c:v>147344631.33522782</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2A2B-455A-8018-CFE7939AB958}"/>
            </c:ext>
          </c:extLst>
        </c:ser>
        <c:ser>
          <c:idx val="1"/>
          <c:order val="1"/>
          <c:tx>
            <c:strRef>
              <c:f>'DY 2024 Summary'!$A$37</c:f>
              <c:strCache>
                <c:ptCount val="1"/>
                <c:pt idx="0">
                  <c:v>LDG &gt; 25 - 5000kW</c:v>
                </c:pt>
              </c:strCache>
            </c:strRef>
          </c:tx>
          <c:spPr>
            <a:solidFill>
              <a:schemeClr val="accent2"/>
            </a:solidFill>
            <a:ln>
              <a:noFill/>
            </a:ln>
            <a:effectLst/>
          </c:spPr>
          <c:invertIfNegative val="0"/>
          <c:cat>
            <c:numRef>
              <c:f>'DY 2024 Summary'!$B$35:$V$35</c:f>
              <c:numCache>
                <c:formatCode>General</c:formatCode>
                <c:ptCount val="21"/>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numCache>
            </c:numRef>
          </c:cat>
          <c:val>
            <c:numRef>
              <c:f>'DY 2024 Summary'!$B$37:$V$37</c:f>
              <c:numCache>
                <c:formatCode>"$"#,##0</c:formatCode>
                <c:ptCount val="21"/>
                <c:pt idx="0">
                  <c:v>15811095.753424857</c:v>
                </c:pt>
                <c:pt idx="1">
                  <c:v>14932701.544901256</c:v>
                </c:pt>
                <c:pt idx="2">
                  <c:v>14932701.544901256</c:v>
                </c:pt>
                <c:pt idx="3">
                  <c:v>14932701.544901256</c:v>
                </c:pt>
                <c:pt idx="4">
                  <c:v>14932701.544901256</c:v>
                </c:pt>
                <c:pt idx="5">
                  <c:v>14932701.544901256</c:v>
                </c:pt>
                <c:pt idx="6">
                  <c:v>14932701.544901256</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2A2B-455A-8018-CFE7939AB958}"/>
            </c:ext>
          </c:extLst>
        </c:ser>
        <c:ser>
          <c:idx val="2"/>
          <c:order val="2"/>
          <c:tx>
            <c:strRef>
              <c:f>'DY 2024 Summary'!$A$38</c:f>
              <c:strCache>
                <c:ptCount val="1"/>
                <c:pt idx="0">
                  <c:v>Traditional Community Solar</c:v>
                </c:pt>
              </c:strCache>
            </c:strRef>
          </c:tx>
          <c:spPr>
            <a:solidFill>
              <a:schemeClr val="accent3"/>
            </a:solidFill>
            <a:ln>
              <a:noFill/>
            </a:ln>
            <a:effectLst/>
          </c:spPr>
          <c:invertIfNegative val="0"/>
          <c:cat>
            <c:numRef>
              <c:f>'DY 2024 Summary'!$B$35:$V$35</c:f>
              <c:numCache>
                <c:formatCode>General</c:formatCode>
                <c:ptCount val="21"/>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numCache>
            </c:numRef>
          </c:cat>
          <c:val>
            <c:numRef>
              <c:f>'DY 2024 Summary'!$B$38:$V$38</c:f>
              <c:numCache>
                <c:formatCode>"$"#,##0</c:formatCode>
                <c:ptCount val="21"/>
                <c:pt idx="0">
                  <c:v>0</c:v>
                </c:pt>
                <c:pt idx="1">
                  <c:v>13581238.386041543</c:v>
                </c:pt>
                <c:pt idx="2">
                  <c:v>13513332.194111336</c:v>
                </c:pt>
                <c:pt idx="3">
                  <c:v>13445765.533140779</c:v>
                </c:pt>
                <c:pt idx="4">
                  <c:v>13378536.705475075</c:v>
                </c:pt>
                <c:pt idx="5">
                  <c:v>13311644.021947699</c:v>
                </c:pt>
                <c:pt idx="6">
                  <c:v>13245085.801837958</c:v>
                </c:pt>
                <c:pt idx="7">
                  <c:v>13178860.37282877</c:v>
                </c:pt>
                <c:pt idx="8">
                  <c:v>13112966.070964627</c:v>
                </c:pt>
                <c:pt idx="9">
                  <c:v>13047401.240609804</c:v>
                </c:pt>
                <c:pt idx="10">
                  <c:v>12982164.234406754</c:v>
                </c:pt>
                <c:pt idx="11">
                  <c:v>12917253.413234718</c:v>
                </c:pt>
                <c:pt idx="12">
                  <c:v>12852667.146168547</c:v>
                </c:pt>
                <c:pt idx="13">
                  <c:v>12788403.810437705</c:v>
                </c:pt>
                <c:pt idx="14">
                  <c:v>12724461.791385515</c:v>
                </c:pt>
                <c:pt idx="15">
                  <c:v>12660839.482428588</c:v>
                </c:pt>
                <c:pt idx="16">
                  <c:v>12597535.285016445</c:v>
                </c:pt>
                <c:pt idx="17">
                  <c:v>12534547.608591363</c:v>
                </c:pt>
                <c:pt idx="18">
                  <c:v>12471874.870548405</c:v>
                </c:pt>
                <c:pt idx="19">
                  <c:v>12409515.496195663</c:v>
                </c:pt>
                <c:pt idx="20">
                  <c:v>12347467.918714685</c:v>
                </c:pt>
              </c:numCache>
            </c:numRef>
          </c:val>
          <c:extLst>
            <c:ext xmlns:c16="http://schemas.microsoft.com/office/drawing/2014/chart" uri="{C3380CC4-5D6E-409C-BE32-E72D297353CC}">
              <c16:uniqueId val="{00000002-2A2B-455A-8018-CFE7939AB958}"/>
            </c:ext>
          </c:extLst>
        </c:ser>
        <c:ser>
          <c:idx val="3"/>
          <c:order val="3"/>
          <c:tx>
            <c:strRef>
              <c:f>'DY 2024 Summary'!$A$39</c:f>
              <c:strCache>
                <c:ptCount val="1"/>
                <c:pt idx="0">
                  <c:v>Public Schools</c:v>
                </c:pt>
              </c:strCache>
            </c:strRef>
          </c:tx>
          <c:spPr>
            <a:solidFill>
              <a:schemeClr val="accent4"/>
            </a:solidFill>
            <a:ln>
              <a:noFill/>
            </a:ln>
            <a:effectLst/>
          </c:spPr>
          <c:invertIfNegative val="0"/>
          <c:cat>
            <c:numRef>
              <c:f>'DY 2024 Summary'!$B$35:$V$35</c:f>
              <c:numCache>
                <c:formatCode>General</c:formatCode>
                <c:ptCount val="21"/>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numCache>
            </c:numRef>
          </c:cat>
          <c:val>
            <c:numRef>
              <c:f>'DY 2024 Summary'!$B$39:$V$39</c:f>
              <c:numCache>
                <c:formatCode>"$"#,##0</c:formatCode>
                <c:ptCount val="21"/>
                <c:pt idx="0">
                  <c:v>7675199.9434157629</c:v>
                </c:pt>
                <c:pt idx="1">
                  <c:v>7636823.9436986838</c:v>
                </c:pt>
                <c:pt idx="2">
                  <c:v>7598639.8239801899</c:v>
                </c:pt>
                <c:pt idx="3">
                  <c:v>7560646.6248602895</c:v>
                </c:pt>
                <c:pt idx="4">
                  <c:v>7522843.3917359887</c:v>
                </c:pt>
                <c:pt idx="5">
                  <c:v>7485229.1747773085</c:v>
                </c:pt>
                <c:pt idx="6">
                  <c:v>7447803.0289034229</c:v>
                </c:pt>
                <c:pt idx="7">
                  <c:v>7410564.0137589052</c:v>
                </c:pt>
                <c:pt idx="8">
                  <c:v>7373511.19369011</c:v>
                </c:pt>
                <c:pt idx="9">
                  <c:v>7336643.6377216596</c:v>
                </c:pt>
                <c:pt idx="10">
                  <c:v>7299960.4195330516</c:v>
                </c:pt>
                <c:pt idx="11">
                  <c:v>7263460.6174353864</c:v>
                </c:pt>
                <c:pt idx="12">
                  <c:v>7227143.3143482096</c:v>
                </c:pt>
                <c:pt idx="13">
                  <c:v>7191007.597776467</c:v>
                </c:pt>
                <c:pt idx="14">
                  <c:v>7155052.5597875854</c:v>
                </c:pt>
                <c:pt idx="15">
                  <c:v>7119277.2969886484</c:v>
                </c:pt>
                <c:pt idx="16">
                  <c:v>7083680.910503705</c:v>
                </c:pt>
                <c:pt idx="17">
                  <c:v>7048262.5059511866</c:v>
                </c:pt>
                <c:pt idx="18">
                  <c:v>7013021.1934214309</c:v>
                </c:pt>
                <c:pt idx="19">
                  <c:v>6977956.0874543237</c:v>
                </c:pt>
                <c:pt idx="20">
                  <c:v>0</c:v>
                </c:pt>
              </c:numCache>
            </c:numRef>
          </c:val>
          <c:extLst>
            <c:ext xmlns:c16="http://schemas.microsoft.com/office/drawing/2014/chart" uri="{C3380CC4-5D6E-409C-BE32-E72D297353CC}">
              <c16:uniqueId val="{00000003-2A2B-455A-8018-CFE7939AB958}"/>
            </c:ext>
          </c:extLst>
        </c:ser>
        <c:ser>
          <c:idx val="4"/>
          <c:order val="4"/>
          <c:tx>
            <c:strRef>
              <c:f>'DY 2024 Summary'!$A$40</c:f>
              <c:strCache>
                <c:ptCount val="1"/>
                <c:pt idx="0">
                  <c:v>Community Driven Community Solar</c:v>
                </c:pt>
              </c:strCache>
            </c:strRef>
          </c:tx>
          <c:spPr>
            <a:solidFill>
              <a:schemeClr val="accent5"/>
            </a:solidFill>
            <a:ln>
              <a:noFill/>
            </a:ln>
            <a:effectLst/>
          </c:spPr>
          <c:invertIfNegative val="0"/>
          <c:cat>
            <c:numRef>
              <c:f>'DY 2024 Summary'!$B$35:$V$35</c:f>
              <c:numCache>
                <c:formatCode>General</c:formatCode>
                <c:ptCount val="21"/>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numCache>
            </c:numRef>
          </c:cat>
          <c:val>
            <c:numRef>
              <c:f>'DY 2024 Summary'!$B$40:$V$40</c:f>
              <c:numCache>
                <c:formatCode>"$"#,##0</c:formatCode>
                <c:ptCount val="21"/>
                <c:pt idx="0">
                  <c:v>0</c:v>
                </c:pt>
                <c:pt idx="1">
                  <c:v>6212021.7949186526</c:v>
                </c:pt>
                <c:pt idx="2">
                  <c:v>5866909.472978727</c:v>
                </c:pt>
                <c:pt idx="3">
                  <c:v>5866909.472978727</c:v>
                </c:pt>
                <c:pt idx="4">
                  <c:v>5866909.472978727</c:v>
                </c:pt>
                <c:pt idx="5">
                  <c:v>5866909.472978727</c:v>
                </c:pt>
                <c:pt idx="6">
                  <c:v>5866909.472978727</c:v>
                </c:pt>
                <c:pt idx="7">
                  <c:v>5866909.472978727</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4-2A2B-455A-8018-CFE7939AB958}"/>
            </c:ext>
          </c:extLst>
        </c:ser>
        <c:ser>
          <c:idx val="5"/>
          <c:order val="5"/>
          <c:tx>
            <c:strRef>
              <c:f>'DY 2024 Summary'!$A$41</c:f>
              <c:strCache>
                <c:ptCount val="1"/>
                <c:pt idx="0">
                  <c:v>Equity Eligible Contractor</c:v>
                </c:pt>
              </c:strCache>
            </c:strRef>
          </c:tx>
          <c:spPr>
            <a:solidFill>
              <a:schemeClr val="accent6"/>
            </a:solidFill>
            <a:ln>
              <a:noFill/>
            </a:ln>
            <a:effectLst/>
          </c:spPr>
          <c:invertIfNegative val="0"/>
          <c:cat>
            <c:numRef>
              <c:f>'DY 2024 Summary'!$B$35:$V$35</c:f>
              <c:numCache>
                <c:formatCode>General</c:formatCode>
                <c:ptCount val="21"/>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numCache>
            </c:numRef>
          </c:cat>
          <c:val>
            <c:numRef>
              <c:f>'DY 2024 Summary'!$B$41:$V$41</c:f>
              <c:numCache>
                <c:formatCode>"$"#,##0</c:formatCode>
                <c:ptCount val="21"/>
                <c:pt idx="0">
                  <c:v>7905547.8767124284</c:v>
                </c:pt>
                <c:pt idx="1">
                  <c:v>7466350.7724506278</c:v>
                </c:pt>
                <c:pt idx="2">
                  <c:v>7466350.7724506278</c:v>
                </c:pt>
                <c:pt idx="3">
                  <c:v>7466350.7724506278</c:v>
                </c:pt>
                <c:pt idx="4">
                  <c:v>7466350.7724506278</c:v>
                </c:pt>
                <c:pt idx="5">
                  <c:v>7466350.7724506278</c:v>
                </c:pt>
                <c:pt idx="6">
                  <c:v>7466350.7724506278</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5-2A2B-455A-8018-CFE7939AB958}"/>
            </c:ext>
          </c:extLst>
        </c:ser>
        <c:ser>
          <c:idx val="6"/>
          <c:order val="6"/>
          <c:tx>
            <c:strRef>
              <c:f>'DY 2024 Summary'!$A$42</c:f>
              <c:strCache>
                <c:ptCount val="1"/>
                <c:pt idx="0">
                  <c:v>Utility Wind</c:v>
                </c:pt>
              </c:strCache>
            </c:strRef>
          </c:tx>
          <c:spPr>
            <a:solidFill>
              <a:schemeClr val="accent1">
                <a:lumMod val="60000"/>
              </a:schemeClr>
            </a:solidFill>
            <a:ln>
              <a:noFill/>
            </a:ln>
            <a:effectLst/>
          </c:spPr>
          <c:invertIfNegative val="0"/>
          <c:cat>
            <c:numRef>
              <c:f>'DY 2024 Summary'!$B$35:$V$35</c:f>
              <c:numCache>
                <c:formatCode>General</c:formatCode>
                <c:ptCount val="21"/>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numCache>
            </c:numRef>
          </c:cat>
          <c:val>
            <c:numRef>
              <c:f>'DY 2024 Summary'!$B$42:$V$42</c:f>
              <c:numCache>
                <c:formatCode>"$"#,##0</c:formatCode>
                <c:ptCount val="21"/>
                <c:pt idx="0">
                  <c:v>0</c:v>
                </c:pt>
                <c:pt idx="1">
                  <c:v>0</c:v>
                </c:pt>
                <c:pt idx="2">
                  <c:v>0</c:v>
                </c:pt>
                <c:pt idx="3">
                  <c:v>93944550</c:v>
                </c:pt>
                <c:pt idx="4">
                  <c:v>93944550</c:v>
                </c:pt>
                <c:pt idx="5">
                  <c:v>93944550</c:v>
                </c:pt>
                <c:pt idx="6">
                  <c:v>93944550</c:v>
                </c:pt>
                <c:pt idx="7">
                  <c:v>93944550</c:v>
                </c:pt>
                <c:pt idx="8">
                  <c:v>93944550</c:v>
                </c:pt>
                <c:pt idx="9">
                  <c:v>93944550</c:v>
                </c:pt>
                <c:pt idx="10">
                  <c:v>93944550</c:v>
                </c:pt>
                <c:pt idx="11">
                  <c:v>93944550</c:v>
                </c:pt>
                <c:pt idx="12">
                  <c:v>93944550</c:v>
                </c:pt>
                <c:pt idx="13">
                  <c:v>93944550</c:v>
                </c:pt>
                <c:pt idx="14">
                  <c:v>93944550</c:v>
                </c:pt>
                <c:pt idx="15">
                  <c:v>93944550</c:v>
                </c:pt>
                <c:pt idx="16">
                  <c:v>93944550</c:v>
                </c:pt>
                <c:pt idx="17">
                  <c:v>93944550</c:v>
                </c:pt>
                <c:pt idx="18">
                  <c:v>93944550</c:v>
                </c:pt>
                <c:pt idx="19">
                  <c:v>93944550</c:v>
                </c:pt>
                <c:pt idx="20">
                  <c:v>93944550</c:v>
                </c:pt>
              </c:numCache>
            </c:numRef>
          </c:val>
          <c:extLst>
            <c:ext xmlns:c16="http://schemas.microsoft.com/office/drawing/2014/chart" uri="{C3380CC4-5D6E-409C-BE32-E72D297353CC}">
              <c16:uniqueId val="{00000006-2A2B-455A-8018-CFE7939AB958}"/>
            </c:ext>
          </c:extLst>
        </c:ser>
        <c:ser>
          <c:idx val="7"/>
          <c:order val="7"/>
          <c:tx>
            <c:strRef>
              <c:f>'DY 2024 Summary'!$A$43</c:f>
              <c:strCache>
                <c:ptCount val="1"/>
                <c:pt idx="0">
                  <c:v>Utility Solar</c:v>
                </c:pt>
              </c:strCache>
            </c:strRef>
          </c:tx>
          <c:spPr>
            <a:solidFill>
              <a:schemeClr val="accent2">
                <a:lumMod val="60000"/>
              </a:schemeClr>
            </a:solidFill>
            <a:ln>
              <a:noFill/>
            </a:ln>
            <a:effectLst/>
          </c:spPr>
          <c:invertIfNegative val="0"/>
          <c:cat>
            <c:numRef>
              <c:f>'DY 2024 Summary'!$B$35:$V$35</c:f>
              <c:numCache>
                <c:formatCode>General</c:formatCode>
                <c:ptCount val="21"/>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numCache>
            </c:numRef>
          </c:cat>
          <c:val>
            <c:numRef>
              <c:f>'DY 2024 Summary'!$B$43:$V$43</c:f>
              <c:numCache>
                <c:formatCode>"$"#,##0</c:formatCode>
                <c:ptCount val="21"/>
                <c:pt idx="0">
                  <c:v>0</c:v>
                </c:pt>
                <c:pt idx="1">
                  <c:v>0</c:v>
                </c:pt>
                <c:pt idx="2">
                  <c:v>0</c:v>
                </c:pt>
                <c:pt idx="3">
                  <c:v>73052400</c:v>
                </c:pt>
                <c:pt idx="4">
                  <c:v>72687138</c:v>
                </c:pt>
                <c:pt idx="5">
                  <c:v>72323702.310000002</c:v>
                </c:pt>
                <c:pt idx="6">
                  <c:v>71962083.798450008</c:v>
                </c:pt>
                <c:pt idx="7">
                  <c:v>71602273.379457757</c:v>
                </c:pt>
                <c:pt idx="8">
                  <c:v>71244262.012560472</c:v>
                </c:pt>
                <c:pt idx="9">
                  <c:v>70888040.702497661</c:v>
                </c:pt>
                <c:pt idx="10">
                  <c:v>70533600.498985186</c:v>
                </c:pt>
                <c:pt idx="11">
                  <c:v>70180932.496490255</c:v>
                </c:pt>
                <c:pt idx="12">
                  <c:v>69830027.8340078</c:v>
                </c:pt>
                <c:pt idx="13">
                  <c:v>69480877.694837764</c:v>
                </c:pt>
                <c:pt idx="14">
                  <c:v>69133473.306363568</c:v>
                </c:pt>
                <c:pt idx="15">
                  <c:v>68787805.939831749</c:v>
                </c:pt>
                <c:pt idx="16">
                  <c:v>68443866.910132587</c:v>
                </c:pt>
                <c:pt idx="17">
                  <c:v>68101647.575581923</c:v>
                </c:pt>
                <c:pt idx="18">
                  <c:v>67761139.337704018</c:v>
                </c:pt>
                <c:pt idx="19">
                  <c:v>67422333.6410155</c:v>
                </c:pt>
                <c:pt idx="20">
                  <c:v>67085221.972810417</c:v>
                </c:pt>
              </c:numCache>
            </c:numRef>
          </c:val>
          <c:extLst>
            <c:ext xmlns:c16="http://schemas.microsoft.com/office/drawing/2014/chart" uri="{C3380CC4-5D6E-409C-BE32-E72D297353CC}">
              <c16:uniqueId val="{00000007-2A2B-455A-8018-CFE7939AB958}"/>
            </c:ext>
          </c:extLst>
        </c:ser>
        <c:ser>
          <c:idx val="8"/>
          <c:order val="8"/>
          <c:tx>
            <c:strRef>
              <c:f>'DY 2024 Summary'!$A$44</c:f>
              <c:strCache>
                <c:ptCount val="1"/>
                <c:pt idx="0">
                  <c:v>Brownfield</c:v>
                </c:pt>
              </c:strCache>
            </c:strRef>
          </c:tx>
          <c:spPr>
            <a:solidFill>
              <a:schemeClr val="accent3">
                <a:lumMod val="60000"/>
              </a:schemeClr>
            </a:solidFill>
            <a:ln>
              <a:noFill/>
            </a:ln>
            <a:effectLst/>
          </c:spPr>
          <c:invertIfNegative val="0"/>
          <c:cat>
            <c:numRef>
              <c:f>'DY 2024 Summary'!$B$35:$V$35</c:f>
              <c:numCache>
                <c:formatCode>General</c:formatCode>
                <c:ptCount val="21"/>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numCache>
            </c:numRef>
          </c:cat>
          <c:val>
            <c:numRef>
              <c:f>'DY 2024 Summary'!$B$44:$V$44</c:f>
              <c:numCache>
                <c:formatCode>"$"#,##0</c:formatCode>
                <c:ptCount val="21"/>
                <c:pt idx="0">
                  <c:v>0</c:v>
                </c:pt>
                <c:pt idx="1">
                  <c:v>0</c:v>
                </c:pt>
                <c:pt idx="2">
                  <c:v>0</c:v>
                </c:pt>
                <c:pt idx="3">
                  <c:v>6045897</c:v>
                </c:pt>
                <c:pt idx="4">
                  <c:v>6015667.5150000006</c:v>
                </c:pt>
                <c:pt idx="5">
                  <c:v>5985589.1774249999</c:v>
                </c:pt>
                <c:pt idx="6">
                  <c:v>5955661.2315378748</c:v>
                </c:pt>
                <c:pt idx="7">
                  <c:v>5925882.9253801862</c:v>
                </c:pt>
                <c:pt idx="8">
                  <c:v>5896253.5107532851</c:v>
                </c:pt>
                <c:pt idx="9">
                  <c:v>5866772.2431995189</c:v>
                </c:pt>
                <c:pt idx="10">
                  <c:v>5837438.3819835214</c:v>
                </c:pt>
                <c:pt idx="11">
                  <c:v>5808251.1900736038</c:v>
                </c:pt>
                <c:pt idx="12">
                  <c:v>5779209.9341232348</c:v>
                </c:pt>
                <c:pt idx="13">
                  <c:v>5750313.8844526187</c:v>
                </c:pt>
                <c:pt idx="14">
                  <c:v>5721562.315030355</c:v>
                </c:pt>
                <c:pt idx="15">
                  <c:v>5692954.503455204</c:v>
                </c:pt>
                <c:pt idx="16">
                  <c:v>5664489.730937927</c:v>
                </c:pt>
                <c:pt idx="17">
                  <c:v>5636167.2822832372</c:v>
                </c:pt>
                <c:pt idx="18">
                  <c:v>5607986.4458718207</c:v>
                </c:pt>
                <c:pt idx="19">
                  <c:v>5579946.513642462</c:v>
                </c:pt>
                <c:pt idx="20">
                  <c:v>5552046.7810742492</c:v>
                </c:pt>
              </c:numCache>
            </c:numRef>
          </c:val>
          <c:extLst>
            <c:ext xmlns:c16="http://schemas.microsoft.com/office/drawing/2014/chart" uri="{C3380CC4-5D6E-409C-BE32-E72D297353CC}">
              <c16:uniqueId val="{00000008-2A2B-455A-8018-CFE7939AB958}"/>
            </c:ext>
          </c:extLst>
        </c:ser>
        <c:dLbls>
          <c:showLegendKey val="0"/>
          <c:showVal val="0"/>
          <c:showCatName val="0"/>
          <c:showSerName val="0"/>
          <c:showPercent val="0"/>
          <c:showBubbleSize val="0"/>
        </c:dLbls>
        <c:gapWidth val="150"/>
        <c:overlap val="100"/>
        <c:axId val="653020880"/>
        <c:axId val="653020552"/>
      </c:barChart>
      <c:catAx>
        <c:axId val="653020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53020552"/>
        <c:crosses val="autoZero"/>
        <c:auto val="1"/>
        <c:lblAlgn val="ctr"/>
        <c:lblOffset val="100"/>
        <c:noMultiLvlLbl val="0"/>
      </c:catAx>
      <c:valAx>
        <c:axId val="65302055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53020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Renewable Energy Credits (RECs)</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 3 Tables and Graphs'!$D$4</c:f>
              <c:strCache>
                <c:ptCount val="1"/>
                <c:pt idx="0">
                  <c:v>Total Wind</c:v>
                </c:pt>
              </c:strCache>
            </c:strRef>
          </c:tx>
          <c:spPr>
            <a:solidFill>
              <a:schemeClr val="accent1"/>
            </a:solidFill>
            <a:ln>
              <a:noFill/>
            </a:ln>
            <a:effectLst/>
          </c:spPr>
          <c:invertIfNegative val="0"/>
          <c:cat>
            <c:strRef>
              <c:f>'Ch. 3 Tables and Graphs'!$C$5:$C$27</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strCache>
            </c:strRef>
          </c:cat>
          <c:val>
            <c:numRef>
              <c:f>'Ch. 3 Tables and Graphs'!$D$5:$D$27</c:f>
              <c:numCache>
                <c:formatCode>_(* #,##0_);_(* \(#,##0\);_(* "-"??_);_(@_)</c:formatCode>
                <c:ptCount val="23"/>
                <c:pt idx="0">
                  <c:v>2591725</c:v>
                </c:pt>
                <c:pt idx="1">
                  <c:v>3927244</c:v>
                </c:pt>
                <c:pt idx="2">
                  <c:v>3927244</c:v>
                </c:pt>
                <c:pt idx="3">
                  <c:v>3927244</c:v>
                </c:pt>
                <c:pt idx="4">
                  <c:v>3927244</c:v>
                </c:pt>
                <c:pt idx="5">
                  <c:v>4520580.6993800001</c:v>
                </c:pt>
                <c:pt idx="6">
                  <c:v>4519285.7018831</c:v>
                </c:pt>
                <c:pt idx="7">
                  <c:v>4517997.1793736843</c:v>
                </c:pt>
                <c:pt idx="8">
                  <c:v>4516715.0994768161</c:v>
                </c:pt>
                <c:pt idx="9">
                  <c:v>4515439.4299794324</c:v>
                </c:pt>
                <c:pt idx="10">
                  <c:v>4514170.1388295349</c:v>
                </c:pt>
                <c:pt idx="11">
                  <c:v>4512907.1941353874</c:v>
                </c:pt>
                <c:pt idx="12">
                  <c:v>2649925.5641647102</c:v>
                </c:pt>
                <c:pt idx="13">
                  <c:v>2218675.2173438868</c:v>
                </c:pt>
                <c:pt idx="14">
                  <c:v>2217431.1222571675</c:v>
                </c:pt>
                <c:pt idx="15">
                  <c:v>1916193.2476458813</c:v>
                </c:pt>
                <c:pt idx="16">
                  <c:v>579442.56240765192</c:v>
                </c:pt>
                <c:pt idx="17">
                  <c:v>578217.03559561365</c:v>
                </c:pt>
                <c:pt idx="18">
                  <c:v>576997.6364176356</c:v>
                </c:pt>
                <c:pt idx="19">
                  <c:v>575784.33423554746</c:v>
                </c:pt>
                <c:pt idx="20">
                  <c:v>574577.0985643696</c:v>
                </c:pt>
                <c:pt idx="21">
                  <c:v>573375.89907154778</c:v>
                </c:pt>
                <c:pt idx="22">
                  <c:v>572180.70557619003</c:v>
                </c:pt>
              </c:numCache>
            </c:numRef>
          </c:val>
          <c:extLst>
            <c:ext xmlns:c16="http://schemas.microsoft.com/office/drawing/2014/chart" uri="{C3380CC4-5D6E-409C-BE32-E72D297353CC}">
              <c16:uniqueId val="{00000000-AF27-4845-B344-6916EFEE18D5}"/>
            </c:ext>
          </c:extLst>
        </c:ser>
        <c:ser>
          <c:idx val="1"/>
          <c:order val="1"/>
          <c:tx>
            <c:strRef>
              <c:f>'Ch. 3 Tables and Graphs'!$E$4</c:f>
              <c:strCache>
                <c:ptCount val="1"/>
                <c:pt idx="0">
                  <c:v>Total Solar</c:v>
                </c:pt>
              </c:strCache>
            </c:strRef>
          </c:tx>
          <c:spPr>
            <a:solidFill>
              <a:srgbClr val="FFFF00"/>
            </a:solidFill>
            <a:ln>
              <a:noFill/>
            </a:ln>
            <a:effectLst/>
          </c:spPr>
          <c:invertIfNegative val="0"/>
          <c:cat>
            <c:strRef>
              <c:f>'Ch. 3 Tables and Graphs'!$C$5:$C$27</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strCache>
            </c:strRef>
          </c:cat>
          <c:val>
            <c:numRef>
              <c:f>'Ch. 3 Tables and Graphs'!$E$5:$E$27</c:f>
              <c:numCache>
                <c:formatCode>_(* #,##0_);_(* \(#,##0\);_(* "-"??_);_(@_)</c:formatCode>
                <c:ptCount val="23"/>
                <c:pt idx="0">
                  <c:v>714152.50247266702</c:v>
                </c:pt>
                <c:pt idx="1">
                  <c:v>2033122.7175146674</c:v>
                </c:pt>
                <c:pt idx="2">
                  <c:v>3389233.442758169</c:v>
                </c:pt>
                <c:pt idx="3">
                  <c:v>3894821.9172026333</c:v>
                </c:pt>
                <c:pt idx="4">
                  <c:v>3885463.1733901058</c:v>
                </c:pt>
                <c:pt idx="5">
                  <c:v>5776171.3058407661</c:v>
                </c:pt>
                <c:pt idx="6">
                  <c:v>5757401.0525126504</c:v>
                </c:pt>
                <c:pt idx="7">
                  <c:v>5738131.7513688467</c:v>
                </c:pt>
                <c:pt idx="8">
                  <c:v>5719465.9940828877</c:v>
                </c:pt>
                <c:pt idx="9">
                  <c:v>5700690.622717509</c:v>
                </c:pt>
                <c:pt idx="10">
                  <c:v>5682307.7790912092</c:v>
                </c:pt>
                <c:pt idx="11">
                  <c:v>5659559.1774758333</c:v>
                </c:pt>
                <c:pt idx="12">
                  <c:v>5644313.9397163996</c:v>
                </c:pt>
                <c:pt idx="13">
                  <c:v>5628924.2949886443</c:v>
                </c:pt>
                <c:pt idx="14">
                  <c:v>5485661.7616604501</c:v>
                </c:pt>
                <c:pt idx="15">
                  <c:v>4997845.4602864757</c:v>
                </c:pt>
                <c:pt idx="16">
                  <c:v>2624869.8634727378</c:v>
                </c:pt>
                <c:pt idx="17">
                  <c:v>2199614.4460561075</c:v>
                </c:pt>
                <c:pt idx="18">
                  <c:v>2184341.5477036396</c:v>
                </c:pt>
                <c:pt idx="19">
                  <c:v>2173419.8399651214</c:v>
                </c:pt>
                <c:pt idx="20">
                  <c:v>2162552.7407652959</c:v>
                </c:pt>
                <c:pt idx="21">
                  <c:v>2151739.9770614696</c:v>
                </c:pt>
                <c:pt idx="22">
                  <c:v>2140110.422615895</c:v>
                </c:pt>
              </c:numCache>
            </c:numRef>
          </c:val>
          <c:extLst>
            <c:ext xmlns:c16="http://schemas.microsoft.com/office/drawing/2014/chart" uri="{C3380CC4-5D6E-409C-BE32-E72D297353CC}">
              <c16:uniqueId val="{00000001-AF27-4845-B344-6916EFEE18D5}"/>
            </c:ext>
          </c:extLst>
        </c:ser>
        <c:ser>
          <c:idx val="2"/>
          <c:order val="2"/>
          <c:tx>
            <c:strRef>
              <c:f>'Ch. 3 Tables and Graphs'!$F$4</c:f>
              <c:strCache>
                <c:ptCount val="1"/>
                <c:pt idx="0">
                  <c:v>Total All RECs</c:v>
                </c:pt>
              </c:strCache>
            </c:strRef>
          </c:tx>
          <c:spPr>
            <a:solidFill>
              <a:schemeClr val="accent6"/>
            </a:solidFill>
            <a:ln>
              <a:noFill/>
            </a:ln>
            <a:effectLst/>
          </c:spPr>
          <c:invertIfNegative val="0"/>
          <c:cat>
            <c:strRef>
              <c:f>'Ch. 3 Tables and Graphs'!$C$5:$C$27</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2036-37</c:v>
                </c:pt>
                <c:pt idx="17">
                  <c:v>2037-38</c:v>
                </c:pt>
                <c:pt idx="18">
                  <c:v>2038-39</c:v>
                </c:pt>
                <c:pt idx="19">
                  <c:v>2039-40</c:v>
                </c:pt>
                <c:pt idx="20">
                  <c:v>2040-41</c:v>
                </c:pt>
                <c:pt idx="21">
                  <c:v>2041-42</c:v>
                </c:pt>
                <c:pt idx="22">
                  <c:v>2042-43</c:v>
                </c:pt>
              </c:strCache>
            </c:strRef>
          </c:cat>
          <c:val>
            <c:numRef>
              <c:f>'Ch. 3 Tables and Graphs'!$F$5:$F$27</c:f>
              <c:numCache>
                <c:formatCode>_(* #,##0_);_(* \(#,##0\);_(* "-"??_);_(@_)</c:formatCode>
                <c:ptCount val="23"/>
                <c:pt idx="0">
                  <c:v>3305877.502472667</c:v>
                </c:pt>
                <c:pt idx="1">
                  <c:v>5960366.7175146677</c:v>
                </c:pt>
                <c:pt idx="2">
                  <c:v>7316477.442758169</c:v>
                </c:pt>
                <c:pt idx="3">
                  <c:v>7822065.9172026329</c:v>
                </c:pt>
                <c:pt idx="4">
                  <c:v>7812707.1733901054</c:v>
                </c:pt>
                <c:pt idx="5">
                  <c:v>10296752.005220767</c:v>
                </c:pt>
                <c:pt idx="6">
                  <c:v>10276686.754395749</c:v>
                </c:pt>
                <c:pt idx="7">
                  <c:v>10256128.930742532</c:v>
                </c:pt>
                <c:pt idx="8">
                  <c:v>10236181.093559705</c:v>
                </c:pt>
                <c:pt idx="9">
                  <c:v>10216130.052696941</c:v>
                </c:pt>
                <c:pt idx="10">
                  <c:v>10196477.917920744</c:v>
                </c:pt>
                <c:pt idx="11">
                  <c:v>10172466.371611221</c:v>
                </c:pt>
                <c:pt idx="12">
                  <c:v>8294239.5038811099</c:v>
                </c:pt>
                <c:pt idx="13">
                  <c:v>7847599.5123325307</c:v>
                </c:pt>
                <c:pt idx="14">
                  <c:v>7703092.8839176176</c:v>
                </c:pt>
                <c:pt idx="15">
                  <c:v>6914038.7079323567</c:v>
                </c:pt>
                <c:pt idx="16">
                  <c:v>3204312.4258803898</c:v>
                </c:pt>
                <c:pt idx="17">
                  <c:v>2777831.4816517211</c:v>
                </c:pt>
                <c:pt idx="18">
                  <c:v>2761339.1841212753</c:v>
                </c:pt>
                <c:pt idx="19">
                  <c:v>2749204.1742006689</c:v>
                </c:pt>
                <c:pt idx="20">
                  <c:v>2737129.8393296655</c:v>
                </c:pt>
                <c:pt idx="21">
                  <c:v>2725115.8761330172</c:v>
                </c:pt>
                <c:pt idx="22">
                  <c:v>2712291.1281920848</c:v>
                </c:pt>
              </c:numCache>
            </c:numRef>
          </c:val>
          <c:extLst>
            <c:ext xmlns:c16="http://schemas.microsoft.com/office/drawing/2014/chart" uri="{C3380CC4-5D6E-409C-BE32-E72D297353CC}">
              <c16:uniqueId val="{00000002-AF27-4845-B344-6916EFEE18D5}"/>
            </c:ext>
          </c:extLst>
        </c:ser>
        <c:dLbls>
          <c:showLegendKey val="0"/>
          <c:showVal val="0"/>
          <c:showCatName val="0"/>
          <c:showSerName val="0"/>
          <c:showPercent val="0"/>
          <c:showBubbleSize val="0"/>
        </c:dLbls>
        <c:gapWidth val="219"/>
        <c:overlap val="-27"/>
        <c:axId val="755775744"/>
        <c:axId val="660243024"/>
      </c:barChart>
      <c:catAx>
        <c:axId val="755775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0243024"/>
        <c:crosses val="autoZero"/>
        <c:auto val="1"/>
        <c:lblAlgn val="ctr"/>
        <c:lblOffset val="100"/>
        <c:noMultiLvlLbl val="0"/>
      </c:catAx>
      <c:valAx>
        <c:axId val="66024302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5775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Projected RPS Expenses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4"/>
          <c:order val="0"/>
          <c:tx>
            <c:strRef>
              <c:f>'$ Tables and Graphs'!$V$3</c:f>
              <c:strCache>
                <c:ptCount val="1"/>
                <c:pt idx="0">
                  <c:v>Set Asides</c:v>
                </c:pt>
              </c:strCache>
            </c:strRef>
          </c:tx>
          <c:spPr>
            <a:solidFill>
              <a:schemeClr val="bg2"/>
            </a:solidFill>
            <a:ln>
              <a:noFill/>
            </a:ln>
            <a:effectLst/>
          </c:spPr>
          <c:invertIfNegative val="0"/>
          <c:cat>
            <c:strRef>
              <c:f>'$ Tables and Graphs'!$Q$4:$Q$14</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Graphs'!$V$4:$V$14</c:f>
              <c:numCache>
                <c:formatCode>"$"#,##0_);[Red]\("$"#,##0\)</c:formatCode>
                <c:ptCount val="11"/>
                <c:pt idx="0">
                  <c:v>18018880.058405567</c:v>
                </c:pt>
                <c:pt idx="1">
                  <c:v>73942135.092404008</c:v>
                </c:pt>
                <c:pt idx="2">
                  <c:v>67623889.8279275</c:v>
                </c:pt>
                <c:pt idx="3">
                  <c:v>67669653.536230862</c:v>
                </c:pt>
                <c:pt idx="4">
                  <c:v>77613455.16709587</c:v>
                </c:pt>
                <c:pt idx="5">
                  <c:v>67553355.712971777</c:v>
                </c:pt>
                <c:pt idx="6">
                  <c:v>67572700.474246591</c:v>
                </c:pt>
                <c:pt idx="7">
                  <c:v>77625423.170190215</c:v>
                </c:pt>
                <c:pt idx="8">
                  <c:v>67711714.835542694</c:v>
                </c:pt>
                <c:pt idx="9">
                  <c:v>67733678.133388445</c:v>
                </c:pt>
                <c:pt idx="10">
                  <c:v>77789447.893524989</c:v>
                </c:pt>
              </c:numCache>
            </c:numRef>
          </c:val>
          <c:extLst>
            <c:ext xmlns:c16="http://schemas.microsoft.com/office/drawing/2014/chart" uri="{C3380CC4-5D6E-409C-BE32-E72D297353CC}">
              <c16:uniqueId val="{00000000-6EE6-4C4C-8CA3-3EF0660098D3}"/>
            </c:ext>
          </c:extLst>
        </c:ser>
        <c:ser>
          <c:idx val="0"/>
          <c:order val="1"/>
          <c:tx>
            <c:strRef>
              <c:f>'$ Tables and Graphs'!$R$3</c:f>
              <c:strCache>
                <c:ptCount val="1"/>
                <c:pt idx="0">
                  <c:v>Legacy</c:v>
                </c:pt>
              </c:strCache>
            </c:strRef>
          </c:tx>
          <c:spPr>
            <a:solidFill>
              <a:schemeClr val="accent1"/>
            </a:solidFill>
            <a:ln>
              <a:noFill/>
            </a:ln>
            <a:effectLst/>
          </c:spPr>
          <c:invertIfNegative val="0"/>
          <c:cat>
            <c:strRef>
              <c:f>'$ Tables and Graphs'!$Q$4:$Q$14</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Graphs'!$R$4:$R$14</c:f>
              <c:numCache>
                <c:formatCode>"$"#,##0_);[Red]\("$"#,##0\)</c:formatCode>
                <c:ptCount val="11"/>
                <c:pt idx="0">
                  <c:v>266971300.19571131</c:v>
                </c:pt>
                <c:pt idx="1">
                  <c:v>262301406.86451453</c:v>
                </c:pt>
                <c:pt idx="2">
                  <c:v>224361424.71091402</c:v>
                </c:pt>
                <c:pt idx="3">
                  <c:v>204347600.42591956</c:v>
                </c:pt>
                <c:pt idx="4">
                  <c:v>178155373.11562955</c:v>
                </c:pt>
                <c:pt idx="5">
                  <c:v>99540589.733189806</c:v>
                </c:pt>
                <c:pt idx="6">
                  <c:v>35849683.433997169</c:v>
                </c:pt>
                <c:pt idx="7">
                  <c:v>26551296.921927165</c:v>
                </c:pt>
                <c:pt idx="8">
                  <c:v>26548946.406225294</c:v>
                </c:pt>
                <c:pt idx="9">
                  <c:v>26408822.795569383</c:v>
                </c:pt>
                <c:pt idx="10">
                  <c:v>26374267.825660352</c:v>
                </c:pt>
              </c:numCache>
            </c:numRef>
          </c:val>
          <c:extLst>
            <c:ext xmlns:c16="http://schemas.microsoft.com/office/drawing/2014/chart" uri="{C3380CC4-5D6E-409C-BE32-E72D297353CC}">
              <c16:uniqueId val="{00000001-6EE6-4C4C-8CA3-3EF0660098D3}"/>
            </c:ext>
          </c:extLst>
        </c:ser>
        <c:ser>
          <c:idx val="1"/>
          <c:order val="2"/>
          <c:tx>
            <c:strRef>
              <c:f>'$ Tables and Graphs'!$S$3</c:f>
              <c:strCache>
                <c:ptCount val="1"/>
                <c:pt idx="0">
                  <c:v>Late 2021/2022 Activities</c:v>
                </c:pt>
              </c:strCache>
            </c:strRef>
          </c:tx>
          <c:spPr>
            <a:solidFill>
              <a:schemeClr val="accent2"/>
            </a:solidFill>
            <a:ln>
              <a:noFill/>
            </a:ln>
            <a:effectLst/>
          </c:spPr>
          <c:invertIfNegative val="0"/>
          <c:cat>
            <c:strRef>
              <c:f>'$ Tables and Graphs'!$Q$4:$Q$14</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Graphs'!$S$4:$S$14</c:f>
              <c:numCache>
                <c:formatCode>"$"#,##0_);[Red]\("$"#,##0\)</c:formatCode>
                <c:ptCount val="11"/>
                <c:pt idx="0">
                  <c:v>0</c:v>
                </c:pt>
                <c:pt idx="1">
                  <c:v>0</c:v>
                </c:pt>
                <c:pt idx="2">
                  <c:v>150287241.57700732</c:v>
                </c:pt>
                <c:pt idx="3">
                  <c:v>34062072.644041948</c:v>
                </c:pt>
                <c:pt idx="4">
                  <c:v>33914405.114653029</c:v>
                </c:pt>
                <c:pt idx="5">
                  <c:v>44634300.467469797</c:v>
                </c:pt>
                <c:pt idx="6">
                  <c:v>43016544.482024975</c:v>
                </c:pt>
                <c:pt idx="7">
                  <c:v>41380441.119689338</c:v>
                </c:pt>
                <c:pt idx="8">
                  <c:v>39725627.845957011</c:v>
                </c:pt>
                <c:pt idx="9">
                  <c:v>27278447.762432255</c:v>
                </c:pt>
                <c:pt idx="10">
                  <c:v>25001804.140573565</c:v>
                </c:pt>
              </c:numCache>
            </c:numRef>
          </c:val>
          <c:extLst>
            <c:ext xmlns:c16="http://schemas.microsoft.com/office/drawing/2014/chart" uri="{C3380CC4-5D6E-409C-BE32-E72D297353CC}">
              <c16:uniqueId val="{00000002-6EE6-4C4C-8CA3-3EF0660098D3}"/>
            </c:ext>
          </c:extLst>
        </c:ser>
        <c:ser>
          <c:idx val="2"/>
          <c:order val="3"/>
          <c:tx>
            <c:strRef>
              <c:f>'$ Tables and Graphs'!$T$3</c:f>
              <c:strCache>
                <c:ptCount val="1"/>
                <c:pt idx="0">
                  <c:v>Proposed in This Plan</c:v>
                </c:pt>
              </c:strCache>
            </c:strRef>
          </c:tx>
          <c:spPr>
            <a:solidFill>
              <a:schemeClr val="accent6">
                <a:lumMod val="20000"/>
                <a:lumOff val="80000"/>
              </a:schemeClr>
            </a:solidFill>
            <a:ln>
              <a:noFill/>
            </a:ln>
            <a:effectLst/>
          </c:spPr>
          <c:invertIfNegative val="0"/>
          <c:cat>
            <c:strRef>
              <c:f>'$ Tables and Graphs'!$Q$4:$Q$14</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Graphs'!$T$4:$T$14</c:f>
              <c:numCache>
                <c:formatCode>"$"#,##0_);[Red]\("$"#,##0\)</c:formatCode>
                <c:ptCount val="11"/>
                <c:pt idx="0">
                  <c:v>0</c:v>
                </c:pt>
                <c:pt idx="1">
                  <c:v>0</c:v>
                </c:pt>
                <c:pt idx="2">
                  <c:v>260121892.075037</c:v>
                </c:pt>
                <c:pt idx="3">
                  <c:v>268520103.00952864</c:v>
                </c:pt>
                <c:pt idx="4">
                  <c:v>133595444.74339308</c:v>
                </c:pt>
                <c:pt idx="5">
                  <c:v>145056198.3986516</c:v>
                </c:pt>
                <c:pt idx="6">
                  <c:v>161532977.93802112</c:v>
                </c:pt>
                <c:pt idx="7">
                  <c:v>155247310.07550862</c:v>
                </c:pt>
                <c:pt idx="8">
                  <c:v>148868120.45153844</c:v>
                </c:pt>
                <c:pt idx="9">
                  <c:v>99769792.297423303</c:v>
                </c:pt>
                <c:pt idx="10">
                  <c:v>61503493.906300552</c:v>
                </c:pt>
              </c:numCache>
            </c:numRef>
          </c:val>
          <c:extLst>
            <c:ext xmlns:c16="http://schemas.microsoft.com/office/drawing/2014/chart" uri="{C3380CC4-5D6E-409C-BE32-E72D297353CC}">
              <c16:uniqueId val="{00000003-6EE6-4C4C-8CA3-3EF0660098D3}"/>
            </c:ext>
          </c:extLst>
        </c:ser>
        <c:ser>
          <c:idx val="3"/>
          <c:order val="4"/>
          <c:tx>
            <c:strRef>
              <c:f>'$ Tables and Graphs'!$U$3</c:f>
              <c:strCache>
                <c:ptCount val="1"/>
                <c:pt idx="0">
                  <c:v>Potential Future Activities</c:v>
                </c:pt>
              </c:strCache>
            </c:strRef>
          </c:tx>
          <c:spPr>
            <a:solidFill>
              <a:schemeClr val="accent4"/>
            </a:solidFill>
            <a:ln>
              <a:noFill/>
            </a:ln>
            <a:effectLst/>
          </c:spPr>
          <c:invertIfNegative val="0"/>
          <c:cat>
            <c:strRef>
              <c:f>'$ Tables and Graphs'!$Q$4:$Q$14</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Graphs'!$U$4:$U$14</c:f>
              <c:numCache>
                <c:formatCode>"$"#,##0_);[Red]\("$"#,##0\)</c:formatCode>
                <c:ptCount val="11"/>
                <c:pt idx="0">
                  <c:v>0</c:v>
                </c:pt>
                <c:pt idx="1">
                  <c:v>0</c:v>
                </c:pt>
                <c:pt idx="2">
                  <c:v>0</c:v>
                </c:pt>
                <c:pt idx="3">
                  <c:v>0</c:v>
                </c:pt>
                <c:pt idx="4">
                  <c:v>178736474.90878087</c:v>
                </c:pt>
                <c:pt idx="5">
                  <c:v>221416152.35444039</c:v>
                </c:pt>
                <c:pt idx="6">
                  <c:v>261937440.06868491</c:v>
                </c:pt>
                <c:pt idx="7">
                  <c:v>316041246.55538112</c:v>
                </c:pt>
                <c:pt idx="8">
                  <c:v>380044326.18982345</c:v>
                </c:pt>
                <c:pt idx="9">
                  <c:v>437635749.43521202</c:v>
                </c:pt>
                <c:pt idx="10">
                  <c:v>488575558.03460884</c:v>
                </c:pt>
              </c:numCache>
            </c:numRef>
          </c:val>
          <c:extLst>
            <c:ext xmlns:c16="http://schemas.microsoft.com/office/drawing/2014/chart" uri="{C3380CC4-5D6E-409C-BE32-E72D297353CC}">
              <c16:uniqueId val="{00000004-6EE6-4C4C-8CA3-3EF0660098D3}"/>
            </c:ext>
          </c:extLst>
        </c:ser>
        <c:dLbls>
          <c:showLegendKey val="0"/>
          <c:showVal val="0"/>
          <c:showCatName val="0"/>
          <c:showSerName val="0"/>
          <c:showPercent val="0"/>
          <c:showBubbleSize val="0"/>
        </c:dLbls>
        <c:gapWidth val="150"/>
        <c:overlap val="100"/>
        <c:axId val="590624800"/>
        <c:axId val="590625784"/>
      </c:barChart>
      <c:lineChart>
        <c:grouping val="standard"/>
        <c:varyColors val="0"/>
        <c:ser>
          <c:idx val="5"/>
          <c:order val="5"/>
          <c:tx>
            <c:strRef>
              <c:f>'$ Tables and Graphs'!$W$3</c:f>
              <c:strCache>
                <c:ptCount val="1"/>
                <c:pt idx="0">
                  <c:v>Total Available Funds</c:v>
                </c:pt>
              </c:strCache>
            </c:strRef>
          </c:tx>
          <c:spPr>
            <a:ln w="28575" cap="rnd">
              <a:noFill/>
              <a:round/>
            </a:ln>
            <a:effectLst/>
          </c:spPr>
          <c:marker>
            <c:symbol val="dash"/>
            <c:size val="20"/>
            <c:spPr>
              <a:solidFill>
                <a:schemeClr val="accent6"/>
              </a:solidFill>
              <a:ln w="9525">
                <a:solidFill>
                  <a:schemeClr val="accent6"/>
                </a:solidFill>
              </a:ln>
              <a:effectLst/>
            </c:spPr>
          </c:marker>
          <c:cat>
            <c:strRef>
              <c:f>'$ Tables and Graphs'!$Q$4:$Q$14</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Graphs'!$W$4:$W$14</c:f>
              <c:numCache>
                <c:formatCode>"$"#,##0_);[Red]\("$"#,##0\)</c:formatCode>
                <c:ptCount val="11"/>
                <c:pt idx="0">
                  <c:v>685946682.99750829</c:v>
                </c:pt>
                <c:pt idx="1">
                  <c:v>865694339.15685856</c:v>
                </c:pt>
                <c:pt idx="2">
                  <c:v>1116913791.4641902</c:v>
                </c:pt>
                <c:pt idx="3">
                  <c:v>1003507794.4809995</c:v>
                </c:pt>
                <c:pt idx="4">
                  <c:v>1016023537.1018077</c:v>
                </c:pt>
                <c:pt idx="5">
                  <c:v>999120241.1513145</c:v>
                </c:pt>
                <c:pt idx="6">
                  <c:v>1006676326.9594773</c:v>
                </c:pt>
                <c:pt idx="7">
                  <c:v>1024281086.23551</c:v>
                </c:pt>
                <c:pt idx="8">
                  <c:v>997825862.91090333</c:v>
                </c:pt>
                <c:pt idx="9">
                  <c:v>926049731.62809789</c:v>
                </c:pt>
                <c:pt idx="10">
                  <c:v>860204837.65490556</c:v>
                </c:pt>
              </c:numCache>
            </c:numRef>
          </c:val>
          <c:smooth val="0"/>
          <c:extLst>
            <c:ext xmlns:c16="http://schemas.microsoft.com/office/drawing/2014/chart" uri="{C3380CC4-5D6E-409C-BE32-E72D297353CC}">
              <c16:uniqueId val="{00000005-6EE6-4C4C-8CA3-3EF0660098D3}"/>
            </c:ext>
          </c:extLst>
        </c:ser>
        <c:dLbls>
          <c:showLegendKey val="0"/>
          <c:showVal val="0"/>
          <c:showCatName val="0"/>
          <c:showSerName val="0"/>
          <c:showPercent val="0"/>
          <c:showBubbleSize val="0"/>
        </c:dLbls>
        <c:marker val="1"/>
        <c:smooth val="0"/>
        <c:axId val="590624800"/>
        <c:axId val="590625784"/>
      </c:lineChart>
      <c:catAx>
        <c:axId val="590624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90625784"/>
        <c:crosses val="autoZero"/>
        <c:auto val="1"/>
        <c:lblAlgn val="ctr"/>
        <c:lblOffset val="100"/>
        <c:noMultiLvlLbl val="0"/>
      </c:catAx>
      <c:valAx>
        <c:axId val="59062578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90624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Projected RPS Expenses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3"/>
          <c:order val="0"/>
          <c:tx>
            <c:strRef>
              <c:f>'$ Tables and Graphs'!$V$3</c:f>
              <c:strCache>
                <c:ptCount val="1"/>
                <c:pt idx="0">
                  <c:v>Set Asides</c:v>
                </c:pt>
              </c:strCache>
            </c:strRef>
          </c:tx>
          <c:spPr>
            <a:solidFill>
              <a:schemeClr val="bg2"/>
            </a:solidFill>
            <a:ln>
              <a:noFill/>
            </a:ln>
            <a:effectLst/>
          </c:spPr>
          <c:invertIfNegative val="0"/>
          <c:cat>
            <c:strRef>
              <c:f>'$ Tables and Graphs'!$Q$4:$Q$26</c:f>
              <c:strCache>
                <c:ptCount val="23"/>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pt idx="11">
                  <c:v>2031-2032</c:v>
                </c:pt>
                <c:pt idx="12">
                  <c:v>2032-2033</c:v>
                </c:pt>
                <c:pt idx="13">
                  <c:v>2033-2034</c:v>
                </c:pt>
                <c:pt idx="14">
                  <c:v>2034-2035</c:v>
                </c:pt>
                <c:pt idx="15">
                  <c:v>2035-2036</c:v>
                </c:pt>
                <c:pt idx="16">
                  <c:v>2036-2037</c:v>
                </c:pt>
                <c:pt idx="17">
                  <c:v>2037-2038</c:v>
                </c:pt>
                <c:pt idx="18">
                  <c:v>2038-2039</c:v>
                </c:pt>
                <c:pt idx="19">
                  <c:v>2039-2040</c:v>
                </c:pt>
                <c:pt idx="20">
                  <c:v>2040-2041</c:v>
                </c:pt>
                <c:pt idx="21">
                  <c:v>2041-2042</c:v>
                </c:pt>
                <c:pt idx="22">
                  <c:v>2042-2043</c:v>
                </c:pt>
              </c:strCache>
            </c:strRef>
          </c:cat>
          <c:val>
            <c:numRef>
              <c:f>'$ Tables and Graphs'!$V$4:$V$26</c:f>
              <c:numCache>
                <c:formatCode>"$"#,##0_);[Red]\("$"#,##0\)</c:formatCode>
                <c:ptCount val="23"/>
                <c:pt idx="0">
                  <c:v>18018880.058405567</c:v>
                </c:pt>
                <c:pt idx="1">
                  <c:v>73942135.092404008</c:v>
                </c:pt>
                <c:pt idx="2">
                  <c:v>67623889.8279275</c:v>
                </c:pt>
                <c:pt idx="3">
                  <c:v>67669653.536230862</c:v>
                </c:pt>
                <c:pt idx="4">
                  <c:v>77613455.16709587</c:v>
                </c:pt>
                <c:pt idx="5">
                  <c:v>67553355.712971777</c:v>
                </c:pt>
                <c:pt idx="6">
                  <c:v>67572700.474246591</c:v>
                </c:pt>
                <c:pt idx="7">
                  <c:v>77625423.170190215</c:v>
                </c:pt>
                <c:pt idx="8">
                  <c:v>67711714.835542694</c:v>
                </c:pt>
                <c:pt idx="9">
                  <c:v>67733678.133388445</c:v>
                </c:pt>
                <c:pt idx="10">
                  <c:v>77789447.893524989</c:v>
                </c:pt>
                <c:pt idx="11">
                  <c:v>67855534.640602186</c:v>
                </c:pt>
                <c:pt idx="12">
                  <c:v>67977997.445554465</c:v>
                </c:pt>
                <c:pt idx="13">
                  <c:v>68007164.753511429</c:v>
                </c:pt>
                <c:pt idx="14">
                  <c:v>68057703.345901966</c:v>
                </c:pt>
                <c:pt idx="15">
                  <c:v>68118553.768141374</c:v>
                </c:pt>
                <c:pt idx="16">
                  <c:v>68198134.165855765</c:v>
                </c:pt>
                <c:pt idx="17">
                  <c:v>68209514.676376209</c:v>
                </c:pt>
                <c:pt idx="18">
                  <c:v>68264106.623428315</c:v>
                </c:pt>
                <c:pt idx="19">
                  <c:v>68264106.623428315</c:v>
                </c:pt>
                <c:pt idx="20">
                  <c:v>68264106.623428315</c:v>
                </c:pt>
                <c:pt idx="21">
                  <c:v>68264106.623428315</c:v>
                </c:pt>
                <c:pt idx="22">
                  <c:v>68264106.623428315</c:v>
                </c:pt>
              </c:numCache>
            </c:numRef>
          </c:val>
          <c:extLst>
            <c:ext xmlns:c16="http://schemas.microsoft.com/office/drawing/2014/chart" uri="{C3380CC4-5D6E-409C-BE32-E72D297353CC}">
              <c16:uniqueId val="{00000003-5FC5-44D7-81BF-1E8EF9204C0C}"/>
            </c:ext>
          </c:extLst>
        </c:ser>
        <c:ser>
          <c:idx val="4"/>
          <c:order val="1"/>
          <c:tx>
            <c:strRef>
              <c:f>'$ Tables and Graphs'!$R$3</c:f>
              <c:strCache>
                <c:ptCount val="1"/>
                <c:pt idx="0">
                  <c:v>Legacy</c:v>
                </c:pt>
              </c:strCache>
            </c:strRef>
          </c:tx>
          <c:spPr>
            <a:solidFill>
              <a:schemeClr val="accent5"/>
            </a:solidFill>
            <a:ln>
              <a:noFill/>
            </a:ln>
            <a:effectLst/>
          </c:spPr>
          <c:invertIfNegative val="0"/>
          <c:cat>
            <c:strRef>
              <c:f>'$ Tables and Graphs'!$Q$4:$Q$26</c:f>
              <c:strCache>
                <c:ptCount val="23"/>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pt idx="11">
                  <c:v>2031-2032</c:v>
                </c:pt>
                <c:pt idx="12">
                  <c:v>2032-2033</c:v>
                </c:pt>
                <c:pt idx="13">
                  <c:v>2033-2034</c:v>
                </c:pt>
                <c:pt idx="14">
                  <c:v>2034-2035</c:v>
                </c:pt>
                <c:pt idx="15">
                  <c:v>2035-2036</c:v>
                </c:pt>
                <c:pt idx="16">
                  <c:v>2036-2037</c:v>
                </c:pt>
                <c:pt idx="17">
                  <c:v>2037-2038</c:v>
                </c:pt>
                <c:pt idx="18">
                  <c:v>2038-2039</c:v>
                </c:pt>
                <c:pt idx="19">
                  <c:v>2039-2040</c:v>
                </c:pt>
                <c:pt idx="20">
                  <c:v>2040-2041</c:v>
                </c:pt>
                <c:pt idx="21">
                  <c:v>2041-2042</c:v>
                </c:pt>
                <c:pt idx="22">
                  <c:v>2042-2043</c:v>
                </c:pt>
              </c:strCache>
            </c:strRef>
          </c:cat>
          <c:val>
            <c:numRef>
              <c:f>'$ Tables and Graphs'!$R$4:$R$26</c:f>
              <c:numCache>
                <c:formatCode>"$"#,##0_);[Red]\("$"#,##0\)</c:formatCode>
                <c:ptCount val="23"/>
                <c:pt idx="0">
                  <c:v>266971300.19571131</c:v>
                </c:pt>
                <c:pt idx="1">
                  <c:v>262301406.86451453</c:v>
                </c:pt>
                <c:pt idx="2">
                  <c:v>224361424.71091402</c:v>
                </c:pt>
                <c:pt idx="3">
                  <c:v>204347600.42591956</c:v>
                </c:pt>
                <c:pt idx="4">
                  <c:v>178155373.11562955</c:v>
                </c:pt>
                <c:pt idx="5">
                  <c:v>99540589.733189806</c:v>
                </c:pt>
                <c:pt idx="6">
                  <c:v>35849683.433997169</c:v>
                </c:pt>
                <c:pt idx="7">
                  <c:v>26551296.921927165</c:v>
                </c:pt>
                <c:pt idx="8">
                  <c:v>26548946.406225294</c:v>
                </c:pt>
                <c:pt idx="9">
                  <c:v>26408822.795569383</c:v>
                </c:pt>
                <c:pt idx="10">
                  <c:v>26374267.825660352</c:v>
                </c:pt>
                <c:pt idx="11">
                  <c:v>26331893.839153145</c:v>
                </c:pt>
                <c:pt idx="12">
                  <c:v>22070814.147020843</c:v>
                </c:pt>
                <c:pt idx="13">
                  <c:v>20416994.263402294</c:v>
                </c:pt>
                <c:pt idx="14">
                  <c:v>20416994.263402294</c:v>
                </c:pt>
                <c:pt idx="15">
                  <c:v>16969444.263402298</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4-5FC5-44D7-81BF-1E8EF9204C0C}"/>
            </c:ext>
          </c:extLst>
        </c:ser>
        <c:ser>
          <c:idx val="0"/>
          <c:order val="2"/>
          <c:tx>
            <c:strRef>
              <c:f>'$ Tables and Graphs'!$S$3</c:f>
              <c:strCache>
                <c:ptCount val="1"/>
                <c:pt idx="0">
                  <c:v>Late 2021/2022 Activities</c:v>
                </c:pt>
              </c:strCache>
            </c:strRef>
          </c:tx>
          <c:spPr>
            <a:solidFill>
              <a:schemeClr val="accent2"/>
            </a:solidFill>
            <a:ln>
              <a:noFill/>
            </a:ln>
            <a:effectLst/>
          </c:spPr>
          <c:invertIfNegative val="0"/>
          <c:cat>
            <c:strRef>
              <c:f>'$ Tables and Graphs'!$Q$4:$Q$26</c:f>
              <c:strCache>
                <c:ptCount val="23"/>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pt idx="11">
                  <c:v>2031-2032</c:v>
                </c:pt>
                <c:pt idx="12">
                  <c:v>2032-2033</c:v>
                </c:pt>
                <c:pt idx="13">
                  <c:v>2033-2034</c:v>
                </c:pt>
                <c:pt idx="14">
                  <c:v>2034-2035</c:v>
                </c:pt>
                <c:pt idx="15">
                  <c:v>2035-2036</c:v>
                </c:pt>
                <c:pt idx="16">
                  <c:v>2036-2037</c:v>
                </c:pt>
                <c:pt idx="17">
                  <c:v>2037-2038</c:v>
                </c:pt>
                <c:pt idx="18">
                  <c:v>2038-2039</c:v>
                </c:pt>
                <c:pt idx="19">
                  <c:v>2039-2040</c:v>
                </c:pt>
                <c:pt idx="20">
                  <c:v>2040-2041</c:v>
                </c:pt>
                <c:pt idx="21">
                  <c:v>2041-2042</c:v>
                </c:pt>
                <c:pt idx="22">
                  <c:v>2042-2043</c:v>
                </c:pt>
              </c:strCache>
            </c:strRef>
          </c:cat>
          <c:val>
            <c:numRef>
              <c:f>'$ Tables and Graphs'!$S$4:$S$26</c:f>
              <c:numCache>
                <c:formatCode>"$"#,##0_);[Red]\("$"#,##0\)</c:formatCode>
                <c:ptCount val="23"/>
                <c:pt idx="0">
                  <c:v>0</c:v>
                </c:pt>
                <c:pt idx="1">
                  <c:v>0</c:v>
                </c:pt>
                <c:pt idx="2">
                  <c:v>150287241.57700732</c:v>
                </c:pt>
                <c:pt idx="3">
                  <c:v>34062072.644041948</c:v>
                </c:pt>
                <c:pt idx="4">
                  <c:v>33914405.114653029</c:v>
                </c:pt>
                <c:pt idx="5">
                  <c:v>44634300.467469797</c:v>
                </c:pt>
                <c:pt idx="6">
                  <c:v>43016544.482024975</c:v>
                </c:pt>
                <c:pt idx="7">
                  <c:v>41380441.119689338</c:v>
                </c:pt>
                <c:pt idx="8">
                  <c:v>39725627.845957011</c:v>
                </c:pt>
                <c:pt idx="9">
                  <c:v>27278447.762432255</c:v>
                </c:pt>
                <c:pt idx="10">
                  <c:v>25001804.140573565</c:v>
                </c:pt>
                <c:pt idx="11">
                  <c:v>23288623.728441801</c:v>
                </c:pt>
                <c:pt idx="12">
                  <c:v>21555220.500587661</c:v>
                </c:pt>
                <c:pt idx="13">
                  <c:v>19801199.962906782</c:v>
                </c:pt>
                <c:pt idx="14">
                  <c:v>18026160.876077607</c:v>
                </c:pt>
                <c:pt idx="15">
                  <c:v>16229695.132731482</c:v>
                </c:pt>
                <c:pt idx="16">
                  <c:v>14411387.632370822</c:v>
                </c:pt>
                <c:pt idx="17">
                  <c:v>12570816.153993484</c:v>
                </c:pt>
                <c:pt idx="18">
                  <c:v>10707551.226380315</c:v>
                </c:pt>
                <c:pt idx="19">
                  <c:v>8821155.9960021861</c:v>
                </c:pt>
                <c:pt idx="20">
                  <c:v>6911186.0925019048</c:v>
                </c:pt>
                <c:pt idx="21">
                  <c:v>4977189.4917057473</c:v>
                </c:pt>
                <c:pt idx="22">
                  <c:v>2979700.5584598258</c:v>
                </c:pt>
              </c:numCache>
            </c:numRef>
          </c:val>
          <c:extLst>
            <c:ext xmlns:c16="http://schemas.microsoft.com/office/drawing/2014/chart" uri="{C3380CC4-5D6E-409C-BE32-E72D297353CC}">
              <c16:uniqueId val="{00000000-5FC5-44D7-81BF-1E8EF9204C0C}"/>
            </c:ext>
          </c:extLst>
        </c:ser>
        <c:ser>
          <c:idx val="1"/>
          <c:order val="3"/>
          <c:tx>
            <c:strRef>
              <c:f>'$ Tables and Graphs'!$T$3</c:f>
              <c:strCache>
                <c:ptCount val="1"/>
                <c:pt idx="0">
                  <c:v>Proposed in This Plan</c:v>
                </c:pt>
              </c:strCache>
            </c:strRef>
          </c:tx>
          <c:spPr>
            <a:solidFill>
              <a:schemeClr val="accent6">
                <a:lumMod val="20000"/>
                <a:lumOff val="80000"/>
              </a:schemeClr>
            </a:solidFill>
            <a:ln>
              <a:noFill/>
            </a:ln>
            <a:effectLst/>
          </c:spPr>
          <c:invertIfNegative val="0"/>
          <c:cat>
            <c:strRef>
              <c:f>'$ Tables and Graphs'!$Q$4:$Q$26</c:f>
              <c:strCache>
                <c:ptCount val="23"/>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pt idx="11">
                  <c:v>2031-2032</c:v>
                </c:pt>
                <c:pt idx="12">
                  <c:v>2032-2033</c:v>
                </c:pt>
                <c:pt idx="13">
                  <c:v>2033-2034</c:v>
                </c:pt>
                <c:pt idx="14">
                  <c:v>2034-2035</c:v>
                </c:pt>
                <c:pt idx="15">
                  <c:v>2035-2036</c:v>
                </c:pt>
                <c:pt idx="16">
                  <c:v>2036-2037</c:v>
                </c:pt>
                <c:pt idx="17">
                  <c:v>2037-2038</c:v>
                </c:pt>
                <c:pt idx="18">
                  <c:v>2038-2039</c:v>
                </c:pt>
                <c:pt idx="19">
                  <c:v>2039-2040</c:v>
                </c:pt>
                <c:pt idx="20">
                  <c:v>2040-2041</c:v>
                </c:pt>
                <c:pt idx="21">
                  <c:v>2041-2042</c:v>
                </c:pt>
                <c:pt idx="22">
                  <c:v>2042-2043</c:v>
                </c:pt>
              </c:strCache>
            </c:strRef>
          </c:cat>
          <c:val>
            <c:numRef>
              <c:f>'$ Tables and Graphs'!$T$4:$T$26</c:f>
              <c:numCache>
                <c:formatCode>"$"#,##0_);[Red]\("$"#,##0\)</c:formatCode>
                <c:ptCount val="23"/>
                <c:pt idx="0">
                  <c:v>0</c:v>
                </c:pt>
                <c:pt idx="1">
                  <c:v>0</c:v>
                </c:pt>
                <c:pt idx="2">
                  <c:v>260121892.075037</c:v>
                </c:pt>
                <c:pt idx="3">
                  <c:v>268520103.00952864</c:v>
                </c:pt>
                <c:pt idx="4">
                  <c:v>133595444.74339308</c:v>
                </c:pt>
                <c:pt idx="5">
                  <c:v>145056198.3986516</c:v>
                </c:pt>
                <c:pt idx="6">
                  <c:v>161532977.93802112</c:v>
                </c:pt>
                <c:pt idx="7">
                  <c:v>155247310.07550862</c:v>
                </c:pt>
                <c:pt idx="8">
                  <c:v>148868120.45153844</c:v>
                </c:pt>
                <c:pt idx="9">
                  <c:v>99769792.297423303</c:v>
                </c:pt>
                <c:pt idx="10">
                  <c:v>61503493.906300552</c:v>
                </c:pt>
                <c:pt idx="11">
                  <c:v>48721059.025563993</c:v>
                </c:pt>
                <c:pt idx="12">
                  <c:v>41948804.281361073</c:v>
                </c:pt>
                <c:pt idx="13">
                  <c:v>35073359.756563708</c:v>
                </c:pt>
                <c:pt idx="14">
                  <c:v>28092682.028608557</c:v>
                </c:pt>
                <c:pt idx="15">
                  <c:v>21004689.411195129</c:v>
                </c:pt>
                <c:pt idx="16">
                  <c:v>13807261.216315508</c:v>
                </c:pt>
                <c:pt idx="17">
                  <c:v>6498237.0019889548</c:v>
                </c:pt>
                <c:pt idx="18">
                  <c:v>-924584.19457762688</c:v>
                </c:pt>
                <c:pt idx="19">
                  <c:v>-8463444.6386884451</c:v>
                </c:pt>
                <c:pt idx="20">
                  <c:v>-16120628.695006937</c:v>
                </c:pt>
                <c:pt idx="21">
                  <c:v>-23898463.639849313</c:v>
                </c:pt>
                <c:pt idx="22">
                  <c:v>-48167717.784621656</c:v>
                </c:pt>
              </c:numCache>
            </c:numRef>
          </c:val>
          <c:extLst>
            <c:ext xmlns:c16="http://schemas.microsoft.com/office/drawing/2014/chart" uri="{C3380CC4-5D6E-409C-BE32-E72D297353CC}">
              <c16:uniqueId val="{00000001-5FC5-44D7-81BF-1E8EF9204C0C}"/>
            </c:ext>
          </c:extLst>
        </c:ser>
        <c:ser>
          <c:idx val="2"/>
          <c:order val="4"/>
          <c:tx>
            <c:strRef>
              <c:f>'$ Tables and Graphs'!$U$3</c:f>
              <c:strCache>
                <c:ptCount val="1"/>
                <c:pt idx="0">
                  <c:v>Potential Future Activities</c:v>
                </c:pt>
              </c:strCache>
            </c:strRef>
          </c:tx>
          <c:spPr>
            <a:solidFill>
              <a:schemeClr val="accent4"/>
            </a:solidFill>
            <a:ln>
              <a:noFill/>
            </a:ln>
            <a:effectLst/>
          </c:spPr>
          <c:invertIfNegative val="0"/>
          <c:cat>
            <c:strRef>
              <c:f>'$ Tables and Graphs'!$Q$4:$Q$26</c:f>
              <c:strCache>
                <c:ptCount val="23"/>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pt idx="11">
                  <c:v>2031-2032</c:v>
                </c:pt>
                <c:pt idx="12">
                  <c:v>2032-2033</c:v>
                </c:pt>
                <c:pt idx="13">
                  <c:v>2033-2034</c:v>
                </c:pt>
                <c:pt idx="14">
                  <c:v>2034-2035</c:v>
                </c:pt>
                <c:pt idx="15">
                  <c:v>2035-2036</c:v>
                </c:pt>
                <c:pt idx="16">
                  <c:v>2036-2037</c:v>
                </c:pt>
                <c:pt idx="17">
                  <c:v>2037-2038</c:v>
                </c:pt>
                <c:pt idx="18">
                  <c:v>2038-2039</c:v>
                </c:pt>
                <c:pt idx="19">
                  <c:v>2039-2040</c:v>
                </c:pt>
                <c:pt idx="20">
                  <c:v>2040-2041</c:v>
                </c:pt>
                <c:pt idx="21">
                  <c:v>2041-2042</c:v>
                </c:pt>
                <c:pt idx="22">
                  <c:v>2042-2043</c:v>
                </c:pt>
              </c:strCache>
            </c:strRef>
          </c:cat>
          <c:val>
            <c:numRef>
              <c:f>'$ Tables and Graphs'!$U$4:$U$26</c:f>
              <c:numCache>
                <c:formatCode>"$"#,##0_);[Red]\("$"#,##0\)</c:formatCode>
                <c:ptCount val="23"/>
                <c:pt idx="0">
                  <c:v>0</c:v>
                </c:pt>
                <c:pt idx="1">
                  <c:v>0</c:v>
                </c:pt>
                <c:pt idx="2">
                  <c:v>0</c:v>
                </c:pt>
                <c:pt idx="3">
                  <c:v>0</c:v>
                </c:pt>
                <c:pt idx="4">
                  <c:v>178736474.90878087</c:v>
                </c:pt>
                <c:pt idx="5">
                  <c:v>221416152.35444039</c:v>
                </c:pt>
                <c:pt idx="6">
                  <c:v>261937440.06868491</c:v>
                </c:pt>
                <c:pt idx="7">
                  <c:v>316041246.55538112</c:v>
                </c:pt>
                <c:pt idx="8">
                  <c:v>380044326.18982345</c:v>
                </c:pt>
                <c:pt idx="9">
                  <c:v>437635749.43521202</c:v>
                </c:pt>
                <c:pt idx="10">
                  <c:v>488575558.03460884</c:v>
                </c:pt>
                <c:pt idx="11">
                  <c:v>375902999.18351716</c:v>
                </c:pt>
                <c:pt idx="12">
                  <c:v>353335392.66688061</c:v>
                </c:pt>
                <c:pt idx="13">
                  <c:v>326048591.92658508</c:v>
                </c:pt>
                <c:pt idx="14">
                  <c:v>263330402.93259197</c:v>
                </c:pt>
                <c:pt idx="15">
                  <c:v>200900694.01282874</c:v>
                </c:pt>
                <c:pt idx="16">
                  <c:v>138704643.98818883</c:v>
                </c:pt>
                <c:pt idx="17">
                  <c:v>76688758.446186125</c:v>
                </c:pt>
                <c:pt idx="18">
                  <c:v>31632510.80386211</c:v>
                </c:pt>
                <c:pt idx="19">
                  <c:v>-9611453.7917071283</c:v>
                </c:pt>
                <c:pt idx="20">
                  <c:v>-51651152.125599995</c:v>
                </c:pt>
                <c:pt idx="21">
                  <c:v>-94502543.1257146</c:v>
                </c:pt>
                <c:pt idx="22">
                  <c:v>-138181903.16526926</c:v>
                </c:pt>
              </c:numCache>
            </c:numRef>
          </c:val>
          <c:extLst>
            <c:ext xmlns:c16="http://schemas.microsoft.com/office/drawing/2014/chart" uri="{C3380CC4-5D6E-409C-BE32-E72D297353CC}">
              <c16:uniqueId val="{00000002-5FC5-44D7-81BF-1E8EF9204C0C}"/>
            </c:ext>
          </c:extLst>
        </c:ser>
        <c:dLbls>
          <c:showLegendKey val="0"/>
          <c:showVal val="0"/>
          <c:showCatName val="0"/>
          <c:showSerName val="0"/>
          <c:showPercent val="0"/>
          <c:showBubbleSize val="0"/>
        </c:dLbls>
        <c:gapWidth val="150"/>
        <c:overlap val="100"/>
        <c:axId val="590624800"/>
        <c:axId val="590625784"/>
      </c:barChart>
      <c:lineChart>
        <c:grouping val="standard"/>
        <c:varyColors val="0"/>
        <c:ser>
          <c:idx val="5"/>
          <c:order val="5"/>
          <c:tx>
            <c:strRef>
              <c:f>'$ Tables and Graphs'!$W$3</c:f>
              <c:strCache>
                <c:ptCount val="1"/>
                <c:pt idx="0">
                  <c:v>Total Available Funds</c:v>
                </c:pt>
              </c:strCache>
            </c:strRef>
          </c:tx>
          <c:spPr>
            <a:ln w="28575" cap="rnd">
              <a:noFill/>
              <a:round/>
            </a:ln>
            <a:effectLst/>
          </c:spPr>
          <c:marker>
            <c:symbol val="dash"/>
            <c:size val="20"/>
            <c:spPr>
              <a:solidFill>
                <a:schemeClr val="accent6"/>
              </a:solidFill>
              <a:ln w="9525">
                <a:solidFill>
                  <a:schemeClr val="accent6"/>
                </a:solidFill>
              </a:ln>
              <a:effectLst/>
            </c:spPr>
          </c:marker>
          <c:cat>
            <c:strRef>
              <c:f>'$ Tables and Graphs'!$Q$4:$Q$26</c:f>
              <c:strCache>
                <c:ptCount val="23"/>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pt idx="11">
                  <c:v>2031-2032</c:v>
                </c:pt>
                <c:pt idx="12">
                  <c:v>2032-2033</c:v>
                </c:pt>
                <c:pt idx="13">
                  <c:v>2033-2034</c:v>
                </c:pt>
                <c:pt idx="14">
                  <c:v>2034-2035</c:v>
                </c:pt>
                <c:pt idx="15">
                  <c:v>2035-2036</c:v>
                </c:pt>
                <c:pt idx="16">
                  <c:v>2036-2037</c:v>
                </c:pt>
                <c:pt idx="17">
                  <c:v>2037-2038</c:v>
                </c:pt>
                <c:pt idx="18">
                  <c:v>2038-2039</c:v>
                </c:pt>
                <c:pt idx="19">
                  <c:v>2039-2040</c:v>
                </c:pt>
                <c:pt idx="20">
                  <c:v>2040-2041</c:v>
                </c:pt>
                <c:pt idx="21">
                  <c:v>2041-2042</c:v>
                </c:pt>
                <c:pt idx="22">
                  <c:v>2042-2043</c:v>
                </c:pt>
              </c:strCache>
            </c:strRef>
          </c:cat>
          <c:val>
            <c:numRef>
              <c:f>'$ Tables and Graphs'!$W$4:$W$26</c:f>
              <c:numCache>
                <c:formatCode>"$"#,##0_);[Red]\("$"#,##0\)</c:formatCode>
                <c:ptCount val="23"/>
                <c:pt idx="0">
                  <c:v>685946682.99750829</c:v>
                </c:pt>
                <c:pt idx="1">
                  <c:v>865694339.15685856</c:v>
                </c:pt>
                <c:pt idx="2">
                  <c:v>1116913791.4641902</c:v>
                </c:pt>
                <c:pt idx="3">
                  <c:v>1003507794.4809995</c:v>
                </c:pt>
                <c:pt idx="4">
                  <c:v>1016023537.1018077</c:v>
                </c:pt>
                <c:pt idx="5">
                  <c:v>999120241.1513145</c:v>
                </c:pt>
                <c:pt idx="6">
                  <c:v>1006676326.9594773</c:v>
                </c:pt>
                <c:pt idx="7">
                  <c:v>1024281086.23551</c:v>
                </c:pt>
                <c:pt idx="8">
                  <c:v>997825862.91090333</c:v>
                </c:pt>
                <c:pt idx="9">
                  <c:v>926049731.62809789</c:v>
                </c:pt>
                <c:pt idx="10">
                  <c:v>860204837.65490556</c:v>
                </c:pt>
                <c:pt idx="11">
                  <c:v>776144753.87431026</c:v>
                </c:pt>
                <c:pt idx="12">
                  <c:v>699000151.65936828</c:v>
                </c:pt>
                <c:pt idx="13">
                  <c:v>625968138.43585515</c:v>
                </c:pt>
                <c:pt idx="14">
                  <c:v>623602586.45864403</c:v>
                </c:pt>
                <c:pt idx="15">
                  <c:v>650254475.93617535</c:v>
                </c:pt>
                <c:pt idx="16">
                  <c:v>716371340.45220613</c:v>
                </c:pt>
                <c:pt idx="17">
                  <c:v>854682051.78037</c:v>
                </c:pt>
                <c:pt idx="18">
                  <c:v>1053738405.8862642</c:v>
                </c:pt>
                <c:pt idx="19">
                  <c:v>1318303601.7139049</c:v>
                </c:pt>
                <c:pt idx="20">
                  <c:v>1650477933.1153121</c:v>
                </c:pt>
                <c:pt idx="21">
                  <c:v>2047173911.0921855</c:v>
                </c:pt>
                <c:pt idx="22">
                  <c:v>2556214281.8500295</c:v>
                </c:pt>
              </c:numCache>
            </c:numRef>
          </c:val>
          <c:smooth val="0"/>
          <c:extLst>
            <c:ext xmlns:c16="http://schemas.microsoft.com/office/drawing/2014/chart" uri="{C3380CC4-5D6E-409C-BE32-E72D297353CC}">
              <c16:uniqueId val="{00000005-5FC5-44D7-81BF-1E8EF9204C0C}"/>
            </c:ext>
          </c:extLst>
        </c:ser>
        <c:dLbls>
          <c:showLegendKey val="0"/>
          <c:showVal val="0"/>
          <c:showCatName val="0"/>
          <c:showSerName val="0"/>
          <c:showPercent val="0"/>
          <c:showBubbleSize val="0"/>
        </c:dLbls>
        <c:marker val="1"/>
        <c:smooth val="0"/>
        <c:axId val="590624800"/>
        <c:axId val="590625784"/>
      </c:lineChart>
      <c:catAx>
        <c:axId val="590624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90625784"/>
        <c:crosses val="autoZero"/>
        <c:auto val="1"/>
        <c:lblAlgn val="ctr"/>
        <c:lblOffset val="100"/>
        <c:noMultiLvlLbl val="0"/>
      </c:catAx>
      <c:valAx>
        <c:axId val="59062578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90624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Ameren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4"/>
          <c:order val="0"/>
          <c:tx>
            <c:strRef>
              <c:f>'$ Tables and Graphs'!$V$33</c:f>
              <c:strCache>
                <c:ptCount val="1"/>
                <c:pt idx="0">
                  <c:v>Solar for All &amp; Admin and Job Training</c:v>
                </c:pt>
              </c:strCache>
            </c:strRef>
          </c:tx>
          <c:spPr>
            <a:solidFill>
              <a:schemeClr val="accent5"/>
            </a:solidFill>
            <a:ln>
              <a:noFill/>
            </a:ln>
            <a:effectLst/>
          </c:spPr>
          <c:invertIfNegative val="0"/>
          <c:cat>
            <c:strRef>
              <c:f>'$ Tables and Graphs'!$Q$34:$Q$44</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Graphs'!$V$34:$V$44</c:f>
              <c:numCache>
                <c:formatCode>"$"#,##0_);[Red]\("$"#,##0\)</c:formatCode>
                <c:ptCount val="11"/>
                <c:pt idx="0">
                  <c:v>4922397.6543552326</c:v>
                </c:pt>
                <c:pt idx="1">
                  <c:v>17467712.464542925</c:v>
                </c:pt>
                <c:pt idx="2">
                  <c:v>18473494.223193232</c:v>
                </c:pt>
                <c:pt idx="3">
                  <c:v>18485995.953027543</c:v>
                </c:pt>
                <c:pt idx="4">
                  <c:v>18470643.682547249</c:v>
                </c:pt>
                <c:pt idx="5">
                  <c:v>18454225.713669628</c:v>
                </c:pt>
                <c:pt idx="6">
                  <c:v>18459510.315554678</c:v>
                </c:pt>
                <c:pt idx="7">
                  <c:v>18473913.101632562</c:v>
                </c:pt>
                <c:pt idx="8">
                  <c:v>18497486.25877355</c:v>
                </c:pt>
                <c:pt idx="9">
                  <c:v>18503486.192479052</c:v>
                </c:pt>
                <c:pt idx="10">
                  <c:v>18518721.375553153</c:v>
                </c:pt>
              </c:numCache>
            </c:numRef>
          </c:val>
          <c:extLst>
            <c:ext xmlns:c16="http://schemas.microsoft.com/office/drawing/2014/chart" uri="{C3380CC4-5D6E-409C-BE32-E72D297353CC}">
              <c16:uniqueId val="{00000004-14A0-419C-9D59-0C22410D807A}"/>
            </c:ext>
          </c:extLst>
        </c:ser>
        <c:ser>
          <c:idx val="0"/>
          <c:order val="1"/>
          <c:tx>
            <c:strRef>
              <c:f>'$ Tables and Graphs'!$R$33</c:f>
              <c:strCache>
                <c:ptCount val="1"/>
                <c:pt idx="0">
                  <c:v>Legacy Programs</c:v>
                </c:pt>
              </c:strCache>
            </c:strRef>
          </c:tx>
          <c:spPr>
            <a:solidFill>
              <a:schemeClr val="accent1"/>
            </a:solidFill>
            <a:ln>
              <a:noFill/>
            </a:ln>
            <a:effectLst/>
          </c:spPr>
          <c:invertIfNegative val="0"/>
          <c:cat>
            <c:strRef>
              <c:f>'$ Tables and Graphs'!$Q$34:$Q$44</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Graphs'!$R$34:$R$44</c:f>
              <c:numCache>
                <c:formatCode>"$"#,##0_);[Red]\("$"#,##0\)</c:formatCode>
                <c:ptCount val="11"/>
                <c:pt idx="0">
                  <c:v>72314431.05574207</c:v>
                </c:pt>
                <c:pt idx="1">
                  <c:v>70950596.321074724</c:v>
                </c:pt>
                <c:pt idx="2">
                  <c:v>60550109.55892314</c:v>
                </c:pt>
                <c:pt idx="3">
                  <c:v>54827701.302356347</c:v>
                </c:pt>
                <c:pt idx="4">
                  <c:v>47612316.693931937</c:v>
                </c:pt>
                <c:pt idx="5">
                  <c:v>25797903.816978589</c:v>
                </c:pt>
                <c:pt idx="6">
                  <c:v>8196173.5097102923</c:v>
                </c:pt>
                <c:pt idx="7">
                  <c:v>6676353.6325620227</c:v>
                </c:pt>
                <c:pt idx="8">
                  <c:v>6676353.6325620227</c:v>
                </c:pt>
                <c:pt idx="9">
                  <c:v>6676353.6325620227</c:v>
                </c:pt>
                <c:pt idx="10">
                  <c:v>6676353.6325620227</c:v>
                </c:pt>
              </c:numCache>
            </c:numRef>
          </c:val>
          <c:extLst>
            <c:ext xmlns:c16="http://schemas.microsoft.com/office/drawing/2014/chart" uri="{C3380CC4-5D6E-409C-BE32-E72D297353CC}">
              <c16:uniqueId val="{00000000-14A0-419C-9D59-0C22410D807A}"/>
            </c:ext>
          </c:extLst>
        </c:ser>
        <c:ser>
          <c:idx val="1"/>
          <c:order val="2"/>
          <c:tx>
            <c:strRef>
              <c:f>'$ Tables and Graphs'!$S$33</c:f>
              <c:strCache>
                <c:ptCount val="1"/>
                <c:pt idx="0">
                  <c:v>In Progress</c:v>
                </c:pt>
              </c:strCache>
            </c:strRef>
          </c:tx>
          <c:spPr>
            <a:solidFill>
              <a:schemeClr val="accent2"/>
            </a:solidFill>
            <a:ln>
              <a:noFill/>
            </a:ln>
            <a:effectLst/>
          </c:spPr>
          <c:invertIfNegative val="0"/>
          <c:cat>
            <c:strRef>
              <c:f>'$ Tables and Graphs'!$Q$34:$Q$44</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Graphs'!$S$34:$S$44</c:f>
              <c:numCache>
                <c:formatCode>"$"#,##0_);[Red]\("$"#,##0\)</c:formatCode>
                <c:ptCount val="11"/>
                <c:pt idx="0">
                  <c:v>0</c:v>
                </c:pt>
                <c:pt idx="1">
                  <c:v>0</c:v>
                </c:pt>
                <c:pt idx="2">
                  <c:v>41055468.654006854</c:v>
                </c:pt>
                <c:pt idx="3">
                  <c:v>9305077.004899377</c:v>
                </c:pt>
                <c:pt idx="4">
                  <c:v>9264737.1892209128</c:v>
                </c:pt>
                <c:pt idx="5">
                  <c:v>12193198.201703399</c:v>
                </c:pt>
                <c:pt idx="6">
                  <c:v>11751259.621599585</c:v>
                </c:pt>
                <c:pt idx="7">
                  <c:v>11304308.905076733</c:v>
                </c:pt>
                <c:pt idx="8">
                  <c:v>10852247.014958534</c:v>
                </c:pt>
                <c:pt idx="9">
                  <c:v>7451926.3597412417</c:v>
                </c:pt>
                <c:pt idx="10">
                  <c:v>6829992.8551218873</c:v>
                </c:pt>
              </c:numCache>
            </c:numRef>
          </c:val>
          <c:extLst>
            <c:ext xmlns:c16="http://schemas.microsoft.com/office/drawing/2014/chart" uri="{C3380CC4-5D6E-409C-BE32-E72D297353CC}">
              <c16:uniqueId val="{00000001-14A0-419C-9D59-0C22410D807A}"/>
            </c:ext>
          </c:extLst>
        </c:ser>
        <c:ser>
          <c:idx val="2"/>
          <c:order val="3"/>
          <c:tx>
            <c:strRef>
              <c:f>'$ Tables and Graphs'!$T$33</c:f>
              <c:strCache>
                <c:ptCount val="1"/>
                <c:pt idx="0">
                  <c:v>Proposed in This Plan</c:v>
                </c:pt>
              </c:strCache>
            </c:strRef>
          </c:tx>
          <c:spPr>
            <a:solidFill>
              <a:schemeClr val="accent3"/>
            </a:solidFill>
            <a:ln>
              <a:noFill/>
            </a:ln>
            <a:effectLst/>
          </c:spPr>
          <c:invertIfNegative val="0"/>
          <c:cat>
            <c:strRef>
              <c:f>'$ Tables and Graphs'!$Q$34:$Q$44</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Graphs'!$T$34:$T$44</c:f>
              <c:numCache>
                <c:formatCode>"$"#,##0_);[Red]\("$"#,##0\)</c:formatCode>
                <c:ptCount val="11"/>
                <c:pt idx="0">
                  <c:v>0</c:v>
                </c:pt>
                <c:pt idx="1">
                  <c:v>0</c:v>
                </c:pt>
                <c:pt idx="2">
                  <c:v>71060098.477058604</c:v>
                </c:pt>
                <c:pt idx="3">
                  <c:v>73354321.740143016</c:v>
                </c:pt>
                <c:pt idx="4">
                  <c:v>36495603.595000118</c:v>
                </c:pt>
                <c:pt idx="5">
                  <c:v>39626452.278543636</c:v>
                </c:pt>
                <c:pt idx="6">
                  <c:v>44127578.913108602</c:v>
                </c:pt>
                <c:pt idx="7">
                  <c:v>42410460.166427433</c:v>
                </c:pt>
                <c:pt idx="8">
                  <c:v>40667793.144951262</c:v>
                </c:pt>
                <c:pt idx="9">
                  <c:v>27255111.859810099</c:v>
                </c:pt>
                <c:pt idx="10">
                  <c:v>16801524.465323184</c:v>
                </c:pt>
              </c:numCache>
            </c:numRef>
          </c:val>
          <c:extLst>
            <c:ext xmlns:c16="http://schemas.microsoft.com/office/drawing/2014/chart" uri="{C3380CC4-5D6E-409C-BE32-E72D297353CC}">
              <c16:uniqueId val="{00000002-14A0-419C-9D59-0C22410D807A}"/>
            </c:ext>
          </c:extLst>
        </c:ser>
        <c:ser>
          <c:idx val="3"/>
          <c:order val="4"/>
          <c:tx>
            <c:strRef>
              <c:f>'$ Tables and Graphs'!$U$33</c:f>
              <c:strCache>
                <c:ptCount val="1"/>
                <c:pt idx="0">
                  <c:v>Potential Future Activities</c:v>
                </c:pt>
              </c:strCache>
            </c:strRef>
          </c:tx>
          <c:spPr>
            <a:solidFill>
              <a:schemeClr val="accent4"/>
            </a:solidFill>
            <a:ln>
              <a:noFill/>
            </a:ln>
            <a:effectLst/>
          </c:spPr>
          <c:invertIfNegative val="0"/>
          <c:cat>
            <c:strRef>
              <c:f>'$ Tables and Graphs'!$Q$34:$Q$44</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Graphs'!$U$34:$U$44</c:f>
              <c:numCache>
                <c:formatCode>"$"#,##0_);[Red]\("$"#,##0\)</c:formatCode>
                <c:ptCount val="11"/>
                <c:pt idx="0">
                  <c:v>0</c:v>
                </c:pt>
                <c:pt idx="1">
                  <c:v>0</c:v>
                </c:pt>
                <c:pt idx="2">
                  <c:v>0</c:v>
                </c:pt>
                <c:pt idx="3">
                  <c:v>0</c:v>
                </c:pt>
                <c:pt idx="4">
                  <c:v>48827230.215580754</c:v>
                </c:pt>
                <c:pt idx="5">
                  <c:v>60486464.500186019</c:v>
                </c:pt>
                <c:pt idx="6">
                  <c:v>71556069.877963334</c:v>
                </c:pt>
                <c:pt idx="7">
                  <c:v>86336147.733999014</c:v>
                </c:pt>
                <c:pt idx="8">
                  <c:v>103820509.02853596</c:v>
                </c:pt>
                <c:pt idx="9">
                  <c:v>119553334.0307112</c:v>
                </c:pt>
                <c:pt idx="10">
                  <c:v>133469070.94389442</c:v>
                </c:pt>
              </c:numCache>
            </c:numRef>
          </c:val>
          <c:extLst>
            <c:ext xmlns:c16="http://schemas.microsoft.com/office/drawing/2014/chart" uri="{C3380CC4-5D6E-409C-BE32-E72D297353CC}">
              <c16:uniqueId val="{00000003-14A0-419C-9D59-0C22410D807A}"/>
            </c:ext>
          </c:extLst>
        </c:ser>
        <c:dLbls>
          <c:showLegendKey val="0"/>
          <c:showVal val="0"/>
          <c:showCatName val="0"/>
          <c:showSerName val="0"/>
          <c:showPercent val="0"/>
          <c:showBubbleSize val="0"/>
        </c:dLbls>
        <c:gapWidth val="150"/>
        <c:overlap val="100"/>
        <c:axId val="550336400"/>
        <c:axId val="550342632"/>
      </c:barChart>
      <c:lineChart>
        <c:grouping val="standard"/>
        <c:varyColors val="0"/>
        <c:ser>
          <c:idx val="5"/>
          <c:order val="5"/>
          <c:tx>
            <c:strRef>
              <c:f>'$ Tables and Graphs'!$W$33</c:f>
              <c:strCache>
                <c:ptCount val="1"/>
                <c:pt idx="0">
                  <c:v>Available Funds at start of DY + Collections</c:v>
                </c:pt>
              </c:strCache>
            </c:strRef>
          </c:tx>
          <c:spPr>
            <a:ln w="28575" cap="rnd">
              <a:noFill/>
              <a:round/>
            </a:ln>
            <a:effectLst/>
          </c:spPr>
          <c:marker>
            <c:symbol val="dash"/>
            <c:size val="20"/>
            <c:spPr>
              <a:solidFill>
                <a:schemeClr val="accent6"/>
              </a:solidFill>
              <a:ln w="9525">
                <a:solidFill>
                  <a:schemeClr val="accent6"/>
                </a:solidFill>
              </a:ln>
              <a:effectLst/>
            </c:spPr>
          </c:marker>
          <c:cat>
            <c:strRef>
              <c:f>'$ Tables and Graphs'!$Q$34:$Q$44</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Graphs'!$W$34:$W$44</c:f>
              <c:numCache>
                <c:formatCode>"$"#,##0_);[Red]\("$"#,##0\)</c:formatCode>
                <c:ptCount val="11"/>
                <c:pt idx="0">
                  <c:v>228524686.92596281</c:v>
                </c:pt>
                <c:pt idx="1">
                  <c:v>280787433.4026655</c:v>
                </c:pt>
                <c:pt idx="2">
                  <c:v>352852467.33854783</c:v>
                </c:pt>
                <c:pt idx="3">
                  <c:v>321511915.57186604</c:v>
                </c:pt>
                <c:pt idx="4">
                  <c:v>323478920.94843972</c:v>
                </c:pt>
                <c:pt idx="5">
                  <c:v>319884046.30965871</c:v>
                </c:pt>
                <c:pt idx="6">
                  <c:v>320401458.53607738</c:v>
                </c:pt>
                <c:pt idx="7">
                  <c:v>323386523.03564084</c:v>
                </c:pt>
                <c:pt idx="8">
                  <c:v>315260996.23344302</c:v>
                </c:pt>
                <c:pt idx="9">
                  <c:v>291822263.89116168</c:v>
                </c:pt>
                <c:pt idx="10">
                  <c:v>269457708.55335808</c:v>
                </c:pt>
              </c:numCache>
            </c:numRef>
          </c:val>
          <c:smooth val="0"/>
          <c:extLst>
            <c:ext xmlns:c16="http://schemas.microsoft.com/office/drawing/2014/chart" uri="{C3380CC4-5D6E-409C-BE32-E72D297353CC}">
              <c16:uniqueId val="{00000006-14A0-419C-9D59-0C22410D807A}"/>
            </c:ext>
          </c:extLst>
        </c:ser>
        <c:dLbls>
          <c:showLegendKey val="0"/>
          <c:showVal val="0"/>
          <c:showCatName val="0"/>
          <c:showSerName val="0"/>
          <c:showPercent val="0"/>
          <c:showBubbleSize val="0"/>
        </c:dLbls>
        <c:marker val="1"/>
        <c:smooth val="0"/>
        <c:axId val="550336400"/>
        <c:axId val="550342632"/>
      </c:lineChart>
      <c:catAx>
        <c:axId val="55033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50342632"/>
        <c:crosses val="autoZero"/>
        <c:auto val="1"/>
        <c:lblAlgn val="ctr"/>
        <c:lblOffset val="100"/>
        <c:noMultiLvlLbl val="0"/>
      </c:catAx>
      <c:valAx>
        <c:axId val="55034263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50336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ComEd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4"/>
          <c:order val="0"/>
          <c:tx>
            <c:strRef>
              <c:f>'$ Tables and Graphs'!$V$61</c:f>
              <c:strCache>
                <c:ptCount val="1"/>
                <c:pt idx="0">
                  <c:v>Solar for All &amp; Admin and Job Training</c:v>
                </c:pt>
              </c:strCache>
            </c:strRef>
          </c:tx>
          <c:spPr>
            <a:solidFill>
              <a:schemeClr val="accent5"/>
            </a:solidFill>
            <a:ln>
              <a:noFill/>
            </a:ln>
            <a:effectLst/>
          </c:spPr>
          <c:invertIfNegative val="0"/>
          <c:cat>
            <c:strRef>
              <c:f>'$ Tables and Graphs'!$Q$62:$Q$72</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Graphs'!$V$62:$V$72</c:f>
              <c:numCache>
                <c:formatCode>"$"#,##0_);[Red]\("$"#,##0\)</c:formatCode>
                <c:ptCount val="11"/>
                <c:pt idx="0">
                  <c:v>13053777.658311913</c:v>
                </c:pt>
                <c:pt idx="1">
                  <c:v>56322879.767692089</c:v>
                </c:pt>
                <c:pt idx="2">
                  <c:v>48990126.985842079</c:v>
                </c:pt>
                <c:pt idx="3">
                  <c:v>49023280.504322439</c:v>
                </c:pt>
                <c:pt idx="4">
                  <c:v>58982567.595802605</c:v>
                </c:pt>
                <c:pt idx="5">
                  <c:v>48939028.546262406</c:v>
                </c:pt>
                <c:pt idx="6">
                  <c:v>48953042.858567938</c:v>
                </c:pt>
                <c:pt idx="7">
                  <c:v>58991237.815644309</c:v>
                </c:pt>
                <c:pt idx="8">
                  <c:v>49053751.812608905</c:v>
                </c:pt>
                <c:pt idx="9">
                  <c:v>49069663.12373326</c:v>
                </c:pt>
                <c:pt idx="10">
                  <c:v>59110065.526464179</c:v>
                </c:pt>
              </c:numCache>
            </c:numRef>
          </c:val>
          <c:extLst>
            <c:ext xmlns:c16="http://schemas.microsoft.com/office/drawing/2014/chart" uri="{C3380CC4-5D6E-409C-BE32-E72D297353CC}">
              <c16:uniqueId val="{00000004-E137-49F6-9D1B-390E42A24D24}"/>
            </c:ext>
          </c:extLst>
        </c:ser>
        <c:ser>
          <c:idx val="0"/>
          <c:order val="1"/>
          <c:tx>
            <c:strRef>
              <c:f>'$ Tables and Graphs'!$R$61</c:f>
              <c:strCache>
                <c:ptCount val="1"/>
                <c:pt idx="0">
                  <c:v>Legacy Programs</c:v>
                </c:pt>
              </c:strCache>
            </c:strRef>
          </c:tx>
          <c:spPr>
            <a:solidFill>
              <a:schemeClr val="accent1"/>
            </a:solidFill>
            <a:ln>
              <a:noFill/>
            </a:ln>
            <a:effectLst/>
          </c:spPr>
          <c:invertIfNegative val="0"/>
          <c:cat>
            <c:strRef>
              <c:f>'$ Tables and Graphs'!$Q$62:$Q$72</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Graphs'!$R$62:$R$72</c:f>
              <c:numCache>
                <c:formatCode>"$"#,##0_);[Red]\("$"#,##0\)</c:formatCode>
                <c:ptCount val="11"/>
                <c:pt idx="0">
                  <c:v>194094606.15475914</c:v>
                </c:pt>
                <c:pt idx="1">
                  <c:v>190770825.77938089</c:v>
                </c:pt>
                <c:pt idx="2">
                  <c:v>163311335.74984285</c:v>
                </c:pt>
                <c:pt idx="3">
                  <c:v>149057065.24860281</c:v>
                </c:pt>
                <c:pt idx="4">
                  <c:v>130141588.39168179</c:v>
                </c:pt>
                <c:pt idx="5">
                  <c:v>73513267.262132064</c:v>
                </c:pt>
                <c:pt idx="6">
                  <c:v>27567487.898175463</c:v>
                </c:pt>
                <c:pt idx="7">
                  <c:v>20005106.610310033</c:v>
                </c:pt>
                <c:pt idx="8">
                  <c:v>20002756.094608162</c:v>
                </c:pt>
                <c:pt idx="9">
                  <c:v>19862632.48395225</c:v>
                </c:pt>
                <c:pt idx="10">
                  <c:v>19828077.514043219</c:v>
                </c:pt>
              </c:numCache>
            </c:numRef>
          </c:val>
          <c:extLst>
            <c:ext xmlns:c16="http://schemas.microsoft.com/office/drawing/2014/chart" uri="{C3380CC4-5D6E-409C-BE32-E72D297353CC}">
              <c16:uniqueId val="{00000000-E137-49F6-9D1B-390E42A24D24}"/>
            </c:ext>
          </c:extLst>
        </c:ser>
        <c:ser>
          <c:idx val="1"/>
          <c:order val="2"/>
          <c:tx>
            <c:strRef>
              <c:f>'$ Tables and Graphs'!$S$61</c:f>
              <c:strCache>
                <c:ptCount val="1"/>
                <c:pt idx="0">
                  <c:v>In Progress</c:v>
                </c:pt>
              </c:strCache>
            </c:strRef>
          </c:tx>
          <c:spPr>
            <a:solidFill>
              <a:schemeClr val="accent2"/>
            </a:solidFill>
            <a:ln>
              <a:noFill/>
            </a:ln>
            <a:effectLst/>
          </c:spPr>
          <c:invertIfNegative val="0"/>
          <c:cat>
            <c:strRef>
              <c:f>'$ Tables and Graphs'!$Q$62:$Q$72</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Graphs'!$S$62:$S$72</c:f>
              <c:numCache>
                <c:formatCode>"$"#,##0_);[Red]\("$"#,##0\)</c:formatCode>
                <c:ptCount val="11"/>
                <c:pt idx="0">
                  <c:v>0</c:v>
                </c:pt>
                <c:pt idx="1">
                  <c:v>0</c:v>
                </c:pt>
                <c:pt idx="2">
                  <c:v>217751184.32092592</c:v>
                </c:pt>
                <c:pt idx="3">
                  <c:v>49352537.053952381</c:v>
                </c:pt>
                <c:pt idx="4">
                  <c:v>49138581.570620768</c:v>
                </c:pt>
                <c:pt idx="5">
                  <c:v>48975161.45262666</c:v>
                </c:pt>
                <c:pt idx="6">
                  <c:v>48812558.435222529</c:v>
                </c:pt>
                <c:pt idx="7">
                  <c:v>48650768.432905413</c:v>
                </c:pt>
                <c:pt idx="8">
                  <c:v>48489787.380599879</c:v>
                </c:pt>
                <c:pt idx="9">
                  <c:v>32720193.959901243</c:v>
                </c:pt>
                <c:pt idx="10">
                  <c:v>31715677.995447259</c:v>
                </c:pt>
              </c:numCache>
            </c:numRef>
          </c:val>
          <c:extLst>
            <c:ext xmlns:c16="http://schemas.microsoft.com/office/drawing/2014/chart" uri="{C3380CC4-5D6E-409C-BE32-E72D297353CC}">
              <c16:uniqueId val="{00000001-E137-49F6-9D1B-390E42A24D24}"/>
            </c:ext>
          </c:extLst>
        </c:ser>
        <c:ser>
          <c:idx val="2"/>
          <c:order val="3"/>
          <c:tx>
            <c:strRef>
              <c:f>'$ Tables and Graphs'!$T$61</c:f>
              <c:strCache>
                <c:ptCount val="1"/>
                <c:pt idx="0">
                  <c:v>Proposed in This Plan</c:v>
                </c:pt>
              </c:strCache>
            </c:strRef>
          </c:tx>
          <c:spPr>
            <a:solidFill>
              <a:schemeClr val="accent3"/>
            </a:solidFill>
            <a:ln>
              <a:noFill/>
            </a:ln>
            <a:effectLst/>
          </c:spPr>
          <c:invertIfNegative val="0"/>
          <c:cat>
            <c:strRef>
              <c:f>'$ Tables and Graphs'!$Q$62:$Q$72</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Graphs'!$T$62:$T$72</c:f>
              <c:numCache>
                <c:formatCode>"$"#,##0_);[Red]\("$"#,##0\)</c:formatCode>
                <c:ptCount val="11"/>
                <c:pt idx="0">
                  <c:v>0</c:v>
                </c:pt>
                <c:pt idx="1">
                  <c:v>0</c:v>
                </c:pt>
                <c:pt idx="2">
                  <c:v>188445304.71376055</c:v>
                </c:pt>
                <c:pt idx="3">
                  <c:v>194529388.62525302</c:v>
                </c:pt>
                <c:pt idx="4">
                  <c:v>96783219.944351122</c:v>
                </c:pt>
                <c:pt idx="5">
                  <c:v>105085962.92990316</c:v>
                </c:pt>
                <c:pt idx="6">
                  <c:v>117022565.86719942</c:v>
                </c:pt>
                <c:pt idx="7">
                  <c:v>112468913.78420222</c:v>
                </c:pt>
                <c:pt idx="8">
                  <c:v>107847509.86111704</c:v>
                </c:pt>
                <c:pt idx="9">
                  <c:v>72278226.029868335</c:v>
                </c:pt>
                <c:pt idx="10">
                  <c:v>44556206.160419442</c:v>
                </c:pt>
              </c:numCache>
            </c:numRef>
          </c:val>
          <c:extLst>
            <c:ext xmlns:c16="http://schemas.microsoft.com/office/drawing/2014/chart" uri="{C3380CC4-5D6E-409C-BE32-E72D297353CC}">
              <c16:uniqueId val="{00000002-E137-49F6-9D1B-390E42A24D24}"/>
            </c:ext>
          </c:extLst>
        </c:ser>
        <c:ser>
          <c:idx val="3"/>
          <c:order val="4"/>
          <c:tx>
            <c:strRef>
              <c:f>'$ Tables and Graphs'!$U$61</c:f>
              <c:strCache>
                <c:ptCount val="1"/>
                <c:pt idx="0">
                  <c:v>Potential Future Activities</c:v>
                </c:pt>
              </c:strCache>
            </c:strRef>
          </c:tx>
          <c:spPr>
            <a:solidFill>
              <a:schemeClr val="accent4"/>
            </a:solidFill>
            <a:ln>
              <a:noFill/>
            </a:ln>
            <a:effectLst/>
          </c:spPr>
          <c:invertIfNegative val="0"/>
          <c:cat>
            <c:strRef>
              <c:f>'$ Tables and Graphs'!$Q$62:$Q$72</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Graphs'!$U$62:$U$72</c:f>
              <c:numCache>
                <c:formatCode>"$"#,##0_);[Red]\("$"#,##0\)</c:formatCode>
                <c:ptCount val="11"/>
                <c:pt idx="0">
                  <c:v>0</c:v>
                </c:pt>
                <c:pt idx="1">
                  <c:v>0</c:v>
                </c:pt>
                <c:pt idx="2">
                  <c:v>0</c:v>
                </c:pt>
                <c:pt idx="3">
                  <c:v>0</c:v>
                </c:pt>
                <c:pt idx="4">
                  <c:v>129485639.2476663</c:v>
                </c:pt>
                <c:pt idx="5">
                  <c:v>160404931.57317433</c:v>
                </c:pt>
                <c:pt idx="6">
                  <c:v>189760578.45775881</c:v>
                </c:pt>
                <c:pt idx="7">
                  <c:v>228956081.0670459</c:v>
                </c:pt>
                <c:pt idx="8">
                  <c:v>275323112.1082176</c:v>
                </c:pt>
                <c:pt idx="9">
                  <c:v>317045218.67833936</c:v>
                </c:pt>
                <c:pt idx="10">
                  <c:v>353948563.01817238</c:v>
                </c:pt>
              </c:numCache>
            </c:numRef>
          </c:val>
          <c:extLst>
            <c:ext xmlns:c16="http://schemas.microsoft.com/office/drawing/2014/chart" uri="{C3380CC4-5D6E-409C-BE32-E72D297353CC}">
              <c16:uniqueId val="{00000003-E137-49F6-9D1B-390E42A24D24}"/>
            </c:ext>
          </c:extLst>
        </c:ser>
        <c:dLbls>
          <c:showLegendKey val="0"/>
          <c:showVal val="0"/>
          <c:showCatName val="0"/>
          <c:showSerName val="0"/>
          <c:showPercent val="0"/>
          <c:showBubbleSize val="0"/>
        </c:dLbls>
        <c:gapWidth val="150"/>
        <c:overlap val="100"/>
        <c:axId val="548738928"/>
        <c:axId val="548739912"/>
      </c:barChart>
      <c:lineChart>
        <c:grouping val="standard"/>
        <c:varyColors val="0"/>
        <c:ser>
          <c:idx val="5"/>
          <c:order val="5"/>
          <c:tx>
            <c:strRef>
              <c:f>'$ Tables and Graphs'!$W$61</c:f>
              <c:strCache>
                <c:ptCount val="1"/>
                <c:pt idx="0">
                  <c:v>Available Funds at start of DY + Collections</c:v>
                </c:pt>
              </c:strCache>
            </c:strRef>
          </c:tx>
          <c:spPr>
            <a:ln w="28575" cap="rnd">
              <a:noFill/>
              <a:round/>
            </a:ln>
            <a:effectLst/>
          </c:spPr>
          <c:marker>
            <c:symbol val="dash"/>
            <c:size val="20"/>
            <c:spPr>
              <a:solidFill>
                <a:schemeClr val="accent6"/>
              </a:solidFill>
              <a:ln w="9525">
                <a:solidFill>
                  <a:schemeClr val="accent6"/>
                </a:solidFill>
              </a:ln>
              <a:effectLst/>
            </c:spPr>
          </c:marker>
          <c:cat>
            <c:strRef>
              <c:f>'$ Tables and Graphs'!$Q$62:$Q$72</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Graphs'!$W$62:$W$72</c:f>
              <c:numCache>
                <c:formatCode>"$"#,##0_);[Red]\("$"#,##0\)</c:formatCode>
                <c:ptCount val="11"/>
                <c:pt idx="0">
                  <c:v>456348757.4391799</c:v>
                </c:pt>
                <c:pt idx="1">
                  <c:v>583285201.33060932</c:v>
                </c:pt>
                <c:pt idx="2">
                  <c:v>761778498.20128655</c:v>
                </c:pt>
                <c:pt idx="3">
                  <c:v>679952229.52757335</c:v>
                </c:pt>
                <c:pt idx="4">
                  <c:v>690448790.10694814</c:v>
                </c:pt>
                <c:pt idx="5">
                  <c:v>677130649.62869525</c:v>
                </c:pt>
                <c:pt idx="6">
                  <c:v>684140915.95595098</c:v>
                </c:pt>
                <c:pt idx="7">
                  <c:v>698719009.4097538</c:v>
                </c:pt>
                <c:pt idx="8">
                  <c:v>680240296.71898222</c:v>
                </c:pt>
                <c:pt idx="9">
                  <c:v>631885824.58320844</c:v>
                </c:pt>
                <c:pt idx="10">
                  <c:v>588378085.62415421</c:v>
                </c:pt>
              </c:numCache>
            </c:numRef>
          </c:val>
          <c:smooth val="0"/>
          <c:extLst>
            <c:ext xmlns:c16="http://schemas.microsoft.com/office/drawing/2014/chart" uri="{C3380CC4-5D6E-409C-BE32-E72D297353CC}">
              <c16:uniqueId val="{00000006-E137-49F6-9D1B-390E42A24D24}"/>
            </c:ext>
          </c:extLst>
        </c:ser>
        <c:dLbls>
          <c:showLegendKey val="0"/>
          <c:showVal val="0"/>
          <c:showCatName val="0"/>
          <c:showSerName val="0"/>
          <c:showPercent val="0"/>
          <c:showBubbleSize val="0"/>
        </c:dLbls>
        <c:marker val="1"/>
        <c:smooth val="0"/>
        <c:axId val="548738928"/>
        <c:axId val="548739912"/>
      </c:lineChart>
      <c:catAx>
        <c:axId val="548738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48739912"/>
        <c:crosses val="autoZero"/>
        <c:auto val="1"/>
        <c:lblAlgn val="ctr"/>
        <c:lblOffset val="100"/>
        <c:noMultiLvlLbl val="0"/>
      </c:catAx>
      <c:valAx>
        <c:axId val="54873991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48738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MidAm</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4"/>
          <c:order val="0"/>
          <c:tx>
            <c:strRef>
              <c:f>'$ Tables and Graphs'!$V$89</c:f>
              <c:strCache>
                <c:ptCount val="1"/>
                <c:pt idx="0">
                  <c:v>Solar for All &amp; Admin and Job Training</c:v>
                </c:pt>
              </c:strCache>
            </c:strRef>
          </c:tx>
          <c:spPr>
            <a:solidFill>
              <a:schemeClr val="accent5"/>
            </a:solidFill>
            <a:ln>
              <a:noFill/>
            </a:ln>
            <a:effectLst/>
          </c:spPr>
          <c:invertIfNegative val="0"/>
          <c:cat>
            <c:strRef>
              <c:f>'$ Tables and Graphs'!$Q$90:$Q$100</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Graphs'!$V$90:$V$100</c:f>
              <c:numCache>
                <c:formatCode>"$"#,##0_);[Red]\("$"#,##0\)</c:formatCode>
                <c:ptCount val="11"/>
                <c:pt idx="0">
                  <c:v>42704.745738421196</c:v>
                </c:pt>
                <c:pt idx="1">
                  <c:v>151542.86016899752</c:v>
                </c:pt>
                <c:pt idx="2">
                  <c:v>160268.61889218818</c:v>
                </c:pt>
                <c:pt idx="3">
                  <c:v>160377.07888086714</c:v>
                </c:pt>
                <c:pt idx="4">
                  <c:v>160243.88874601724</c:v>
                </c:pt>
                <c:pt idx="5">
                  <c:v>160101.45303974312</c:v>
                </c:pt>
                <c:pt idx="6">
                  <c:v>160147.30012396441</c:v>
                </c:pt>
                <c:pt idx="7">
                  <c:v>160272.25291335082</c:v>
                </c:pt>
                <c:pt idx="8">
                  <c:v>160476.76416023617</c:v>
                </c:pt>
                <c:pt idx="9">
                  <c:v>160528.8171761306</c:v>
                </c:pt>
                <c:pt idx="10">
                  <c:v>160660.99150765422</c:v>
                </c:pt>
              </c:numCache>
            </c:numRef>
          </c:val>
          <c:extLst>
            <c:ext xmlns:c16="http://schemas.microsoft.com/office/drawing/2014/chart" uri="{C3380CC4-5D6E-409C-BE32-E72D297353CC}">
              <c16:uniqueId val="{00000004-DB80-4ECC-B7F2-47490F194402}"/>
            </c:ext>
          </c:extLst>
        </c:ser>
        <c:ser>
          <c:idx val="0"/>
          <c:order val="1"/>
          <c:tx>
            <c:strRef>
              <c:f>'$ Tables and Graphs'!$R$89</c:f>
              <c:strCache>
                <c:ptCount val="1"/>
                <c:pt idx="0">
                  <c:v>Legacy Programs</c:v>
                </c:pt>
              </c:strCache>
            </c:strRef>
          </c:tx>
          <c:spPr>
            <a:solidFill>
              <a:schemeClr val="accent1"/>
            </a:solidFill>
            <a:ln>
              <a:noFill/>
            </a:ln>
            <a:effectLst/>
          </c:spPr>
          <c:invertIfNegative val="0"/>
          <c:cat>
            <c:strRef>
              <c:f>'$ Tables and Graphs'!$Q$90:$Q$100</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Graphs'!$R$90:$R$100</c:f>
              <c:numCache>
                <c:formatCode>"$"#,##0_);[Red]\("$"#,##0\)</c:formatCode>
                <c:ptCount val="11"/>
                <c:pt idx="0">
                  <c:v>562262.98521014967</c:v>
                </c:pt>
                <c:pt idx="1">
                  <c:v>579984.7640588911</c:v>
                </c:pt>
                <c:pt idx="2">
                  <c:v>499979.40214806574</c:v>
                </c:pt>
                <c:pt idx="3">
                  <c:v>462833.87496041821</c:v>
                </c:pt>
                <c:pt idx="4">
                  <c:v>401468.03001581819</c:v>
                </c:pt>
                <c:pt idx="5">
                  <c:v>229418.6540791484</c:v>
                </c:pt>
                <c:pt idx="6">
                  <c:v>86022.026111413375</c:v>
                </c:pt>
                <c:pt idx="7">
                  <c:v>72836.679055108369</c:v>
                </c:pt>
                <c:pt idx="8">
                  <c:v>72836.679055108369</c:v>
                </c:pt>
                <c:pt idx="9">
                  <c:v>72836.679055108369</c:v>
                </c:pt>
                <c:pt idx="10">
                  <c:v>72836.679055108369</c:v>
                </c:pt>
              </c:numCache>
            </c:numRef>
          </c:val>
          <c:extLst>
            <c:ext xmlns:c16="http://schemas.microsoft.com/office/drawing/2014/chart" uri="{C3380CC4-5D6E-409C-BE32-E72D297353CC}">
              <c16:uniqueId val="{00000000-DB80-4ECC-B7F2-47490F194402}"/>
            </c:ext>
          </c:extLst>
        </c:ser>
        <c:ser>
          <c:idx val="1"/>
          <c:order val="2"/>
          <c:tx>
            <c:strRef>
              <c:f>'$ Tables and Graphs'!$S$89</c:f>
              <c:strCache>
                <c:ptCount val="1"/>
                <c:pt idx="0">
                  <c:v>In Progress</c:v>
                </c:pt>
              </c:strCache>
            </c:strRef>
          </c:tx>
          <c:spPr>
            <a:solidFill>
              <a:schemeClr val="accent2"/>
            </a:solidFill>
            <a:ln>
              <a:noFill/>
            </a:ln>
            <a:effectLst/>
          </c:spPr>
          <c:invertIfNegative val="0"/>
          <c:cat>
            <c:strRef>
              <c:f>'$ Tables and Graphs'!$Q$90:$Q$100</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Graphs'!$S$90:$S$100</c:f>
              <c:numCache>
                <c:formatCode>"$"#,##0_);[Red]\("$"#,##0\)</c:formatCode>
                <c:ptCount val="11"/>
                <c:pt idx="0">
                  <c:v>0</c:v>
                </c:pt>
                <c:pt idx="1">
                  <c:v>0</c:v>
                </c:pt>
                <c:pt idx="2">
                  <c:v>712361.52507501468</c:v>
                </c:pt>
                <c:pt idx="3">
                  <c:v>161454.22433275881</c:v>
                </c:pt>
                <c:pt idx="4">
                  <c:v>160754.28024345535</c:v>
                </c:pt>
                <c:pt idx="5">
                  <c:v>160219.65993888496</c:v>
                </c:pt>
                <c:pt idx="6">
                  <c:v>159687.71273583738</c:v>
                </c:pt>
                <c:pt idx="7">
                  <c:v>159158.42526880506</c:v>
                </c:pt>
                <c:pt idx="8">
                  <c:v>158631.78423910792</c:v>
                </c:pt>
                <c:pt idx="9">
                  <c:v>107042.39034435217</c:v>
                </c:pt>
                <c:pt idx="10">
                  <c:v>103756.16929975845</c:v>
                </c:pt>
              </c:numCache>
            </c:numRef>
          </c:val>
          <c:extLst>
            <c:ext xmlns:c16="http://schemas.microsoft.com/office/drawing/2014/chart" uri="{C3380CC4-5D6E-409C-BE32-E72D297353CC}">
              <c16:uniqueId val="{00000001-DB80-4ECC-B7F2-47490F194402}"/>
            </c:ext>
          </c:extLst>
        </c:ser>
        <c:ser>
          <c:idx val="2"/>
          <c:order val="3"/>
          <c:tx>
            <c:strRef>
              <c:f>'$ Tables and Graphs'!$T$89</c:f>
              <c:strCache>
                <c:ptCount val="1"/>
                <c:pt idx="0">
                  <c:v>Proposed in This Plan</c:v>
                </c:pt>
              </c:strCache>
            </c:strRef>
          </c:tx>
          <c:spPr>
            <a:solidFill>
              <a:schemeClr val="accent3"/>
            </a:solidFill>
            <a:ln>
              <a:noFill/>
            </a:ln>
            <a:effectLst/>
          </c:spPr>
          <c:invertIfNegative val="0"/>
          <c:cat>
            <c:strRef>
              <c:f>'$ Tables and Graphs'!$Q$90:$Q$100</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Graphs'!$T$90:$T$100</c:f>
              <c:numCache>
                <c:formatCode>"$"#,##0_);[Red]\("$"#,##0\)</c:formatCode>
                <c:ptCount val="11"/>
                <c:pt idx="0">
                  <c:v>0</c:v>
                </c:pt>
                <c:pt idx="1">
                  <c:v>0</c:v>
                </c:pt>
                <c:pt idx="2">
                  <c:v>616488.88421783771</c:v>
                </c:pt>
                <c:pt idx="3">
                  <c:v>636392.6441325827</c:v>
                </c:pt>
                <c:pt idx="4">
                  <c:v>316621.20404184161</c:v>
                </c:pt>
                <c:pt idx="5">
                  <c:v>343783.1902048043</c:v>
                </c:pt>
                <c:pt idx="6">
                  <c:v>382833.15771311009</c:v>
                </c:pt>
                <c:pt idx="7">
                  <c:v>367936.12487895542</c:v>
                </c:pt>
                <c:pt idx="8">
                  <c:v>352817.44547014614</c:v>
                </c:pt>
                <c:pt idx="9">
                  <c:v>236454.40774489328</c:v>
                </c:pt>
                <c:pt idx="10">
                  <c:v>145763.28055793233</c:v>
                </c:pt>
              </c:numCache>
            </c:numRef>
          </c:val>
          <c:extLst>
            <c:ext xmlns:c16="http://schemas.microsoft.com/office/drawing/2014/chart" uri="{C3380CC4-5D6E-409C-BE32-E72D297353CC}">
              <c16:uniqueId val="{00000002-DB80-4ECC-B7F2-47490F194402}"/>
            </c:ext>
          </c:extLst>
        </c:ser>
        <c:ser>
          <c:idx val="3"/>
          <c:order val="4"/>
          <c:tx>
            <c:strRef>
              <c:f>'$ Tables and Graphs'!$U$89</c:f>
              <c:strCache>
                <c:ptCount val="1"/>
                <c:pt idx="0">
                  <c:v>Potential Future Activities</c:v>
                </c:pt>
              </c:strCache>
            </c:strRef>
          </c:tx>
          <c:spPr>
            <a:solidFill>
              <a:schemeClr val="accent4"/>
            </a:solidFill>
            <a:ln>
              <a:noFill/>
            </a:ln>
            <a:effectLst/>
          </c:spPr>
          <c:invertIfNegative val="0"/>
          <c:cat>
            <c:strRef>
              <c:f>'$ Tables and Graphs'!$Q$90:$Q$100</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Graphs'!$U$90:$U$100</c:f>
              <c:numCache>
                <c:formatCode>"$"#,##0_);[Red]\("$"#,##0\)</c:formatCode>
                <c:ptCount val="11"/>
                <c:pt idx="0">
                  <c:v>0</c:v>
                </c:pt>
                <c:pt idx="1">
                  <c:v>0</c:v>
                </c:pt>
                <c:pt idx="2">
                  <c:v>0</c:v>
                </c:pt>
                <c:pt idx="3">
                  <c:v>0</c:v>
                </c:pt>
                <c:pt idx="4">
                  <c:v>423605.44553381065</c:v>
                </c:pt>
                <c:pt idx="5">
                  <c:v>524756.28108002385</c:v>
                </c:pt>
                <c:pt idx="6">
                  <c:v>620791.73296278331</c:v>
                </c:pt>
                <c:pt idx="7">
                  <c:v>749017.75433625327</c:v>
                </c:pt>
                <c:pt idx="8">
                  <c:v>900705.05306988163</c:v>
                </c:pt>
                <c:pt idx="9">
                  <c:v>1037196.7261614525</c:v>
                </c:pt>
                <c:pt idx="10">
                  <c:v>1157924.0725420229</c:v>
                </c:pt>
              </c:numCache>
            </c:numRef>
          </c:val>
          <c:extLst>
            <c:ext xmlns:c16="http://schemas.microsoft.com/office/drawing/2014/chart" uri="{C3380CC4-5D6E-409C-BE32-E72D297353CC}">
              <c16:uniqueId val="{00000003-DB80-4ECC-B7F2-47490F194402}"/>
            </c:ext>
          </c:extLst>
        </c:ser>
        <c:dLbls>
          <c:showLegendKey val="0"/>
          <c:showVal val="0"/>
          <c:showCatName val="0"/>
          <c:showSerName val="0"/>
          <c:showPercent val="0"/>
          <c:showBubbleSize val="0"/>
        </c:dLbls>
        <c:gapWidth val="150"/>
        <c:overlap val="100"/>
        <c:axId val="548741880"/>
        <c:axId val="548741224"/>
      </c:barChart>
      <c:lineChart>
        <c:grouping val="standard"/>
        <c:varyColors val="0"/>
        <c:ser>
          <c:idx val="5"/>
          <c:order val="5"/>
          <c:tx>
            <c:strRef>
              <c:f>'$ Tables and Graphs'!$W$89</c:f>
              <c:strCache>
                <c:ptCount val="1"/>
                <c:pt idx="0">
                  <c:v>Available Funds at start of DY + Collections</c:v>
                </c:pt>
              </c:strCache>
            </c:strRef>
          </c:tx>
          <c:spPr>
            <a:ln w="28575" cap="rnd">
              <a:noFill/>
              <a:round/>
            </a:ln>
            <a:effectLst/>
          </c:spPr>
          <c:marker>
            <c:symbol val="dash"/>
            <c:size val="20"/>
            <c:spPr>
              <a:solidFill>
                <a:schemeClr val="accent6"/>
              </a:solidFill>
              <a:ln w="9525">
                <a:solidFill>
                  <a:schemeClr val="accent6"/>
                </a:solidFill>
              </a:ln>
              <a:effectLst/>
            </c:spPr>
          </c:marker>
          <c:cat>
            <c:strRef>
              <c:f>'$ Tables and Graphs'!$Q$90:$Q$100</c:f>
              <c:strCache>
                <c:ptCount val="11"/>
                <c:pt idx="0">
                  <c:v>2020-2021</c:v>
                </c:pt>
                <c:pt idx="1">
                  <c:v>2021-2022</c:v>
                </c:pt>
                <c:pt idx="2">
                  <c:v>2022-2023</c:v>
                </c:pt>
                <c:pt idx="3">
                  <c:v>2023-2024</c:v>
                </c:pt>
                <c:pt idx="4">
                  <c:v>2024-2025</c:v>
                </c:pt>
                <c:pt idx="5">
                  <c:v>2025-2026</c:v>
                </c:pt>
                <c:pt idx="6">
                  <c:v>2026-2027</c:v>
                </c:pt>
                <c:pt idx="7">
                  <c:v>2027-2028</c:v>
                </c:pt>
                <c:pt idx="8">
                  <c:v>2028-2029</c:v>
                </c:pt>
                <c:pt idx="9">
                  <c:v>2029-2030</c:v>
                </c:pt>
                <c:pt idx="10">
                  <c:v>2030-2031</c:v>
                </c:pt>
              </c:strCache>
            </c:strRef>
          </c:cat>
          <c:val>
            <c:numRef>
              <c:f>'$ Tables and Graphs'!$W$90:$W$100</c:f>
              <c:numCache>
                <c:formatCode>"$"#,##0_);[Red]\("$"#,##0\)</c:formatCode>
                <c:ptCount val="11"/>
                <c:pt idx="0">
                  <c:v>1073238.6323656063</c:v>
                </c:pt>
                <c:pt idx="1">
                  <c:v>1621704.423583702</c:v>
                </c:pt>
                <c:pt idx="2">
                  <c:v>2282825.9243558133</c:v>
                </c:pt>
                <c:pt idx="3">
                  <c:v>2043649.3815602143</c:v>
                </c:pt>
                <c:pt idx="4">
                  <c:v>2095826.0464199667</c:v>
                </c:pt>
                <c:pt idx="5">
                  <c:v>2105545.2129607517</c:v>
                </c:pt>
                <c:pt idx="6">
                  <c:v>2133952.4674491286</c:v>
                </c:pt>
                <c:pt idx="7">
                  <c:v>2175553.790115458</c:v>
                </c:pt>
                <c:pt idx="8">
                  <c:v>2121569.9584781262</c:v>
                </c:pt>
                <c:pt idx="9">
                  <c:v>1935643.153727836</c:v>
                </c:pt>
                <c:pt idx="10">
                  <c:v>1760043.4773932868</c:v>
                </c:pt>
              </c:numCache>
            </c:numRef>
          </c:val>
          <c:smooth val="0"/>
          <c:extLst>
            <c:ext xmlns:c16="http://schemas.microsoft.com/office/drawing/2014/chart" uri="{C3380CC4-5D6E-409C-BE32-E72D297353CC}">
              <c16:uniqueId val="{00000005-DB80-4ECC-B7F2-47490F194402}"/>
            </c:ext>
          </c:extLst>
        </c:ser>
        <c:dLbls>
          <c:showLegendKey val="0"/>
          <c:showVal val="0"/>
          <c:showCatName val="0"/>
          <c:showSerName val="0"/>
          <c:showPercent val="0"/>
          <c:showBubbleSize val="0"/>
        </c:dLbls>
        <c:marker val="1"/>
        <c:smooth val="0"/>
        <c:axId val="548741880"/>
        <c:axId val="548741224"/>
      </c:lineChart>
      <c:catAx>
        <c:axId val="548741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48741224"/>
        <c:crosses val="autoZero"/>
        <c:auto val="1"/>
        <c:lblAlgn val="ctr"/>
        <c:lblOffset val="100"/>
        <c:noMultiLvlLbl val="0"/>
      </c:catAx>
      <c:valAx>
        <c:axId val="54874122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48741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Statewide REC Delivery</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'Delivery Tables and Graphs'!$B$2</c:f>
              <c:strCache>
                <c:ptCount val="1"/>
                <c:pt idx="0">
                  <c:v>ABP RECs under contract </c:v>
                </c:pt>
              </c:strCache>
            </c:strRef>
          </c:tx>
          <c:spPr>
            <a:solidFill>
              <a:schemeClr val="accent1"/>
            </a:solidFill>
            <a:ln>
              <a:noFill/>
            </a:ln>
            <a:effectLst/>
          </c:spPr>
          <c:invertIfNegative val="0"/>
          <c:cat>
            <c:strRef>
              <c:f>'Delivery Tables and Graphs'!$A$3:$A$25</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2036-2037</c:v>
                </c:pt>
                <c:pt idx="17">
                  <c:v>2037-2038</c:v>
                </c:pt>
                <c:pt idx="18">
                  <c:v>2038-2039</c:v>
                </c:pt>
                <c:pt idx="19">
                  <c:v>2039-2040</c:v>
                </c:pt>
                <c:pt idx="20">
                  <c:v>2040-2041</c:v>
                </c:pt>
                <c:pt idx="21">
                  <c:v>2041-2042</c:v>
                </c:pt>
                <c:pt idx="22">
                  <c:v>2042-2043</c:v>
                </c:pt>
              </c:strCache>
            </c:strRef>
          </c:cat>
          <c:val>
            <c:numRef>
              <c:f>'Delivery Tables and Graphs'!$B$3:$B$25</c:f>
              <c:numCache>
                <c:formatCode>_(* #,##0_);_(* \(#,##0\);_(* "-"??_);_(@_)</c:formatCode>
                <c:ptCount val="23"/>
                <c:pt idx="0">
                  <c:v>652607.90247266705</c:v>
                </c:pt>
                <c:pt idx="1">
                  <c:v>1028057.6095813341</c:v>
                </c:pt>
                <c:pt idx="2">
                  <c:v>1112202.0277715982</c:v>
                </c:pt>
                <c:pt idx="3">
                  <c:v>1250375.9868179956</c:v>
                </c:pt>
                <c:pt idx="4">
                  <c:v>1244561.3247843913</c:v>
                </c:pt>
                <c:pt idx="5">
                  <c:v>1238781.8186050807</c:v>
                </c:pt>
                <c:pt idx="6">
                  <c:v>1233020.3648401417</c:v>
                </c:pt>
                <c:pt idx="7">
                  <c:v>1226694.8192617015</c:v>
                </c:pt>
                <c:pt idx="8">
                  <c:v>1220908.098763278</c:v>
                </c:pt>
                <c:pt idx="9">
                  <c:v>1214947.369001498</c:v>
                </c:pt>
                <c:pt idx="10">
                  <c:v>1209315.0937707778</c:v>
                </c:pt>
                <c:pt idx="11">
                  <c:v>1199253.307709004</c:v>
                </c:pt>
                <c:pt idx="12">
                  <c:v>1196631.4514254043</c:v>
                </c:pt>
                <c:pt idx="13">
                  <c:v>1193802.0712661045</c:v>
                </c:pt>
                <c:pt idx="14">
                  <c:v>1063037.0011835238</c:v>
                </c:pt>
                <c:pt idx="15">
                  <c:v>587655.67573893256</c:v>
                </c:pt>
                <c:pt idx="16">
                  <c:v>162682.45457493281</c:v>
                </c:pt>
                <c:pt idx="17">
                  <c:v>154.260456</c:v>
                </c:pt>
                <c:pt idx="18">
                  <c:v>0</c:v>
                </c:pt>
                <c:pt idx="19">
                  <c:v>0</c:v>
                </c:pt>
                <c:pt idx="20">
                  <c:v>0</c:v>
                </c:pt>
                <c:pt idx="21">
                  <c:v>0</c:v>
                </c:pt>
                <c:pt idx="22">
                  <c:v>0</c:v>
                </c:pt>
              </c:numCache>
            </c:numRef>
          </c:val>
          <c:extLst>
            <c:ext xmlns:c16="http://schemas.microsoft.com/office/drawing/2014/chart" uri="{C3380CC4-5D6E-409C-BE32-E72D297353CC}">
              <c16:uniqueId val="{00000000-E3D3-4DB4-BB45-384FCCAC1DA2}"/>
            </c:ext>
          </c:extLst>
        </c:ser>
        <c:ser>
          <c:idx val="1"/>
          <c:order val="1"/>
          <c:tx>
            <c:strRef>
              <c:f>'Delivery Tables and Graphs'!$C$2</c:f>
              <c:strCache>
                <c:ptCount val="1"/>
                <c:pt idx="0">
                  <c:v>Non- ABP RECs under contract</c:v>
                </c:pt>
              </c:strCache>
            </c:strRef>
          </c:tx>
          <c:spPr>
            <a:solidFill>
              <a:schemeClr val="accent2"/>
            </a:solidFill>
            <a:ln>
              <a:noFill/>
            </a:ln>
            <a:effectLst/>
          </c:spPr>
          <c:invertIfNegative val="0"/>
          <c:cat>
            <c:strRef>
              <c:f>'Delivery Tables and Graphs'!$A$3:$A$25</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2036-2037</c:v>
                </c:pt>
                <c:pt idx="17">
                  <c:v>2037-2038</c:v>
                </c:pt>
                <c:pt idx="18">
                  <c:v>2038-2039</c:v>
                </c:pt>
                <c:pt idx="19">
                  <c:v>2039-2040</c:v>
                </c:pt>
                <c:pt idx="20">
                  <c:v>2040-2041</c:v>
                </c:pt>
                <c:pt idx="21">
                  <c:v>2041-2042</c:v>
                </c:pt>
                <c:pt idx="22">
                  <c:v>2042-2043</c:v>
                </c:pt>
              </c:strCache>
            </c:strRef>
          </c:cat>
          <c:val>
            <c:numRef>
              <c:f>'Delivery Tables and Graphs'!$C$3:$C$25</c:f>
              <c:numCache>
                <c:formatCode>_(* #,##0_);_(* \(#,##0\);_(* "-"??_);_(@_)</c:formatCode>
                <c:ptCount val="23"/>
                <c:pt idx="0">
                  <c:v>2653269.6</c:v>
                </c:pt>
                <c:pt idx="1">
                  <c:v>4932309.1079333331</c:v>
                </c:pt>
                <c:pt idx="2">
                  <c:v>5933342.2002666667</c:v>
                </c:pt>
                <c:pt idx="3">
                  <c:v>5927404.9221383333</c:v>
                </c:pt>
                <c:pt idx="4">
                  <c:v>5927082.2654006416</c:v>
                </c:pt>
                <c:pt idx="5">
                  <c:v>5926761.2219466381</c:v>
                </c:pt>
                <c:pt idx="6">
                  <c:v>5926441.7837099051</c:v>
                </c:pt>
                <c:pt idx="7">
                  <c:v>5926123.942664356</c:v>
                </c:pt>
                <c:pt idx="8">
                  <c:v>5925807.6908240337</c:v>
                </c:pt>
                <c:pt idx="9">
                  <c:v>5925493.0202429136</c:v>
                </c:pt>
                <c:pt idx="10">
                  <c:v>5925179.9230146995</c:v>
                </c:pt>
                <c:pt idx="11">
                  <c:v>5924868.3912726259</c:v>
                </c:pt>
                <c:pt idx="12">
                  <c:v>4062833.4171892623</c:v>
                </c:pt>
                <c:pt idx="13">
                  <c:v>3632524.9929763163</c:v>
                </c:pt>
                <c:pt idx="14">
                  <c:v>3632218.1108844345</c:v>
                </c:pt>
                <c:pt idx="15">
                  <c:v>3331912.7632030123</c:v>
                </c:pt>
                <c:pt idx="16">
                  <c:v>60460.367659997486</c:v>
                </c:pt>
                <c:pt idx="17">
                  <c:v>60158.065821697499</c:v>
                </c:pt>
                <c:pt idx="18">
                  <c:v>59857.275492589011</c:v>
                </c:pt>
                <c:pt idx="19">
                  <c:v>59557.989115126067</c:v>
                </c:pt>
                <c:pt idx="20">
                  <c:v>59260.199169550433</c:v>
                </c:pt>
                <c:pt idx="21">
                  <c:v>58963.898173702677</c:v>
                </c:pt>
                <c:pt idx="22">
                  <c:v>58669.078682834166</c:v>
                </c:pt>
              </c:numCache>
            </c:numRef>
          </c:val>
          <c:extLst>
            <c:ext xmlns:c16="http://schemas.microsoft.com/office/drawing/2014/chart" uri="{C3380CC4-5D6E-409C-BE32-E72D297353CC}">
              <c16:uniqueId val="{00000001-E3D3-4DB4-BB45-384FCCAC1DA2}"/>
            </c:ext>
          </c:extLst>
        </c:ser>
        <c:ser>
          <c:idx val="2"/>
          <c:order val="2"/>
          <c:tx>
            <c:strRef>
              <c:f>'Delivery Tables and Graphs'!$D$2</c:f>
              <c:strCache>
                <c:ptCount val="1"/>
                <c:pt idx="0">
                  <c:v>New ABP RECs</c:v>
                </c:pt>
              </c:strCache>
            </c:strRef>
          </c:tx>
          <c:spPr>
            <a:solidFill>
              <a:schemeClr val="accent1">
                <a:lumMod val="40000"/>
                <a:lumOff val="60000"/>
              </a:schemeClr>
            </a:solidFill>
            <a:ln>
              <a:noFill/>
            </a:ln>
            <a:effectLst/>
          </c:spPr>
          <c:invertIfNegative val="0"/>
          <c:cat>
            <c:strRef>
              <c:f>'Delivery Tables and Graphs'!$A$3:$A$25</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2036-2037</c:v>
                </c:pt>
                <c:pt idx="17">
                  <c:v>2037-2038</c:v>
                </c:pt>
                <c:pt idx="18">
                  <c:v>2038-2039</c:v>
                </c:pt>
                <c:pt idx="19">
                  <c:v>2039-2040</c:v>
                </c:pt>
                <c:pt idx="20">
                  <c:v>2040-2041</c:v>
                </c:pt>
                <c:pt idx="21">
                  <c:v>2041-2042</c:v>
                </c:pt>
                <c:pt idx="22">
                  <c:v>2042-2043</c:v>
                </c:pt>
              </c:strCache>
            </c:strRef>
          </c:cat>
          <c:val>
            <c:numRef>
              <c:f>'Delivery Tables and Graphs'!$D$3:$D$25</c:f>
              <c:numCache>
                <c:formatCode>_(* #,##0_);_(* \(#,##0\);_(* "-"??_);_(@_)</c:formatCode>
                <c:ptCount val="23"/>
                <c:pt idx="0">
                  <c:v>0</c:v>
                </c:pt>
                <c:pt idx="1">
                  <c:v>0</c:v>
                </c:pt>
                <c:pt idx="2">
                  <c:v>1166448.1459785036</c:v>
                </c:pt>
                <c:pt idx="3">
                  <c:v>2400735.0104779131</c:v>
                </c:pt>
                <c:pt idx="4">
                  <c:v>3303685.2105948259</c:v>
                </c:pt>
                <c:pt idx="5">
                  <c:v>4202120.6597111542</c:v>
                </c:pt>
                <c:pt idx="6">
                  <c:v>5096063.9315818995</c:v>
                </c:pt>
                <c:pt idx="7">
                  <c:v>5985537.4870932931</c:v>
                </c:pt>
                <c:pt idx="8">
                  <c:v>6870563.6748271286</c:v>
                </c:pt>
                <c:pt idx="9">
                  <c:v>7751164.7316222955</c:v>
                </c:pt>
                <c:pt idx="10">
                  <c:v>8627362.7831334863</c:v>
                </c:pt>
                <c:pt idx="11">
                  <c:v>9499179.8443871196</c:v>
                </c:pt>
                <c:pt idx="12">
                  <c:v>10366637.820334485</c:v>
                </c:pt>
                <c:pt idx="13">
                  <c:v>10945157.503587462</c:v>
                </c:pt>
                <c:pt idx="14">
                  <c:v>11347908.653654177</c:v>
                </c:pt>
                <c:pt idx="15">
                  <c:v>11748646.047970559</c:v>
                </c:pt>
                <c:pt idx="16">
                  <c:v>12147379.755315356</c:v>
                </c:pt>
                <c:pt idx="17">
                  <c:v>11736914.488075918</c:v>
                </c:pt>
                <c:pt idx="18">
                  <c:v>11686106.827159647</c:v>
                </c:pt>
                <c:pt idx="19">
                  <c:v>11648810.171796525</c:v>
                </c:pt>
                <c:pt idx="20">
                  <c:v>11611699.999710217</c:v>
                </c:pt>
                <c:pt idx="21">
                  <c:v>11290174.375669692</c:v>
                </c:pt>
                <c:pt idx="22">
                  <c:v>10529425.19566652</c:v>
                </c:pt>
              </c:numCache>
            </c:numRef>
          </c:val>
          <c:extLst>
            <c:ext xmlns:c16="http://schemas.microsoft.com/office/drawing/2014/chart" uri="{C3380CC4-5D6E-409C-BE32-E72D297353CC}">
              <c16:uniqueId val="{00000002-E3D3-4DB4-BB45-384FCCAC1DA2}"/>
            </c:ext>
          </c:extLst>
        </c:ser>
        <c:ser>
          <c:idx val="3"/>
          <c:order val="3"/>
          <c:tx>
            <c:strRef>
              <c:f>'Delivery Tables and Graphs'!$E$2</c:f>
              <c:strCache>
                <c:ptCount val="1"/>
                <c:pt idx="0">
                  <c:v>New Wind, Solar and Brownfield</c:v>
                </c:pt>
              </c:strCache>
            </c:strRef>
          </c:tx>
          <c:spPr>
            <a:solidFill>
              <a:schemeClr val="accent4"/>
            </a:solidFill>
            <a:ln>
              <a:noFill/>
            </a:ln>
            <a:effectLst/>
          </c:spPr>
          <c:invertIfNegative val="0"/>
          <c:cat>
            <c:strRef>
              <c:f>'Delivery Tables and Graphs'!$A$3:$A$25</c:f>
              <c:strCache>
                <c:ptCount val="23"/>
                <c:pt idx="0">
                  <c:v>2020-21</c:v>
                </c:pt>
                <c:pt idx="1">
                  <c:v>2021-22</c:v>
                </c:pt>
                <c:pt idx="2">
                  <c:v>2022-23</c:v>
                </c:pt>
                <c:pt idx="3">
                  <c:v>2023-24</c:v>
                </c:pt>
                <c:pt idx="4">
                  <c:v>2024-25</c:v>
                </c:pt>
                <c:pt idx="5">
                  <c:v>2025-26</c:v>
                </c:pt>
                <c:pt idx="6">
                  <c:v>2026-27</c:v>
                </c:pt>
                <c:pt idx="7">
                  <c:v>2027-28</c:v>
                </c:pt>
                <c:pt idx="8">
                  <c:v>2028-29</c:v>
                </c:pt>
                <c:pt idx="9">
                  <c:v>2029-30</c:v>
                </c:pt>
                <c:pt idx="10">
                  <c:v>2030-31</c:v>
                </c:pt>
                <c:pt idx="11">
                  <c:v>2031-32</c:v>
                </c:pt>
                <c:pt idx="12">
                  <c:v>2032-33</c:v>
                </c:pt>
                <c:pt idx="13">
                  <c:v>2033-34</c:v>
                </c:pt>
                <c:pt idx="14">
                  <c:v>2034-35</c:v>
                </c:pt>
                <c:pt idx="15">
                  <c:v>2035-36</c:v>
                </c:pt>
                <c:pt idx="16">
                  <c:v>2036-2037</c:v>
                </c:pt>
                <c:pt idx="17">
                  <c:v>2037-2038</c:v>
                </c:pt>
                <c:pt idx="18">
                  <c:v>2038-2039</c:v>
                </c:pt>
                <c:pt idx="19">
                  <c:v>2039-2040</c:v>
                </c:pt>
                <c:pt idx="20">
                  <c:v>2040-2041</c:v>
                </c:pt>
                <c:pt idx="21">
                  <c:v>2041-2042</c:v>
                </c:pt>
                <c:pt idx="22">
                  <c:v>2042-2043</c:v>
                </c:pt>
              </c:strCache>
            </c:strRef>
          </c:cat>
          <c:val>
            <c:numRef>
              <c:f>'Delivery Tables and Graphs'!$E$3:$E$25</c:f>
              <c:numCache>
                <c:formatCode>_(* #,##0_);_(* \(#,##0\);_(* "-"??_);_(@_)</c:formatCode>
                <c:ptCount val="23"/>
                <c:pt idx="0">
                  <c:v>0</c:v>
                </c:pt>
                <c:pt idx="1">
                  <c:v>0</c:v>
                </c:pt>
                <c:pt idx="2">
                  <c:v>0</c:v>
                </c:pt>
                <c:pt idx="3">
                  <c:v>0</c:v>
                </c:pt>
                <c:pt idx="4">
                  <c:v>0</c:v>
                </c:pt>
                <c:pt idx="5">
                  <c:v>2409391</c:v>
                </c:pt>
                <c:pt idx="6">
                  <c:v>7036837.0449999999</c:v>
                </c:pt>
                <c:pt idx="7">
                  <c:v>9836452.8597750012</c:v>
                </c:pt>
                <c:pt idx="8">
                  <c:v>14440820.595476126</c:v>
                </c:pt>
                <c:pt idx="9">
                  <c:v>19045291.492498744</c:v>
                </c:pt>
                <c:pt idx="10">
                  <c:v>23649865.035036251</c:v>
                </c:pt>
                <c:pt idx="11">
                  <c:v>28254540.70986107</c:v>
                </c:pt>
                <c:pt idx="12">
                  <c:v>32859318.006311763</c:v>
                </c:pt>
                <c:pt idx="13">
                  <c:v>37464196.416280203</c:v>
                </c:pt>
                <c:pt idx="14">
                  <c:v>42069175.434198804</c:v>
                </c:pt>
                <c:pt idx="15">
                  <c:v>46674254.557027809</c:v>
                </c:pt>
                <c:pt idx="16">
                  <c:v>48966933.284242675</c:v>
                </c:pt>
                <c:pt idx="17">
                  <c:v>51259711.117821455</c:v>
                </c:pt>
                <c:pt idx="18">
                  <c:v>53552587.562232353</c:v>
                </c:pt>
                <c:pt idx="19">
                  <c:v>55845562.124421194</c:v>
                </c:pt>
                <c:pt idx="20">
                  <c:v>58138634.313799076</c:v>
                </c:pt>
                <c:pt idx="21">
                  <c:v>60431803.642230086</c:v>
                </c:pt>
                <c:pt idx="22">
                  <c:v>62725069.624018937</c:v>
                </c:pt>
              </c:numCache>
            </c:numRef>
          </c:val>
          <c:extLst>
            <c:ext xmlns:c16="http://schemas.microsoft.com/office/drawing/2014/chart" uri="{C3380CC4-5D6E-409C-BE32-E72D297353CC}">
              <c16:uniqueId val="{00000003-E3D3-4DB4-BB45-384FCCAC1DA2}"/>
            </c:ext>
          </c:extLst>
        </c:ser>
        <c:dLbls>
          <c:showLegendKey val="0"/>
          <c:showVal val="0"/>
          <c:showCatName val="0"/>
          <c:showSerName val="0"/>
          <c:showPercent val="0"/>
          <c:showBubbleSize val="0"/>
        </c:dLbls>
        <c:gapWidth val="150"/>
        <c:overlap val="100"/>
        <c:axId val="541546400"/>
        <c:axId val="541545744"/>
      </c:barChart>
      <c:catAx>
        <c:axId val="54154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41545744"/>
        <c:crosses val="autoZero"/>
        <c:auto val="1"/>
        <c:lblAlgn val="ctr"/>
        <c:lblOffset val="100"/>
        <c:noMultiLvlLbl val="0"/>
      </c:catAx>
      <c:valAx>
        <c:axId val="54154574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a:t>Renewable Energy Credits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541546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153150" cy="19475588"/>
    <xdr:sp macro="" textlink="">
      <xdr:nvSpPr>
        <xdr:cNvPr id="2" name="TextBox 1">
          <a:extLst>
            <a:ext uri="{FF2B5EF4-FFF2-40B4-BE49-F238E27FC236}">
              <a16:creationId xmlns:a16="http://schemas.microsoft.com/office/drawing/2014/main" id="{C29C1744-6F88-427E-9104-9D608B57BF2E}"/>
            </a:ext>
          </a:extLst>
        </xdr:cNvPr>
        <xdr:cNvSpPr txBox="1"/>
      </xdr:nvSpPr>
      <xdr:spPr>
        <a:xfrm>
          <a:off x="0" y="0"/>
          <a:ext cx="6153150" cy="194755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u="sng">
              <a:solidFill>
                <a:schemeClr val="tx1"/>
              </a:solidFill>
              <a:effectLst/>
              <a:latin typeface="+mn-lt"/>
              <a:ea typeface="+mn-ea"/>
              <a:cs typeface="+mn-cs"/>
            </a:rPr>
            <a:t>Appendix</a:t>
          </a:r>
          <a:r>
            <a:rPr lang="en-US" sz="1100" b="1" u="sng" baseline="0">
              <a:solidFill>
                <a:schemeClr val="tx1"/>
              </a:solidFill>
              <a:effectLst/>
              <a:latin typeface="+mn-lt"/>
              <a:ea typeface="+mn-ea"/>
              <a:cs typeface="+mn-cs"/>
            </a:rPr>
            <a:t> B</a:t>
          </a:r>
          <a:r>
            <a:rPr lang="en-US" sz="1100" b="1" u="sng">
              <a:solidFill>
                <a:schemeClr val="tx1"/>
              </a:solidFill>
              <a:effectLst/>
              <a:latin typeface="+mn-lt"/>
              <a:ea typeface="+mn-ea"/>
              <a:cs typeface="+mn-cs"/>
            </a:rPr>
            <a:t> Annotation by Tab</a:t>
          </a:r>
        </a:p>
        <a:p>
          <a:endParaRPr lang="en-US" sz="1400">
            <a:effectLst/>
          </a:endParaRPr>
        </a:p>
        <a:p>
          <a:r>
            <a:rPr lang="en-US" sz="1100" b="1" u="sng">
              <a:solidFill>
                <a:schemeClr val="tx1"/>
              </a:solidFill>
              <a:effectLst/>
              <a:latin typeface="+mn-lt"/>
              <a:ea typeface="+mn-ea"/>
              <a:cs typeface="+mn-cs"/>
            </a:rPr>
            <a:t>Ch.</a:t>
          </a:r>
          <a:r>
            <a:rPr lang="en-US" sz="1100" b="1" u="sng" baseline="0">
              <a:solidFill>
                <a:schemeClr val="tx1"/>
              </a:solidFill>
              <a:effectLst/>
              <a:latin typeface="+mn-lt"/>
              <a:ea typeface="+mn-ea"/>
              <a:cs typeface="+mn-cs"/>
            </a:rPr>
            <a:t> 3 Tables and Graphs</a:t>
          </a:r>
        </a:p>
        <a:p>
          <a:r>
            <a:rPr lang="en-US" sz="1100" b="0" u="none" baseline="0">
              <a:solidFill>
                <a:schemeClr val="tx1"/>
              </a:solidFill>
              <a:effectLst/>
              <a:latin typeface="+mn-lt"/>
              <a:ea typeface="+mn-ea"/>
              <a:cs typeface="+mn-cs"/>
            </a:rPr>
            <a:t>This tab includes Figures 3.1, 3.2 and Tables 3.1, 3.5, 3.7, 3.10 </a:t>
          </a:r>
        </a:p>
        <a:p>
          <a:endParaRPr lang="en-US" sz="1100" b="0" u="none" baseline="0">
            <a:solidFill>
              <a:schemeClr val="tx1"/>
            </a:solidFill>
            <a:effectLst/>
            <a:latin typeface="+mn-lt"/>
            <a:ea typeface="+mn-ea"/>
            <a:cs typeface="+mn-cs"/>
          </a:endParaRPr>
        </a:p>
        <a:p>
          <a:r>
            <a:rPr lang="en-US" sz="1100" b="1" u="sng">
              <a:solidFill>
                <a:schemeClr val="tx1"/>
              </a:solidFill>
              <a:effectLst/>
              <a:latin typeface="+mn-lt"/>
              <a:ea typeface="+mn-ea"/>
              <a:cs typeface="+mn-cs"/>
            </a:rPr>
            <a:t>Tables 3-11, 3-12 &amp; Figure 3-3</a:t>
          </a:r>
          <a:endParaRPr lang="en-US">
            <a:effectLst/>
          </a:endParaRPr>
        </a:p>
        <a:p>
          <a:r>
            <a:rPr lang="en-US" sz="1100">
              <a:solidFill>
                <a:schemeClr val="tx1"/>
              </a:solidFill>
              <a:effectLst/>
              <a:latin typeface="+mn-lt"/>
              <a:ea typeface="+mn-ea"/>
              <a:cs typeface="+mn-cs"/>
            </a:rPr>
            <a:t>- Table 3-11 shows the budget from the RPS Spend Model with columns separated into Legacy Programs, In Progress, Proposed in This Plan, Potential Future  </a:t>
          </a:r>
          <a:endParaRPr lang="en-US">
            <a:effectLst/>
          </a:endParaRPr>
        </a:p>
        <a:p>
          <a:r>
            <a:rPr lang="en-US" sz="1100">
              <a:solidFill>
                <a:schemeClr val="tx1"/>
              </a:solidFill>
              <a:effectLst/>
              <a:latin typeface="+mn-lt"/>
              <a:ea typeface="+mn-ea"/>
              <a:cs typeface="+mn-cs"/>
            </a:rPr>
            <a:t>  Activities, and</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Set Asides.  </a:t>
          </a:r>
          <a:endParaRPr lang="en-US">
            <a:effectLst/>
          </a:endParaRPr>
        </a:p>
        <a:p>
          <a:r>
            <a:rPr lang="en-US" sz="1100">
              <a:solidFill>
                <a:schemeClr val="tx1"/>
              </a:solidFill>
              <a:effectLst/>
              <a:latin typeface="+mn-lt"/>
              <a:ea typeface="+mn-ea"/>
              <a:cs typeface="+mn-cs"/>
            </a:rPr>
            <a:t>- Table 3-12 shows the Delivery Year starting and ending RPS Balance. </a:t>
          </a:r>
          <a:endParaRPr lang="en-US">
            <a:effectLst/>
          </a:endParaRPr>
        </a:p>
        <a:p>
          <a:r>
            <a:rPr lang="en-US" sz="1100">
              <a:solidFill>
                <a:schemeClr val="tx1"/>
              </a:solidFill>
              <a:effectLst/>
              <a:latin typeface="+mn-lt"/>
              <a:ea typeface="+mn-ea"/>
              <a:cs typeface="+mn-cs"/>
            </a:rPr>
            <a:t>- Figure 3-3 combines Tables 3-11 and 3-12 to show Projected RPS Expenses and the corresponding Delivery Year Total Available RPS Funds. </a:t>
          </a:r>
        </a:p>
        <a:p>
          <a:endParaRPr lang="en-US" sz="1100" b="0" u="none">
            <a:solidFill>
              <a:schemeClr val="tx1"/>
            </a:solidFill>
            <a:effectLst/>
            <a:latin typeface="+mn-lt"/>
            <a:ea typeface="+mn-ea"/>
            <a:cs typeface="+mn-cs"/>
          </a:endParaRPr>
        </a:p>
        <a:p>
          <a:r>
            <a:rPr lang="en-US" sz="1100" b="1" u="sng">
              <a:solidFill>
                <a:schemeClr val="tx1"/>
              </a:solidFill>
              <a:effectLst/>
              <a:latin typeface="+mn-lt"/>
              <a:ea typeface="+mn-ea"/>
              <a:cs typeface="+mn-cs"/>
            </a:rPr>
            <a:t>$ Tables and Graphs</a:t>
          </a:r>
          <a:endParaRPr lang="en-US">
            <a:effectLst/>
          </a:endParaRPr>
        </a:p>
        <a:p>
          <a:r>
            <a:rPr lang="en-US" sz="1100">
              <a:solidFill>
                <a:schemeClr val="tx1"/>
              </a:solidFill>
              <a:effectLst/>
              <a:latin typeface="+mn-lt"/>
              <a:ea typeface="+mn-ea"/>
              <a:cs typeface="+mn-cs"/>
            </a:rPr>
            <a:t>This tab contains the RPS Spend Model tables and graphs showing Legacy Programs, In Progress, Proposed in This Plan, Potential Future Activities, and Set Asides (Figure 3-3). The spend data is also broken out by Utility. This data is calculated from the “RPS Spend” Tab.</a:t>
          </a:r>
          <a:endParaRPr lang="en-US" sz="1400">
            <a:effectLst/>
          </a:endParaRPr>
        </a:p>
        <a:p>
          <a:r>
            <a:rPr lang="en-US" sz="1100">
              <a:solidFill>
                <a:schemeClr val="tx1"/>
              </a:solidFill>
              <a:effectLst/>
              <a:latin typeface="+mn-lt"/>
              <a:ea typeface="+mn-ea"/>
              <a:cs typeface="+mn-cs"/>
            </a:rPr>
            <a:t> </a:t>
          </a:r>
          <a:endParaRPr lang="en-US" sz="1400">
            <a:effectLst/>
          </a:endParaRPr>
        </a:p>
        <a:p>
          <a:r>
            <a:rPr lang="en-US" sz="1100" b="1" u="sng">
              <a:solidFill>
                <a:schemeClr val="tx1"/>
              </a:solidFill>
              <a:effectLst/>
              <a:latin typeface="+mn-lt"/>
              <a:ea typeface="+mn-ea"/>
              <a:cs typeface="+mn-cs"/>
            </a:rPr>
            <a:t>RPS Spend Model</a:t>
          </a:r>
          <a:endParaRPr lang="en-US" sz="1400">
            <a:effectLst/>
          </a:endParaRPr>
        </a:p>
        <a:p>
          <a:r>
            <a:rPr lang="en-US" sz="1100">
              <a:solidFill>
                <a:schemeClr val="tx1"/>
              </a:solidFill>
              <a:effectLst/>
              <a:latin typeface="+mn-lt"/>
              <a:ea typeface="+mn-ea"/>
              <a:cs typeface="+mn-cs"/>
            </a:rPr>
            <a:t>This tab includes tables that consolidate the entire current and projected RPS Budget by Delivery Year, in total and by Utility. Columns </a:t>
          </a:r>
          <a:r>
            <a:rPr lang="en-US" sz="1100" b="1">
              <a:solidFill>
                <a:schemeClr val="tx1"/>
              </a:solidFill>
              <a:effectLst/>
              <a:latin typeface="+mn-lt"/>
              <a:ea typeface="+mn-ea"/>
              <a:cs typeface="+mn-cs"/>
            </a:rPr>
            <a:t>B</a:t>
          </a:r>
          <a:r>
            <a:rPr lang="en-US" sz="1100">
              <a:solidFill>
                <a:schemeClr val="tx1"/>
              </a:solidFill>
              <a:effectLst/>
              <a:latin typeface="+mn-lt"/>
              <a:ea typeface="+mn-ea"/>
              <a:cs typeface="+mn-cs"/>
            </a:rPr>
            <a:t> through </a:t>
          </a:r>
          <a:r>
            <a:rPr lang="en-US" sz="1100" b="1">
              <a:solidFill>
                <a:schemeClr val="tx1"/>
              </a:solidFill>
              <a:effectLst/>
              <a:latin typeface="+mn-lt"/>
              <a:ea typeface="+mn-ea"/>
              <a:cs typeface="+mn-cs"/>
            </a:rPr>
            <a:t>I</a:t>
          </a:r>
          <a:r>
            <a:rPr lang="en-US" sz="1100">
              <a:solidFill>
                <a:schemeClr val="tx1"/>
              </a:solidFill>
              <a:effectLst/>
              <a:latin typeface="+mn-lt"/>
              <a:ea typeface="+mn-ea"/>
              <a:cs typeface="+mn-cs"/>
            </a:rPr>
            <a:t> highlighted in yellow are legacy ABP and Non-ABP spend (e.g., from activities that occurred prior to the enactment of P.A. 102-0662). Columns </a:t>
          </a:r>
          <a:r>
            <a:rPr lang="en-US" sz="1100" b="1">
              <a:solidFill>
                <a:schemeClr val="tx1"/>
              </a:solidFill>
              <a:effectLst/>
              <a:latin typeface="+mn-lt"/>
              <a:ea typeface="+mn-ea"/>
              <a:cs typeface="+mn-cs"/>
            </a:rPr>
            <a:t>J</a:t>
          </a:r>
          <a:r>
            <a:rPr lang="en-US" sz="1100">
              <a:solidFill>
                <a:schemeClr val="tx1"/>
              </a:solidFill>
              <a:effectLst/>
              <a:latin typeface="+mn-lt"/>
              <a:ea typeface="+mn-ea"/>
              <a:cs typeface="+mn-cs"/>
            </a:rPr>
            <a:t> through </a:t>
          </a:r>
          <a:r>
            <a:rPr lang="en-US" sz="1100" b="1">
              <a:solidFill>
                <a:schemeClr val="tx1"/>
              </a:solidFill>
              <a:effectLst/>
              <a:latin typeface="+mn-lt"/>
              <a:ea typeface="+mn-ea"/>
              <a:cs typeface="+mn-cs"/>
            </a:rPr>
            <a:t>R</a:t>
          </a:r>
          <a:r>
            <a:rPr lang="en-US" sz="1100">
              <a:solidFill>
                <a:schemeClr val="tx1"/>
              </a:solidFill>
              <a:effectLst/>
              <a:latin typeface="+mn-lt"/>
              <a:ea typeface="+mn-ea"/>
              <a:cs typeface="+mn-cs"/>
            </a:rPr>
            <a:t> show projected spending beginning with the 2021 Reopening of ABP, and Spring 2022 Utility Scale and Brownfield procurements through 2040. This data is calculated from the “Total REC Spend Activities” tab.</a:t>
          </a:r>
          <a:endParaRPr lang="en-US" sz="1400">
            <a:effectLst/>
          </a:endParaRPr>
        </a:p>
        <a:p>
          <a:r>
            <a:rPr lang="en-US" sz="1100">
              <a:solidFill>
                <a:schemeClr val="tx1"/>
              </a:solidFill>
              <a:effectLst/>
              <a:latin typeface="+mn-lt"/>
              <a:ea typeface="+mn-ea"/>
              <a:cs typeface="+mn-cs"/>
            </a:rPr>
            <a:t> </a:t>
          </a:r>
          <a:endParaRPr lang="en-US" sz="1400">
            <a:effectLst/>
          </a:endParaRPr>
        </a:p>
        <a:p>
          <a:r>
            <a:rPr lang="en-US" sz="1100" b="1" u="sng">
              <a:solidFill>
                <a:schemeClr val="tx1"/>
              </a:solidFill>
              <a:effectLst/>
              <a:latin typeface="+mn-lt"/>
              <a:ea typeface="+mn-ea"/>
              <a:cs typeface="+mn-cs"/>
            </a:rPr>
            <a:t>REC Delivery Model</a:t>
          </a:r>
          <a:endParaRPr lang="en-US" sz="1400">
            <a:effectLst/>
          </a:endParaRPr>
        </a:p>
        <a:p>
          <a:r>
            <a:rPr lang="en-US" sz="1100">
              <a:solidFill>
                <a:schemeClr val="tx1"/>
              </a:solidFill>
              <a:effectLst/>
              <a:latin typeface="+mn-lt"/>
              <a:ea typeface="+mn-ea"/>
              <a:cs typeface="+mn-cs"/>
            </a:rPr>
            <a:t>This tab includes tables that consolidate the current and projected REC delivery schedule, in total and by Utility. Columns </a:t>
          </a:r>
          <a:r>
            <a:rPr lang="en-US" sz="1100" b="1">
              <a:solidFill>
                <a:schemeClr val="tx1"/>
              </a:solidFill>
              <a:effectLst/>
              <a:latin typeface="+mn-lt"/>
              <a:ea typeface="+mn-ea"/>
              <a:cs typeface="+mn-cs"/>
            </a:rPr>
            <a:t>B</a:t>
          </a:r>
          <a:r>
            <a:rPr lang="en-US" sz="1100">
              <a:solidFill>
                <a:schemeClr val="tx1"/>
              </a:solidFill>
              <a:effectLst/>
              <a:latin typeface="+mn-lt"/>
              <a:ea typeface="+mn-ea"/>
              <a:cs typeface="+mn-cs"/>
            </a:rPr>
            <a:t> through </a:t>
          </a:r>
          <a:r>
            <a:rPr lang="en-US" sz="1100" b="1">
              <a:solidFill>
                <a:schemeClr val="tx1"/>
              </a:solidFill>
              <a:effectLst/>
              <a:latin typeface="+mn-lt"/>
              <a:ea typeface="+mn-ea"/>
              <a:cs typeface="+mn-cs"/>
            </a:rPr>
            <a:t>I</a:t>
          </a:r>
          <a:r>
            <a:rPr lang="en-US" sz="1100">
              <a:solidFill>
                <a:schemeClr val="tx1"/>
              </a:solidFill>
              <a:effectLst/>
              <a:latin typeface="+mn-lt"/>
              <a:ea typeface="+mn-ea"/>
              <a:cs typeface="+mn-cs"/>
            </a:rPr>
            <a:t> highlighted in yellow are legacy ABP and Non-ABP RECs currently under contract. Columns </a:t>
          </a:r>
          <a:r>
            <a:rPr lang="en-US" sz="1100" b="1">
              <a:solidFill>
                <a:schemeClr val="tx1"/>
              </a:solidFill>
              <a:effectLst/>
              <a:latin typeface="+mn-lt"/>
              <a:ea typeface="+mn-ea"/>
              <a:cs typeface="+mn-cs"/>
            </a:rPr>
            <a:t>J</a:t>
          </a:r>
          <a:r>
            <a:rPr lang="en-US" sz="1100">
              <a:solidFill>
                <a:schemeClr val="tx1"/>
              </a:solidFill>
              <a:effectLst/>
              <a:latin typeface="+mn-lt"/>
              <a:ea typeface="+mn-ea"/>
              <a:cs typeface="+mn-cs"/>
            </a:rPr>
            <a:t> through </a:t>
          </a:r>
          <a:r>
            <a:rPr lang="en-US" sz="1100" b="1">
              <a:solidFill>
                <a:schemeClr val="tx1"/>
              </a:solidFill>
              <a:effectLst/>
              <a:latin typeface="+mn-lt"/>
              <a:ea typeface="+mn-ea"/>
              <a:cs typeface="+mn-cs"/>
            </a:rPr>
            <a:t>R</a:t>
          </a:r>
          <a:r>
            <a:rPr lang="en-US" sz="1100">
              <a:solidFill>
                <a:schemeClr val="tx1"/>
              </a:solidFill>
              <a:effectLst/>
              <a:latin typeface="+mn-lt"/>
              <a:ea typeface="+mn-ea"/>
              <a:cs typeface="+mn-cs"/>
            </a:rPr>
            <a:t> show projected RECs delivered beginning with the 2021 ABP Reopening, and Spring 2022 Utility Scale and Brownfield procurements through 2040. This data is calculated from the “Total REC Delivery Activities” tab.</a:t>
          </a:r>
          <a:endParaRPr lang="en-US" sz="1400">
            <a:effectLst/>
          </a:endParaRPr>
        </a:p>
        <a:p>
          <a:endParaRPr lang="en-US" sz="1100" b="1" u="sng">
            <a:solidFill>
              <a:schemeClr val="tx1"/>
            </a:solidFill>
            <a:effectLst/>
            <a:latin typeface="+mn-lt"/>
            <a:ea typeface="+mn-ea"/>
            <a:cs typeface="+mn-cs"/>
          </a:endParaRPr>
        </a:p>
        <a:p>
          <a:r>
            <a:rPr lang="en-US" sz="1100" b="1" u="sng">
              <a:solidFill>
                <a:schemeClr val="tx1"/>
              </a:solidFill>
              <a:effectLst/>
              <a:latin typeface="+mn-lt"/>
              <a:ea typeface="+mn-ea"/>
              <a:cs typeface="+mn-cs"/>
            </a:rPr>
            <a:t>Indexed REC</a:t>
          </a:r>
          <a:r>
            <a:rPr lang="en-US" sz="1100" b="1" u="sng" baseline="0">
              <a:solidFill>
                <a:schemeClr val="tx1"/>
              </a:solidFill>
              <a:effectLst/>
              <a:latin typeface="+mn-lt"/>
              <a:ea typeface="+mn-ea"/>
              <a:cs typeface="+mn-cs"/>
            </a:rPr>
            <a:t> Price Calculator</a:t>
          </a:r>
          <a:endParaRPr lang="en-US" sz="1400">
            <a:effectLst/>
          </a:endParaRPr>
        </a:p>
        <a:p>
          <a:r>
            <a:rPr lang="en-US" sz="1100">
              <a:solidFill>
                <a:schemeClr val="tx1"/>
              </a:solidFill>
              <a:effectLst/>
              <a:latin typeface="+mn-lt"/>
              <a:ea typeface="+mn-ea"/>
              <a:cs typeface="+mn-cs"/>
            </a:rPr>
            <a:t>This tab contains the REC price calculations for the Utility Scale Wind, Solar, and Brownfield Indexed RECs.</a:t>
          </a:r>
        </a:p>
        <a:p>
          <a:endParaRPr lang="en-US" sz="1100">
            <a:solidFill>
              <a:schemeClr val="tx1"/>
            </a:solidFill>
            <a:effectLst/>
            <a:latin typeface="+mn-lt"/>
            <a:ea typeface="+mn-ea"/>
            <a:cs typeface="+mn-cs"/>
          </a:endParaRPr>
        </a:p>
        <a:p>
          <a:pPr marL="0" indent="0"/>
          <a:r>
            <a:rPr lang="en-US" sz="1100" b="1" u="sng">
              <a:solidFill>
                <a:schemeClr val="tx1"/>
              </a:solidFill>
              <a:effectLst/>
              <a:latin typeface="+mn-lt"/>
              <a:ea typeface="+mn-ea"/>
              <a:cs typeface="+mn-cs"/>
            </a:rPr>
            <a:t>Legacy Wind-Solar REC Splits</a:t>
          </a:r>
        </a:p>
        <a:p>
          <a:pPr marL="0" indent="0"/>
          <a:r>
            <a:rPr lang="en-US" sz="1100">
              <a:solidFill>
                <a:schemeClr val="tx1"/>
              </a:solidFill>
              <a:effectLst/>
              <a:latin typeface="+mn-lt"/>
              <a:ea typeface="+mn-ea"/>
              <a:cs typeface="+mn-cs"/>
            </a:rPr>
            <a:t>This tab caclulated wind and solar REC amounts from the 2010 LTTPA, 2017-2019 Forward Procurements, Legacy ABP, and ILSFA projects.</a:t>
          </a:r>
        </a:p>
        <a:p>
          <a:endParaRPr lang="en-US" sz="1400">
            <a:effectLst/>
          </a:endParaRPr>
        </a:p>
        <a:p>
          <a:r>
            <a:rPr lang="en-US" sz="1100" b="1" u="sng">
              <a:solidFill>
                <a:schemeClr val="tx1"/>
              </a:solidFill>
              <a:effectLst/>
              <a:latin typeface="+mn-lt"/>
              <a:ea typeface="+mn-ea"/>
              <a:cs typeface="+mn-cs"/>
            </a:rPr>
            <a:t>Total REC Spend Activities</a:t>
          </a:r>
          <a:endParaRPr lang="en-US" sz="1400">
            <a:effectLst/>
          </a:endParaRPr>
        </a:p>
        <a:p>
          <a:r>
            <a:rPr lang="en-US" sz="1100">
              <a:solidFill>
                <a:schemeClr val="tx1"/>
              </a:solidFill>
              <a:effectLst/>
              <a:latin typeface="+mn-lt"/>
              <a:ea typeface="+mn-ea"/>
              <a:cs typeface="+mn-cs"/>
            </a:rPr>
            <a:t>This tab contains tables showing the spend created each year by new ABP opening, Utility Wind, Utility Solar and Brownfield Procurements. The separate tables are combined at the bottom of the tab to show the Total Combined Spend. This data comes from the “Summary” tabs of this worksheet.</a:t>
          </a:r>
          <a:endParaRPr lang="en-US" sz="1400">
            <a:effectLst/>
          </a:endParaRPr>
        </a:p>
        <a:p>
          <a:r>
            <a:rPr lang="en-US" sz="1100" b="1">
              <a:solidFill>
                <a:schemeClr val="tx1"/>
              </a:solidFill>
              <a:effectLst/>
              <a:latin typeface="+mn-lt"/>
              <a:ea typeface="+mn-ea"/>
              <a:cs typeface="+mn-cs"/>
            </a:rPr>
            <a:t> </a:t>
          </a:r>
          <a:endParaRPr lang="en-US" sz="1400">
            <a:effectLst/>
          </a:endParaRPr>
        </a:p>
        <a:p>
          <a:r>
            <a:rPr lang="en-US" sz="1100" b="1" u="sng">
              <a:solidFill>
                <a:schemeClr val="tx1"/>
              </a:solidFill>
              <a:effectLst/>
              <a:latin typeface="+mn-lt"/>
              <a:ea typeface="+mn-ea"/>
              <a:cs typeface="+mn-cs"/>
            </a:rPr>
            <a:t>Total REC Delivery Activities</a:t>
          </a:r>
          <a:endParaRPr lang="en-US" sz="1400">
            <a:effectLst/>
          </a:endParaRPr>
        </a:p>
        <a:p>
          <a:r>
            <a:rPr lang="en-US" sz="1100">
              <a:solidFill>
                <a:schemeClr val="tx1"/>
              </a:solidFill>
              <a:effectLst/>
              <a:latin typeface="+mn-lt"/>
              <a:ea typeface="+mn-ea"/>
              <a:cs typeface="+mn-cs"/>
            </a:rPr>
            <a:t>This tab contains tables showing the REC Delivery Schedule created by each year’s new ABP opening, Utility Wind, Utility Solar and Brownfield Procurement. The separate tables are combined at the bottom of the tab to show the Total Combined RECs. This data comes from the “Summary” tabs of this worksheet.</a:t>
          </a:r>
          <a:endParaRPr lang="en-US" sz="1400">
            <a:effectLst/>
          </a:endParaRPr>
        </a:p>
        <a:p>
          <a:endParaRPr lang="en-US" sz="1100" b="1" u="sng">
            <a:solidFill>
              <a:schemeClr val="tx1"/>
            </a:solidFill>
            <a:effectLst/>
            <a:latin typeface="+mn-lt"/>
            <a:ea typeface="+mn-ea"/>
            <a:cs typeface="+mn-cs"/>
          </a:endParaRPr>
        </a:p>
        <a:p>
          <a:r>
            <a:rPr lang="en-US" sz="1100" b="1" u="sng">
              <a:solidFill>
                <a:schemeClr val="tx1"/>
              </a:solidFill>
              <a:effectLst/>
              <a:latin typeface="+mn-lt"/>
              <a:ea typeface="+mn-ea"/>
              <a:cs typeface="+mn-cs"/>
            </a:rPr>
            <a:t>Reopening Assumptions</a:t>
          </a:r>
          <a:endParaRPr lang="en-US">
            <a:effectLst/>
          </a:endParaRPr>
        </a:p>
        <a:p>
          <a:r>
            <a:rPr lang="en-US" sz="1100">
              <a:solidFill>
                <a:schemeClr val="tx1"/>
              </a:solidFill>
              <a:effectLst/>
              <a:latin typeface="+mn-lt"/>
              <a:ea typeface="+mn-ea"/>
              <a:cs typeface="+mn-cs"/>
            </a:rPr>
            <a:t>This tab contains assumptions used as inputs to model the 2021 ABP Reopening, and the Spring 2022 Utility Wind, Utility Solar and Brownfield Procurements. The Tables included show the 2021 ABP Reopening Block Sizes, Capacity Factors, REC Prices, REC Degradation over time, and Delivery Year Job Training expenditures. There is also a table for the Spring 2022 Procurement volumes. These are activities that occur prior to the approval of the 2022 Long-Term Plan.</a:t>
          </a:r>
        </a:p>
        <a:p>
          <a:endParaRPr lang="en-US" sz="1100" b="1" u="sng">
            <a:solidFill>
              <a:schemeClr val="tx1"/>
            </a:solidFill>
            <a:effectLst/>
            <a:latin typeface="+mn-lt"/>
            <a:ea typeface="+mn-ea"/>
            <a:cs typeface="+mn-cs"/>
          </a:endParaRPr>
        </a:p>
        <a:p>
          <a:r>
            <a:rPr lang="en-US" sz="1100" b="1" u="sng">
              <a:solidFill>
                <a:schemeClr val="tx1"/>
              </a:solidFill>
              <a:effectLst/>
              <a:latin typeface="+mn-lt"/>
              <a:ea typeface="+mn-ea"/>
              <a:cs typeface="+mn-cs"/>
            </a:rPr>
            <a:t>Reopening Activities</a:t>
          </a:r>
          <a:endParaRPr lang="en-US">
            <a:effectLst/>
          </a:endParaRPr>
        </a:p>
        <a:p>
          <a:r>
            <a:rPr lang="en-US" sz="1100">
              <a:solidFill>
                <a:schemeClr val="tx1"/>
              </a:solidFill>
              <a:effectLst/>
              <a:latin typeface="+mn-lt"/>
              <a:ea typeface="+mn-ea"/>
              <a:cs typeface="+mn-cs"/>
            </a:rPr>
            <a:t>This tab contains two tables that model the delivery of RECs from the 2021 ABP Reopening and Spring 2022 Utility Wind, Utility Solar and Brownfield Procurements and their associated spending. These table uses inputs from the “Reopening Assumptions” tab (including REC Degradation Rate and REC Price). </a:t>
          </a:r>
          <a:endParaRPr lang="en-US">
            <a:effectLst/>
          </a:endParaRPr>
        </a:p>
        <a:p>
          <a:endParaRPr lang="en-US" sz="1100" b="1" u="sng">
            <a:solidFill>
              <a:schemeClr val="tx1"/>
            </a:solidFill>
            <a:effectLst/>
            <a:latin typeface="+mn-lt"/>
            <a:ea typeface="+mn-ea"/>
            <a:cs typeface="+mn-cs"/>
          </a:endParaRPr>
        </a:p>
        <a:p>
          <a:endParaRPr lang="en-US" sz="1100" b="1" u="sng">
            <a:solidFill>
              <a:schemeClr val="tx1"/>
            </a:solidFill>
            <a:effectLst/>
            <a:latin typeface="+mn-lt"/>
            <a:ea typeface="+mn-ea"/>
            <a:cs typeface="+mn-cs"/>
          </a:endParaRPr>
        </a:p>
        <a:p>
          <a:r>
            <a:rPr lang="en-US" sz="1100" b="1" u="sng">
              <a:solidFill>
                <a:schemeClr val="tx1"/>
              </a:solidFill>
              <a:effectLst/>
              <a:latin typeface="+mn-lt"/>
              <a:ea typeface="+mn-ea"/>
              <a:cs typeface="+mn-cs"/>
            </a:rPr>
            <a:t>DY 22 &amp; DY 23 Assumptions</a:t>
          </a:r>
          <a:endParaRPr lang="en-US" sz="1400">
            <a:effectLst/>
          </a:endParaRPr>
        </a:p>
        <a:p>
          <a:r>
            <a:rPr lang="en-US" sz="1100">
              <a:solidFill>
                <a:schemeClr val="tx1"/>
              </a:solidFill>
              <a:effectLst/>
              <a:latin typeface="+mn-lt"/>
              <a:ea typeface="+mn-ea"/>
              <a:cs typeface="+mn-cs"/>
            </a:rPr>
            <a:t>This tab contains assumptions used as inputs to model Delivery Years 2022 and 2023 ABP Block Sizes, Capacity Factors, REC Prices, REC Degradation Rate, and REC Price Annual Decrease. It also includes the planned Delivery Year 2022 and 2023 Utility Wind, Utility Solar and Brownfield Procurement volumes. These are the outputs of the program and procurement activities contained in the 2022 Long-Term Plan.</a:t>
          </a:r>
          <a:endParaRPr lang="en-US" sz="1400">
            <a:effectLst/>
          </a:endParaRPr>
        </a:p>
        <a:p>
          <a:r>
            <a:rPr lang="en-US" sz="1100">
              <a:solidFill>
                <a:schemeClr val="tx1"/>
              </a:solidFill>
              <a:effectLst/>
              <a:latin typeface="+mn-lt"/>
              <a:ea typeface="+mn-ea"/>
              <a:cs typeface="+mn-cs"/>
            </a:rPr>
            <a:t> </a:t>
          </a:r>
          <a:endParaRPr lang="en-US" sz="1400">
            <a:effectLst/>
          </a:endParaRPr>
        </a:p>
        <a:p>
          <a:r>
            <a:rPr lang="en-US" sz="1100" b="1" u="sng">
              <a:solidFill>
                <a:schemeClr val="tx1"/>
              </a:solidFill>
              <a:effectLst/>
              <a:latin typeface="+mn-lt"/>
              <a:ea typeface="+mn-ea"/>
              <a:cs typeface="+mn-cs"/>
            </a:rPr>
            <a:t>Future Plan Assumptions</a:t>
          </a:r>
          <a:endParaRPr lang="en-US" sz="1400">
            <a:effectLst/>
          </a:endParaRPr>
        </a:p>
        <a:p>
          <a:r>
            <a:rPr lang="en-US" sz="1100">
              <a:solidFill>
                <a:schemeClr val="tx1"/>
              </a:solidFill>
              <a:effectLst/>
              <a:latin typeface="+mn-lt"/>
              <a:ea typeface="+mn-ea"/>
              <a:cs typeface="+mn-cs"/>
            </a:rPr>
            <a:t>This tab contains assumptions used as inputs to model Delivery Years 2024 through 2040 ABP Block Sizes, Capacity Factors, REC Prices, REC Degradation Rate, and REC Price Annual Decrease. It also includes the Delivery 2024 through 2040 Utility Wind, Utility Solar and Brownfield Procurement volumes. The volume of these future activities and future ABP REC prices will be determined in future Long-Term Plan.</a:t>
          </a:r>
          <a:endParaRPr lang="en-US" sz="1400">
            <a:effectLst/>
          </a:endParaRPr>
        </a:p>
        <a:p>
          <a:r>
            <a:rPr lang="en-US" sz="1100" b="1">
              <a:solidFill>
                <a:schemeClr val="tx1"/>
              </a:solidFill>
              <a:effectLst/>
              <a:latin typeface="+mn-lt"/>
              <a:ea typeface="+mn-ea"/>
              <a:cs typeface="+mn-cs"/>
            </a:rPr>
            <a:t> </a:t>
          </a:r>
          <a:endParaRPr lang="en-US" sz="1400">
            <a:effectLst/>
          </a:endParaRPr>
        </a:p>
        <a:p>
          <a:r>
            <a:rPr lang="en-US" sz="1100" b="1" u="sng">
              <a:solidFill>
                <a:schemeClr val="tx1"/>
              </a:solidFill>
              <a:effectLst/>
              <a:latin typeface="+mn-lt"/>
              <a:ea typeface="+mn-ea"/>
              <a:cs typeface="+mn-cs"/>
            </a:rPr>
            <a:t>Collections and ACP</a:t>
          </a:r>
          <a:endParaRPr lang="en-US" sz="1400">
            <a:effectLst/>
          </a:endParaRPr>
        </a:p>
        <a:p>
          <a:r>
            <a:rPr lang="en-US" sz="1100">
              <a:solidFill>
                <a:schemeClr val="tx1"/>
              </a:solidFill>
              <a:effectLst/>
              <a:latin typeface="+mn-lt"/>
              <a:ea typeface="+mn-ea"/>
              <a:cs typeface="+mn-cs"/>
            </a:rPr>
            <a:t>This tab contains tables that show the Total Applicable Reference Year Delivered Volumes provided by each Utility, the RPS Rate Cap cost per MWh determined in law and the resulting Delivery Year RPS Budget. This tab also includes tables showing Net Available ACPs for each Utility as of January 2022, and the annual Delivery Year RPS Utility balance.</a:t>
          </a:r>
          <a:endParaRPr lang="en-US" sz="1400">
            <a:effectLst/>
          </a:endParaRPr>
        </a:p>
        <a:p>
          <a:r>
            <a:rPr lang="en-US" sz="1100">
              <a:solidFill>
                <a:schemeClr val="tx1"/>
              </a:solidFill>
              <a:effectLst/>
              <a:latin typeface="+mn-lt"/>
              <a:ea typeface="+mn-ea"/>
              <a:cs typeface="+mn-cs"/>
            </a:rPr>
            <a:t> </a:t>
          </a:r>
          <a:endParaRPr lang="en-US" sz="1400">
            <a:effectLst/>
          </a:endParaRPr>
        </a:p>
        <a:p>
          <a:r>
            <a:rPr lang="en-US" sz="1100" b="1">
              <a:solidFill>
                <a:schemeClr val="tx1"/>
              </a:solidFill>
              <a:effectLst/>
              <a:latin typeface="+mn-lt"/>
              <a:ea typeface="+mn-ea"/>
              <a:cs typeface="+mn-cs"/>
            </a:rPr>
            <a:t> </a:t>
          </a:r>
          <a:endParaRPr lang="en-US" sz="1400">
            <a:effectLst/>
          </a:endParaRPr>
        </a:p>
        <a:p>
          <a:r>
            <a:rPr lang="en-US" sz="1100" b="1" u="sng">
              <a:solidFill>
                <a:schemeClr val="tx1"/>
              </a:solidFill>
              <a:effectLst/>
              <a:latin typeface="+mn-lt"/>
              <a:ea typeface="+mn-ea"/>
              <a:cs typeface="+mn-cs"/>
            </a:rPr>
            <a:t>Appendix</a:t>
          </a:r>
          <a:endParaRPr lang="en-US" sz="1400">
            <a:effectLst/>
          </a:endParaRPr>
        </a:p>
        <a:p>
          <a:r>
            <a:rPr lang="en-US" sz="1100">
              <a:solidFill>
                <a:schemeClr val="tx1"/>
              </a:solidFill>
              <a:effectLst/>
              <a:latin typeface="+mn-lt"/>
              <a:ea typeface="+mn-ea"/>
              <a:cs typeface="+mn-cs"/>
            </a:rPr>
            <a:t>This tab is used for tables contained in Appendix B1 . It includes the summary tables from the “Collections” Tab, “RPS Spend Model” Tab, and “REC Delivery Model” Tab. </a:t>
          </a:r>
          <a:endParaRPr lang="en-US" sz="1400">
            <a:effectLst/>
          </a:endParaRPr>
        </a:p>
        <a:p>
          <a:r>
            <a:rPr lang="en-US" sz="1100">
              <a:solidFill>
                <a:schemeClr val="tx1"/>
              </a:solidFill>
              <a:effectLst/>
              <a:latin typeface="+mn-lt"/>
              <a:ea typeface="+mn-ea"/>
              <a:cs typeface="+mn-cs"/>
            </a:rPr>
            <a:t>  </a:t>
          </a:r>
          <a:endParaRPr lang="en-US" sz="1400">
            <a:effectLst/>
          </a:endParaRPr>
        </a:p>
        <a:p>
          <a:r>
            <a:rPr lang="en-US" sz="1100" b="1" u="sng">
              <a:solidFill>
                <a:schemeClr val="tx1"/>
              </a:solidFill>
              <a:effectLst/>
              <a:latin typeface="+mn-lt"/>
              <a:ea typeface="+mn-ea"/>
              <a:cs typeface="+mn-cs"/>
            </a:rPr>
            <a:t>Delivery Tables and Graphs</a:t>
          </a:r>
          <a:endParaRPr lang="en-US" sz="1400">
            <a:effectLst/>
          </a:endParaRPr>
        </a:p>
        <a:p>
          <a:r>
            <a:rPr lang="en-US" sz="1100">
              <a:solidFill>
                <a:schemeClr val="tx1"/>
              </a:solidFill>
              <a:effectLst/>
              <a:latin typeface="+mn-lt"/>
              <a:ea typeface="+mn-ea"/>
              <a:cs typeface="+mn-cs"/>
            </a:rPr>
            <a:t>	This tab contains the delivery schedules for ABP and Non-ABP RECs that are under contract, and ABP, Utility Wind, Utility Solar and Brownfield RECs beginning with the 2021 ABP Reopening and Spring 2022 Procurement. This data is calculated from the “REC Delivery Model” Tab.</a:t>
          </a:r>
          <a:endParaRPr lang="en-US" sz="1400">
            <a:effectLst/>
          </a:endParaRPr>
        </a:p>
        <a:p>
          <a:r>
            <a:rPr lang="en-US" sz="1100">
              <a:solidFill>
                <a:schemeClr val="tx1"/>
              </a:solidFill>
              <a:effectLst/>
              <a:latin typeface="+mn-lt"/>
              <a:ea typeface="+mn-ea"/>
              <a:cs typeface="+mn-cs"/>
            </a:rPr>
            <a:t> </a:t>
          </a:r>
          <a:endParaRPr lang="en-US" sz="1400">
            <a:effectLst/>
          </a:endParaRPr>
        </a:p>
        <a:p>
          <a:r>
            <a:rPr lang="en-US" sz="1100">
              <a:solidFill>
                <a:schemeClr val="tx1"/>
              </a:solidFill>
              <a:effectLst/>
              <a:latin typeface="+mn-lt"/>
              <a:ea typeface="+mn-ea"/>
              <a:cs typeface="+mn-cs"/>
            </a:rPr>
            <a:t>	</a:t>
          </a:r>
          <a:endParaRPr lang="en-US" sz="1400">
            <a:effectLst/>
          </a:endParaRPr>
        </a:p>
        <a:p>
          <a:r>
            <a:rPr lang="en-US" sz="1100" u="sng">
              <a:solidFill>
                <a:schemeClr val="tx1"/>
              </a:solidFill>
              <a:effectLst/>
              <a:latin typeface="+mn-lt"/>
              <a:ea typeface="+mn-ea"/>
              <a:cs typeface="+mn-cs"/>
            </a:rPr>
            <a:t>REC Delivery Schedule</a:t>
          </a:r>
          <a:endParaRPr lang="en-US" sz="1400">
            <a:effectLst/>
          </a:endParaRPr>
        </a:p>
        <a:p>
          <a:r>
            <a:rPr lang="en-US" sz="1100">
              <a:solidFill>
                <a:schemeClr val="tx1"/>
              </a:solidFill>
              <a:effectLst/>
              <a:latin typeface="+mn-lt"/>
              <a:ea typeface="+mn-ea"/>
              <a:cs typeface="+mn-cs"/>
            </a:rPr>
            <a:t>Column B shows the ABP Project type and size, and Utility Wind, Utility Solar and Brownfield.</a:t>
          </a:r>
          <a:endParaRPr lang="en-US" sz="1400">
            <a:effectLst/>
          </a:endParaRPr>
        </a:p>
        <a:p>
          <a:r>
            <a:rPr lang="en-US" sz="1100">
              <a:solidFill>
                <a:schemeClr val="tx1"/>
              </a:solidFill>
              <a:effectLst/>
              <a:latin typeface="+mn-lt"/>
              <a:ea typeface="+mn-ea"/>
              <a:cs typeface="+mn-cs"/>
            </a:rPr>
            <a:t>Column C shows the ABP Reopening and Spring 2022 Procurement kW size.</a:t>
          </a:r>
          <a:endParaRPr lang="en-US" sz="1400">
            <a:effectLst/>
          </a:endParaRPr>
        </a:p>
        <a:p>
          <a:r>
            <a:rPr lang="en-US" sz="1100">
              <a:solidFill>
                <a:schemeClr val="tx1"/>
              </a:solidFill>
              <a:effectLst/>
              <a:latin typeface="+mn-lt"/>
              <a:ea typeface="+mn-ea"/>
              <a:cs typeface="+mn-cs"/>
            </a:rPr>
            <a:t>Column D shows the Capacity Factor.</a:t>
          </a:r>
          <a:endParaRPr lang="en-US" sz="1400">
            <a:effectLst/>
          </a:endParaRPr>
        </a:p>
        <a:p>
          <a:r>
            <a:rPr lang="en-US" sz="1100">
              <a:solidFill>
                <a:schemeClr val="tx1"/>
              </a:solidFill>
              <a:effectLst/>
              <a:latin typeface="+mn-lt"/>
              <a:ea typeface="+mn-ea"/>
              <a:cs typeface="+mn-cs"/>
            </a:rPr>
            <a:t>Column E shows how many RECs are expected to be delivered.</a:t>
          </a:r>
          <a:endParaRPr lang="en-US" sz="1400">
            <a:effectLst/>
          </a:endParaRPr>
        </a:p>
        <a:p>
          <a:r>
            <a:rPr lang="en-US" sz="1100">
              <a:solidFill>
                <a:schemeClr val="tx1"/>
              </a:solidFill>
              <a:effectLst/>
              <a:latin typeface="+mn-lt"/>
              <a:ea typeface="+mn-ea"/>
              <a:cs typeface="+mn-cs"/>
            </a:rPr>
            <a:t>Columns F through Z show how RECs delivered a predetermined number of years by multiplying kW (Column C) x Capacity Factor (Column D) x Number of hours in a year x REC Degradation Rate </a:t>
          </a:r>
          <a:endParaRPr lang="en-US" sz="1400">
            <a:effectLst/>
          </a:endParaRPr>
        </a:p>
        <a:p>
          <a:r>
            <a:rPr lang="en-US" sz="1100" u="sng">
              <a:solidFill>
                <a:schemeClr val="tx1"/>
              </a:solidFill>
              <a:effectLst/>
              <a:latin typeface="+mn-lt"/>
              <a:ea typeface="+mn-ea"/>
              <a:cs typeface="+mn-cs"/>
            </a:rPr>
            <a:t>REC Payment Schedule</a:t>
          </a:r>
          <a:endParaRPr lang="en-US" sz="1400">
            <a:effectLst/>
          </a:endParaRPr>
        </a:p>
        <a:p>
          <a:r>
            <a:rPr lang="en-US" sz="1100">
              <a:solidFill>
                <a:schemeClr val="tx1"/>
              </a:solidFill>
              <a:effectLst/>
              <a:latin typeface="+mn-lt"/>
              <a:ea typeface="+mn-ea"/>
              <a:cs typeface="+mn-cs"/>
            </a:rPr>
            <a:t>Column B shows the ABP Project type and size, and Utility Wind, Utility Solar and Brownfield.</a:t>
          </a:r>
          <a:endParaRPr lang="en-US" sz="1400">
            <a:effectLst/>
          </a:endParaRPr>
        </a:p>
        <a:p>
          <a:r>
            <a:rPr lang="en-US" sz="1100">
              <a:solidFill>
                <a:schemeClr val="tx1"/>
              </a:solidFill>
              <a:effectLst/>
              <a:latin typeface="+mn-lt"/>
              <a:ea typeface="+mn-ea"/>
              <a:cs typeface="+mn-cs"/>
            </a:rPr>
            <a:t>Column C shows the ABP Reopening and Spring 2022 Procurement kW size.</a:t>
          </a:r>
          <a:endParaRPr lang="en-US" sz="1400">
            <a:effectLst/>
          </a:endParaRPr>
        </a:p>
        <a:p>
          <a:r>
            <a:rPr lang="en-US" sz="1100">
              <a:solidFill>
                <a:schemeClr val="tx1"/>
              </a:solidFill>
              <a:effectLst/>
              <a:latin typeface="+mn-lt"/>
              <a:ea typeface="+mn-ea"/>
              <a:cs typeface="+mn-cs"/>
            </a:rPr>
            <a:t>Column D shows the REC Price.</a:t>
          </a:r>
          <a:endParaRPr lang="en-US" sz="1400">
            <a:effectLst/>
          </a:endParaRPr>
        </a:p>
        <a:p>
          <a:r>
            <a:rPr lang="en-US" sz="1100">
              <a:solidFill>
                <a:schemeClr val="tx1"/>
              </a:solidFill>
              <a:effectLst/>
              <a:latin typeface="+mn-lt"/>
              <a:ea typeface="+mn-ea"/>
              <a:cs typeface="+mn-cs"/>
            </a:rPr>
            <a:t>Columns F through Z show the RECs delivered in the REC Delivery Table multiplied by their REC Price, producing a REC Payment Schedule.</a:t>
          </a:r>
          <a:endParaRPr lang="en-US" sz="1400">
            <a:effectLst/>
          </a:endParaRPr>
        </a:p>
        <a:p>
          <a:r>
            <a:rPr lang="en-US" sz="1100" b="1">
              <a:solidFill>
                <a:schemeClr val="tx1"/>
              </a:solidFill>
              <a:effectLst/>
              <a:latin typeface="+mn-lt"/>
              <a:ea typeface="+mn-ea"/>
              <a:cs typeface="+mn-cs"/>
            </a:rPr>
            <a:t> </a:t>
          </a:r>
          <a:endParaRPr lang="en-US" sz="1400">
            <a:effectLst/>
          </a:endParaRPr>
        </a:p>
        <a:p>
          <a:r>
            <a:rPr lang="en-US" sz="1100" b="1" u="sng">
              <a:solidFill>
                <a:schemeClr val="tx1"/>
              </a:solidFill>
              <a:effectLst/>
              <a:latin typeface="+mn-lt"/>
              <a:ea typeface="+mn-ea"/>
              <a:cs typeface="+mn-cs"/>
            </a:rPr>
            <a:t>Reopening Summary</a:t>
          </a:r>
          <a:endParaRPr lang="en-US" sz="1400">
            <a:effectLst/>
          </a:endParaRPr>
        </a:p>
        <a:p>
          <a:r>
            <a:rPr lang="en-US" sz="1100">
              <a:solidFill>
                <a:schemeClr val="tx1"/>
              </a:solidFill>
              <a:effectLst/>
              <a:latin typeface="+mn-lt"/>
              <a:ea typeface="+mn-ea"/>
              <a:cs typeface="+mn-cs"/>
            </a:rPr>
            <a:t>This tab contains summary information of “Reopening Activities” tab. It includes a table and a graph for the REC Delivery and Spend schedules of the ABP Reopening and Spring 2022 Procurement.</a:t>
          </a:r>
          <a:endParaRPr lang="en-US" sz="1400">
            <a:effectLst/>
          </a:endParaRP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236536</xdr:colOff>
      <xdr:row>108</xdr:row>
      <xdr:rowOff>68265</xdr:rowOff>
    </xdr:from>
    <xdr:to>
      <xdr:col>22</xdr:col>
      <xdr:colOff>404812</xdr:colOff>
      <xdr:row>133</xdr:row>
      <xdr:rowOff>7938</xdr:rowOff>
    </xdr:to>
    <xdr:graphicFrame macro="">
      <xdr:nvGraphicFramePr>
        <xdr:cNvPr id="4" name="Chart 3">
          <a:extLst>
            <a:ext uri="{FF2B5EF4-FFF2-40B4-BE49-F238E27FC236}">
              <a16:creationId xmlns:a16="http://schemas.microsoft.com/office/drawing/2014/main" id="{DFEA18AA-CAF0-47E7-A220-3EBE0EC47E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20638</xdr:colOff>
      <xdr:row>30</xdr:row>
      <xdr:rowOff>102393</xdr:rowOff>
    </xdr:from>
    <xdr:to>
      <xdr:col>28</xdr:col>
      <xdr:colOff>268288</xdr:colOff>
      <xdr:row>43</xdr:row>
      <xdr:rowOff>100012</xdr:rowOff>
    </xdr:to>
    <xdr:graphicFrame macro="">
      <xdr:nvGraphicFramePr>
        <xdr:cNvPr id="3" name="Chart 2">
          <a:extLst>
            <a:ext uri="{FF2B5EF4-FFF2-40B4-BE49-F238E27FC236}">
              <a16:creationId xmlns:a16="http://schemas.microsoft.com/office/drawing/2014/main" id="{E0E428C1-B365-C8F4-C96C-47AC99EE04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1103312</xdr:colOff>
      <xdr:row>3</xdr:row>
      <xdr:rowOff>105568</xdr:rowOff>
    </xdr:from>
    <xdr:to>
      <xdr:col>9</xdr:col>
      <xdr:colOff>981074</xdr:colOff>
      <xdr:row>18</xdr:row>
      <xdr:rowOff>113506</xdr:rowOff>
    </xdr:to>
    <xdr:graphicFrame macro="">
      <xdr:nvGraphicFramePr>
        <xdr:cNvPr id="2" name="Chart 1">
          <a:extLst>
            <a:ext uri="{FF2B5EF4-FFF2-40B4-BE49-F238E27FC236}">
              <a16:creationId xmlns:a16="http://schemas.microsoft.com/office/drawing/2014/main" id="{8685891E-D282-D21D-4576-9C02D387E6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16</xdr:col>
      <xdr:colOff>60325</xdr:colOff>
      <xdr:row>34</xdr:row>
      <xdr:rowOff>177800</xdr:rowOff>
    </xdr:from>
    <xdr:to>
      <xdr:col>24</xdr:col>
      <xdr:colOff>425450</xdr:colOff>
      <xdr:row>49</xdr:row>
      <xdr:rowOff>66675</xdr:rowOff>
    </xdr:to>
    <xdr:graphicFrame macro="">
      <xdr:nvGraphicFramePr>
        <xdr:cNvPr id="2" name="Chart 1">
          <a:extLst>
            <a:ext uri="{FF2B5EF4-FFF2-40B4-BE49-F238E27FC236}">
              <a16:creationId xmlns:a16="http://schemas.microsoft.com/office/drawing/2014/main" id="{C1475073-B84E-4385-B9E5-484C771A4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23</xdr:col>
      <xdr:colOff>254000</xdr:colOff>
      <xdr:row>2</xdr:row>
      <xdr:rowOff>104774</xdr:rowOff>
    </xdr:from>
    <xdr:to>
      <xdr:col>38</xdr:col>
      <xdr:colOff>466725</xdr:colOff>
      <xdr:row>31</xdr:row>
      <xdr:rowOff>180974</xdr:rowOff>
    </xdr:to>
    <xdr:graphicFrame macro="">
      <xdr:nvGraphicFramePr>
        <xdr:cNvPr id="2" name="Chart 1">
          <a:extLst>
            <a:ext uri="{FF2B5EF4-FFF2-40B4-BE49-F238E27FC236}">
              <a16:creationId xmlns:a16="http://schemas.microsoft.com/office/drawing/2014/main" id="{A6E3FC2B-8263-4704-8595-8B0F9EBC3E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228600</xdr:colOff>
      <xdr:row>36</xdr:row>
      <xdr:rowOff>87312</xdr:rowOff>
    </xdr:from>
    <xdr:to>
      <xdr:col>35</xdr:col>
      <xdr:colOff>0</xdr:colOff>
      <xdr:row>51</xdr:row>
      <xdr:rowOff>187325</xdr:rowOff>
    </xdr:to>
    <xdr:graphicFrame macro="">
      <xdr:nvGraphicFramePr>
        <xdr:cNvPr id="3" name="Chart 2">
          <a:extLst>
            <a:ext uri="{FF2B5EF4-FFF2-40B4-BE49-F238E27FC236}">
              <a16:creationId xmlns:a16="http://schemas.microsoft.com/office/drawing/2014/main" id="{802C513A-BC2C-46F2-9DFF-09AE02E4EC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349250</xdr:colOff>
      <xdr:row>58</xdr:row>
      <xdr:rowOff>100011</xdr:rowOff>
    </xdr:from>
    <xdr:to>
      <xdr:col>33</xdr:col>
      <xdr:colOff>311150</xdr:colOff>
      <xdr:row>85</xdr:row>
      <xdr:rowOff>158750</xdr:rowOff>
    </xdr:to>
    <xdr:graphicFrame macro="">
      <xdr:nvGraphicFramePr>
        <xdr:cNvPr id="4" name="Chart 3">
          <a:extLst>
            <a:ext uri="{FF2B5EF4-FFF2-40B4-BE49-F238E27FC236}">
              <a16:creationId xmlns:a16="http://schemas.microsoft.com/office/drawing/2014/main" id="{26F33623-3BAD-4174-8CCE-4D0BDFDF37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346074</xdr:colOff>
      <xdr:row>86</xdr:row>
      <xdr:rowOff>11112</xdr:rowOff>
    </xdr:from>
    <xdr:to>
      <xdr:col>33</xdr:col>
      <xdr:colOff>266700</xdr:colOff>
      <xdr:row>120</xdr:row>
      <xdr:rowOff>57150</xdr:rowOff>
    </xdr:to>
    <xdr:graphicFrame macro="">
      <xdr:nvGraphicFramePr>
        <xdr:cNvPr id="5" name="Chart 4">
          <a:extLst>
            <a:ext uri="{FF2B5EF4-FFF2-40B4-BE49-F238E27FC236}">
              <a16:creationId xmlns:a16="http://schemas.microsoft.com/office/drawing/2014/main" id="{7A2978E1-48B0-4D32-B783-6821B46352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581025</xdr:colOff>
      <xdr:row>3</xdr:row>
      <xdr:rowOff>103186</xdr:rowOff>
    </xdr:from>
    <xdr:to>
      <xdr:col>16</xdr:col>
      <xdr:colOff>133350</xdr:colOff>
      <xdr:row>22</xdr:row>
      <xdr:rowOff>114299</xdr:rowOff>
    </xdr:to>
    <xdr:graphicFrame macro="">
      <xdr:nvGraphicFramePr>
        <xdr:cNvPr id="2" name="Chart 1">
          <a:extLst>
            <a:ext uri="{FF2B5EF4-FFF2-40B4-BE49-F238E27FC236}">
              <a16:creationId xmlns:a16="http://schemas.microsoft.com/office/drawing/2014/main" id="{C08E99E2-9D3B-4D4C-B3AE-10E3511493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225425</xdr:colOff>
      <xdr:row>33</xdr:row>
      <xdr:rowOff>65087</xdr:rowOff>
    </xdr:from>
    <xdr:to>
      <xdr:col>13</xdr:col>
      <xdr:colOff>530225</xdr:colOff>
      <xdr:row>48</xdr:row>
      <xdr:rowOff>87312</xdr:rowOff>
    </xdr:to>
    <xdr:graphicFrame macro="">
      <xdr:nvGraphicFramePr>
        <xdr:cNvPr id="3" name="Chart 2">
          <a:extLst>
            <a:ext uri="{FF2B5EF4-FFF2-40B4-BE49-F238E27FC236}">
              <a16:creationId xmlns:a16="http://schemas.microsoft.com/office/drawing/2014/main" id="{9D9B4195-4005-4FBE-A691-0F34A5CE77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387350</xdr:colOff>
      <xdr:row>62</xdr:row>
      <xdr:rowOff>96837</xdr:rowOff>
    </xdr:from>
    <xdr:to>
      <xdr:col>14</xdr:col>
      <xdr:colOff>82550</xdr:colOff>
      <xdr:row>77</xdr:row>
      <xdr:rowOff>112712</xdr:rowOff>
    </xdr:to>
    <xdr:graphicFrame macro="">
      <xdr:nvGraphicFramePr>
        <xdr:cNvPr id="4" name="Chart 3">
          <a:extLst>
            <a:ext uri="{FF2B5EF4-FFF2-40B4-BE49-F238E27FC236}">
              <a16:creationId xmlns:a16="http://schemas.microsoft.com/office/drawing/2014/main" id="{8A9EE7CA-498B-4EDA-8474-248BE81B3F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523875</xdr:colOff>
      <xdr:row>89</xdr:row>
      <xdr:rowOff>93662</xdr:rowOff>
    </xdr:from>
    <xdr:to>
      <xdr:col>14</xdr:col>
      <xdr:colOff>219075</xdr:colOff>
      <xdr:row>104</xdr:row>
      <xdr:rowOff>115887</xdr:rowOff>
    </xdr:to>
    <xdr:graphicFrame macro="">
      <xdr:nvGraphicFramePr>
        <xdr:cNvPr id="5" name="Chart 4">
          <a:extLst>
            <a:ext uri="{FF2B5EF4-FFF2-40B4-BE49-F238E27FC236}">
              <a16:creationId xmlns:a16="http://schemas.microsoft.com/office/drawing/2014/main" id="{D49D9F61-5C9F-423A-BB52-3C3FD412A9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336550</xdr:colOff>
      <xdr:row>13</xdr:row>
      <xdr:rowOff>153987</xdr:rowOff>
    </xdr:from>
    <xdr:to>
      <xdr:col>8</xdr:col>
      <xdr:colOff>79375</xdr:colOff>
      <xdr:row>29</xdr:row>
      <xdr:rowOff>1587</xdr:rowOff>
    </xdr:to>
    <xdr:graphicFrame macro="">
      <xdr:nvGraphicFramePr>
        <xdr:cNvPr id="4" name="Chart 3">
          <a:extLst>
            <a:ext uri="{FF2B5EF4-FFF2-40B4-BE49-F238E27FC236}">
              <a16:creationId xmlns:a16="http://schemas.microsoft.com/office/drawing/2014/main" id="{184E1C7B-9065-4107-9147-187C8F5FE1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361950</xdr:colOff>
      <xdr:row>14</xdr:row>
      <xdr:rowOff>7937</xdr:rowOff>
    </xdr:from>
    <xdr:to>
      <xdr:col>17</xdr:col>
      <xdr:colOff>523875</xdr:colOff>
      <xdr:row>29</xdr:row>
      <xdr:rowOff>23812</xdr:rowOff>
    </xdr:to>
    <xdr:graphicFrame macro="">
      <xdr:nvGraphicFramePr>
        <xdr:cNvPr id="5" name="Chart 4">
          <a:extLst>
            <a:ext uri="{FF2B5EF4-FFF2-40B4-BE49-F238E27FC236}">
              <a16:creationId xmlns:a16="http://schemas.microsoft.com/office/drawing/2014/main" id="{21F3CF3E-8A3C-4953-AAB6-5093858DD2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796925</xdr:colOff>
      <xdr:row>13</xdr:row>
      <xdr:rowOff>179387</xdr:rowOff>
    </xdr:from>
    <xdr:to>
      <xdr:col>5</xdr:col>
      <xdr:colOff>25400</xdr:colOff>
      <xdr:row>29</xdr:row>
      <xdr:rowOff>20637</xdr:rowOff>
    </xdr:to>
    <xdr:graphicFrame macro="">
      <xdr:nvGraphicFramePr>
        <xdr:cNvPr id="4" name="Chart 3">
          <a:extLst>
            <a:ext uri="{FF2B5EF4-FFF2-40B4-BE49-F238E27FC236}">
              <a16:creationId xmlns:a16="http://schemas.microsoft.com/office/drawing/2014/main" id="{F017B8ED-86ED-4B1F-9802-9848838BF9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650875</xdr:colOff>
      <xdr:row>14</xdr:row>
      <xdr:rowOff>20637</xdr:rowOff>
    </xdr:from>
    <xdr:to>
      <xdr:col>17</xdr:col>
      <xdr:colOff>708025</xdr:colOff>
      <xdr:row>29</xdr:row>
      <xdr:rowOff>42862</xdr:rowOff>
    </xdr:to>
    <xdr:graphicFrame macro="">
      <xdr:nvGraphicFramePr>
        <xdr:cNvPr id="5" name="Chart 4">
          <a:extLst>
            <a:ext uri="{FF2B5EF4-FFF2-40B4-BE49-F238E27FC236}">
              <a16:creationId xmlns:a16="http://schemas.microsoft.com/office/drawing/2014/main" id="{D2258DF1-6CD7-4435-9C41-D8A9DF04CB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720725</xdr:colOff>
      <xdr:row>14</xdr:row>
      <xdr:rowOff>84137</xdr:rowOff>
    </xdr:from>
    <xdr:to>
      <xdr:col>4</xdr:col>
      <xdr:colOff>701675</xdr:colOff>
      <xdr:row>29</xdr:row>
      <xdr:rowOff>106362</xdr:rowOff>
    </xdr:to>
    <xdr:graphicFrame macro="">
      <xdr:nvGraphicFramePr>
        <xdr:cNvPr id="4" name="Chart 3">
          <a:extLst>
            <a:ext uri="{FF2B5EF4-FFF2-40B4-BE49-F238E27FC236}">
              <a16:creationId xmlns:a16="http://schemas.microsoft.com/office/drawing/2014/main" id="{CDDAB2A7-50E2-4872-95D7-E810AC0A29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563562</xdr:colOff>
      <xdr:row>13</xdr:row>
      <xdr:rowOff>160337</xdr:rowOff>
    </xdr:from>
    <xdr:to>
      <xdr:col>18</xdr:col>
      <xdr:colOff>620712</xdr:colOff>
      <xdr:row>29</xdr:row>
      <xdr:rowOff>1587</xdr:rowOff>
    </xdr:to>
    <xdr:graphicFrame macro="">
      <xdr:nvGraphicFramePr>
        <xdr:cNvPr id="5" name="Chart 4">
          <a:extLst>
            <a:ext uri="{FF2B5EF4-FFF2-40B4-BE49-F238E27FC236}">
              <a16:creationId xmlns:a16="http://schemas.microsoft.com/office/drawing/2014/main" id="{DE4EC832-D015-4765-BA62-1D9A250EE4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1377950</xdr:colOff>
      <xdr:row>13</xdr:row>
      <xdr:rowOff>134937</xdr:rowOff>
    </xdr:from>
    <xdr:to>
      <xdr:col>4</xdr:col>
      <xdr:colOff>720725</xdr:colOff>
      <xdr:row>28</xdr:row>
      <xdr:rowOff>153987</xdr:rowOff>
    </xdr:to>
    <xdr:graphicFrame macro="">
      <xdr:nvGraphicFramePr>
        <xdr:cNvPr id="4" name="Chart 3">
          <a:extLst>
            <a:ext uri="{FF2B5EF4-FFF2-40B4-BE49-F238E27FC236}">
              <a16:creationId xmlns:a16="http://schemas.microsoft.com/office/drawing/2014/main" id="{12C33882-8160-43FE-A330-D55969B64F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34925</xdr:colOff>
      <xdr:row>13</xdr:row>
      <xdr:rowOff>93662</xdr:rowOff>
    </xdr:from>
    <xdr:to>
      <xdr:col>20</xdr:col>
      <xdr:colOff>835025</xdr:colOff>
      <xdr:row>28</xdr:row>
      <xdr:rowOff>115887</xdr:rowOff>
    </xdr:to>
    <xdr:graphicFrame macro="">
      <xdr:nvGraphicFramePr>
        <xdr:cNvPr id="5" name="Chart 4">
          <a:extLst>
            <a:ext uri="{FF2B5EF4-FFF2-40B4-BE49-F238E27FC236}">
              <a16:creationId xmlns:a16="http://schemas.microsoft.com/office/drawing/2014/main" id="{AF25D2B0-0367-4079-8FC9-53EA776BAB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C5F49-0E6E-40FB-8FC6-0447AC201BAB}">
  <dimension ref="A1"/>
  <sheetViews>
    <sheetView showGridLines="0" tabSelected="1" zoomScaleNormal="100" zoomScaleSheetLayoutView="100" workbookViewId="0">
      <selection activeCell="L33" sqref="L33"/>
    </sheetView>
  </sheetViews>
  <sheetFormatPr defaultRowHeight="14.4" x14ac:dyDescent="0.3"/>
  <cols>
    <col min="13" max="13" width="11.33203125" bestFit="1" customWidth="1"/>
  </cols>
  <sheetData/>
  <printOptions horizontalCentered="1" verticalCentered="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1AF88-D5B8-4FDF-968B-93BFF34FE5BB}">
  <dimension ref="A3:AR264"/>
  <sheetViews>
    <sheetView zoomScaleNormal="100" workbookViewId="0"/>
  </sheetViews>
  <sheetFormatPr defaultRowHeight="14.4" x14ac:dyDescent="0.3"/>
  <cols>
    <col min="1" max="1" width="45.109375" bestFit="1" customWidth="1"/>
    <col min="2" max="2" width="10.77734375" bestFit="1" customWidth="1"/>
    <col min="3" max="6" width="11.77734375" bestFit="1" customWidth="1"/>
    <col min="7" max="7" width="12" bestFit="1" customWidth="1"/>
    <col min="8" max="8" width="12.77734375" bestFit="1" customWidth="1"/>
    <col min="9" max="9" width="12.33203125" bestFit="1" customWidth="1"/>
    <col min="10" max="22" width="12.77734375" bestFit="1" customWidth="1"/>
    <col min="24" max="24" width="10.109375" bestFit="1" customWidth="1"/>
  </cols>
  <sheetData>
    <row r="3" spans="1:22" ht="15.6" x14ac:dyDescent="0.3">
      <c r="A3" s="43" t="s">
        <v>259</v>
      </c>
      <c r="B3" s="2">
        <v>2022</v>
      </c>
      <c r="C3" s="2">
        <f t="shared" ref="C3:V3" si="0">B3+1</f>
        <v>2023</v>
      </c>
      <c r="D3" s="2">
        <f t="shared" si="0"/>
        <v>2024</v>
      </c>
      <c r="E3" s="2">
        <f t="shared" si="0"/>
        <v>2025</v>
      </c>
      <c r="F3" s="2">
        <f t="shared" si="0"/>
        <v>2026</v>
      </c>
      <c r="G3" s="2">
        <f t="shared" si="0"/>
        <v>2027</v>
      </c>
      <c r="H3" s="2">
        <f t="shared" si="0"/>
        <v>2028</v>
      </c>
      <c r="I3" s="2">
        <f t="shared" si="0"/>
        <v>2029</v>
      </c>
      <c r="J3" s="2">
        <f t="shared" si="0"/>
        <v>2030</v>
      </c>
      <c r="K3" s="2">
        <f t="shared" si="0"/>
        <v>2031</v>
      </c>
      <c r="L3" s="2">
        <f t="shared" si="0"/>
        <v>2032</v>
      </c>
      <c r="M3" s="2">
        <f t="shared" si="0"/>
        <v>2033</v>
      </c>
      <c r="N3" s="2">
        <f t="shared" si="0"/>
        <v>2034</v>
      </c>
      <c r="O3" s="2">
        <f t="shared" si="0"/>
        <v>2035</v>
      </c>
      <c r="P3" s="2">
        <f t="shared" si="0"/>
        <v>2036</v>
      </c>
      <c r="Q3" s="2">
        <f t="shared" si="0"/>
        <v>2037</v>
      </c>
      <c r="R3" s="2">
        <f t="shared" si="0"/>
        <v>2038</v>
      </c>
      <c r="S3" s="2">
        <f t="shared" si="0"/>
        <v>2039</v>
      </c>
      <c r="T3" s="2">
        <f t="shared" si="0"/>
        <v>2040</v>
      </c>
      <c r="U3" s="2">
        <f t="shared" si="0"/>
        <v>2041</v>
      </c>
      <c r="V3" s="2">
        <f t="shared" si="0"/>
        <v>2042</v>
      </c>
    </row>
    <row r="4" spans="1:22" x14ac:dyDescent="0.3">
      <c r="A4" s="29" t="s">
        <v>6</v>
      </c>
      <c r="B4" s="10">
        <f>'Reopening Summary'!B2</f>
        <v>141374.73563951999</v>
      </c>
      <c r="C4" s="10">
        <f>'Reopening Summary'!C2</f>
        <v>140667.8619613224</v>
      </c>
      <c r="D4" s="10">
        <f>'Reopening Summary'!D2</f>
        <v>139964.52265151578</v>
      </c>
      <c r="E4" s="10">
        <f>'Reopening Summary'!E2</f>
        <v>139264.70003825822</v>
      </c>
      <c r="F4" s="10">
        <f>'Reopening Summary'!F2</f>
        <v>138568.37653806692</v>
      </c>
      <c r="G4" s="10">
        <f>'Reopening Summary'!G2</f>
        <v>137875.5346553766</v>
      </c>
      <c r="H4" s="10">
        <f>'Reopening Summary'!H2</f>
        <v>137186.1569820997</v>
      </c>
      <c r="I4" s="10">
        <f>'Reopening Summary'!I2</f>
        <v>136500.22619718921</v>
      </c>
      <c r="J4" s="10">
        <f>'Reopening Summary'!J2</f>
        <v>135817.72506620327</v>
      </c>
      <c r="K4" s="10">
        <f>'Reopening Summary'!K2</f>
        <v>135138.63644087224</v>
      </c>
      <c r="L4" s="10">
        <f>'Reopening Summary'!L2</f>
        <v>134462.94325866789</v>
      </c>
      <c r="M4" s="10">
        <f>'Reopening Summary'!M2</f>
        <v>133790.62854237453</v>
      </c>
      <c r="N4" s="10">
        <f>'Reopening Summary'!N2</f>
        <v>133121.67539966266</v>
      </c>
      <c r="O4" s="10">
        <f>'Reopening Summary'!O2</f>
        <v>132456.06702266436</v>
      </c>
      <c r="P4" s="10">
        <f>'Reopening Summary'!P2</f>
        <v>131793.78668755104</v>
      </c>
      <c r="Q4" s="10">
        <f>'Reopening Summary'!Q2</f>
        <v>0</v>
      </c>
      <c r="R4" s="10">
        <f>'Reopening Summary'!R2</f>
        <v>0</v>
      </c>
      <c r="S4" s="10">
        <f>'Reopening Summary'!S2</f>
        <v>0</v>
      </c>
      <c r="T4" s="10">
        <f>'Reopening Summary'!T2</f>
        <v>0</v>
      </c>
      <c r="U4" s="10">
        <f>'Reopening Summary'!U2</f>
        <v>0</v>
      </c>
      <c r="V4" s="10">
        <f>'Reopening Summary'!V2</f>
        <v>0</v>
      </c>
    </row>
    <row r="5" spans="1:22" x14ac:dyDescent="0.3">
      <c r="A5" s="29" t="s">
        <v>12</v>
      </c>
      <c r="B5" s="10">
        <f>'Reopening Summary'!B3</f>
        <v>128595.79450038407</v>
      </c>
      <c r="C5" s="10">
        <f>'Reopening Summary'!C3</f>
        <v>127952.81552788217</v>
      </c>
      <c r="D5" s="10">
        <f>'Reopening Summary'!D3</f>
        <v>127313.05145024274</v>
      </c>
      <c r="E5" s="10">
        <f>'Reopening Summary'!E3</f>
        <v>126676.48619299152</v>
      </c>
      <c r="F5" s="10">
        <f>'Reopening Summary'!F3</f>
        <v>126043.10376202657</v>
      </c>
      <c r="G5" s="10">
        <f>'Reopening Summary'!G3</f>
        <v>125412.88824321644</v>
      </c>
      <c r="H5" s="10">
        <f>'Reopening Summary'!H3</f>
        <v>124785.82380200036</v>
      </c>
      <c r="I5" s="10">
        <f>'Reopening Summary'!I3</f>
        <v>124161.89468299036</v>
      </c>
      <c r="J5" s="10">
        <f>'Reopening Summary'!J3</f>
        <v>123541.08520957539</v>
      </c>
      <c r="K5" s="10">
        <f>'Reopening Summary'!K3</f>
        <v>122923.37978352752</v>
      </c>
      <c r="L5" s="10">
        <f>'Reopening Summary'!L3</f>
        <v>122308.76288460988</v>
      </c>
      <c r="M5" s="10">
        <f>'Reopening Summary'!M3</f>
        <v>121697.21907018684</v>
      </c>
      <c r="N5" s="10">
        <f>'Reopening Summary'!N3</f>
        <v>121088.7329748359</v>
      </c>
      <c r="O5" s="10">
        <f>'Reopening Summary'!O3</f>
        <v>120483.28930996171</v>
      </c>
      <c r="P5" s="10">
        <f>'Reopening Summary'!P3</f>
        <v>119880.8728634119</v>
      </c>
      <c r="Q5" s="10">
        <f>'Reopening Summary'!Q3</f>
        <v>0</v>
      </c>
      <c r="R5" s="10">
        <f>'Reopening Summary'!R3</f>
        <v>0</v>
      </c>
      <c r="S5" s="10">
        <f>'Reopening Summary'!S3</f>
        <v>0</v>
      </c>
      <c r="T5" s="10">
        <f>'Reopening Summary'!T3</f>
        <v>0</v>
      </c>
      <c r="U5" s="10">
        <f>'Reopening Summary'!U3</f>
        <v>0</v>
      </c>
      <c r="V5" s="10">
        <f>'Reopening Summary'!V3</f>
        <v>0</v>
      </c>
    </row>
    <row r="6" spans="1:22" x14ac:dyDescent="0.3">
      <c r="A6" s="29" t="s">
        <v>21</v>
      </c>
      <c r="B6" s="10">
        <f>'Reopening Summary'!B4</f>
        <v>0</v>
      </c>
      <c r="C6" s="10">
        <f>'Reopening Summary'!C4</f>
        <v>370263.3</v>
      </c>
      <c r="D6" s="10">
        <f>'Reopening Summary'!D4</f>
        <v>368411.98349999997</v>
      </c>
      <c r="E6" s="10">
        <f>'Reopening Summary'!E4</f>
        <v>366569.92358249996</v>
      </c>
      <c r="F6" s="10">
        <f>'Reopening Summary'!F4</f>
        <v>364737.07396458747</v>
      </c>
      <c r="G6" s="10">
        <f>'Reopening Summary'!G4</f>
        <v>362913.38859476452</v>
      </c>
      <c r="H6" s="10">
        <f>'Reopening Summary'!H4</f>
        <v>361098.8216517907</v>
      </c>
      <c r="I6" s="10">
        <f>'Reopening Summary'!I4</f>
        <v>359293.32754353178</v>
      </c>
      <c r="J6" s="10">
        <f>'Reopening Summary'!J4</f>
        <v>357496.8609058141</v>
      </c>
      <c r="K6" s="10">
        <f>'Reopening Summary'!K4</f>
        <v>355709.37660128501</v>
      </c>
      <c r="L6" s="10">
        <f>'Reopening Summary'!L4</f>
        <v>353930.8297182786</v>
      </c>
      <c r="M6" s="10">
        <f>'Reopening Summary'!M4</f>
        <v>352161.17556968716</v>
      </c>
      <c r="N6" s="10">
        <f>'Reopening Summary'!N4</f>
        <v>350400.36969183874</v>
      </c>
      <c r="O6" s="10">
        <f>'Reopening Summary'!O4</f>
        <v>348648.36784337956</v>
      </c>
      <c r="P6" s="10">
        <f>'Reopening Summary'!P4</f>
        <v>346905.12600416265</v>
      </c>
      <c r="Q6" s="10">
        <f>'Reopening Summary'!Q4</f>
        <v>345170.60037414182</v>
      </c>
      <c r="R6" s="10">
        <f>'Reopening Summary'!R4</f>
        <v>343444.74737227114</v>
      </c>
      <c r="S6" s="10">
        <f>'Reopening Summary'!S4</f>
        <v>341727.52363540977</v>
      </c>
      <c r="T6" s="10">
        <f>'Reopening Summary'!T4</f>
        <v>340018.88601723273</v>
      </c>
      <c r="U6" s="10">
        <f>'Reopening Summary'!U4</f>
        <v>338318.79158714658</v>
      </c>
      <c r="V6" s="10">
        <f>'Reopening Summary'!V4</f>
        <v>336627.19762921083</v>
      </c>
    </row>
    <row r="7" spans="1:22" x14ac:dyDescent="0.3">
      <c r="A7" s="29" t="s">
        <v>25</v>
      </c>
      <c r="B7" s="10">
        <f>'Reopening Summary'!B5</f>
        <v>962.68457999999987</v>
      </c>
      <c r="C7" s="10">
        <f>'Reopening Summary'!C5</f>
        <v>957.87115709999989</v>
      </c>
      <c r="D7" s="10">
        <f>'Reopening Summary'!D5</f>
        <v>953.0818013144999</v>
      </c>
      <c r="E7" s="10">
        <f>'Reopening Summary'!E5</f>
        <v>948.31639230792734</v>
      </c>
      <c r="F7" s="10">
        <f>'Reopening Summary'!F5</f>
        <v>943.57481034638784</v>
      </c>
      <c r="G7" s="10">
        <f>'Reopening Summary'!G5</f>
        <v>938.85693629465584</v>
      </c>
      <c r="H7" s="10">
        <f>'Reopening Summary'!H5</f>
        <v>934.16265161318245</v>
      </c>
      <c r="I7" s="10">
        <f>'Reopening Summary'!I5</f>
        <v>929.49183835511656</v>
      </c>
      <c r="J7" s="10">
        <f>'Reopening Summary'!J5</f>
        <v>924.84437916334093</v>
      </c>
      <c r="K7" s="10">
        <f>'Reopening Summary'!K5</f>
        <v>920.22015726752431</v>
      </c>
      <c r="L7" s="10">
        <f>'Reopening Summary'!L5</f>
        <v>915.61905648118682</v>
      </c>
      <c r="M7" s="10">
        <f>'Reopening Summary'!M5</f>
        <v>911.04096119878079</v>
      </c>
      <c r="N7" s="10">
        <f>'Reopening Summary'!N5</f>
        <v>906.48575639278693</v>
      </c>
      <c r="O7" s="10">
        <f>'Reopening Summary'!O5</f>
        <v>901.95332761082295</v>
      </c>
      <c r="P7" s="10">
        <f>'Reopening Summary'!P5</f>
        <v>897.44356097276886</v>
      </c>
      <c r="Q7" s="10">
        <f>'Reopening Summary'!Q5</f>
        <v>892.95634316790506</v>
      </c>
      <c r="R7" s="10">
        <f>'Reopening Summary'!R5</f>
        <v>888.49156145206541</v>
      </c>
      <c r="S7" s="10">
        <f>'Reopening Summary'!S5</f>
        <v>884.04910364480509</v>
      </c>
      <c r="T7" s="10">
        <f>'Reopening Summary'!T5</f>
        <v>879.62885812658124</v>
      </c>
      <c r="U7" s="10">
        <f>'Reopening Summary'!U5</f>
        <v>875.23071383594834</v>
      </c>
      <c r="V7" s="10">
        <f>'Reopening Summary'!V5</f>
        <v>0</v>
      </c>
    </row>
    <row r="8" spans="1:22" x14ac:dyDescent="0.3">
      <c r="A8" s="29" t="s">
        <v>29</v>
      </c>
      <c r="B8" s="10">
        <f>'Reopening Summary'!B6</f>
        <v>0</v>
      </c>
      <c r="C8" s="10">
        <f>'Reopening Summary'!C6</f>
        <v>4443.1596</v>
      </c>
      <c r="D8" s="10">
        <f>'Reopening Summary'!D6</f>
        <v>4420.9438019999998</v>
      </c>
      <c r="E8" s="10">
        <f>'Reopening Summary'!E6</f>
        <v>4398.83908299</v>
      </c>
      <c r="F8" s="10">
        <f>'Reopening Summary'!F6</f>
        <v>4376.8448875750501</v>
      </c>
      <c r="G8" s="10">
        <f>'Reopening Summary'!G6</f>
        <v>4354.9606631371744</v>
      </c>
      <c r="H8" s="10">
        <f>'Reopening Summary'!H6</f>
        <v>4333.1858598214885</v>
      </c>
      <c r="I8" s="10">
        <f>'Reopening Summary'!I6</f>
        <v>4311.5199305223814</v>
      </c>
      <c r="J8" s="10">
        <f>'Reopening Summary'!J6</f>
        <v>4289.9623308697692</v>
      </c>
      <c r="K8" s="10">
        <f>'Reopening Summary'!K6</f>
        <v>4268.5125192154201</v>
      </c>
      <c r="L8" s="10">
        <f>'Reopening Summary'!L6</f>
        <v>4247.1699566193429</v>
      </c>
      <c r="M8" s="10">
        <f>'Reopening Summary'!M6</f>
        <v>4225.9341068362464</v>
      </c>
      <c r="N8" s="10">
        <f>'Reopening Summary'!N6</f>
        <v>4204.8044363020654</v>
      </c>
      <c r="O8" s="10">
        <f>'Reopening Summary'!O6</f>
        <v>4183.7804141205552</v>
      </c>
      <c r="P8" s="10">
        <f>'Reopening Summary'!P6</f>
        <v>4162.8615120499526</v>
      </c>
      <c r="Q8" s="10">
        <f>'Reopening Summary'!Q6</f>
        <v>4142.0472044897024</v>
      </c>
      <c r="R8" s="10">
        <f>'Reopening Summary'!R6</f>
        <v>0</v>
      </c>
      <c r="S8" s="10">
        <f>'Reopening Summary'!S6</f>
        <v>0</v>
      </c>
      <c r="T8" s="10">
        <f>'Reopening Summary'!T6</f>
        <v>0</v>
      </c>
      <c r="U8" s="10">
        <f>'Reopening Summary'!U6</f>
        <v>0</v>
      </c>
      <c r="V8" s="10">
        <f>'Reopening Summary'!V6</f>
        <v>0</v>
      </c>
    </row>
    <row r="9" spans="1:22" x14ac:dyDescent="0.3">
      <c r="A9" s="30" t="s">
        <v>33</v>
      </c>
      <c r="B9" s="10">
        <f>'Reopening Summary'!B7</f>
        <v>0</v>
      </c>
      <c r="C9" s="10">
        <f>'Reopening Summary'!C7</f>
        <v>0</v>
      </c>
      <c r="D9" s="10">
        <f>'Reopening Summary'!D7</f>
        <v>0</v>
      </c>
      <c r="E9" s="10">
        <f>'Reopening Summary'!E7</f>
        <v>0</v>
      </c>
      <c r="F9" s="10">
        <f>'Reopening Summary'!F7</f>
        <v>0</v>
      </c>
      <c r="G9" s="10">
        <f>'Reopening Summary'!G7</f>
        <v>0</v>
      </c>
      <c r="H9" s="10">
        <f>'Reopening Summary'!H7</f>
        <v>0</v>
      </c>
      <c r="I9" s="10">
        <f>'Reopening Summary'!I7</f>
        <v>0</v>
      </c>
      <c r="J9" s="10">
        <f>'Reopening Summary'!J7</f>
        <v>0</v>
      </c>
      <c r="K9" s="10">
        <f>'Reopening Summary'!K7</f>
        <v>0</v>
      </c>
      <c r="L9" s="10">
        <f>'Reopening Summary'!L7</f>
        <v>0</v>
      </c>
      <c r="M9" s="10">
        <f>'Reopening Summary'!M7</f>
        <v>0</v>
      </c>
      <c r="N9" s="10">
        <f>'Reopening Summary'!N7</f>
        <v>0</v>
      </c>
      <c r="O9" s="10">
        <f>'Reopening Summary'!O7</f>
        <v>0</v>
      </c>
      <c r="P9" s="10">
        <f>'Reopening Summary'!P7</f>
        <v>0</v>
      </c>
      <c r="Q9" s="10">
        <f>'Reopening Summary'!Q7</f>
        <v>0</v>
      </c>
      <c r="R9" s="10">
        <f>'Reopening Summary'!R7</f>
        <v>0</v>
      </c>
      <c r="S9" s="10">
        <f>'Reopening Summary'!S7</f>
        <v>0</v>
      </c>
      <c r="T9" s="10">
        <f>'Reopening Summary'!T7</f>
        <v>0</v>
      </c>
      <c r="U9" s="10">
        <f>'Reopening Summary'!U7</f>
        <v>0</v>
      </c>
      <c r="V9" s="10">
        <f>'Reopening Summary'!V7</f>
        <v>0</v>
      </c>
    </row>
    <row r="10" spans="1:22" x14ac:dyDescent="0.3">
      <c r="A10" s="30" t="s">
        <v>40</v>
      </c>
      <c r="B10" s="10">
        <f>'Reopening Summary'!B8</f>
        <v>0</v>
      </c>
      <c r="C10" s="10">
        <f>'Reopening Summary'!C8</f>
        <v>0</v>
      </c>
      <c r="D10" s="10">
        <f>'Reopening Summary'!D8</f>
        <v>0</v>
      </c>
      <c r="E10" s="10">
        <f>'Reopening Summary'!E8</f>
        <v>460000</v>
      </c>
      <c r="F10" s="10">
        <f>'Reopening Summary'!F8</f>
        <v>460000</v>
      </c>
      <c r="G10" s="10">
        <f>'Reopening Summary'!G8</f>
        <v>460000</v>
      </c>
      <c r="H10" s="10">
        <f>'Reopening Summary'!H8</f>
        <v>460000</v>
      </c>
      <c r="I10" s="10">
        <f>'Reopening Summary'!I8</f>
        <v>460000</v>
      </c>
      <c r="J10" s="10">
        <f>'Reopening Summary'!J8</f>
        <v>460000</v>
      </c>
      <c r="K10" s="10">
        <f>'Reopening Summary'!K8</f>
        <v>460000</v>
      </c>
      <c r="L10" s="10">
        <f>'Reopening Summary'!L8</f>
        <v>460000</v>
      </c>
      <c r="M10" s="10">
        <f>'Reopening Summary'!M8</f>
        <v>460000</v>
      </c>
      <c r="N10" s="10">
        <f>'Reopening Summary'!N8</f>
        <v>460000</v>
      </c>
      <c r="O10" s="10">
        <f>'Reopening Summary'!O8</f>
        <v>460000</v>
      </c>
      <c r="P10" s="10">
        <f>'Reopening Summary'!P8</f>
        <v>460000</v>
      </c>
      <c r="Q10" s="10">
        <f>'Reopening Summary'!Q8</f>
        <v>460000</v>
      </c>
      <c r="R10" s="10">
        <f>'Reopening Summary'!R8</f>
        <v>460000</v>
      </c>
      <c r="S10" s="10">
        <f>'Reopening Summary'!S8</f>
        <v>460000</v>
      </c>
      <c r="T10" s="10">
        <f>'Reopening Summary'!T8</f>
        <v>460000</v>
      </c>
      <c r="U10" s="10">
        <f>'Reopening Summary'!U8</f>
        <v>460000</v>
      </c>
      <c r="V10" s="10">
        <f>'Reopening Summary'!V8</f>
        <v>460000</v>
      </c>
    </row>
    <row r="11" spans="1:22" x14ac:dyDescent="0.3">
      <c r="A11" s="30" t="s">
        <v>41</v>
      </c>
      <c r="B11" s="10">
        <f>'Reopening Summary'!B9</f>
        <v>0</v>
      </c>
      <c r="C11" s="10">
        <f>'Reopening Summary'!C9</f>
        <v>0</v>
      </c>
      <c r="D11" s="10">
        <f>'Reopening Summary'!D9</f>
        <v>0</v>
      </c>
      <c r="E11" s="10">
        <f>'Reopening Summary'!E9</f>
        <v>948091</v>
      </c>
      <c r="F11" s="10">
        <f>'Reopening Summary'!F9</f>
        <v>943350.54500000004</v>
      </c>
      <c r="G11" s="10">
        <f>'Reopening Summary'!G9</f>
        <v>938633.79227500001</v>
      </c>
      <c r="H11" s="10">
        <f>'Reopening Summary'!H9</f>
        <v>933940.62331362499</v>
      </c>
      <c r="I11" s="10">
        <f>'Reopening Summary'!I9</f>
        <v>929270.92019705684</v>
      </c>
      <c r="J11" s="10">
        <f>'Reopening Summary'!J9</f>
        <v>924624.56559607154</v>
      </c>
      <c r="K11" s="10">
        <f>'Reopening Summary'!K9</f>
        <v>920001.44276809122</v>
      </c>
      <c r="L11" s="10">
        <f>'Reopening Summary'!L9</f>
        <v>915401.43555425073</v>
      </c>
      <c r="M11" s="10">
        <f>'Reopening Summary'!M9</f>
        <v>910824.42837647942</v>
      </c>
      <c r="N11" s="10">
        <f>'Reopening Summary'!N9</f>
        <v>906270.306234597</v>
      </c>
      <c r="O11" s="10">
        <f>'Reopening Summary'!O9</f>
        <v>901738.95470342401</v>
      </c>
      <c r="P11" s="10">
        <f>'Reopening Summary'!P9</f>
        <v>897230.25992990693</v>
      </c>
      <c r="Q11" s="10">
        <f>'Reopening Summary'!Q9</f>
        <v>892744.10863025743</v>
      </c>
      <c r="R11" s="10">
        <f>'Reopening Summary'!R9</f>
        <v>888280.38808710617</v>
      </c>
      <c r="S11" s="10">
        <f>'Reopening Summary'!S9</f>
        <v>883838.98614667065</v>
      </c>
      <c r="T11" s="10">
        <f>'Reopening Summary'!T9</f>
        <v>879419.79121593724</v>
      </c>
      <c r="U11" s="10">
        <f>'Reopening Summary'!U9</f>
        <v>875022.69225985755</v>
      </c>
      <c r="V11" s="10">
        <f>'Reopening Summary'!V9</f>
        <v>870647.57879855821</v>
      </c>
    </row>
    <row r="12" spans="1:22" x14ac:dyDescent="0.3">
      <c r="A12" s="30" t="s">
        <v>42</v>
      </c>
      <c r="B12" s="10">
        <f>'Reopening Summary'!B10</f>
        <v>0</v>
      </c>
      <c r="C12" s="10">
        <f>'Reopening Summary'!C10</f>
        <v>0</v>
      </c>
      <c r="D12" s="10">
        <f>'Reopening Summary'!D10</f>
        <v>0</v>
      </c>
      <c r="E12" s="10">
        <f>'Reopening Summary'!E10</f>
        <v>8493</v>
      </c>
      <c r="F12" s="10">
        <f>'Reopening Summary'!F10</f>
        <v>8450.5349999999999</v>
      </c>
      <c r="G12" s="10">
        <f>'Reopening Summary'!G10</f>
        <v>8408.2823250000001</v>
      </c>
      <c r="H12" s="10">
        <f>'Reopening Summary'!H10</f>
        <v>8366.2409133750007</v>
      </c>
      <c r="I12" s="10">
        <f>'Reopening Summary'!I10</f>
        <v>8324.4097088081253</v>
      </c>
      <c r="J12" s="10">
        <f>'Reopening Summary'!J10</f>
        <v>8282.7876602640845</v>
      </c>
      <c r="K12" s="10">
        <f>'Reopening Summary'!K10</f>
        <v>8241.3737219627637</v>
      </c>
      <c r="L12" s="10">
        <f>'Reopening Summary'!L10</f>
        <v>8200.1668533529501</v>
      </c>
      <c r="M12" s="10">
        <f>'Reopening Summary'!M10</f>
        <v>8159.1660190861849</v>
      </c>
      <c r="N12" s="10">
        <f>'Reopening Summary'!N10</f>
        <v>8118.3701889907543</v>
      </c>
      <c r="O12" s="10">
        <f>'Reopening Summary'!O10</f>
        <v>8077.7783380458004</v>
      </c>
      <c r="P12" s="10">
        <f>'Reopening Summary'!P10</f>
        <v>8037.3894463555716</v>
      </c>
      <c r="Q12" s="10">
        <f>'Reopening Summary'!Q10</f>
        <v>7997.202499123794</v>
      </c>
      <c r="R12" s="10">
        <f>'Reopening Summary'!R10</f>
        <v>7957.2164866281746</v>
      </c>
      <c r="S12" s="10">
        <f>'Reopening Summary'!S10</f>
        <v>7917.4304041950336</v>
      </c>
      <c r="T12" s="10">
        <f>'Reopening Summary'!T10</f>
        <v>7877.8432521740588</v>
      </c>
      <c r="U12" s="10">
        <f>'Reopening Summary'!U10</f>
        <v>7838.4540359131888</v>
      </c>
      <c r="V12" s="10">
        <f>'Reopening Summary'!V10</f>
        <v>7799.2617657336232</v>
      </c>
    </row>
    <row r="13" spans="1:22" x14ac:dyDescent="0.3">
      <c r="A13" s="5" t="s">
        <v>241</v>
      </c>
      <c r="B13" s="6">
        <f t="shared" ref="B13:V13" si="1">SUM(B4:B12)</f>
        <v>270933.21471990406</v>
      </c>
      <c r="C13" s="6">
        <f t="shared" si="1"/>
        <v>644285.00824630458</v>
      </c>
      <c r="D13" s="6">
        <f t="shared" si="1"/>
        <v>641063.58320507302</v>
      </c>
      <c r="E13" s="6">
        <f t="shared" si="1"/>
        <v>2054442.2652890477</v>
      </c>
      <c r="F13" s="6">
        <f t="shared" si="1"/>
        <v>2046470.053962602</v>
      </c>
      <c r="G13" s="6">
        <f t="shared" si="1"/>
        <v>2038537.7036927892</v>
      </c>
      <c r="H13" s="6">
        <f t="shared" si="1"/>
        <v>2030645.0151743253</v>
      </c>
      <c r="I13" s="6">
        <f t="shared" si="1"/>
        <v>2022791.7900984539</v>
      </c>
      <c r="J13" s="6">
        <f t="shared" si="1"/>
        <v>2014977.8311479616</v>
      </c>
      <c r="K13" s="6">
        <f t="shared" si="1"/>
        <v>2007202.9419922219</v>
      </c>
      <c r="L13" s="6">
        <f t="shared" si="1"/>
        <v>1999466.9272822607</v>
      </c>
      <c r="M13" s="6">
        <f t="shared" si="1"/>
        <v>1991769.5926458491</v>
      </c>
      <c r="N13" s="6">
        <f t="shared" si="1"/>
        <v>1984110.74468262</v>
      </c>
      <c r="O13" s="6">
        <f t="shared" si="1"/>
        <v>1976490.1909592068</v>
      </c>
      <c r="P13" s="6">
        <f t="shared" si="1"/>
        <v>1968907.7400044107</v>
      </c>
      <c r="Q13" s="6">
        <f t="shared" si="1"/>
        <v>1710946.9150511806</v>
      </c>
      <c r="R13" s="6">
        <f t="shared" si="1"/>
        <v>1700570.8435074575</v>
      </c>
      <c r="S13" s="6">
        <f t="shared" si="1"/>
        <v>1694367.9892899203</v>
      </c>
      <c r="T13" s="6">
        <f t="shared" si="1"/>
        <v>1688196.1493434706</v>
      </c>
      <c r="U13" s="6">
        <f t="shared" si="1"/>
        <v>1682055.1685967534</v>
      </c>
      <c r="V13" s="6">
        <f t="shared" si="1"/>
        <v>1675074.0381935027</v>
      </c>
    </row>
    <row r="17" spans="1:22" ht="15.6" x14ac:dyDescent="0.3">
      <c r="A17" s="43">
        <v>2022</v>
      </c>
      <c r="B17" s="2">
        <v>2022</v>
      </c>
      <c r="C17" s="2">
        <f t="shared" ref="C17:V17" si="2">B17+1</f>
        <v>2023</v>
      </c>
      <c r="D17" s="2">
        <f t="shared" si="2"/>
        <v>2024</v>
      </c>
      <c r="E17" s="2">
        <f t="shared" si="2"/>
        <v>2025</v>
      </c>
      <c r="F17" s="2">
        <f t="shared" si="2"/>
        <v>2026</v>
      </c>
      <c r="G17" s="2">
        <f t="shared" si="2"/>
        <v>2027</v>
      </c>
      <c r="H17" s="2">
        <f t="shared" si="2"/>
        <v>2028</v>
      </c>
      <c r="I17" s="2">
        <f t="shared" si="2"/>
        <v>2029</v>
      </c>
      <c r="J17" s="2">
        <f t="shared" si="2"/>
        <v>2030</v>
      </c>
      <c r="K17" s="2">
        <f t="shared" si="2"/>
        <v>2031</v>
      </c>
      <c r="L17" s="2">
        <f t="shared" si="2"/>
        <v>2032</v>
      </c>
      <c r="M17" s="2">
        <f t="shared" si="2"/>
        <v>2033</v>
      </c>
      <c r="N17" s="2">
        <f t="shared" si="2"/>
        <v>2034</v>
      </c>
      <c r="O17" s="2">
        <f t="shared" si="2"/>
        <v>2035</v>
      </c>
      <c r="P17" s="2">
        <f t="shared" si="2"/>
        <v>2036</v>
      </c>
      <c r="Q17" s="2">
        <f t="shared" si="2"/>
        <v>2037</v>
      </c>
      <c r="R17" s="2">
        <f t="shared" si="2"/>
        <v>2038</v>
      </c>
      <c r="S17" s="2">
        <f t="shared" si="2"/>
        <v>2039</v>
      </c>
      <c r="T17" s="2">
        <f t="shared" si="2"/>
        <v>2040</v>
      </c>
      <c r="U17" s="2">
        <f t="shared" si="2"/>
        <v>2041</v>
      </c>
      <c r="V17" s="2">
        <f t="shared" si="2"/>
        <v>2042</v>
      </c>
    </row>
    <row r="18" spans="1:22" x14ac:dyDescent="0.3">
      <c r="A18" s="29" t="s">
        <v>6</v>
      </c>
      <c r="B18" s="10">
        <f>'DY 2022 Summary'!B2</f>
        <v>183009.9510192</v>
      </c>
      <c r="C18" s="10">
        <f>'DY 2022 Summary'!C2</f>
        <v>182094.901264104</v>
      </c>
      <c r="D18" s="10">
        <f>'DY 2022 Summary'!D2</f>
        <v>181184.42675778345</v>
      </c>
      <c r="E18" s="10">
        <f>'DY 2022 Summary'!E2</f>
        <v>180278.50462399455</v>
      </c>
      <c r="F18" s="10">
        <f>'DY 2022 Summary'!F2</f>
        <v>179377.11210087457</v>
      </c>
      <c r="G18" s="10">
        <f>'DY 2022 Summary'!G2</f>
        <v>178480.2265403702</v>
      </c>
      <c r="H18" s="10">
        <f>'DY 2022 Summary'!H2</f>
        <v>177587.82540766837</v>
      </c>
      <c r="I18" s="10">
        <f>'DY 2022 Summary'!I2</f>
        <v>176699.88628063002</v>
      </c>
      <c r="J18" s="10">
        <f>'DY 2022 Summary'!J2</f>
        <v>175816.3868492269</v>
      </c>
      <c r="K18" s="10">
        <f>'DY 2022 Summary'!K2</f>
        <v>174937.30491498075</v>
      </c>
      <c r="L18" s="10">
        <f>'DY 2022 Summary'!L2</f>
        <v>174062.61839040584</v>
      </c>
      <c r="M18" s="10">
        <f>'DY 2022 Summary'!M2</f>
        <v>173192.30529845384</v>
      </c>
      <c r="N18" s="10">
        <f>'DY 2022 Summary'!N2</f>
        <v>172326.34377196158</v>
      </c>
      <c r="O18" s="10">
        <f>'DY 2022 Summary'!O2</f>
        <v>171464.71205310174</v>
      </c>
      <c r="P18" s="10">
        <f>'DY 2022 Summary'!P2</f>
        <v>170607.38849283624</v>
      </c>
      <c r="Q18" s="10">
        <f>'DY 2022 Summary'!Q2</f>
        <v>0</v>
      </c>
      <c r="R18" s="10">
        <f>'DY 2022 Summary'!R2</f>
        <v>0</v>
      </c>
      <c r="S18" s="10">
        <f>'DY 2022 Summary'!S2</f>
        <v>0</v>
      </c>
      <c r="T18" s="10">
        <f>'DY 2022 Summary'!T2</f>
        <v>0</v>
      </c>
      <c r="U18" s="10">
        <f>'DY 2022 Summary'!U2</f>
        <v>0</v>
      </c>
      <c r="V18" s="10">
        <f>'DY 2022 Summary'!V2</f>
        <v>0</v>
      </c>
    </row>
    <row r="19" spans="1:22" x14ac:dyDescent="0.3">
      <c r="A19" s="29" t="s">
        <v>12</v>
      </c>
      <c r="B19" s="10">
        <f>'DY 2022 Summary'!B3</f>
        <v>234824.40306947764</v>
      </c>
      <c r="C19" s="10">
        <f>'DY 2022 Summary'!C3</f>
        <v>233650.28105413029</v>
      </c>
      <c r="D19" s="10">
        <f>'DY 2022 Summary'!D3</f>
        <v>232482.02964885964</v>
      </c>
      <c r="E19" s="10">
        <f>'DY 2022 Summary'!E3</f>
        <v>231319.61950061534</v>
      </c>
      <c r="F19" s="10">
        <f>'DY 2022 Summary'!F3</f>
        <v>230163.02140311227</v>
      </c>
      <c r="G19" s="10">
        <f>'DY 2022 Summary'!G3</f>
        <v>229012.2062960967</v>
      </c>
      <c r="H19" s="10">
        <f>'DY 2022 Summary'!H3</f>
        <v>227867.14526461624</v>
      </c>
      <c r="I19" s="10">
        <f>'DY 2022 Summary'!I3</f>
        <v>226727.80953829316</v>
      </c>
      <c r="J19" s="10">
        <f>'DY 2022 Summary'!J3</f>
        <v>225594.17049060171</v>
      </c>
      <c r="K19" s="10">
        <f>'DY 2022 Summary'!K3</f>
        <v>224466.19963814871</v>
      </c>
      <c r="L19" s="10">
        <f>'DY 2022 Summary'!L3</f>
        <v>223343.86863995797</v>
      </c>
      <c r="M19" s="10">
        <f>'DY 2022 Summary'!M3</f>
        <v>222227.14929675817</v>
      </c>
      <c r="N19" s="10">
        <f>'DY 2022 Summary'!N3</f>
        <v>221116.01355027442</v>
      </c>
      <c r="O19" s="10">
        <f>'DY 2022 Summary'!O3</f>
        <v>220010.43348252302</v>
      </c>
      <c r="P19" s="10">
        <f>'DY 2022 Summary'!P3</f>
        <v>218910.3813151104</v>
      </c>
      <c r="Q19" s="10">
        <f>'DY 2022 Summary'!Q3</f>
        <v>0</v>
      </c>
      <c r="R19" s="10">
        <f>'DY 2022 Summary'!R3</f>
        <v>0</v>
      </c>
      <c r="S19" s="10">
        <f>'DY 2022 Summary'!S3</f>
        <v>0</v>
      </c>
      <c r="T19" s="10">
        <f>'DY 2022 Summary'!T3</f>
        <v>0</v>
      </c>
      <c r="U19" s="10">
        <f>'DY 2022 Summary'!U3</f>
        <v>0</v>
      </c>
      <c r="V19" s="10">
        <f>'DY 2022 Summary'!V3</f>
        <v>0</v>
      </c>
    </row>
    <row r="20" spans="1:22" x14ac:dyDescent="0.3">
      <c r="A20" s="29" t="s">
        <v>21</v>
      </c>
      <c r="B20" s="10">
        <f>'DY 2022 Summary'!B4</f>
        <v>0</v>
      </c>
      <c r="C20" s="10">
        <f>'DY 2022 Summary'!C4</f>
        <v>236968.51199999999</v>
      </c>
      <c r="D20" s="10">
        <f>'DY 2022 Summary'!D4</f>
        <v>235783.66944</v>
      </c>
      <c r="E20" s="10">
        <f>'DY 2022 Summary'!E4</f>
        <v>234604.7510928</v>
      </c>
      <c r="F20" s="10">
        <f>'DY 2022 Summary'!F4</f>
        <v>233431.72733733599</v>
      </c>
      <c r="G20" s="10">
        <f>'DY 2022 Summary'!G4</f>
        <v>232264.56870064931</v>
      </c>
      <c r="H20" s="10">
        <f>'DY 2022 Summary'!H4</f>
        <v>231103.2458571461</v>
      </c>
      <c r="I20" s="10">
        <f>'DY 2022 Summary'!I4</f>
        <v>229947.72962786036</v>
      </c>
      <c r="J20" s="10">
        <f>'DY 2022 Summary'!J4</f>
        <v>228797.99097972107</v>
      </c>
      <c r="K20" s="10">
        <f>'DY 2022 Summary'!K4</f>
        <v>227654.00102482247</v>
      </c>
      <c r="L20" s="10">
        <f>'DY 2022 Summary'!L4</f>
        <v>226515.73101969832</v>
      </c>
      <c r="M20" s="10">
        <f>'DY 2022 Summary'!M4</f>
        <v>225383.15236459984</v>
      </c>
      <c r="N20" s="10">
        <f>'DY 2022 Summary'!N4</f>
        <v>224256.23660277683</v>
      </c>
      <c r="O20" s="10">
        <f>'DY 2022 Summary'!O4</f>
        <v>223134.95541976293</v>
      </c>
      <c r="P20" s="10">
        <f>'DY 2022 Summary'!P4</f>
        <v>222019.28064266415</v>
      </c>
      <c r="Q20" s="10">
        <f>'DY 2022 Summary'!Q4</f>
        <v>220909.18423945084</v>
      </c>
      <c r="R20" s="10">
        <f>'DY 2022 Summary'!R4</f>
        <v>219804.63831825356</v>
      </c>
      <c r="S20" s="10">
        <f>'DY 2022 Summary'!S4</f>
        <v>218705.61512666231</v>
      </c>
      <c r="T20" s="10">
        <f>'DY 2022 Summary'!T4</f>
        <v>217612.08705102903</v>
      </c>
      <c r="U20" s="10">
        <f>'DY 2022 Summary'!U4</f>
        <v>216524.02661577388</v>
      </c>
      <c r="V20" s="10">
        <f>'DY 2022 Summary'!V4</f>
        <v>215441.40648269499</v>
      </c>
    </row>
    <row r="21" spans="1:22" x14ac:dyDescent="0.3">
      <c r="A21" s="29" t="s">
        <v>25</v>
      </c>
      <c r="B21" s="10">
        <f>'DY 2022 Summary'!B5</f>
        <v>295247.95542000001</v>
      </c>
      <c r="C21" s="10">
        <f>'DY 2022 Summary'!C5</f>
        <v>293771.71564289997</v>
      </c>
      <c r="D21" s="10">
        <f>'DY 2022 Summary'!D5</f>
        <v>292302.85706468544</v>
      </c>
      <c r="E21" s="10">
        <f>'DY 2022 Summary'!E5</f>
        <v>290841.34277936205</v>
      </c>
      <c r="F21" s="10">
        <f>'DY 2022 Summary'!F5</f>
        <v>289387.13606546522</v>
      </c>
      <c r="G21" s="10">
        <f>'DY 2022 Summary'!G5</f>
        <v>287940.20038513793</v>
      </c>
      <c r="H21" s="10">
        <f>'DY 2022 Summary'!H5</f>
        <v>286500.49938321218</v>
      </c>
      <c r="I21" s="10">
        <f>'DY 2022 Summary'!I5</f>
        <v>285067.99688629614</v>
      </c>
      <c r="J21" s="10">
        <f>'DY 2022 Summary'!J5</f>
        <v>283642.65690186468</v>
      </c>
      <c r="K21" s="10">
        <f>'DY 2022 Summary'!K5</f>
        <v>282224.44361735537</v>
      </c>
      <c r="L21" s="10">
        <f>'DY 2022 Summary'!L5</f>
        <v>280813.32139926858</v>
      </c>
      <c r="M21" s="10">
        <f>'DY 2022 Summary'!M5</f>
        <v>279409.25479227223</v>
      </c>
      <c r="N21" s="10">
        <f>'DY 2022 Summary'!N5</f>
        <v>278012.20851831092</v>
      </c>
      <c r="O21" s="10">
        <f>'DY 2022 Summary'!O5</f>
        <v>276622.14747571934</v>
      </c>
      <c r="P21" s="10">
        <f>'DY 2022 Summary'!P5</f>
        <v>275239.03673834074</v>
      </c>
      <c r="Q21" s="10">
        <f>'DY 2022 Summary'!Q5</f>
        <v>273862.841554649</v>
      </c>
      <c r="R21" s="10">
        <f>'DY 2022 Summary'!R5</f>
        <v>272493.52734687581</v>
      </c>
      <c r="S21" s="10">
        <f>'DY 2022 Summary'!S5</f>
        <v>271131.05971014139</v>
      </c>
      <c r="T21" s="10">
        <f>'DY 2022 Summary'!T5</f>
        <v>269775.40441159066</v>
      </c>
      <c r="U21" s="10">
        <f>'DY 2022 Summary'!U5</f>
        <v>268426.52738953271</v>
      </c>
      <c r="V21" s="10">
        <f>'DY 2022 Summary'!V5</f>
        <v>0</v>
      </c>
    </row>
    <row r="22" spans="1:22" x14ac:dyDescent="0.3">
      <c r="A22" s="29" t="s">
        <v>29</v>
      </c>
      <c r="B22" s="10">
        <f>'DY 2022 Summary'!B6</f>
        <v>0</v>
      </c>
      <c r="C22" s="10">
        <f>'DY 2022 Summary'!C6</f>
        <v>59242.127999999997</v>
      </c>
      <c r="D22" s="10">
        <f>'DY 2022 Summary'!D6</f>
        <v>58945.917359999992</v>
      </c>
      <c r="E22" s="10">
        <f>'DY 2022 Summary'!E6</f>
        <v>58651.187773199999</v>
      </c>
      <c r="F22" s="10">
        <f>'DY 2022 Summary'!F6</f>
        <v>58357.931834333998</v>
      </c>
      <c r="G22" s="10">
        <f>'DY 2022 Summary'!G6</f>
        <v>58066.142175162327</v>
      </c>
      <c r="H22" s="10">
        <f>'DY 2022 Summary'!H6</f>
        <v>57775.811464286518</v>
      </c>
      <c r="I22" s="10">
        <f>'DY 2022 Summary'!I6</f>
        <v>57486.932406965083</v>
      </c>
      <c r="J22" s="10">
        <f>'DY 2022 Summary'!J6</f>
        <v>57199.497744930261</v>
      </c>
      <c r="K22" s="10">
        <f>'DY 2022 Summary'!K6</f>
        <v>56913.500256205611</v>
      </c>
      <c r="L22" s="10">
        <f>'DY 2022 Summary'!L6</f>
        <v>56628.932754924579</v>
      </c>
      <c r="M22" s="10">
        <f>'DY 2022 Summary'!M6</f>
        <v>56345.788091149952</v>
      </c>
      <c r="N22" s="10">
        <f>'DY 2022 Summary'!N6</f>
        <v>56064.059150694207</v>
      </c>
      <c r="O22" s="10">
        <f>'DY 2022 Summary'!O6</f>
        <v>55783.738854940733</v>
      </c>
      <c r="P22" s="10">
        <f>'DY 2022 Summary'!P6</f>
        <v>55504.82016066603</v>
      </c>
      <c r="Q22" s="10">
        <f>'DY 2022 Summary'!Q6</f>
        <v>55227.296059862696</v>
      </c>
      <c r="R22" s="10">
        <f>'DY 2022 Summary'!R6</f>
        <v>0</v>
      </c>
      <c r="S22" s="10">
        <f>'DY 2022 Summary'!S6</f>
        <v>0</v>
      </c>
      <c r="T22" s="10">
        <f>'DY 2022 Summary'!T6</f>
        <v>0</v>
      </c>
      <c r="U22" s="10">
        <f>'DY 2022 Summary'!U6</f>
        <v>0</v>
      </c>
      <c r="V22" s="10">
        <f>'DY 2022 Summary'!V6</f>
        <v>0</v>
      </c>
    </row>
    <row r="23" spans="1:22" x14ac:dyDescent="0.3">
      <c r="A23" s="30" t="s">
        <v>33</v>
      </c>
      <c r="B23" s="10">
        <f>'DY 2022 Summary'!B7</f>
        <v>182432.62174992182</v>
      </c>
      <c r="C23" s="10">
        <f>'DY 2022 Summary'!C7</f>
        <v>181520.45864117221</v>
      </c>
      <c r="D23" s="10">
        <f>'DY 2022 Summary'!D7</f>
        <v>180612.85634796636</v>
      </c>
      <c r="E23" s="10">
        <f>'DY 2022 Summary'!E7</f>
        <v>179709.79206622654</v>
      </c>
      <c r="F23" s="10">
        <f>'DY 2022 Summary'!F7</f>
        <v>178811.24310589541</v>
      </c>
      <c r="G23" s="10">
        <f>'DY 2022 Summary'!G7</f>
        <v>177917.18689036591</v>
      </c>
      <c r="H23" s="10">
        <f>'DY 2022 Summary'!H7</f>
        <v>177027.60095591407</v>
      </c>
      <c r="I23" s="10">
        <f>'DY 2022 Summary'!I7</f>
        <v>176142.46295113451</v>
      </c>
      <c r="J23" s="10">
        <f>'DY 2022 Summary'!J7</f>
        <v>175261.75063637883</v>
      </c>
      <c r="K23" s="10">
        <f>'DY 2022 Summary'!K7</f>
        <v>174385.44188319694</v>
      </c>
      <c r="L23" s="10">
        <f>'DY 2022 Summary'!L7</f>
        <v>173513.51467378094</v>
      </c>
      <c r="M23" s="10">
        <f>'DY 2022 Summary'!M7</f>
        <v>172645.94710041204</v>
      </c>
      <c r="N23" s="10">
        <f>'DY 2022 Summary'!N7</f>
        <v>171782.71736491</v>
      </c>
      <c r="O23" s="10">
        <f>'DY 2022 Summary'!O7</f>
        <v>170923.80377808545</v>
      </c>
      <c r="P23" s="10">
        <f>'DY 2022 Summary'!P7</f>
        <v>170069.18475919502</v>
      </c>
      <c r="Q23" s="10">
        <f>'DY 2022 Summary'!Q7</f>
        <v>0</v>
      </c>
      <c r="R23" s="10">
        <f>'DY 2022 Summary'!R7</f>
        <v>0</v>
      </c>
      <c r="S23" s="10">
        <f>'DY 2022 Summary'!S7</f>
        <v>0</v>
      </c>
      <c r="T23" s="10">
        <f>'DY 2022 Summary'!T7</f>
        <v>0</v>
      </c>
      <c r="U23" s="10">
        <f>'DY 2022 Summary'!U7</f>
        <v>0</v>
      </c>
      <c r="V23" s="10">
        <f>'DY 2022 Summary'!V7</f>
        <v>0</v>
      </c>
    </row>
    <row r="24" spans="1:22" x14ac:dyDescent="0.3">
      <c r="A24" s="30" t="s">
        <v>40</v>
      </c>
      <c r="B24" s="10">
        <f>'DY 2022 Summary'!B8</f>
        <v>0</v>
      </c>
      <c r="C24" s="10">
        <f>'DY 2022 Summary'!C8</f>
        <v>0</v>
      </c>
      <c r="D24" s="10">
        <f>'DY 2022 Summary'!D8</f>
        <v>0</v>
      </c>
      <c r="E24" s="10">
        <f>'DY 2022 Summary'!E8</f>
        <v>0</v>
      </c>
      <c r="F24" s="10">
        <f>'DY 2022 Summary'!F8</f>
        <v>0</v>
      </c>
      <c r="G24" s="10">
        <f>'DY 2022 Summary'!G8</f>
        <v>0</v>
      </c>
      <c r="H24" s="10">
        <f>'DY 2022 Summary'!H8</f>
        <v>0</v>
      </c>
      <c r="I24" s="10">
        <f>'DY 2022 Summary'!I8</f>
        <v>0</v>
      </c>
      <c r="J24" s="10">
        <f>'DY 2022 Summary'!J8</f>
        <v>0</v>
      </c>
      <c r="K24" s="10">
        <f>'DY 2022 Summary'!K8</f>
        <v>0</v>
      </c>
      <c r="L24" s="10">
        <f>'DY 2022 Summary'!L8</f>
        <v>0</v>
      </c>
      <c r="M24" s="10">
        <f>'DY 2022 Summary'!M8</f>
        <v>0</v>
      </c>
      <c r="N24" s="10">
        <f>'DY 2022 Summary'!N8</f>
        <v>0</v>
      </c>
      <c r="O24" s="10">
        <f>'DY 2022 Summary'!O8</f>
        <v>0</v>
      </c>
      <c r="P24" s="10">
        <f>'DY 2022 Summary'!P8</f>
        <v>0</v>
      </c>
      <c r="Q24" s="10">
        <f>'DY 2022 Summary'!Q8</f>
        <v>0</v>
      </c>
      <c r="R24" s="10">
        <f>'DY 2022 Summary'!R8</f>
        <v>0</v>
      </c>
      <c r="S24" s="10">
        <f>'DY 2022 Summary'!S8</f>
        <v>0</v>
      </c>
      <c r="T24" s="10">
        <f>'DY 2022 Summary'!T8</f>
        <v>0</v>
      </c>
      <c r="U24" s="10">
        <f>'DY 2022 Summary'!U8</f>
        <v>0</v>
      </c>
      <c r="V24" s="10">
        <f>'DY 2022 Summary'!V8</f>
        <v>0</v>
      </c>
    </row>
    <row r="25" spans="1:22" x14ac:dyDescent="0.3">
      <c r="A25" s="30" t="s">
        <v>41</v>
      </c>
      <c r="B25" s="10">
        <f>'DY 2022 Summary'!B9</f>
        <v>0</v>
      </c>
      <c r="C25" s="10">
        <f>'DY 2022 Summary'!C9</f>
        <v>0</v>
      </c>
      <c r="D25" s="10">
        <f>'DY 2022 Summary'!D9</f>
        <v>0</v>
      </c>
      <c r="E25" s="10">
        <f>'DY 2022 Summary'!E9</f>
        <v>943430</v>
      </c>
      <c r="F25" s="10">
        <f>'DY 2022 Summary'!F9</f>
        <v>938712.85</v>
      </c>
      <c r="G25" s="10">
        <f>'DY 2022 Summary'!G9</f>
        <v>934019.28574999992</v>
      </c>
      <c r="H25" s="10">
        <f>'DY 2022 Summary'!H9</f>
        <v>929349.18932124996</v>
      </c>
      <c r="I25" s="10">
        <f>'DY 2022 Summary'!I9</f>
        <v>924702.44337464368</v>
      </c>
      <c r="J25" s="10">
        <f>'DY 2022 Summary'!J9</f>
        <v>920078.93115777045</v>
      </c>
      <c r="K25" s="10">
        <f>'DY 2022 Summary'!K9</f>
        <v>915478.53650198155</v>
      </c>
      <c r="L25" s="10">
        <f>'DY 2022 Summary'!L9</f>
        <v>910901.14381947159</v>
      </c>
      <c r="M25" s="10">
        <f>'DY 2022 Summary'!M9</f>
        <v>906346.63810037426</v>
      </c>
      <c r="N25" s="10">
        <f>'DY 2022 Summary'!N9</f>
        <v>901814.90490987233</v>
      </c>
      <c r="O25" s="10">
        <f>'DY 2022 Summary'!O9</f>
        <v>897305.83038532292</v>
      </c>
      <c r="P25" s="10">
        <f>'DY 2022 Summary'!P9</f>
        <v>892819.30123339628</v>
      </c>
      <c r="Q25" s="10">
        <f>'DY 2022 Summary'!Q9</f>
        <v>888355.20472722931</v>
      </c>
      <c r="R25" s="10">
        <f>'DY 2022 Summary'!R9</f>
        <v>883913.42870359321</v>
      </c>
      <c r="S25" s="10">
        <f>'DY 2022 Summary'!S9</f>
        <v>879493.86156007519</v>
      </c>
      <c r="T25" s="10">
        <f>'DY 2022 Summary'!T9</f>
        <v>875096.39225227479</v>
      </c>
      <c r="U25" s="10">
        <f>'DY 2022 Summary'!U9</f>
        <v>870720.91029101342</v>
      </c>
      <c r="V25" s="10">
        <f>'DY 2022 Summary'!V9</f>
        <v>866367.3057395583</v>
      </c>
    </row>
    <row r="26" spans="1:22" x14ac:dyDescent="0.3">
      <c r="A26" s="30" t="s">
        <v>42</v>
      </c>
      <c r="B26" s="10">
        <f>'DY 2022 Summary'!B10</f>
        <v>0</v>
      </c>
      <c r="C26" s="10">
        <f>'DY 2022 Summary'!C10</f>
        <v>0</v>
      </c>
      <c r="D26" s="10">
        <f>'DY 2022 Summary'!D10</f>
        <v>0</v>
      </c>
      <c r="E26" s="10">
        <f>'DY 2022 Summary'!E10</f>
        <v>49377</v>
      </c>
      <c r="F26" s="10">
        <f>'DY 2022 Summary'!F10</f>
        <v>49130.114999999998</v>
      </c>
      <c r="G26" s="10">
        <f>'DY 2022 Summary'!G10</f>
        <v>48884.464424999998</v>
      </c>
      <c r="H26" s="10">
        <f>'DY 2022 Summary'!H10</f>
        <v>48640.042102874999</v>
      </c>
      <c r="I26" s="10">
        <f>'DY 2022 Summary'!I10</f>
        <v>48396.841892360622</v>
      </c>
      <c r="J26" s="10">
        <f>'DY 2022 Summary'!J10</f>
        <v>48154.857682898823</v>
      </c>
      <c r="K26" s="10">
        <f>'DY 2022 Summary'!K10</f>
        <v>47914.083394484325</v>
      </c>
      <c r="L26" s="10">
        <f>'DY 2022 Summary'!L10</f>
        <v>47674.512977511906</v>
      </c>
      <c r="M26" s="10">
        <f>'DY 2022 Summary'!M10</f>
        <v>47436.140412624343</v>
      </c>
      <c r="N26" s="10">
        <f>'DY 2022 Summary'!N10</f>
        <v>47198.959710561219</v>
      </c>
      <c r="O26" s="10">
        <f>'DY 2022 Summary'!O10</f>
        <v>46962.964912008414</v>
      </c>
      <c r="P26" s="10">
        <f>'DY 2022 Summary'!P10</f>
        <v>46728.150087448375</v>
      </c>
      <c r="Q26" s="10">
        <f>'DY 2022 Summary'!Q10</f>
        <v>46494.509337011135</v>
      </c>
      <c r="R26" s="10">
        <f>'DY 2022 Summary'!R10</f>
        <v>46262.036790326078</v>
      </c>
      <c r="S26" s="10">
        <f>'DY 2022 Summary'!S10</f>
        <v>46030.726606374446</v>
      </c>
      <c r="T26" s="10">
        <f>'DY 2022 Summary'!T10</f>
        <v>45800.572973342576</v>
      </c>
      <c r="U26" s="10">
        <f>'DY 2022 Summary'!U10</f>
        <v>45571.570108475862</v>
      </c>
      <c r="V26" s="10">
        <f>'DY 2022 Summary'!V10</f>
        <v>45343.712257933483</v>
      </c>
    </row>
    <row r="27" spans="1:22" x14ac:dyDescent="0.3">
      <c r="A27" s="5" t="s">
        <v>241</v>
      </c>
      <c r="B27" s="6">
        <f t="shared" ref="B27:V27" si="3">SUM(B18:B26)</f>
        <v>895514.93125859951</v>
      </c>
      <c r="C27" s="6">
        <f t="shared" si="3"/>
        <v>1187247.9966023064</v>
      </c>
      <c r="D27" s="6">
        <f t="shared" si="3"/>
        <v>1181311.7566192949</v>
      </c>
      <c r="E27" s="6">
        <f t="shared" si="3"/>
        <v>2168212.1978361984</v>
      </c>
      <c r="F27" s="6">
        <f t="shared" si="3"/>
        <v>2157371.1368470178</v>
      </c>
      <c r="G27" s="6">
        <f t="shared" si="3"/>
        <v>2146584.2811627821</v>
      </c>
      <c r="H27" s="6">
        <f t="shared" si="3"/>
        <v>2135851.3597569684</v>
      </c>
      <c r="I27" s="6">
        <f t="shared" si="3"/>
        <v>2125172.1029581837</v>
      </c>
      <c r="J27" s="6">
        <f t="shared" si="3"/>
        <v>2114546.2424433925</v>
      </c>
      <c r="K27" s="6">
        <f t="shared" si="3"/>
        <v>2103973.5112311756</v>
      </c>
      <c r="L27" s="6">
        <f t="shared" si="3"/>
        <v>2093453.6436750197</v>
      </c>
      <c r="M27" s="6">
        <f t="shared" si="3"/>
        <v>2082986.3754566447</v>
      </c>
      <c r="N27" s="6">
        <f t="shared" si="3"/>
        <v>2072571.4435793613</v>
      </c>
      <c r="O27" s="6">
        <f t="shared" si="3"/>
        <v>2062208.5863614646</v>
      </c>
      <c r="P27" s="6">
        <f t="shared" si="3"/>
        <v>2051897.5434296574</v>
      </c>
      <c r="Q27" s="6">
        <f t="shared" si="3"/>
        <v>1484849.0359182029</v>
      </c>
      <c r="R27" s="6">
        <f t="shared" si="3"/>
        <v>1422473.6311590485</v>
      </c>
      <c r="S27" s="6">
        <f t="shared" si="3"/>
        <v>1415361.2630032531</v>
      </c>
      <c r="T27" s="6">
        <f t="shared" si="3"/>
        <v>1408284.4566882371</v>
      </c>
      <c r="U27" s="6">
        <f t="shared" si="3"/>
        <v>1401243.0344047958</v>
      </c>
      <c r="V27" s="6">
        <f t="shared" si="3"/>
        <v>1127152.4244801868</v>
      </c>
    </row>
    <row r="31" spans="1:22" ht="15.6" x14ac:dyDescent="0.3">
      <c r="A31" s="43">
        <v>2023</v>
      </c>
      <c r="B31" s="2">
        <v>2022</v>
      </c>
      <c r="C31" s="2">
        <v>2023</v>
      </c>
      <c r="D31" s="2">
        <v>2024</v>
      </c>
      <c r="E31" s="2">
        <v>2025</v>
      </c>
      <c r="F31" s="2">
        <v>2026</v>
      </c>
      <c r="G31" s="2">
        <v>2027</v>
      </c>
      <c r="H31" s="2">
        <v>2028</v>
      </c>
      <c r="I31" s="2">
        <v>2029</v>
      </c>
      <c r="J31" s="2">
        <v>2030</v>
      </c>
      <c r="K31" s="2">
        <v>2031</v>
      </c>
      <c r="L31" s="2">
        <v>2032</v>
      </c>
      <c r="M31" s="2">
        <v>2033</v>
      </c>
      <c r="N31" s="2">
        <v>2034</v>
      </c>
      <c r="O31" s="2">
        <v>2035</v>
      </c>
      <c r="P31" s="2">
        <v>2036</v>
      </c>
      <c r="Q31" s="2">
        <v>2037</v>
      </c>
      <c r="R31" s="2">
        <v>2038</v>
      </c>
      <c r="S31" s="2">
        <v>2039</v>
      </c>
      <c r="T31" s="2">
        <v>2040</v>
      </c>
      <c r="U31" s="2">
        <v>2041</v>
      </c>
      <c r="V31" s="2">
        <v>2042</v>
      </c>
    </row>
    <row r="32" spans="1:22" x14ac:dyDescent="0.3">
      <c r="A32" s="29" t="s">
        <v>6</v>
      </c>
      <c r="B32" s="18"/>
      <c r="C32" s="10">
        <f>'DY 2023 Summary'!B2</f>
        <v>162118.73341728002</v>
      </c>
      <c r="D32" s="10">
        <f>'DY 2023 Summary'!C2</f>
        <v>161308.1397501936</v>
      </c>
      <c r="E32" s="10">
        <f>'DY 2023 Summary'!D2</f>
        <v>160501.59905144264</v>
      </c>
      <c r="F32" s="10">
        <f>'DY 2023 Summary'!E2</f>
        <v>159699.09105618543</v>
      </c>
      <c r="G32" s="10">
        <f>'DY 2023 Summary'!F2</f>
        <v>158900.59560090449</v>
      </c>
      <c r="H32" s="10">
        <f>'DY 2023 Summary'!G2</f>
        <v>158106.09262289997</v>
      </c>
      <c r="I32" s="10">
        <f>'DY 2023 Summary'!H2</f>
        <v>157315.56215978548</v>
      </c>
      <c r="J32" s="10">
        <f>'DY 2023 Summary'!I2</f>
        <v>156528.98434898653</v>
      </c>
      <c r="K32" s="10">
        <f>'DY 2023 Summary'!J2</f>
        <v>155746.33942724159</v>
      </c>
      <c r="L32" s="10">
        <f>'DY 2023 Summary'!K2</f>
        <v>154967.6077301054</v>
      </c>
      <c r="M32" s="10">
        <f>'DY 2023 Summary'!L2</f>
        <v>154192.76969145489</v>
      </c>
      <c r="N32" s="10">
        <f>'DY 2023 Summary'!M2</f>
        <v>153421.80584299756</v>
      </c>
      <c r="O32" s="10">
        <f>'DY 2023 Summary'!N2</f>
        <v>152654.69681378259</v>
      </c>
      <c r="P32" s="10">
        <f>'DY 2023 Summary'!O2</f>
        <v>151891.42332971367</v>
      </c>
      <c r="Q32" s="10">
        <f>'DY 2023 Summary'!P2</f>
        <v>151131.96621306511</v>
      </c>
      <c r="R32" s="10">
        <f>'DY 2023 Summary'!Q2</f>
        <v>0</v>
      </c>
      <c r="S32" s="10">
        <f>'DY 2023 Summary'!R2</f>
        <v>0</v>
      </c>
      <c r="T32" s="10">
        <f>'DY 2023 Summary'!S2</f>
        <v>0</v>
      </c>
      <c r="U32" s="10">
        <f>'DY 2023 Summary'!T2</f>
        <v>0</v>
      </c>
      <c r="V32" s="10">
        <f>'DY 2023 Summary'!U2</f>
        <v>0</v>
      </c>
    </row>
    <row r="33" spans="1:22" x14ac:dyDescent="0.3">
      <c r="A33" s="29" t="s">
        <v>12</v>
      </c>
      <c r="B33" s="18"/>
      <c r="C33" s="10">
        <f>'DY 2023 Summary'!B3</f>
        <v>172602.59970134808</v>
      </c>
      <c r="D33" s="10">
        <f>'DY 2023 Summary'!C3</f>
        <v>171739.58670284133</v>
      </c>
      <c r="E33" s="10">
        <f>'DY 2023 Summary'!D3</f>
        <v>170880.88876932714</v>
      </c>
      <c r="F33" s="10">
        <f>'DY 2023 Summary'!E3</f>
        <v>170026.4843254805</v>
      </c>
      <c r="G33" s="10">
        <f>'DY 2023 Summary'!F3</f>
        <v>169176.35190385312</v>
      </c>
      <c r="H33" s="10">
        <f>'DY 2023 Summary'!G3</f>
        <v>168330.47014433384</v>
      </c>
      <c r="I33" s="10">
        <f>'DY 2023 Summary'!H3</f>
        <v>167488.81779361214</v>
      </c>
      <c r="J33" s="10">
        <f>'DY 2023 Summary'!I3</f>
        <v>166651.37370464409</v>
      </c>
      <c r="K33" s="10">
        <f>'DY 2023 Summary'!J3</f>
        <v>165818.11683612087</v>
      </c>
      <c r="L33" s="10">
        <f>'DY 2023 Summary'!K3</f>
        <v>164989.02625194026</v>
      </c>
      <c r="M33" s="10">
        <f>'DY 2023 Summary'!L3</f>
        <v>164164.08112068055</v>
      </c>
      <c r="N33" s="10">
        <f>'DY 2023 Summary'!M3</f>
        <v>163343.26071507717</v>
      </c>
      <c r="O33" s="10">
        <f>'DY 2023 Summary'!N3</f>
        <v>162526.54441150179</v>
      </c>
      <c r="P33" s="10">
        <f>'DY 2023 Summary'!O3</f>
        <v>161713.91168944424</v>
      </c>
      <c r="Q33" s="10">
        <f>'DY 2023 Summary'!P3</f>
        <v>160905.34213099704</v>
      </c>
      <c r="R33" s="10">
        <f>'DY 2023 Summary'!Q3</f>
        <v>0</v>
      </c>
      <c r="S33" s="10">
        <f>'DY 2023 Summary'!R3</f>
        <v>0</v>
      </c>
      <c r="T33" s="10">
        <f>'DY 2023 Summary'!S3</f>
        <v>0</v>
      </c>
      <c r="U33" s="10">
        <f>'DY 2023 Summary'!T3</f>
        <v>0</v>
      </c>
      <c r="V33" s="10">
        <f>'DY 2023 Summary'!U3</f>
        <v>0</v>
      </c>
    </row>
    <row r="34" spans="1:22" x14ac:dyDescent="0.3">
      <c r="A34" s="29" t="s">
        <v>21</v>
      </c>
      <c r="B34" s="18"/>
      <c r="C34" s="10">
        <f>'DY 2023 Summary'!B4</f>
        <v>0</v>
      </c>
      <c r="D34" s="10">
        <f>'DY 2023 Summary'!C4</f>
        <v>296358.74531999999</v>
      </c>
      <c r="E34" s="10">
        <f>'DY 2023 Summary'!D4</f>
        <v>294876.95159339998</v>
      </c>
      <c r="F34" s="10">
        <f>'DY 2023 Summary'!E4</f>
        <v>293402.56683543301</v>
      </c>
      <c r="G34" s="10">
        <f>'DY 2023 Summary'!F4</f>
        <v>291935.55400125583</v>
      </c>
      <c r="H34" s="10">
        <f>'DY 2023 Summary'!G4</f>
        <v>290475.87623124954</v>
      </c>
      <c r="I34" s="10">
        <f>'DY 2023 Summary'!H4</f>
        <v>289023.4968500933</v>
      </c>
      <c r="J34" s="10">
        <f>'DY 2023 Summary'!I4</f>
        <v>287578.37936584279</v>
      </c>
      <c r="K34" s="10">
        <f>'DY 2023 Summary'!J4</f>
        <v>286140.48746901361</v>
      </c>
      <c r="L34" s="10">
        <f>'DY 2023 Summary'!K4</f>
        <v>284709.78503166855</v>
      </c>
      <c r="M34" s="10">
        <f>'DY 2023 Summary'!L4</f>
        <v>283286.23610651016</v>
      </c>
      <c r="N34" s="10">
        <f>'DY 2023 Summary'!M4</f>
        <v>281869.8049259776</v>
      </c>
      <c r="O34" s="10">
        <f>'DY 2023 Summary'!N4</f>
        <v>280460.45590134774</v>
      </c>
      <c r="P34" s="10">
        <f>'DY 2023 Summary'!O4</f>
        <v>279058.15362184099</v>
      </c>
      <c r="Q34" s="10">
        <f>'DY 2023 Summary'!P4</f>
        <v>277662.86285373179</v>
      </c>
      <c r="R34" s="10">
        <f>'DY 2023 Summary'!Q4</f>
        <v>276274.54853946314</v>
      </c>
      <c r="S34" s="10">
        <f>'DY 2023 Summary'!R4</f>
        <v>274893.17579676583</v>
      </c>
      <c r="T34" s="10">
        <f>'DY 2023 Summary'!S4</f>
        <v>273518.70991778199</v>
      </c>
      <c r="U34" s="10">
        <f>'DY 2023 Summary'!T4</f>
        <v>272151.11636819306</v>
      </c>
      <c r="V34" s="10">
        <f>'DY 2023 Summary'!U4</f>
        <v>270790.36078635213</v>
      </c>
    </row>
    <row r="35" spans="1:22" x14ac:dyDescent="0.3">
      <c r="A35" s="29" t="s">
        <v>25</v>
      </c>
      <c r="B35" s="18"/>
      <c r="C35" s="10">
        <f>'DY 2023 Summary'!B5</f>
        <v>148179.37265999999</v>
      </c>
      <c r="D35" s="10">
        <f>'DY 2023 Summary'!C5</f>
        <v>147438.47579669999</v>
      </c>
      <c r="E35" s="10">
        <f>'DY 2023 Summary'!D5</f>
        <v>146701.28341771651</v>
      </c>
      <c r="F35" s="10">
        <f>'DY 2023 Summary'!E5</f>
        <v>145967.77700062795</v>
      </c>
      <c r="G35" s="10">
        <f>'DY 2023 Summary'!F5</f>
        <v>145237.9381156248</v>
      </c>
      <c r="H35" s="10">
        <f>'DY 2023 Summary'!G5</f>
        <v>144511.74842504668</v>
      </c>
      <c r="I35" s="10">
        <f>'DY 2023 Summary'!H5</f>
        <v>143789.18968292145</v>
      </c>
      <c r="J35" s="10">
        <f>'DY 2023 Summary'!I5</f>
        <v>143070.24373450683</v>
      </c>
      <c r="K35" s="10">
        <f>'DY 2023 Summary'!J5</f>
        <v>142354.8925158343</v>
      </c>
      <c r="L35" s="10">
        <f>'DY 2023 Summary'!K5</f>
        <v>141643.11805325511</v>
      </c>
      <c r="M35" s="10">
        <f>'DY 2023 Summary'!L5</f>
        <v>140934.90246298886</v>
      </c>
      <c r="N35" s="10">
        <f>'DY 2023 Summary'!M5</f>
        <v>140230.2279506739</v>
      </c>
      <c r="O35" s="10">
        <f>'DY 2023 Summary'!N5</f>
        <v>139529.07681092052</v>
      </c>
      <c r="P35" s="10">
        <f>'DY 2023 Summary'!O5</f>
        <v>138831.43142686592</v>
      </c>
      <c r="Q35" s="10">
        <f>'DY 2023 Summary'!P5</f>
        <v>138137.2742697316</v>
      </c>
      <c r="R35" s="10">
        <f>'DY 2023 Summary'!Q5</f>
        <v>137446.58789838295</v>
      </c>
      <c r="S35" s="10">
        <f>'DY 2023 Summary'!R5</f>
        <v>136759.35495889102</v>
      </c>
      <c r="T35" s="10">
        <f>'DY 2023 Summary'!S5</f>
        <v>136075.55818409656</v>
      </c>
      <c r="U35" s="10">
        <f>'DY 2023 Summary'!T5</f>
        <v>135395.1803931761</v>
      </c>
      <c r="V35" s="10">
        <f>'DY 2023 Summary'!U5</f>
        <v>134718.20449121023</v>
      </c>
    </row>
    <row r="36" spans="1:22" x14ac:dyDescent="0.3">
      <c r="A36" s="29" t="s">
        <v>29</v>
      </c>
      <c r="B36" s="18"/>
      <c r="C36" s="10">
        <f>'DY 2023 Summary'!B6</f>
        <v>0</v>
      </c>
      <c r="D36" s="10">
        <f>'DY 2023 Summary'!C6</f>
        <v>49393.124220000005</v>
      </c>
      <c r="E36" s="10">
        <f>'DY 2023 Summary'!D6</f>
        <v>49146.158598900001</v>
      </c>
      <c r="F36" s="10">
        <f>'DY 2023 Summary'!E6</f>
        <v>48900.4278059055</v>
      </c>
      <c r="G36" s="10">
        <f>'DY 2023 Summary'!F6</f>
        <v>48655.92566687597</v>
      </c>
      <c r="H36" s="10">
        <f>'DY 2023 Summary'!G6</f>
        <v>48412.646038541592</v>
      </c>
      <c r="I36" s="10">
        <f>'DY 2023 Summary'!H6</f>
        <v>48170.582808348889</v>
      </c>
      <c r="J36" s="10">
        <f>'DY 2023 Summary'!I6</f>
        <v>47929.729894307144</v>
      </c>
      <c r="K36" s="10">
        <f>'DY 2023 Summary'!J6</f>
        <v>47690.081244835608</v>
      </c>
      <c r="L36" s="10">
        <f>'DY 2023 Summary'!K6</f>
        <v>47451.630838611432</v>
      </c>
      <c r="M36" s="10">
        <f>'DY 2023 Summary'!L6</f>
        <v>47214.372684418369</v>
      </c>
      <c r="N36" s="10">
        <f>'DY 2023 Summary'!M6</f>
        <v>46978.300820996279</v>
      </c>
      <c r="O36" s="10">
        <f>'DY 2023 Summary'!N6</f>
        <v>46743.409316891295</v>
      </c>
      <c r="P36" s="10">
        <f>'DY 2023 Summary'!O6</f>
        <v>46509.692270306841</v>
      </c>
      <c r="Q36" s="10">
        <f>'DY 2023 Summary'!P6</f>
        <v>46277.143808955305</v>
      </c>
      <c r="R36" s="10">
        <f>'DY 2023 Summary'!Q6</f>
        <v>46045.758089910531</v>
      </c>
      <c r="S36" s="10">
        <f>'DY 2023 Summary'!R6</f>
        <v>0</v>
      </c>
      <c r="T36" s="10">
        <f>'DY 2023 Summary'!S6</f>
        <v>0</v>
      </c>
      <c r="U36" s="10">
        <f>'DY 2023 Summary'!T6</f>
        <v>0</v>
      </c>
      <c r="V36" s="10">
        <f>'DY 2023 Summary'!U6</f>
        <v>0</v>
      </c>
    </row>
    <row r="37" spans="1:22" x14ac:dyDescent="0.3">
      <c r="A37" s="30" t="s">
        <v>33</v>
      </c>
      <c r="B37" s="18"/>
      <c r="C37" s="10">
        <f>'DY 2023 Summary'!B7</f>
        <v>86301.29985067404</v>
      </c>
      <c r="D37" s="10">
        <f>'DY 2023 Summary'!C7</f>
        <v>85869.793351420667</v>
      </c>
      <c r="E37" s="10">
        <f>'DY 2023 Summary'!D7</f>
        <v>85440.44438466357</v>
      </c>
      <c r="F37" s="10">
        <f>'DY 2023 Summary'!E7</f>
        <v>85013.242162740251</v>
      </c>
      <c r="G37" s="10">
        <f>'DY 2023 Summary'!F7</f>
        <v>84588.175951926562</v>
      </c>
      <c r="H37" s="10">
        <f>'DY 2023 Summary'!G7</f>
        <v>84165.235072166921</v>
      </c>
      <c r="I37" s="10">
        <f>'DY 2023 Summary'!H7</f>
        <v>83744.408896806068</v>
      </c>
      <c r="J37" s="10">
        <f>'DY 2023 Summary'!I7</f>
        <v>83325.686852322047</v>
      </c>
      <c r="K37" s="10">
        <f>'DY 2023 Summary'!J7</f>
        <v>82909.058418060435</v>
      </c>
      <c r="L37" s="10">
        <f>'DY 2023 Summary'!K7</f>
        <v>82494.51312597013</v>
      </c>
      <c r="M37" s="10">
        <f>'DY 2023 Summary'!L7</f>
        <v>82082.040560340276</v>
      </c>
      <c r="N37" s="10">
        <f>'DY 2023 Summary'!M7</f>
        <v>81671.630357538583</v>
      </c>
      <c r="O37" s="10">
        <f>'DY 2023 Summary'!N7</f>
        <v>81263.272205750894</v>
      </c>
      <c r="P37" s="10">
        <f>'DY 2023 Summary'!O7</f>
        <v>80856.955844722121</v>
      </c>
      <c r="Q37" s="10">
        <f>'DY 2023 Summary'!P7</f>
        <v>80452.671065498522</v>
      </c>
      <c r="R37" s="10">
        <f>'DY 2023 Summary'!Q7</f>
        <v>0</v>
      </c>
      <c r="S37" s="10">
        <f>'DY 2023 Summary'!R7</f>
        <v>0</v>
      </c>
      <c r="T37" s="10">
        <f>'DY 2023 Summary'!S7</f>
        <v>0</v>
      </c>
      <c r="U37" s="10">
        <f>'DY 2023 Summary'!T7</f>
        <v>0</v>
      </c>
      <c r="V37" s="10">
        <f>'DY 2023 Summary'!U7</f>
        <v>0</v>
      </c>
    </row>
    <row r="38" spans="1:22" x14ac:dyDescent="0.3">
      <c r="A38" s="30" t="s">
        <v>40</v>
      </c>
      <c r="B38" s="18"/>
      <c r="C38" s="10">
        <f>'DY 2023 Summary'!B8</f>
        <v>0</v>
      </c>
      <c r="D38" s="10">
        <f>'DY 2023 Summary'!C8</f>
        <v>0</v>
      </c>
      <c r="E38" s="10">
        <f>'DY 2023 Summary'!D8</f>
        <v>0</v>
      </c>
      <c r="F38" s="10">
        <f>'DY 2023 Summary'!E8</f>
        <v>3500000</v>
      </c>
      <c r="G38" s="10">
        <f>'DY 2023 Summary'!F8</f>
        <v>3500000</v>
      </c>
      <c r="H38" s="10">
        <f>'DY 2023 Summary'!G8</f>
        <v>3500000</v>
      </c>
      <c r="I38" s="10">
        <f>'DY 2023 Summary'!H8</f>
        <v>3500000</v>
      </c>
      <c r="J38" s="10">
        <f>'DY 2023 Summary'!I8</f>
        <v>3500000</v>
      </c>
      <c r="K38" s="10">
        <f>'DY 2023 Summary'!J8</f>
        <v>3500000</v>
      </c>
      <c r="L38" s="10">
        <f>'DY 2023 Summary'!K8</f>
        <v>3500000</v>
      </c>
      <c r="M38" s="10">
        <f>'DY 2023 Summary'!L8</f>
        <v>3500000</v>
      </c>
      <c r="N38" s="10">
        <f>'DY 2023 Summary'!M8</f>
        <v>3500000</v>
      </c>
      <c r="O38" s="10">
        <f>'DY 2023 Summary'!N8</f>
        <v>3500000</v>
      </c>
      <c r="P38" s="10">
        <f>'DY 2023 Summary'!O8</f>
        <v>3500000</v>
      </c>
      <c r="Q38" s="10">
        <f>'DY 2023 Summary'!P8</f>
        <v>3500000</v>
      </c>
      <c r="R38" s="10">
        <f>'DY 2023 Summary'!Q8</f>
        <v>3500000</v>
      </c>
      <c r="S38" s="10">
        <f>'DY 2023 Summary'!R8</f>
        <v>3500000</v>
      </c>
      <c r="T38" s="10">
        <f>'DY 2023 Summary'!S8</f>
        <v>3500000</v>
      </c>
      <c r="U38" s="10">
        <f>'DY 2023 Summary'!T8</f>
        <v>3500000</v>
      </c>
      <c r="V38" s="10">
        <f>'DY 2023 Summary'!U8</f>
        <v>3500000</v>
      </c>
    </row>
    <row r="39" spans="1:22" x14ac:dyDescent="0.3">
      <c r="A39" s="30" t="s">
        <v>41</v>
      </c>
      <c r="B39" s="18"/>
      <c r="C39" s="10">
        <f>'DY 2023 Summary'!B9</f>
        <v>0</v>
      </c>
      <c r="D39" s="10">
        <f>'DY 2023 Summary'!C9</f>
        <v>0</v>
      </c>
      <c r="E39" s="10">
        <f>'DY 2023 Summary'!D9</f>
        <v>0</v>
      </c>
      <c r="F39" s="10">
        <f>'DY 2023 Summary'!E9</f>
        <v>1056570</v>
      </c>
      <c r="G39" s="10">
        <f>'DY 2023 Summary'!F9</f>
        <v>1051287.1499999999</v>
      </c>
      <c r="H39" s="10">
        <f>'DY 2023 Summary'!G9</f>
        <v>1046030.71425</v>
      </c>
      <c r="I39" s="10">
        <f>'DY 2023 Summary'!H9</f>
        <v>1040800.5606787499</v>
      </c>
      <c r="J39" s="10">
        <f>'DY 2023 Summary'!I9</f>
        <v>1035596.5578753562</v>
      </c>
      <c r="K39" s="10">
        <f>'DY 2023 Summary'!J9</f>
        <v>1030418.5750859794</v>
      </c>
      <c r="L39" s="10">
        <f>'DY 2023 Summary'!K9</f>
        <v>1025266.4822105495</v>
      </c>
      <c r="M39" s="10">
        <f>'DY 2023 Summary'!L9</f>
        <v>1020140.1497994968</v>
      </c>
      <c r="N39" s="10">
        <f>'DY 2023 Summary'!M9</f>
        <v>1015039.4490504992</v>
      </c>
      <c r="O39" s="10">
        <f>'DY 2023 Summary'!N9</f>
        <v>1009964.2518052467</v>
      </c>
      <c r="P39" s="10">
        <f>'DY 2023 Summary'!O9</f>
        <v>1004914.4305462205</v>
      </c>
      <c r="Q39" s="10">
        <f>'DY 2023 Summary'!P9</f>
        <v>999889.85839348938</v>
      </c>
      <c r="R39" s="10">
        <f>'DY 2023 Summary'!Q9</f>
        <v>994890.40910152195</v>
      </c>
      <c r="S39" s="10">
        <f>'DY 2023 Summary'!R9</f>
        <v>989915.95705601433</v>
      </c>
      <c r="T39" s="10">
        <f>'DY 2023 Summary'!S9</f>
        <v>984966.37727073429</v>
      </c>
      <c r="U39" s="10">
        <f>'DY 2023 Summary'!T9</f>
        <v>980041.54538438062</v>
      </c>
      <c r="V39" s="10">
        <f>'DY 2023 Summary'!U9</f>
        <v>975141.33765745873</v>
      </c>
    </row>
    <row r="40" spans="1:22" x14ac:dyDescent="0.3">
      <c r="A40" s="30" t="s">
        <v>42</v>
      </c>
      <c r="B40" s="18"/>
      <c r="C40" s="10">
        <f>'DY 2023 Summary'!B10</f>
        <v>0</v>
      </c>
      <c r="D40" s="10">
        <f>'DY 2023 Summary'!C10</f>
        <v>0</v>
      </c>
      <c r="E40" s="10">
        <f>'DY 2023 Summary'!D10</f>
        <v>0</v>
      </c>
      <c r="F40" s="10">
        <f>'DY 2023 Summary'!E10</f>
        <v>80623</v>
      </c>
      <c r="G40" s="10">
        <f>'DY 2023 Summary'!F10</f>
        <v>80219.884999999995</v>
      </c>
      <c r="H40" s="10">
        <f>'DY 2023 Summary'!G10</f>
        <v>79818.785575000002</v>
      </c>
      <c r="I40" s="10">
        <f>'DY 2023 Summary'!H10</f>
        <v>79419.691647125001</v>
      </c>
      <c r="J40" s="10">
        <f>'DY 2023 Summary'!I10</f>
        <v>79022.593188889368</v>
      </c>
      <c r="K40" s="10">
        <f>'DY 2023 Summary'!J10</f>
        <v>78627.480222944927</v>
      </c>
      <c r="L40" s="10">
        <f>'DY 2023 Summary'!K10</f>
        <v>78234.3428218302</v>
      </c>
      <c r="M40" s="10">
        <f>'DY 2023 Summary'!L10</f>
        <v>77843.171107721049</v>
      </c>
      <c r="N40" s="10">
        <f>'DY 2023 Summary'!M10</f>
        <v>77453.955252182437</v>
      </c>
      <c r="O40" s="10">
        <f>'DY 2023 Summary'!N10</f>
        <v>77066.68547592152</v>
      </c>
      <c r="P40" s="10">
        <f>'DY 2023 Summary'!O10</f>
        <v>76681.352048541914</v>
      </c>
      <c r="Q40" s="10">
        <f>'DY 2023 Summary'!P10</f>
        <v>76297.945288299205</v>
      </c>
      <c r="R40" s="10">
        <f>'DY 2023 Summary'!Q10</f>
        <v>75916.455561857714</v>
      </c>
      <c r="S40" s="10">
        <f>'DY 2023 Summary'!R10</f>
        <v>75536.87328404843</v>
      </c>
      <c r="T40" s="10">
        <f>'DY 2023 Summary'!S10</f>
        <v>75159.188917628184</v>
      </c>
      <c r="U40" s="10">
        <f>'DY 2023 Summary'!T10</f>
        <v>74783.392973040041</v>
      </c>
      <c r="V40" s="10">
        <f>'DY 2023 Summary'!U10</f>
        <v>74409.476008174839</v>
      </c>
    </row>
    <row r="41" spans="1:22" x14ac:dyDescent="0.3">
      <c r="A41" s="5" t="s">
        <v>241</v>
      </c>
      <c r="B41" s="6">
        <f t="shared" ref="B41:V41" si="4">SUM(B32:B40)</f>
        <v>0</v>
      </c>
      <c r="C41" s="6">
        <f t="shared" si="4"/>
        <v>569202.00562930212</v>
      </c>
      <c r="D41" s="6">
        <f t="shared" si="4"/>
        <v>912107.86514115555</v>
      </c>
      <c r="E41" s="6">
        <f t="shared" si="4"/>
        <v>907547.32581544982</v>
      </c>
      <c r="F41" s="6">
        <f t="shared" si="4"/>
        <v>5540202.5891863722</v>
      </c>
      <c r="G41" s="6">
        <f t="shared" si="4"/>
        <v>5530001.5762404408</v>
      </c>
      <c r="H41" s="6">
        <f t="shared" si="4"/>
        <v>5519851.5683592381</v>
      </c>
      <c r="I41" s="6">
        <f t="shared" si="4"/>
        <v>5509752.3105174433</v>
      </c>
      <c r="J41" s="6">
        <f t="shared" si="4"/>
        <v>5499703.5489648543</v>
      </c>
      <c r="K41" s="6">
        <f t="shared" si="4"/>
        <v>5489705.031220031</v>
      </c>
      <c r="L41" s="6">
        <f t="shared" si="4"/>
        <v>5479756.5060639307</v>
      </c>
      <c r="M41" s="6">
        <f t="shared" si="4"/>
        <v>5469857.7235336117</v>
      </c>
      <c r="N41" s="6">
        <f t="shared" si="4"/>
        <v>5460008.4349159431</v>
      </c>
      <c r="O41" s="6">
        <f t="shared" si="4"/>
        <v>5450208.3927413626</v>
      </c>
      <c r="P41" s="6">
        <f t="shared" si="4"/>
        <v>5440457.3507776568</v>
      </c>
      <c r="Q41" s="6">
        <f t="shared" si="4"/>
        <v>5430755.0640237685</v>
      </c>
      <c r="R41" s="6">
        <f t="shared" si="4"/>
        <v>5030573.7591911359</v>
      </c>
      <c r="S41" s="6">
        <f t="shared" si="4"/>
        <v>4977105.36109572</v>
      </c>
      <c r="T41" s="6">
        <f t="shared" si="4"/>
        <v>4969719.8342902409</v>
      </c>
      <c r="U41" s="6">
        <f t="shared" si="4"/>
        <v>4962371.2351187905</v>
      </c>
      <c r="V41" s="6">
        <f t="shared" si="4"/>
        <v>4955059.3789431965</v>
      </c>
    </row>
    <row r="43" spans="1:22" ht="15.6" x14ac:dyDescent="0.3">
      <c r="A43" s="43">
        <v>2024</v>
      </c>
      <c r="B43" s="2">
        <v>2022</v>
      </c>
      <c r="C43" s="2">
        <v>2023</v>
      </c>
      <c r="D43" s="2">
        <v>2024</v>
      </c>
      <c r="E43" s="2">
        <v>2025</v>
      </c>
      <c r="F43" s="2">
        <v>2026</v>
      </c>
      <c r="G43" s="2">
        <v>2027</v>
      </c>
      <c r="H43" s="2">
        <v>2028</v>
      </c>
      <c r="I43" s="2">
        <v>2029</v>
      </c>
      <c r="J43" s="2">
        <v>2030</v>
      </c>
      <c r="K43" s="2">
        <v>2031</v>
      </c>
      <c r="L43" s="2">
        <v>2032</v>
      </c>
      <c r="M43" s="2">
        <v>2033</v>
      </c>
      <c r="N43" s="2">
        <v>2034</v>
      </c>
      <c r="O43" s="2">
        <v>2035</v>
      </c>
      <c r="P43" s="2">
        <v>2036</v>
      </c>
      <c r="Q43" s="2">
        <v>2037</v>
      </c>
      <c r="R43" s="2">
        <v>2038</v>
      </c>
      <c r="S43" s="2">
        <v>2039</v>
      </c>
      <c r="T43" s="2">
        <v>2040</v>
      </c>
      <c r="U43" s="2">
        <v>2041</v>
      </c>
      <c r="V43" s="2">
        <v>2042</v>
      </c>
    </row>
    <row r="44" spans="1:22" x14ac:dyDescent="0.3">
      <c r="A44" s="29" t="s">
        <v>6</v>
      </c>
      <c r="B44" s="10"/>
      <c r="C44" s="10"/>
      <c r="D44" s="10">
        <f>'DY 2024 Summary'!B2</f>
        <v>162118.73341728002</v>
      </c>
      <c r="E44" s="10">
        <f>'DY 2024 Summary'!C2</f>
        <v>161308.1397501936</v>
      </c>
      <c r="F44" s="10">
        <f>'DY 2024 Summary'!D2</f>
        <v>160501.59905144264</v>
      </c>
      <c r="G44" s="10">
        <f>'DY 2024 Summary'!E2</f>
        <v>159699.09105618543</v>
      </c>
      <c r="H44" s="10">
        <f>'DY 2024 Summary'!F2</f>
        <v>158900.59560090449</v>
      </c>
      <c r="I44" s="10">
        <f>'DY 2024 Summary'!G2</f>
        <v>158106.09262289997</v>
      </c>
      <c r="J44" s="10">
        <f>'DY 2024 Summary'!H2</f>
        <v>157315.56215978548</v>
      </c>
      <c r="K44" s="10">
        <f>'DY 2024 Summary'!I2</f>
        <v>156528.98434898653</v>
      </c>
      <c r="L44" s="10">
        <f>'DY 2024 Summary'!J2</f>
        <v>155746.33942724159</v>
      </c>
      <c r="M44" s="10">
        <f>'DY 2024 Summary'!K2</f>
        <v>154967.6077301054</v>
      </c>
      <c r="N44" s="10">
        <f>'DY 2024 Summary'!L2</f>
        <v>154192.76969145489</v>
      </c>
      <c r="O44" s="10">
        <f>'DY 2024 Summary'!M2</f>
        <v>153421.80584299756</v>
      </c>
      <c r="P44" s="10">
        <f>'DY 2024 Summary'!N2</f>
        <v>152654.69681378259</v>
      </c>
      <c r="Q44" s="10">
        <f>'DY 2024 Summary'!O2</f>
        <v>151891.42332971367</v>
      </c>
      <c r="R44" s="10">
        <f>'DY 2024 Summary'!P2</f>
        <v>151131.96621306511</v>
      </c>
      <c r="S44" s="10">
        <f>'DY 2024 Summary'!Q2</f>
        <v>0</v>
      </c>
      <c r="T44" s="10">
        <f>'DY 2024 Summary'!R2</f>
        <v>0</v>
      </c>
      <c r="U44" s="10">
        <f>'DY 2024 Summary'!S2</f>
        <v>0</v>
      </c>
      <c r="V44" s="10">
        <f>'DY 2024 Summary'!T2</f>
        <v>0</v>
      </c>
    </row>
    <row r="45" spans="1:22" x14ac:dyDescent="0.3">
      <c r="A45" s="29" t="s">
        <v>12</v>
      </c>
      <c r="B45" s="10"/>
      <c r="C45" s="10"/>
      <c r="D45" s="10">
        <f>'DY 2024 Summary'!B3</f>
        <v>172602.59970134808</v>
      </c>
      <c r="E45" s="10">
        <f>'DY 2024 Summary'!C3</f>
        <v>171739.58670284133</v>
      </c>
      <c r="F45" s="10">
        <f>'DY 2024 Summary'!D3</f>
        <v>170880.88876932714</v>
      </c>
      <c r="G45" s="10">
        <f>'DY 2024 Summary'!E3</f>
        <v>170026.4843254805</v>
      </c>
      <c r="H45" s="10">
        <f>'DY 2024 Summary'!F3</f>
        <v>169176.35190385312</v>
      </c>
      <c r="I45" s="10">
        <f>'DY 2024 Summary'!G3</f>
        <v>168330.47014433384</v>
      </c>
      <c r="J45" s="10">
        <f>'DY 2024 Summary'!H3</f>
        <v>167488.81779361214</v>
      </c>
      <c r="K45" s="10">
        <f>'DY 2024 Summary'!I3</f>
        <v>166651.37370464409</v>
      </c>
      <c r="L45" s="10">
        <f>'DY 2024 Summary'!J3</f>
        <v>165818.11683612087</v>
      </c>
      <c r="M45" s="10">
        <f>'DY 2024 Summary'!K3</f>
        <v>164989.02625194026</v>
      </c>
      <c r="N45" s="10">
        <f>'DY 2024 Summary'!L3</f>
        <v>164164.08112068055</v>
      </c>
      <c r="O45" s="10">
        <f>'DY 2024 Summary'!M3</f>
        <v>163343.26071507717</v>
      </c>
      <c r="P45" s="10">
        <f>'DY 2024 Summary'!N3</f>
        <v>162526.54441150179</v>
      </c>
      <c r="Q45" s="10">
        <f>'DY 2024 Summary'!O3</f>
        <v>161713.91168944424</v>
      </c>
      <c r="R45" s="10">
        <f>'DY 2024 Summary'!P3</f>
        <v>160905.34213099704</v>
      </c>
      <c r="S45" s="10">
        <f>'DY 2024 Summary'!Q3</f>
        <v>0</v>
      </c>
      <c r="T45" s="10">
        <f>'DY 2024 Summary'!R3</f>
        <v>0</v>
      </c>
      <c r="U45" s="10">
        <f>'DY 2024 Summary'!S3</f>
        <v>0</v>
      </c>
      <c r="V45" s="10">
        <f>'DY 2024 Summary'!T3</f>
        <v>0</v>
      </c>
    </row>
    <row r="46" spans="1:22" x14ac:dyDescent="0.3">
      <c r="A46" s="29" t="s">
        <v>21</v>
      </c>
      <c r="B46" s="10"/>
      <c r="C46" s="10"/>
      <c r="D46" s="10">
        <f>'DY 2024 Summary'!B4</f>
        <v>0</v>
      </c>
      <c r="E46" s="10">
        <f>'DY 2024 Summary'!C4</f>
        <v>296358.74531999999</v>
      </c>
      <c r="F46" s="10">
        <f>'DY 2024 Summary'!D4</f>
        <v>294876.95159339998</v>
      </c>
      <c r="G46" s="10">
        <f>'DY 2024 Summary'!E4</f>
        <v>293402.56683543301</v>
      </c>
      <c r="H46" s="10">
        <f>'DY 2024 Summary'!F4</f>
        <v>291935.55400125583</v>
      </c>
      <c r="I46" s="10">
        <f>'DY 2024 Summary'!G4</f>
        <v>290475.87623124954</v>
      </c>
      <c r="J46" s="10">
        <f>'DY 2024 Summary'!H4</f>
        <v>289023.4968500933</v>
      </c>
      <c r="K46" s="10">
        <f>'DY 2024 Summary'!I4</f>
        <v>287578.37936584279</v>
      </c>
      <c r="L46" s="10">
        <f>'DY 2024 Summary'!J4</f>
        <v>286140.48746901361</v>
      </c>
      <c r="M46" s="10">
        <f>'DY 2024 Summary'!K4</f>
        <v>284709.78503166855</v>
      </c>
      <c r="N46" s="10">
        <f>'DY 2024 Summary'!L4</f>
        <v>283286.23610651016</v>
      </c>
      <c r="O46" s="10">
        <f>'DY 2024 Summary'!M4</f>
        <v>281869.8049259776</v>
      </c>
      <c r="P46" s="10">
        <f>'DY 2024 Summary'!N4</f>
        <v>280460.45590134774</v>
      </c>
      <c r="Q46" s="10">
        <f>'DY 2024 Summary'!O4</f>
        <v>279058.15362184099</v>
      </c>
      <c r="R46" s="10">
        <f>'DY 2024 Summary'!P4</f>
        <v>277662.86285373179</v>
      </c>
      <c r="S46" s="10">
        <f>'DY 2024 Summary'!Q4</f>
        <v>276274.54853946314</v>
      </c>
      <c r="T46" s="10">
        <f>'DY 2024 Summary'!R4</f>
        <v>274893.17579676583</v>
      </c>
      <c r="U46" s="10">
        <f>'DY 2024 Summary'!S4</f>
        <v>273518.70991778199</v>
      </c>
      <c r="V46" s="10">
        <f>'DY 2024 Summary'!T4</f>
        <v>272151.11636819306</v>
      </c>
    </row>
    <row r="47" spans="1:22" x14ac:dyDescent="0.3">
      <c r="A47" s="29" t="s">
        <v>25</v>
      </c>
      <c r="B47" s="10"/>
      <c r="C47" s="10"/>
      <c r="D47" s="10">
        <f>'DY 2024 Summary'!B5</f>
        <v>148179.37265999999</v>
      </c>
      <c r="E47" s="10">
        <f>'DY 2024 Summary'!C5</f>
        <v>147438.47579669999</v>
      </c>
      <c r="F47" s="10">
        <f>'DY 2024 Summary'!D5</f>
        <v>146701.28341771651</v>
      </c>
      <c r="G47" s="10">
        <f>'DY 2024 Summary'!E5</f>
        <v>145967.77700062795</v>
      </c>
      <c r="H47" s="10">
        <f>'DY 2024 Summary'!F5</f>
        <v>145237.9381156248</v>
      </c>
      <c r="I47" s="10">
        <f>'DY 2024 Summary'!G5</f>
        <v>144511.74842504668</v>
      </c>
      <c r="J47" s="10">
        <f>'DY 2024 Summary'!H5</f>
        <v>143789.18968292145</v>
      </c>
      <c r="K47" s="10">
        <f>'DY 2024 Summary'!I5</f>
        <v>143070.24373450683</v>
      </c>
      <c r="L47" s="10">
        <f>'DY 2024 Summary'!J5</f>
        <v>142354.8925158343</v>
      </c>
      <c r="M47" s="10">
        <f>'DY 2024 Summary'!K5</f>
        <v>141643.11805325511</v>
      </c>
      <c r="N47" s="10">
        <f>'DY 2024 Summary'!L5</f>
        <v>140934.90246298886</v>
      </c>
      <c r="O47" s="10">
        <f>'DY 2024 Summary'!M5</f>
        <v>140230.2279506739</v>
      </c>
      <c r="P47" s="10">
        <f>'DY 2024 Summary'!N5</f>
        <v>139529.07681092052</v>
      </c>
      <c r="Q47" s="10">
        <f>'DY 2024 Summary'!O5</f>
        <v>138831.43142686592</v>
      </c>
      <c r="R47" s="10">
        <f>'DY 2024 Summary'!P5</f>
        <v>138137.2742697316</v>
      </c>
      <c r="S47" s="10">
        <f>'DY 2024 Summary'!Q5</f>
        <v>137446.58789838295</v>
      </c>
      <c r="T47" s="10">
        <f>'DY 2024 Summary'!R5</f>
        <v>136759.35495889102</v>
      </c>
      <c r="U47" s="10">
        <f>'DY 2024 Summary'!S5</f>
        <v>136075.55818409656</v>
      </c>
      <c r="V47" s="10">
        <f>'DY 2024 Summary'!T5</f>
        <v>135395.1803931761</v>
      </c>
    </row>
    <row r="48" spans="1:22" x14ac:dyDescent="0.3">
      <c r="A48" s="29" t="s">
        <v>29</v>
      </c>
      <c r="B48" s="10"/>
      <c r="C48" s="10"/>
      <c r="D48" s="10">
        <f>'DY 2024 Summary'!B6</f>
        <v>0</v>
      </c>
      <c r="E48" s="10">
        <f>'DY 2024 Summary'!C6</f>
        <v>49393.124220000005</v>
      </c>
      <c r="F48" s="10">
        <f>'DY 2024 Summary'!D6</f>
        <v>49146.158598900001</v>
      </c>
      <c r="G48" s="10">
        <f>'DY 2024 Summary'!E6</f>
        <v>48900.4278059055</v>
      </c>
      <c r="H48" s="10">
        <f>'DY 2024 Summary'!F6</f>
        <v>48655.92566687597</v>
      </c>
      <c r="I48" s="10">
        <f>'DY 2024 Summary'!G6</f>
        <v>48412.646038541592</v>
      </c>
      <c r="J48" s="10">
        <f>'DY 2024 Summary'!H6</f>
        <v>48170.582808348889</v>
      </c>
      <c r="K48" s="10">
        <f>'DY 2024 Summary'!I6</f>
        <v>47929.729894307144</v>
      </c>
      <c r="L48" s="10">
        <f>'DY 2024 Summary'!J6</f>
        <v>47690.081244835608</v>
      </c>
      <c r="M48" s="10">
        <f>'DY 2024 Summary'!K6</f>
        <v>47451.630838611432</v>
      </c>
      <c r="N48" s="10">
        <f>'DY 2024 Summary'!L6</f>
        <v>47214.372684418369</v>
      </c>
      <c r="O48" s="10">
        <f>'DY 2024 Summary'!M6</f>
        <v>46978.300820996279</v>
      </c>
      <c r="P48" s="10">
        <f>'DY 2024 Summary'!N6</f>
        <v>46743.409316891295</v>
      </c>
      <c r="Q48" s="10">
        <f>'DY 2024 Summary'!O6</f>
        <v>46509.692270306841</v>
      </c>
      <c r="R48" s="10">
        <f>'DY 2024 Summary'!P6</f>
        <v>46277.143808955305</v>
      </c>
      <c r="S48" s="10">
        <f>'DY 2024 Summary'!Q6</f>
        <v>46045.758089910531</v>
      </c>
      <c r="T48" s="10">
        <f>'DY 2024 Summary'!R6</f>
        <v>0</v>
      </c>
      <c r="U48" s="10">
        <f>'DY 2024 Summary'!S6</f>
        <v>0</v>
      </c>
      <c r="V48" s="10">
        <f>'DY 2024 Summary'!T6</f>
        <v>0</v>
      </c>
    </row>
    <row r="49" spans="1:22" x14ac:dyDescent="0.3">
      <c r="A49" s="30" t="s">
        <v>33</v>
      </c>
      <c r="B49" s="10"/>
      <c r="C49" s="10"/>
      <c r="D49" s="10">
        <f>'DY 2024 Summary'!B7</f>
        <v>86301.29985067404</v>
      </c>
      <c r="E49" s="10">
        <f>'DY 2024 Summary'!C7</f>
        <v>85869.793351420667</v>
      </c>
      <c r="F49" s="10">
        <f>'DY 2024 Summary'!D7</f>
        <v>85440.44438466357</v>
      </c>
      <c r="G49" s="10">
        <f>'DY 2024 Summary'!E7</f>
        <v>85013.242162740251</v>
      </c>
      <c r="H49" s="10">
        <f>'DY 2024 Summary'!F7</f>
        <v>84588.175951926562</v>
      </c>
      <c r="I49" s="10">
        <f>'DY 2024 Summary'!G7</f>
        <v>84165.235072166921</v>
      </c>
      <c r="J49" s="10">
        <f>'DY 2024 Summary'!H7</f>
        <v>83744.408896806068</v>
      </c>
      <c r="K49" s="10">
        <f>'DY 2024 Summary'!I7</f>
        <v>83325.686852322047</v>
      </c>
      <c r="L49" s="10">
        <f>'DY 2024 Summary'!J7</f>
        <v>82909.058418060435</v>
      </c>
      <c r="M49" s="10">
        <f>'DY 2024 Summary'!K7</f>
        <v>82494.51312597013</v>
      </c>
      <c r="N49" s="10">
        <f>'DY 2024 Summary'!L7</f>
        <v>82082.040560340276</v>
      </c>
      <c r="O49" s="10">
        <f>'DY 2024 Summary'!M7</f>
        <v>81671.630357538583</v>
      </c>
      <c r="P49" s="10">
        <f>'DY 2024 Summary'!N7</f>
        <v>81263.272205750894</v>
      </c>
      <c r="Q49" s="10">
        <f>'DY 2024 Summary'!O7</f>
        <v>80856.955844722121</v>
      </c>
      <c r="R49" s="10">
        <f>'DY 2024 Summary'!P7</f>
        <v>80452.671065498522</v>
      </c>
      <c r="S49" s="10">
        <f>'DY 2024 Summary'!Q7</f>
        <v>0</v>
      </c>
      <c r="T49" s="10">
        <f>'DY 2024 Summary'!R7</f>
        <v>0</v>
      </c>
      <c r="U49" s="10">
        <f>'DY 2024 Summary'!S7</f>
        <v>0</v>
      </c>
      <c r="V49" s="10">
        <f>'DY 2024 Summary'!T7</f>
        <v>0</v>
      </c>
    </row>
    <row r="50" spans="1:22" x14ac:dyDescent="0.3">
      <c r="A50" s="30" t="s">
        <v>40</v>
      </c>
      <c r="B50" s="10"/>
      <c r="C50" s="10"/>
      <c r="D50" s="10">
        <f>'DY 2024 Summary'!B8</f>
        <v>0</v>
      </c>
      <c r="E50" s="10">
        <f>'DY 2024 Summary'!C8</f>
        <v>0</v>
      </c>
      <c r="F50" s="10">
        <f>'DY 2024 Summary'!D8</f>
        <v>0</v>
      </c>
      <c r="G50" s="10">
        <f>'DY 2024 Summary'!E8</f>
        <v>1750000</v>
      </c>
      <c r="H50" s="10">
        <f>'DY 2024 Summary'!F8</f>
        <v>1750000</v>
      </c>
      <c r="I50" s="10">
        <f>'DY 2024 Summary'!G8</f>
        <v>1750000</v>
      </c>
      <c r="J50" s="10">
        <f>'DY 2024 Summary'!H8</f>
        <v>1750000</v>
      </c>
      <c r="K50" s="10">
        <f>'DY 2024 Summary'!I8</f>
        <v>1750000</v>
      </c>
      <c r="L50" s="10">
        <f>'DY 2024 Summary'!J8</f>
        <v>1750000</v>
      </c>
      <c r="M50" s="10">
        <f>'DY 2024 Summary'!K8</f>
        <v>1750000</v>
      </c>
      <c r="N50" s="10">
        <f>'DY 2024 Summary'!L8</f>
        <v>1750000</v>
      </c>
      <c r="O50" s="10">
        <f>'DY 2024 Summary'!M8</f>
        <v>1750000</v>
      </c>
      <c r="P50" s="10">
        <f>'DY 2024 Summary'!N8</f>
        <v>1750000</v>
      </c>
      <c r="Q50" s="10">
        <f>'DY 2024 Summary'!O8</f>
        <v>1750000</v>
      </c>
      <c r="R50" s="10">
        <f>'DY 2024 Summary'!P8</f>
        <v>1750000</v>
      </c>
      <c r="S50" s="10">
        <f>'DY 2024 Summary'!Q8</f>
        <v>1750000</v>
      </c>
      <c r="T50" s="10">
        <f>'DY 2024 Summary'!R8</f>
        <v>1750000</v>
      </c>
      <c r="U50" s="10">
        <f>'DY 2024 Summary'!S8</f>
        <v>1750000</v>
      </c>
      <c r="V50" s="10">
        <f>'DY 2024 Summary'!T8</f>
        <v>1750000</v>
      </c>
    </row>
    <row r="51" spans="1:22" x14ac:dyDescent="0.3">
      <c r="A51" s="30" t="s">
        <v>41</v>
      </c>
      <c r="B51" s="10"/>
      <c r="C51" s="10"/>
      <c r="D51" s="10">
        <f>'DY 2024 Summary'!B9</f>
        <v>0</v>
      </c>
      <c r="E51" s="10">
        <f>'DY 2024 Summary'!C9</f>
        <v>0</v>
      </c>
      <c r="F51" s="10">
        <f>'DY 2024 Summary'!D9</f>
        <v>0</v>
      </c>
      <c r="G51" s="10">
        <f>'DY 2024 Summary'!E9</f>
        <v>1000000</v>
      </c>
      <c r="H51" s="10">
        <f>'DY 2024 Summary'!F9</f>
        <v>995000</v>
      </c>
      <c r="I51" s="10">
        <f>'DY 2024 Summary'!G9</f>
        <v>990025</v>
      </c>
      <c r="J51" s="10">
        <f>'DY 2024 Summary'!H9</f>
        <v>985074.875</v>
      </c>
      <c r="K51" s="10">
        <f>'DY 2024 Summary'!I9</f>
        <v>980149.50062499999</v>
      </c>
      <c r="L51" s="10">
        <f>'DY 2024 Summary'!J9</f>
        <v>975248.75312187499</v>
      </c>
      <c r="M51" s="10">
        <f>'DY 2024 Summary'!K9</f>
        <v>970372.50935626565</v>
      </c>
      <c r="N51" s="10">
        <f>'DY 2024 Summary'!L9</f>
        <v>965520.64680948434</v>
      </c>
      <c r="O51" s="10">
        <f>'DY 2024 Summary'!M9</f>
        <v>960693.04357543692</v>
      </c>
      <c r="P51" s="10">
        <f>'DY 2024 Summary'!N9</f>
        <v>955889.57835755975</v>
      </c>
      <c r="Q51" s="10">
        <f>'DY 2024 Summary'!O9</f>
        <v>951110.13046577189</v>
      </c>
      <c r="R51" s="10">
        <f>'DY 2024 Summary'!P9</f>
        <v>946354.57981344301</v>
      </c>
      <c r="S51" s="10">
        <f>'DY 2024 Summary'!Q9</f>
        <v>941622.80691437575</v>
      </c>
      <c r="T51" s="10">
        <f>'DY 2024 Summary'!R9</f>
        <v>936914.69287980383</v>
      </c>
      <c r="U51" s="10">
        <f>'DY 2024 Summary'!S9</f>
        <v>932230.11941540486</v>
      </c>
      <c r="V51" s="10">
        <f>'DY 2024 Summary'!T9</f>
        <v>927568.96881832788</v>
      </c>
    </row>
    <row r="52" spans="1:22" x14ac:dyDescent="0.3">
      <c r="A52" s="30" t="s">
        <v>42</v>
      </c>
      <c r="B52" s="10"/>
      <c r="C52" s="10"/>
      <c r="D52" s="10">
        <f>'DY 2024 Summary'!B10</f>
        <v>0</v>
      </c>
      <c r="E52" s="10">
        <f>'DY 2024 Summary'!C10</f>
        <v>0</v>
      </c>
      <c r="F52" s="10">
        <f>'DY 2024 Summary'!D10</f>
        <v>0</v>
      </c>
      <c r="G52" s="10">
        <f>'DY 2024 Summary'!E10</f>
        <v>65000</v>
      </c>
      <c r="H52" s="10">
        <f>'DY 2024 Summary'!F10</f>
        <v>64675</v>
      </c>
      <c r="I52" s="10">
        <f>'DY 2024 Summary'!G10</f>
        <v>64351.625</v>
      </c>
      <c r="J52" s="10">
        <f>'DY 2024 Summary'!H10</f>
        <v>64029.866875</v>
      </c>
      <c r="K52" s="10">
        <f>'DY 2024 Summary'!I10</f>
        <v>63709.717540625003</v>
      </c>
      <c r="L52" s="10">
        <f>'DY 2024 Summary'!J10</f>
        <v>63391.168952921878</v>
      </c>
      <c r="M52" s="10">
        <f>'DY 2024 Summary'!K10</f>
        <v>63074.213108157266</v>
      </c>
      <c r="N52" s="10">
        <f>'DY 2024 Summary'!L10</f>
        <v>62758.842042616481</v>
      </c>
      <c r="O52" s="10">
        <f>'DY 2024 Summary'!M10</f>
        <v>62445.047832403397</v>
      </c>
      <c r="P52" s="10">
        <f>'DY 2024 Summary'!N10</f>
        <v>62132.822593241377</v>
      </c>
      <c r="Q52" s="10">
        <f>'DY 2024 Summary'!O10</f>
        <v>61822.158480275168</v>
      </c>
      <c r="R52" s="10">
        <f>'DY 2024 Summary'!P10</f>
        <v>61513.04768787379</v>
      </c>
      <c r="S52" s="10">
        <f>'DY 2024 Summary'!Q10</f>
        <v>61205.482449434421</v>
      </c>
      <c r="T52" s="10">
        <f>'DY 2024 Summary'!R10</f>
        <v>60899.455037187246</v>
      </c>
      <c r="U52" s="10">
        <f>'DY 2024 Summary'!S10</f>
        <v>60594.957762001308</v>
      </c>
      <c r="V52" s="10">
        <f>'DY 2024 Summary'!T10</f>
        <v>60291.982973191298</v>
      </c>
    </row>
    <row r="53" spans="1:22" x14ac:dyDescent="0.3">
      <c r="A53" s="5" t="s">
        <v>241</v>
      </c>
      <c r="B53" s="6">
        <f t="shared" ref="B53:V53" si="5">SUM(B44:B52)</f>
        <v>0</v>
      </c>
      <c r="C53" s="6">
        <f t="shared" si="5"/>
        <v>0</v>
      </c>
      <c r="D53" s="6">
        <f t="shared" si="5"/>
        <v>569202.00562930212</v>
      </c>
      <c r="E53" s="6">
        <f t="shared" si="5"/>
        <v>912107.86514115555</v>
      </c>
      <c r="F53" s="6">
        <f t="shared" si="5"/>
        <v>907547.32581544982</v>
      </c>
      <c r="G53" s="6">
        <f t="shared" si="5"/>
        <v>3718009.5891863727</v>
      </c>
      <c r="H53" s="6">
        <f t="shared" si="5"/>
        <v>3708169.5412404407</v>
      </c>
      <c r="I53" s="6">
        <f t="shared" si="5"/>
        <v>3698378.6935342383</v>
      </c>
      <c r="J53" s="6">
        <f t="shared" si="5"/>
        <v>3688636.8000665675</v>
      </c>
      <c r="K53" s="6">
        <f t="shared" si="5"/>
        <v>3678943.6160662342</v>
      </c>
      <c r="L53" s="6">
        <f t="shared" si="5"/>
        <v>3669298.8979859031</v>
      </c>
      <c r="M53" s="6">
        <f t="shared" si="5"/>
        <v>3659702.4034959734</v>
      </c>
      <c r="N53" s="6">
        <f t="shared" si="5"/>
        <v>3650153.8914784938</v>
      </c>
      <c r="O53" s="6">
        <f t="shared" si="5"/>
        <v>3640653.1220211014</v>
      </c>
      <c r="P53" s="6">
        <f t="shared" si="5"/>
        <v>3631199.8564109961</v>
      </c>
      <c r="Q53" s="6">
        <f t="shared" si="5"/>
        <v>3621793.857128941</v>
      </c>
      <c r="R53" s="6">
        <f t="shared" si="5"/>
        <v>3612434.8878432964</v>
      </c>
      <c r="S53" s="6">
        <f t="shared" si="5"/>
        <v>3212595.1838915665</v>
      </c>
      <c r="T53" s="6">
        <f t="shared" si="5"/>
        <v>3159466.678672648</v>
      </c>
      <c r="U53" s="6">
        <f t="shared" si="5"/>
        <v>3152419.3452792843</v>
      </c>
      <c r="V53" s="6">
        <f t="shared" si="5"/>
        <v>3145407.2485528886</v>
      </c>
    </row>
    <row r="55" spans="1:22" ht="15.6" x14ac:dyDescent="0.3">
      <c r="A55" s="43">
        <v>2025</v>
      </c>
      <c r="B55" s="2">
        <v>2022</v>
      </c>
      <c r="C55" s="2">
        <v>2023</v>
      </c>
      <c r="D55" s="2">
        <v>2024</v>
      </c>
      <c r="E55" s="2">
        <v>2025</v>
      </c>
      <c r="F55" s="2">
        <v>2026</v>
      </c>
      <c r="G55" s="2">
        <v>2027</v>
      </c>
      <c r="H55" s="2">
        <v>2028</v>
      </c>
      <c r="I55" s="2">
        <v>2029</v>
      </c>
      <c r="J55" s="2">
        <v>2030</v>
      </c>
      <c r="K55" s="2">
        <v>2031</v>
      </c>
      <c r="L55" s="2">
        <v>2032</v>
      </c>
      <c r="M55" s="2">
        <v>2033</v>
      </c>
      <c r="N55" s="2">
        <v>2034</v>
      </c>
      <c r="O55" s="2">
        <v>2035</v>
      </c>
      <c r="P55" s="2">
        <v>2036</v>
      </c>
      <c r="Q55" s="2">
        <v>2037</v>
      </c>
      <c r="R55" s="2">
        <v>2038</v>
      </c>
      <c r="S55" s="2">
        <v>2039</v>
      </c>
      <c r="T55" s="2">
        <v>2040</v>
      </c>
      <c r="U55" s="2">
        <v>2041</v>
      </c>
      <c r="V55" s="2">
        <v>2042</v>
      </c>
    </row>
    <row r="56" spans="1:22" x14ac:dyDescent="0.3">
      <c r="A56" s="29" t="s">
        <v>6</v>
      </c>
      <c r="B56" s="10"/>
      <c r="C56" s="10"/>
      <c r="D56" s="10"/>
      <c r="E56" s="10">
        <f t="shared" ref="E56:V56" si="6">D44</f>
        <v>162118.73341728002</v>
      </c>
      <c r="F56" s="10">
        <f t="shared" si="6"/>
        <v>161308.1397501936</v>
      </c>
      <c r="G56" s="10">
        <f t="shared" si="6"/>
        <v>160501.59905144264</v>
      </c>
      <c r="H56" s="10">
        <f t="shared" si="6"/>
        <v>159699.09105618543</v>
      </c>
      <c r="I56" s="10">
        <f t="shared" si="6"/>
        <v>158900.59560090449</v>
      </c>
      <c r="J56" s="10">
        <f t="shared" si="6"/>
        <v>158106.09262289997</v>
      </c>
      <c r="K56" s="10">
        <f t="shared" si="6"/>
        <v>157315.56215978548</v>
      </c>
      <c r="L56" s="10">
        <f t="shared" si="6"/>
        <v>156528.98434898653</v>
      </c>
      <c r="M56" s="10">
        <f t="shared" si="6"/>
        <v>155746.33942724159</v>
      </c>
      <c r="N56" s="10">
        <f t="shared" si="6"/>
        <v>154967.6077301054</v>
      </c>
      <c r="O56" s="10">
        <f t="shared" si="6"/>
        <v>154192.76969145489</v>
      </c>
      <c r="P56" s="10">
        <f t="shared" si="6"/>
        <v>153421.80584299756</v>
      </c>
      <c r="Q56" s="10">
        <f t="shared" si="6"/>
        <v>152654.69681378259</v>
      </c>
      <c r="R56" s="10">
        <f t="shared" si="6"/>
        <v>151891.42332971367</v>
      </c>
      <c r="S56" s="10">
        <f t="shared" si="6"/>
        <v>151131.96621306511</v>
      </c>
      <c r="T56" s="10">
        <f t="shared" si="6"/>
        <v>0</v>
      </c>
      <c r="U56" s="10">
        <f t="shared" si="6"/>
        <v>0</v>
      </c>
      <c r="V56" s="10">
        <f t="shared" si="6"/>
        <v>0</v>
      </c>
    </row>
    <row r="57" spans="1:22" x14ac:dyDescent="0.3">
      <c r="A57" s="29" t="s">
        <v>12</v>
      </c>
      <c r="B57" s="10"/>
      <c r="C57" s="10"/>
      <c r="D57" s="10"/>
      <c r="E57" s="10">
        <f t="shared" ref="E57:V57" si="7">D45</f>
        <v>172602.59970134808</v>
      </c>
      <c r="F57" s="10">
        <f t="shared" si="7"/>
        <v>171739.58670284133</v>
      </c>
      <c r="G57" s="10">
        <f t="shared" si="7"/>
        <v>170880.88876932714</v>
      </c>
      <c r="H57" s="10">
        <f t="shared" si="7"/>
        <v>170026.4843254805</v>
      </c>
      <c r="I57" s="10">
        <f t="shared" si="7"/>
        <v>169176.35190385312</v>
      </c>
      <c r="J57" s="10">
        <f t="shared" si="7"/>
        <v>168330.47014433384</v>
      </c>
      <c r="K57" s="10">
        <f t="shared" si="7"/>
        <v>167488.81779361214</v>
      </c>
      <c r="L57" s="10">
        <f t="shared" si="7"/>
        <v>166651.37370464409</v>
      </c>
      <c r="M57" s="10">
        <f t="shared" si="7"/>
        <v>165818.11683612087</v>
      </c>
      <c r="N57" s="10">
        <f t="shared" si="7"/>
        <v>164989.02625194026</v>
      </c>
      <c r="O57" s="10">
        <f t="shared" si="7"/>
        <v>164164.08112068055</v>
      </c>
      <c r="P57" s="10">
        <f t="shared" si="7"/>
        <v>163343.26071507717</v>
      </c>
      <c r="Q57" s="10">
        <f t="shared" si="7"/>
        <v>162526.54441150179</v>
      </c>
      <c r="R57" s="10">
        <f t="shared" si="7"/>
        <v>161713.91168944424</v>
      </c>
      <c r="S57" s="10">
        <f t="shared" si="7"/>
        <v>160905.34213099704</v>
      </c>
      <c r="T57" s="10">
        <f t="shared" si="7"/>
        <v>0</v>
      </c>
      <c r="U57" s="10">
        <f t="shared" si="7"/>
        <v>0</v>
      </c>
      <c r="V57" s="10">
        <f t="shared" si="7"/>
        <v>0</v>
      </c>
    </row>
    <row r="58" spans="1:22" x14ac:dyDescent="0.3">
      <c r="A58" s="29" t="s">
        <v>21</v>
      </c>
      <c r="B58" s="10"/>
      <c r="C58" s="10"/>
      <c r="D58" s="10"/>
      <c r="E58" s="10">
        <f t="shared" ref="E58:V58" si="8">D46</f>
        <v>0</v>
      </c>
      <c r="F58" s="10">
        <f t="shared" si="8"/>
        <v>296358.74531999999</v>
      </c>
      <c r="G58" s="10">
        <f t="shared" si="8"/>
        <v>294876.95159339998</v>
      </c>
      <c r="H58" s="10">
        <f t="shared" si="8"/>
        <v>293402.56683543301</v>
      </c>
      <c r="I58" s="10">
        <f t="shared" si="8"/>
        <v>291935.55400125583</v>
      </c>
      <c r="J58" s="10">
        <f t="shared" si="8"/>
        <v>290475.87623124954</v>
      </c>
      <c r="K58" s="10">
        <f t="shared" si="8"/>
        <v>289023.4968500933</v>
      </c>
      <c r="L58" s="10">
        <f t="shared" si="8"/>
        <v>287578.37936584279</v>
      </c>
      <c r="M58" s="10">
        <f t="shared" si="8"/>
        <v>286140.48746901361</v>
      </c>
      <c r="N58" s="10">
        <f t="shared" si="8"/>
        <v>284709.78503166855</v>
      </c>
      <c r="O58" s="10">
        <f t="shared" si="8"/>
        <v>283286.23610651016</v>
      </c>
      <c r="P58" s="10">
        <f t="shared" si="8"/>
        <v>281869.8049259776</v>
      </c>
      <c r="Q58" s="10">
        <f t="shared" si="8"/>
        <v>280460.45590134774</v>
      </c>
      <c r="R58" s="10">
        <f t="shared" si="8"/>
        <v>279058.15362184099</v>
      </c>
      <c r="S58" s="10">
        <f t="shared" si="8"/>
        <v>277662.86285373179</v>
      </c>
      <c r="T58" s="10">
        <f t="shared" si="8"/>
        <v>276274.54853946314</v>
      </c>
      <c r="U58" s="10">
        <f t="shared" si="8"/>
        <v>274893.17579676583</v>
      </c>
      <c r="V58" s="10">
        <f t="shared" si="8"/>
        <v>273518.70991778199</v>
      </c>
    </row>
    <row r="59" spans="1:22" x14ac:dyDescent="0.3">
      <c r="A59" s="29" t="s">
        <v>25</v>
      </c>
      <c r="B59" s="10"/>
      <c r="C59" s="10"/>
      <c r="D59" s="10"/>
      <c r="E59" s="10">
        <f t="shared" ref="E59:V59" si="9">D47</f>
        <v>148179.37265999999</v>
      </c>
      <c r="F59" s="10">
        <f t="shared" si="9"/>
        <v>147438.47579669999</v>
      </c>
      <c r="G59" s="10">
        <f t="shared" si="9"/>
        <v>146701.28341771651</v>
      </c>
      <c r="H59" s="10">
        <f t="shared" si="9"/>
        <v>145967.77700062795</v>
      </c>
      <c r="I59" s="10">
        <f t="shared" si="9"/>
        <v>145237.9381156248</v>
      </c>
      <c r="J59" s="10">
        <f t="shared" si="9"/>
        <v>144511.74842504668</v>
      </c>
      <c r="K59" s="10">
        <f t="shared" si="9"/>
        <v>143789.18968292145</v>
      </c>
      <c r="L59" s="10">
        <f t="shared" si="9"/>
        <v>143070.24373450683</v>
      </c>
      <c r="M59" s="10">
        <f t="shared" si="9"/>
        <v>142354.8925158343</v>
      </c>
      <c r="N59" s="10">
        <f t="shared" si="9"/>
        <v>141643.11805325511</v>
      </c>
      <c r="O59" s="10">
        <f t="shared" si="9"/>
        <v>140934.90246298886</v>
      </c>
      <c r="P59" s="10">
        <f t="shared" si="9"/>
        <v>140230.2279506739</v>
      </c>
      <c r="Q59" s="10">
        <f t="shared" si="9"/>
        <v>139529.07681092052</v>
      </c>
      <c r="R59" s="10">
        <f t="shared" si="9"/>
        <v>138831.43142686592</v>
      </c>
      <c r="S59" s="10">
        <f t="shared" si="9"/>
        <v>138137.2742697316</v>
      </c>
      <c r="T59" s="10">
        <f t="shared" si="9"/>
        <v>137446.58789838295</v>
      </c>
      <c r="U59" s="10">
        <f t="shared" si="9"/>
        <v>136759.35495889102</v>
      </c>
      <c r="V59" s="10">
        <f t="shared" si="9"/>
        <v>136075.55818409656</v>
      </c>
    </row>
    <row r="60" spans="1:22" x14ac:dyDescent="0.3">
      <c r="A60" s="29" t="s">
        <v>29</v>
      </c>
      <c r="B60" s="10"/>
      <c r="C60" s="10"/>
      <c r="D60" s="10"/>
      <c r="E60" s="10">
        <f t="shared" ref="E60:V60" si="10">D48</f>
        <v>0</v>
      </c>
      <c r="F60" s="10">
        <f t="shared" si="10"/>
        <v>49393.124220000005</v>
      </c>
      <c r="G60" s="10">
        <f t="shared" si="10"/>
        <v>49146.158598900001</v>
      </c>
      <c r="H60" s="10">
        <f t="shared" si="10"/>
        <v>48900.4278059055</v>
      </c>
      <c r="I60" s="10">
        <f t="shared" si="10"/>
        <v>48655.92566687597</v>
      </c>
      <c r="J60" s="10">
        <f t="shared" si="10"/>
        <v>48412.646038541592</v>
      </c>
      <c r="K60" s="10">
        <f t="shared" si="10"/>
        <v>48170.582808348889</v>
      </c>
      <c r="L60" s="10">
        <f t="shared" si="10"/>
        <v>47929.729894307144</v>
      </c>
      <c r="M60" s="10">
        <f t="shared" si="10"/>
        <v>47690.081244835608</v>
      </c>
      <c r="N60" s="10">
        <f t="shared" si="10"/>
        <v>47451.630838611432</v>
      </c>
      <c r="O60" s="10">
        <f t="shared" si="10"/>
        <v>47214.372684418369</v>
      </c>
      <c r="P60" s="10">
        <f t="shared" si="10"/>
        <v>46978.300820996279</v>
      </c>
      <c r="Q60" s="10">
        <f t="shared" si="10"/>
        <v>46743.409316891295</v>
      </c>
      <c r="R60" s="10">
        <f t="shared" si="10"/>
        <v>46509.692270306841</v>
      </c>
      <c r="S60" s="10">
        <f t="shared" si="10"/>
        <v>46277.143808955305</v>
      </c>
      <c r="T60" s="10">
        <f t="shared" si="10"/>
        <v>46045.758089910531</v>
      </c>
      <c r="U60" s="10">
        <f t="shared" si="10"/>
        <v>0</v>
      </c>
      <c r="V60" s="10">
        <f t="shared" si="10"/>
        <v>0</v>
      </c>
    </row>
    <row r="61" spans="1:22" x14ac:dyDescent="0.3">
      <c r="A61" s="30" t="s">
        <v>33</v>
      </c>
      <c r="B61" s="10"/>
      <c r="C61" s="10"/>
      <c r="D61" s="10"/>
      <c r="E61" s="10">
        <f t="shared" ref="E61:V61" si="11">D49</f>
        <v>86301.29985067404</v>
      </c>
      <c r="F61" s="10">
        <f t="shared" si="11"/>
        <v>85869.793351420667</v>
      </c>
      <c r="G61" s="10">
        <f t="shared" si="11"/>
        <v>85440.44438466357</v>
      </c>
      <c r="H61" s="10">
        <f t="shared" si="11"/>
        <v>85013.242162740251</v>
      </c>
      <c r="I61" s="10">
        <f t="shared" si="11"/>
        <v>84588.175951926562</v>
      </c>
      <c r="J61" s="10">
        <f t="shared" si="11"/>
        <v>84165.235072166921</v>
      </c>
      <c r="K61" s="10">
        <f t="shared" si="11"/>
        <v>83744.408896806068</v>
      </c>
      <c r="L61" s="10">
        <f t="shared" si="11"/>
        <v>83325.686852322047</v>
      </c>
      <c r="M61" s="10">
        <f t="shared" si="11"/>
        <v>82909.058418060435</v>
      </c>
      <c r="N61" s="10">
        <f t="shared" si="11"/>
        <v>82494.51312597013</v>
      </c>
      <c r="O61" s="10">
        <f t="shared" si="11"/>
        <v>82082.040560340276</v>
      </c>
      <c r="P61" s="10">
        <f t="shared" si="11"/>
        <v>81671.630357538583</v>
      </c>
      <c r="Q61" s="10">
        <f t="shared" si="11"/>
        <v>81263.272205750894</v>
      </c>
      <c r="R61" s="10">
        <f t="shared" si="11"/>
        <v>80856.955844722121</v>
      </c>
      <c r="S61" s="10">
        <f t="shared" si="11"/>
        <v>80452.671065498522</v>
      </c>
      <c r="T61" s="10">
        <f t="shared" si="11"/>
        <v>0</v>
      </c>
      <c r="U61" s="10">
        <f t="shared" si="11"/>
        <v>0</v>
      </c>
      <c r="V61" s="10">
        <f t="shared" si="11"/>
        <v>0</v>
      </c>
    </row>
    <row r="62" spans="1:22" x14ac:dyDescent="0.3">
      <c r="A62" s="30" t="s">
        <v>40</v>
      </c>
      <c r="B62" s="10"/>
      <c r="C62" s="10"/>
      <c r="D62" s="10"/>
      <c r="E62" s="10">
        <v>0</v>
      </c>
      <c r="F62" s="10">
        <v>0</v>
      </c>
      <c r="G62" s="10">
        <v>0</v>
      </c>
      <c r="H62" s="10">
        <v>2500000</v>
      </c>
      <c r="I62" s="10">
        <v>2500000</v>
      </c>
      <c r="J62" s="10">
        <v>2500000</v>
      </c>
      <c r="K62" s="10">
        <v>2500000</v>
      </c>
      <c r="L62" s="10">
        <v>2500000</v>
      </c>
      <c r="M62" s="10">
        <v>2500000</v>
      </c>
      <c r="N62" s="10">
        <v>2500000</v>
      </c>
      <c r="O62" s="10">
        <v>2500000</v>
      </c>
      <c r="P62" s="10">
        <v>2500000</v>
      </c>
      <c r="Q62" s="10">
        <v>2500000</v>
      </c>
      <c r="R62" s="10">
        <v>2500000</v>
      </c>
      <c r="S62" s="10">
        <v>2500000</v>
      </c>
      <c r="T62" s="10">
        <v>2500000</v>
      </c>
      <c r="U62" s="10">
        <v>2500000</v>
      </c>
      <c r="V62" s="10">
        <v>2500000</v>
      </c>
    </row>
    <row r="63" spans="1:22" x14ac:dyDescent="0.3">
      <c r="A63" s="30" t="s">
        <v>41</v>
      </c>
      <c r="B63" s="10"/>
      <c r="C63" s="10"/>
      <c r="D63" s="10"/>
      <c r="E63" s="10">
        <v>0</v>
      </c>
      <c r="F63" s="10">
        <v>0</v>
      </c>
      <c r="G63" s="10">
        <v>0</v>
      </c>
      <c r="H63" s="10">
        <v>2000000</v>
      </c>
      <c r="I63" s="10">
        <v>2000000</v>
      </c>
      <c r="J63" s="10">
        <v>2000000</v>
      </c>
      <c r="K63" s="10">
        <v>2000000</v>
      </c>
      <c r="L63" s="10">
        <v>2000000</v>
      </c>
      <c r="M63" s="10">
        <v>2000000</v>
      </c>
      <c r="N63" s="10">
        <v>2000000</v>
      </c>
      <c r="O63" s="10">
        <v>2000000</v>
      </c>
      <c r="P63" s="10">
        <v>2000000</v>
      </c>
      <c r="Q63" s="10">
        <v>2000000</v>
      </c>
      <c r="R63" s="10">
        <v>2000000</v>
      </c>
      <c r="S63" s="10">
        <v>2000000</v>
      </c>
      <c r="T63" s="10">
        <v>2000000</v>
      </c>
      <c r="U63" s="10">
        <v>2000000</v>
      </c>
      <c r="V63" s="10">
        <v>2000000</v>
      </c>
    </row>
    <row r="64" spans="1:22" x14ac:dyDescent="0.3">
      <c r="A64" s="30" t="s">
        <v>42</v>
      </c>
      <c r="B64" s="10"/>
      <c r="C64" s="10"/>
      <c r="D64" s="10"/>
      <c r="E64" s="10">
        <v>0</v>
      </c>
      <c r="F64" s="10">
        <v>0</v>
      </c>
      <c r="G64" s="10">
        <v>0</v>
      </c>
      <c r="H64" s="10">
        <v>125000</v>
      </c>
      <c r="I64" s="10">
        <v>125000</v>
      </c>
      <c r="J64" s="10">
        <v>125000</v>
      </c>
      <c r="K64" s="10">
        <v>125000</v>
      </c>
      <c r="L64" s="10">
        <v>125000</v>
      </c>
      <c r="M64" s="10">
        <v>125000</v>
      </c>
      <c r="N64" s="10">
        <v>125000</v>
      </c>
      <c r="O64" s="10">
        <v>125000</v>
      </c>
      <c r="P64" s="10">
        <v>125000</v>
      </c>
      <c r="Q64" s="10">
        <v>125000</v>
      </c>
      <c r="R64" s="10">
        <v>125000</v>
      </c>
      <c r="S64" s="10">
        <v>125000</v>
      </c>
      <c r="T64" s="10">
        <v>125000</v>
      </c>
      <c r="U64" s="10">
        <v>125000</v>
      </c>
      <c r="V64" s="10">
        <v>125000</v>
      </c>
    </row>
    <row r="65" spans="1:22" x14ac:dyDescent="0.3">
      <c r="A65" s="5" t="s">
        <v>241</v>
      </c>
      <c r="B65" s="6">
        <f t="shared" ref="B65:V65" si="12">SUM(B56:B64)</f>
        <v>0</v>
      </c>
      <c r="C65" s="6">
        <f t="shared" si="12"/>
        <v>0</v>
      </c>
      <c r="D65" s="6">
        <f t="shared" si="12"/>
        <v>0</v>
      </c>
      <c r="E65" s="6">
        <f t="shared" si="12"/>
        <v>569202.00562930212</v>
      </c>
      <c r="F65" s="6">
        <f t="shared" si="12"/>
        <v>912107.86514115555</v>
      </c>
      <c r="G65" s="6">
        <f t="shared" si="12"/>
        <v>907547.32581544982</v>
      </c>
      <c r="H65" s="6">
        <f t="shared" si="12"/>
        <v>5528009.5891863722</v>
      </c>
      <c r="I65" s="6">
        <f t="shared" si="12"/>
        <v>5523494.5412404407</v>
      </c>
      <c r="J65" s="6">
        <f t="shared" si="12"/>
        <v>5519002.0685342383</v>
      </c>
      <c r="K65" s="6">
        <f t="shared" si="12"/>
        <v>5514532.0581915677</v>
      </c>
      <c r="L65" s="6">
        <f t="shared" si="12"/>
        <v>5510084.3979006093</v>
      </c>
      <c r="M65" s="6">
        <f t="shared" si="12"/>
        <v>5505658.9759111069</v>
      </c>
      <c r="N65" s="6">
        <f t="shared" si="12"/>
        <v>5501255.6810315512</v>
      </c>
      <c r="O65" s="6">
        <f t="shared" si="12"/>
        <v>5496874.4026263934</v>
      </c>
      <c r="P65" s="6">
        <f t="shared" si="12"/>
        <v>5492515.0306132613</v>
      </c>
      <c r="Q65" s="6">
        <f t="shared" si="12"/>
        <v>5488177.4554601945</v>
      </c>
      <c r="R65" s="6">
        <f t="shared" si="12"/>
        <v>5483861.568182894</v>
      </c>
      <c r="S65" s="6">
        <f t="shared" si="12"/>
        <v>5479567.2603419796</v>
      </c>
      <c r="T65" s="6">
        <f t="shared" si="12"/>
        <v>5084766.8945277566</v>
      </c>
      <c r="U65" s="6">
        <f t="shared" si="12"/>
        <v>5036652.5307556568</v>
      </c>
      <c r="V65" s="6">
        <f t="shared" si="12"/>
        <v>5034594.2681018785</v>
      </c>
    </row>
    <row r="67" spans="1:22" ht="15.6" x14ac:dyDescent="0.3">
      <c r="A67" s="43">
        <v>2026</v>
      </c>
      <c r="B67" s="2">
        <v>2022</v>
      </c>
      <c r="C67" s="2">
        <v>2023</v>
      </c>
      <c r="D67" s="2">
        <v>2024</v>
      </c>
      <c r="E67" s="2">
        <v>2025</v>
      </c>
      <c r="F67" s="2">
        <v>2026</v>
      </c>
      <c r="G67" s="2">
        <v>2027</v>
      </c>
      <c r="H67" s="2">
        <v>2028</v>
      </c>
      <c r="I67" s="2">
        <v>2029</v>
      </c>
      <c r="J67" s="2">
        <v>2030</v>
      </c>
      <c r="K67" s="2">
        <v>2031</v>
      </c>
      <c r="L67" s="2">
        <v>2032</v>
      </c>
      <c r="M67" s="2">
        <v>2033</v>
      </c>
      <c r="N67" s="2">
        <v>2034</v>
      </c>
      <c r="O67" s="2">
        <v>2035</v>
      </c>
      <c r="P67" s="2">
        <v>2036</v>
      </c>
      <c r="Q67" s="2">
        <v>2037</v>
      </c>
      <c r="R67" s="2">
        <v>2038</v>
      </c>
      <c r="S67" s="2">
        <v>2039</v>
      </c>
      <c r="T67" s="2">
        <v>2040</v>
      </c>
      <c r="U67" s="2">
        <v>2041</v>
      </c>
      <c r="V67" s="2">
        <v>2042</v>
      </c>
    </row>
    <row r="68" spans="1:22" x14ac:dyDescent="0.3">
      <c r="A68" s="29" t="s">
        <v>6</v>
      </c>
      <c r="B68" s="10"/>
      <c r="C68" s="10"/>
      <c r="D68" s="10"/>
      <c r="E68" s="10"/>
      <c r="F68" s="10">
        <f t="shared" ref="F68:V68" si="13">E56</f>
        <v>162118.73341728002</v>
      </c>
      <c r="G68" s="10">
        <f t="shared" si="13"/>
        <v>161308.1397501936</v>
      </c>
      <c r="H68" s="10">
        <f t="shared" si="13"/>
        <v>160501.59905144264</v>
      </c>
      <c r="I68" s="10">
        <f t="shared" si="13"/>
        <v>159699.09105618543</v>
      </c>
      <c r="J68" s="10">
        <f t="shared" si="13"/>
        <v>158900.59560090449</v>
      </c>
      <c r="K68" s="10">
        <f t="shared" si="13"/>
        <v>158106.09262289997</v>
      </c>
      <c r="L68" s="10">
        <f t="shared" si="13"/>
        <v>157315.56215978548</v>
      </c>
      <c r="M68" s="10">
        <f t="shared" si="13"/>
        <v>156528.98434898653</v>
      </c>
      <c r="N68" s="10">
        <f t="shared" si="13"/>
        <v>155746.33942724159</v>
      </c>
      <c r="O68" s="10">
        <f t="shared" si="13"/>
        <v>154967.6077301054</v>
      </c>
      <c r="P68" s="10">
        <f t="shared" si="13"/>
        <v>154192.76969145489</v>
      </c>
      <c r="Q68" s="10">
        <f t="shared" si="13"/>
        <v>153421.80584299756</v>
      </c>
      <c r="R68" s="10">
        <f t="shared" si="13"/>
        <v>152654.69681378259</v>
      </c>
      <c r="S68" s="10">
        <f t="shared" si="13"/>
        <v>151891.42332971367</v>
      </c>
      <c r="T68" s="10">
        <f t="shared" si="13"/>
        <v>151131.96621306511</v>
      </c>
      <c r="U68" s="10">
        <f t="shared" si="13"/>
        <v>0</v>
      </c>
      <c r="V68" s="10">
        <f t="shared" si="13"/>
        <v>0</v>
      </c>
    </row>
    <row r="69" spans="1:22" x14ac:dyDescent="0.3">
      <c r="A69" s="29" t="s">
        <v>12</v>
      </c>
      <c r="B69" s="10"/>
      <c r="C69" s="10"/>
      <c r="D69" s="10"/>
      <c r="E69" s="10"/>
      <c r="F69" s="10">
        <f t="shared" ref="F69:V69" si="14">E57</f>
        <v>172602.59970134808</v>
      </c>
      <c r="G69" s="10">
        <f t="shared" si="14"/>
        <v>171739.58670284133</v>
      </c>
      <c r="H69" s="10">
        <f t="shared" si="14"/>
        <v>170880.88876932714</v>
      </c>
      <c r="I69" s="10">
        <f t="shared" si="14"/>
        <v>170026.4843254805</v>
      </c>
      <c r="J69" s="10">
        <f t="shared" si="14"/>
        <v>169176.35190385312</v>
      </c>
      <c r="K69" s="10">
        <f t="shared" si="14"/>
        <v>168330.47014433384</v>
      </c>
      <c r="L69" s="10">
        <f t="shared" si="14"/>
        <v>167488.81779361214</v>
      </c>
      <c r="M69" s="10">
        <f t="shared" si="14"/>
        <v>166651.37370464409</v>
      </c>
      <c r="N69" s="10">
        <f t="shared" si="14"/>
        <v>165818.11683612087</v>
      </c>
      <c r="O69" s="10">
        <f t="shared" si="14"/>
        <v>164989.02625194026</v>
      </c>
      <c r="P69" s="10">
        <f t="shared" si="14"/>
        <v>164164.08112068055</v>
      </c>
      <c r="Q69" s="10">
        <f t="shared" si="14"/>
        <v>163343.26071507717</v>
      </c>
      <c r="R69" s="10">
        <f t="shared" si="14"/>
        <v>162526.54441150179</v>
      </c>
      <c r="S69" s="10">
        <f t="shared" si="14"/>
        <v>161713.91168944424</v>
      </c>
      <c r="T69" s="10">
        <f t="shared" si="14"/>
        <v>160905.34213099704</v>
      </c>
      <c r="U69" s="10">
        <f t="shared" si="14"/>
        <v>0</v>
      </c>
      <c r="V69" s="10">
        <f t="shared" si="14"/>
        <v>0</v>
      </c>
    </row>
    <row r="70" spans="1:22" x14ac:dyDescent="0.3">
      <c r="A70" s="29" t="s">
        <v>21</v>
      </c>
      <c r="B70" s="10"/>
      <c r="C70" s="10"/>
      <c r="D70" s="10"/>
      <c r="E70" s="10"/>
      <c r="F70" s="10">
        <f t="shared" ref="F70:V70" si="15">E58</f>
        <v>0</v>
      </c>
      <c r="G70" s="10">
        <f t="shared" si="15"/>
        <v>296358.74531999999</v>
      </c>
      <c r="H70" s="10">
        <f t="shared" si="15"/>
        <v>294876.95159339998</v>
      </c>
      <c r="I70" s="10">
        <f t="shared" si="15"/>
        <v>293402.56683543301</v>
      </c>
      <c r="J70" s="10">
        <f t="shared" si="15"/>
        <v>291935.55400125583</v>
      </c>
      <c r="K70" s="10">
        <f t="shared" si="15"/>
        <v>290475.87623124954</v>
      </c>
      <c r="L70" s="10">
        <f t="shared" si="15"/>
        <v>289023.4968500933</v>
      </c>
      <c r="M70" s="10">
        <f t="shared" si="15"/>
        <v>287578.37936584279</v>
      </c>
      <c r="N70" s="10">
        <f t="shared" si="15"/>
        <v>286140.48746901361</v>
      </c>
      <c r="O70" s="10">
        <f t="shared" si="15"/>
        <v>284709.78503166855</v>
      </c>
      <c r="P70" s="10">
        <f t="shared" si="15"/>
        <v>283286.23610651016</v>
      </c>
      <c r="Q70" s="10">
        <f t="shared" si="15"/>
        <v>281869.8049259776</v>
      </c>
      <c r="R70" s="10">
        <f t="shared" si="15"/>
        <v>280460.45590134774</v>
      </c>
      <c r="S70" s="10">
        <f t="shared" si="15"/>
        <v>279058.15362184099</v>
      </c>
      <c r="T70" s="10">
        <f t="shared" si="15"/>
        <v>277662.86285373179</v>
      </c>
      <c r="U70" s="10">
        <f t="shared" si="15"/>
        <v>276274.54853946314</v>
      </c>
      <c r="V70" s="10">
        <f t="shared" si="15"/>
        <v>274893.17579676583</v>
      </c>
    </row>
    <row r="71" spans="1:22" x14ac:dyDescent="0.3">
      <c r="A71" s="29" t="s">
        <v>25</v>
      </c>
      <c r="B71" s="10"/>
      <c r="C71" s="10"/>
      <c r="D71" s="10"/>
      <c r="E71" s="10"/>
      <c r="F71" s="10">
        <f t="shared" ref="F71:V71" si="16">E59</f>
        <v>148179.37265999999</v>
      </c>
      <c r="G71" s="10">
        <f t="shared" si="16"/>
        <v>147438.47579669999</v>
      </c>
      <c r="H71" s="10">
        <f t="shared" si="16"/>
        <v>146701.28341771651</v>
      </c>
      <c r="I71" s="10">
        <f t="shared" si="16"/>
        <v>145967.77700062795</v>
      </c>
      <c r="J71" s="10">
        <f t="shared" si="16"/>
        <v>145237.9381156248</v>
      </c>
      <c r="K71" s="10">
        <f t="shared" si="16"/>
        <v>144511.74842504668</v>
      </c>
      <c r="L71" s="10">
        <f t="shared" si="16"/>
        <v>143789.18968292145</v>
      </c>
      <c r="M71" s="10">
        <f t="shared" si="16"/>
        <v>143070.24373450683</v>
      </c>
      <c r="N71" s="10">
        <f t="shared" si="16"/>
        <v>142354.8925158343</v>
      </c>
      <c r="O71" s="10">
        <f t="shared" si="16"/>
        <v>141643.11805325511</v>
      </c>
      <c r="P71" s="10">
        <f t="shared" si="16"/>
        <v>140934.90246298886</v>
      </c>
      <c r="Q71" s="10">
        <f t="shared" si="16"/>
        <v>140230.2279506739</v>
      </c>
      <c r="R71" s="10">
        <f t="shared" si="16"/>
        <v>139529.07681092052</v>
      </c>
      <c r="S71" s="10">
        <f t="shared" si="16"/>
        <v>138831.43142686592</v>
      </c>
      <c r="T71" s="10">
        <f t="shared" si="16"/>
        <v>138137.2742697316</v>
      </c>
      <c r="U71" s="10">
        <f t="shared" si="16"/>
        <v>137446.58789838295</v>
      </c>
      <c r="V71" s="10">
        <f t="shared" si="16"/>
        <v>136759.35495889102</v>
      </c>
    </row>
    <row r="72" spans="1:22" x14ac:dyDescent="0.3">
      <c r="A72" s="29" t="s">
        <v>29</v>
      </c>
      <c r="B72" s="10"/>
      <c r="C72" s="10"/>
      <c r="D72" s="10"/>
      <c r="E72" s="10"/>
      <c r="F72" s="10">
        <f t="shared" ref="F72:V72" si="17">E60</f>
        <v>0</v>
      </c>
      <c r="G72" s="10">
        <f t="shared" si="17"/>
        <v>49393.124220000005</v>
      </c>
      <c r="H72" s="10">
        <f t="shared" si="17"/>
        <v>49146.158598900001</v>
      </c>
      <c r="I72" s="10">
        <f t="shared" si="17"/>
        <v>48900.4278059055</v>
      </c>
      <c r="J72" s="10">
        <f t="shared" si="17"/>
        <v>48655.92566687597</v>
      </c>
      <c r="K72" s="10">
        <f t="shared" si="17"/>
        <v>48412.646038541592</v>
      </c>
      <c r="L72" s="10">
        <f t="shared" si="17"/>
        <v>48170.582808348889</v>
      </c>
      <c r="M72" s="10">
        <f t="shared" si="17"/>
        <v>47929.729894307144</v>
      </c>
      <c r="N72" s="10">
        <f t="shared" si="17"/>
        <v>47690.081244835608</v>
      </c>
      <c r="O72" s="10">
        <f t="shared" si="17"/>
        <v>47451.630838611432</v>
      </c>
      <c r="P72" s="10">
        <f t="shared" si="17"/>
        <v>47214.372684418369</v>
      </c>
      <c r="Q72" s="10">
        <f t="shared" si="17"/>
        <v>46978.300820996279</v>
      </c>
      <c r="R72" s="10">
        <f t="shared" si="17"/>
        <v>46743.409316891295</v>
      </c>
      <c r="S72" s="10">
        <f t="shared" si="17"/>
        <v>46509.692270306841</v>
      </c>
      <c r="T72" s="10">
        <f t="shared" si="17"/>
        <v>46277.143808955305</v>
      </c>
      <c r="U72" s="10">
        <f t="shared" si="17"/>
        <v>46045.758089910531</v>
      </c>
      <c r="V72" s="10">
        <f t="shared" si="17"/>
        <v>0</v>
      </c>
    </row>
    <row r="73" spans="1:22" x14ac:dyDescent="0.3">
      <c r="A73" s="30" t="s">
        <v>33</v>
      </c>
      <c r="B73" s="10"/>
      <c r="C73" s="10"/>
      <c r="D73" s="10"/>
      <c r="E73" s="10"/>
      <c r="F73" s="10">
        <f t="shared" ref="F73:V73" si="18">E61</f>
        <v>86301.29985067404</v>
      </c>
      <c r="G73" s="10">
        <f t="shared" si="18"/>
        <v>85869.793351420667</v>
      </c>
      <c r="H73" s="10">
        <f t="shared" si="18"/>
        <v>85440.44438466357</v>
      </c>
      <c r="I73" s="10">
        <f t="shared" si="18"/>
        <v>85013.242162740251</v>
      </c>
      <c r="J73" s="10">
        <f t="shared" si="18"/>
        <v>84588.175951926562</v>
      </c>
      <c r="K73" s="10">
        <f t="shared" si="18"/>
        <v>84165.235072166921</v>
      </c>
      <c r="L73" s="10">
        <f t="shared" si="18"/>
        <v>83744.408896806068</v>
      </c>
      <c r="M73" s="10">
        <f t="shared" si="18"/>
        <v>83325.686852322047</v>
      </c>
      <c r="N73" s="10">
        <f t="shared" si="18"/>
        <v>82909.058418060435</v>
      </c>
      <c r="O73" s="10">
        <f t="shared" si="18"/>
        <v>82494.51312597013</v>
      </c>
      <c r="P73" s="10">
        <f t="shared" si="18"/>
        <v>82082.040560340276</v>
      </c>
      <c r="Q73" s="10">
        <f t="shared" si="18"/>
        <v>81671.630357538583</v>
      </c>
      <c r="R73" s="10">
        <f t="shared" si="18"/>
        <v>81263.272205750894</v>
      </c>
      <c r="S73" s="10">
        <f t="shared" si="18"/>
        <v>80856.955844722121</v>
      </c>
      <c r="T73" s="10">
        <f t="shared" si="18"/>
        <v>80452.671065498522</v>
      </c>
      <c r="U73" s="10">
        <f t="shared" si="18"/>
        <v>0</v>
      </c>
      <c r="V73" s="10">
        <f t="shared" si="18"/>
        <v>0</v>
      </c>
    </row>
    <row r="74" spans="1:22" x14ac:dyDescent="0.3">
      <c r="A74" s="30" t="s">
        <v>40</v>
      </c>
      <c r="B74" s="10"/>
      <c r="C74" s="10"/>
      <c r="D74" s="10"/>
      <c r="E74" s="10"/>
      <c r="F74" s="10">
        <v>0</v>
      </c>
      <c r="G74" s="10">
        <v>0</v>
      </c>
      <c r="H74" s="10">
        <v>0</v>
      </c>
      <c r="I74" s="10">
        <v>2500000</v>
      </c>
      <c r="J74" s="10">
        <v>2500000</v>
      </c>
      <c r="K74" s="10">
        <v>2500000</v>
      </c>
      <c r="L74" s="10">
        <v>2500000</v>
      </c>
      <c r="M74" s="10">
        <v>2500000</v>
      </c>
      <c r="N74" s="10">
        <v>2500000</v>
      </c>
      <c r="O74" s="10">
        <v>2500000</v>
      </c>
      <c r="P74" s="10">
        <v>2500000</v>
      </c>
      <c r="Q74" s="10">
        <v>2500000</v>
      </c>
      <c r="R74" s="10">
        <v>2500000</v>
      </c>
      <c r="S74" s="10">
        <v>2500000</v>
      </c>
      <c r="T74" s="10">
        <v>2500000</v>
      </c>
      <c r="U74" s="10">
        <v>2500000</v>
      </c>
      <c r="V74" s="10">
        <v>2500000</v>
      </c>
    </row>
    <row r="75" spans="1:22" x14ac:dyDescent="0.3">
      <c r="A75" s="30" t="s">
        <v>41</v>
      </c>
      <c r="B75" s="10"/>
      <c r="C75" s="10"/>
      <c r="D75" s="10"/>
      <c r="E75" s="10"/>
      <c r="F75" s="10">
        <v>0</v>
      </c>
      <c r="G75" s="10">
        <v>0</v>
      </c>
      <c r="H75" s="10">
        <v>0</v>
      </c>
      <c r="I75" s="10">
        <v>2000000</v>
      </c>
      <c r="J75" s="10">
        <v>2000000</v>
      </c>
      <c r="K75" s="10">
        <v>2000000</v>
      </c>
      <c r="L75" s="10">
        <v>2000000</v>
      </c>
      <c r="M75" s="10">
        <v>2000000</v>
      </c>
      <c r="N75" s="10">
        <v>2000000</v>
      </c>
      <c r="O75" s="10">
        <v>2000000</v>
      </c>
      <c r="P75" s="10">
        <v>2000000</v>
      </c>
      <c r="Q75" s="10">
        <v>2000000</v>
      </c>
      <c r="R75" s="10">
        <v>2000000</v>
      </c>
      <c r="S75" s="10">
        <v>2000000</v>
      </c>
      <c r="T75" s="10">
        <v>2000000</v>
      </c>
      <c r="U75" s="10">
        <v>2000000</v>
      </c>
      <c r="V75" s="10">
        <v>2000000</v>
      </c>
    </row>
    <row r="76" spans="1:22" x14ac:dyDescent="0.3">
      <c r="A76" s="30" t="s">
        <v>42</v>
      </c>
      <c r="B76" s="10"/>
      <c r="C76" s="10"/>
      <c r="D76" s="10"/>
      <c r="E76" s="10"/>
      <c r="F76" s="10">
        <v>0</v>
      </c>
      <c r="G76" s="10">
        <v>0</v>
      </c>
      <c r="H76" s="10">
        <v>0</v>
      </c>
      <c r="I76" s="10">
        <v>125000</v>
      </c>
      <c r="J76" s="10">
        <v>125000</v>
      </c>
      <c r="K76" s="10">
        <v>125000</v>
      </c>
      <c r="L76" s="10">
        <v>125000</v>
      </c>
      <c r="M76" s="10">
        <v>125000</v>
      </c>
      <c r="N76" s="10">
        <v>125000</v>
      </c>
      <c r="O76" s="10">
        <v>125000</v>
      </c>
      <c r="P76" s="10">
        <v>125000</v>
      </c>
      <c r="Q76" s="10">
        <v>125000</v>
      </c>
      <c r="R76" s="10">
        <v>125000</v>
      </c>
      <c r="S76" s="10">
        <v>125000</v>
      </c>
      <c r="T76" s="10">
        <v>125000</v>
      </c>
      <c r="U76" s="10">
        <v>125000</v>
      </c>
      <c r="V76" s="10">
        <v>125000</v>
      </c>
    </row>
    <row r="77" spans="1:22" x14ac:dyDescent="0.3">
      <c r="A77" s="5" t="s">
        <v>241</v>
      </c>
      <c r="B77" s="6">
        <f t="shared" ref="B77:V77" si="19">SUM(B68:B76)</f>
        <v>0</v>
      </c>
      <c r="C77" s="6">
        <f t="shared" si="19"/>
        <v>0</v>
      </c>
      <c r="D77" s="6">
        <f t="shared" si="19"/>
        <v>0</v>
      </c>
      <c r="E77" s="6">
        <f t="shared" si="19"/>
        <v>0</v>
      </c>
      <c r="F77" s="6">
        <f t="shared" si="19"/>
        <v>569202.00562930212</v>
      </c>
      <c r="G77" s="6">
        <f t="shared" si="19"/>
        <v>912107.86514115555</v>
      </c>
      <c r="H77" s="6">
        <f t="shared" si="19"/>
        <v>907547.32581544982</v>
      </c>
      <c r="I77" s="6">
        <f t="shared" si="19"/>
        <v>5528009.5891863722</v>
      </c>
      <c r="J77" s="6">
        <f t="shared" si="19"/>
        <v>5523494.5412404407</v>
      </c>
      <c r="K77" s="6">
        <f t="shared" si="19"/>
        <v>5519002.0685342383</v>
      </c>
      <c r="L77" s="6">
        <f t="shared" si="19"/>
        <v>5514532.0581915677</v>
      </c>
      <c r="M77" s="6">
        <f t="shared" si="19"/>
        <v>5510084.3979006093</v>
      </c>
      <c r="N77" s="6">
        <f t="shared" si="19"/>
        <v>5505658.9759111069</v>
      </c>
      <c r="O77" s="6">
        <f t="shared" si="19"/>
        <v>5501255.6810315512</v>
      </c>
      <c r="P77" s="6">
        <f t="shared" si="19"/>
        <v>5496874.4026263934</v>
      </c>
      <c r="Q77" s="6">
        <f t="shared" si="19"/>
        <v>5492515.0306132613</v>
      </c>
      <c r="R77" s="6">
        <f t="shared" si="19"/>
        <v>5488177.4554601945</v>
      </c>
      <c r="S77" s="6">
        <f t="shared" si="19"/>
        <v>5483861.568182894</v>
      </c>
      <c r="T77" s="6">
        <f t="shared" si="19"/>
        <v>5479567.2603419796</v>
      </c>
      <c r="U77" s="6">
        <f t="shared" si="19"/>
        <v>5084766.8945277566</v>
      </c>
      <c r="V77" s="6">
        <f t="shared" si="19"/>
        <v>5036652.5307556568</v>
      </c>
    </row>
    <row r="79" spans="1:22" ht="15.6" x14ac:dyDescent="0.3">
      <c r="A79" s="43">
        <v>2027</v>
      </c>
      <c r="B79" s="2">
        <v>2022</v>
      </c>
      <c r="C79" s="2">
        <v>2023</v>
      </c>
      <c r="D79" s="2">
        <v>2024</v>
      </c>
      <c r="E79" s="2">
        <v>2025</v>
      </c>
      <c r="F79" s="2">
        <v>2026</v>
      </c>
      <c r="G79" s="2">
        <v>2027</v>
      </c>
      <c r="H79" s="2">
        <v>2028</v>
      </c>
      <c r="I79" s="2">
        <v>2029</v>
      </c>
      <c r="J79" s="2">
        <v>2030</v>
      </c>
      <c r="K79" s="2">
        <v>2031</v>
      </c>
      <c r="L79" s="2">
        <v>2032</v>
      </c>
      <c r="M79" s="2">
        <v>2033</v>
      </c>
      <c r="N79" s="2">
        <v>2034</v>
      </c>
      <c r="O79" s="2">
        <v>2035</v>
      </c>
      <c r="P79" s="2">
        <v>2036</v>
      </c>
      <c r="Q79" s="2">
        <v>2037</v>
      </c>
      <c r="R79" s="2">
        <v>2038</v>
      </c>
      <c r="S79" s="2">
        <v>2039</v>
      </c>
      <c r="T79" s="2">
        <v>2040</v>
      </c>
      <c r="U79" s="2">
        <v>2041</v>
      </c>
      <c r="V79" s="2">
        <v>2042</v>
      </c>
    </row>
    <row r="80" spans="1:22" x14ac:dyDescent="0.3">
      <c r="A80" s="29" t="s">
        <v>6</v>
      </c>
      <c r="B80" s="10"/>
      <c r="C80" s="10"/>
      <c r="D80" s="10"/>
      <c r="E80" s="10"/>
      <c r="F80" s="10"/>
      <c r="G80" s="10">
        <f t="shared" ref="G80:V80" si="20">F68</f>
        <v>162118.73341728002</v>
      </c>
      <c r="H80" s="10">
        <f t="shared" si="20"/>
        <v>161308.1397501936</v>
      </c>
      <c r="I80" s="10">
        <f t="shared" si="20"/>
        <v>160501.59905144264</v>
      </c>
      <c r="J80" s="10">
        <f t="shared" si="20"/>
        <v>159699.09105618543</v>
      </c>
      <c r="K80" s="10">
        <f t="shared" si="20"/>
        <v>158900.59560090449</v>
      </c>
      <c r="L80" s="10">
        <f t="shared" si="20"/>
        <v>158106.09262289997</v>
      </c>
      <c r="M80" s="10">
        <f t="shared" si="20"/>
        <v>157315.56215978548</v>
      </c>
      <c r="N80" s="10">
        <f t="shared" si="20"/>
        <v>156528.98434898653</v>
      </c>
      <c r="O80" s="10">
        <f t="shared" si="20"/>
        <v>155746.33942724159</v>
      </c>
      <c r="P80" s="10">
        <f t="shared" si="20"/>
        <v>154967.6077301054</v>
      </c>
      <c r="Q80" s="10">
        <f t="shared" si="20"/>
        <v>154192.76969145489</v>
      </c>
      <c r="R80" s="10">
        <f t="shared" si="20"/>
        <v>153421.80584299756</v>
      </c>
      <c r="S80" s="10">
        <f t="shared" si="20"/>
        <v>152654.69681378259</v>
      </c>
      <c r="T80" s="10">
        <f t="shared" si="20"/>
        <v>151891.42332971367</v>
      </c>
      <c r="U80" s="10">
        <f t="shared" si="20"/>
        <v>151131.96621306511</v>
      </c>
      <c r="V80" s="10">
        <f t="shared" si="20"/>
        <v>0</v>
      </c>
    </row>
    <row r="81" spans="1:22" x14ac:dyDescent="0.3">
      <c r="A81" s="29" t="s">
        <v>12</v>
      </c>
      <c r="B81" s="10"/>
      <c r="C81" s="10"/>
      <c r="D81" s="10"/>
      <c r="E81" s="10"/>
      <c r="F81" s="10"/>
      <c r="G81" s="10">
        <f t="shared" ref="G81:V81" si="21">F69</f>
        <v>172602.59970134808</v>
      </c>
      <c r="H81" s="10">
        <f t="shared" si="21"/>
        <v>171739.58670284133</v>
      </c>
      <c r="I81" s="10">
        <f t="shared" si="21"/>
        <v>170880.88876932714</v>
      </c>
      <c r="J81" s="10">
        <f t="shared" si="21"/>
        <v>170026.4843254805</v>
      </c>
      <c r="K81" s="10">
        <f t="shared" si="21"/>
        <v>169176.35190385312</v>
      </c>
      <c r="L81" s="10">
        <f t="shared" si="21"/>
        <v>168330.47014433384</v>
      </c>
      <c r="M81" s="10">
        <f t="shared" si="21"/>
        <v>167488.81779361214</v>
      </c>
      <c r="N81" s="10">
        <f t="shared" si="21"/>
        <v>166651.37370464409</v>
      </c>
      <c r="O81" s="10">
        <f t="shared" si="21"/>
        <v>165818.11683612087</v>
      </c>
      <c r="P81" s="10">
        <f t="shared" si="21"/>
        <v>164989.02625194026</v>
      </c>
      <c r="Q81" s="10">
        <f t="shared" si="21"/>
        <v>164164.08112068055</v>
      </c>
      <c r="R81" s="10">
        <f t="shared" si="21"/>
        <v>163343.26071507717</v>
      </c>
      <c r="S81" s="10">
        <f t="shared" si="21"/>
        <v>162526.54441150179</v>
      </c>
      <c r="T81" s="10">
        <f t="shared" si="21"/>
        <v>161713.91168944424</v>
      </c>
      <c r="U81" s="10">
        <f t="shared" si="21"/>
        <v>160905.34213099704</v>
      </c>
      <c r="V81" s="10">
        <f t="shared" si="21"/>
        <v>0</v>
      </c>
    </row>
    <row r="82" spans="1:22" x14ac:dyDescent="0.3">
      <c r="A82" s="29" t="s">
        <v>21</v>
      </c>
      <c r="B82" s="10"/>
      <c r="C82" s="10"/>
      <c r="D82" s="10"/>
      <c r="E82" s="10"/>
      <c r="F82" s="10"/>
      <c r="G82" s="10">
        <f t="shared" ref="G82:V82" si="22">F70</f>
        <v>0</v>
      </c>
      <c r="H82" s="10">
        <f t="shared" si="22"/>
        <v>296358.74531999999</v>
      </c>
      <c r="I82" s="10">
        <f t="shared" si="22"/>
        <v>294876.95159339998</v>
      </c>
      <c r="J82" s="10">
        <f t="shared" si="22"/>
        <v>293402.56683543301</v>
      </c>
      <c r="K82" s="10">
        <f t="shared" si="22"/>
        <v>291935.55400125583</v>
      </c>
      <c r="L82" s="10">
        <f t="shared" si="22"/>
        <v>290475.87623124954</v>
      </c>
      <c r="M82" s="10">
        <f t="shared" si="22"/>
        <v>289023.4968500933</v>
      </c>
      <c r="N82" s="10">
        <f t="shared" si="22"/>
        <v>287578.37936584279</v>
      </c>
      <c r="O82" s="10">
        <f t="shared" si="22"/>
        <v>286140.48746901361</v>
      </c>
      <c r="P82" s="10">
        <f t="shared" si="22"/>
        <v>284709.78503166855</v>
      </c>
      <c r="Q82" s="10">
        <f t="shared" si="22"/>
        <v>283286.23610651016</v>
      </c>
      <c r="R82" s="10">
        <f t="shared" si="22"/>
        <v>281869.8049259776</v>
      </c>
      <c r="S82" s="10">
        <f t="shared" si="22"/>
        <v>280460.45590134774</v>
      </c>
      <c r="T82" s="10">
        <f t="shared" si="22"/>
        <v>279058.15362184099</v>
      </c>
      <c r="U82" s="10">
        <f t="shared" si="22"/>
        <v>277662.86285373179</v>
      </c>
      <c r="V82" s="10">
        <f t="shared" si="22"/>
        <v>276274.54853946314</v>
      </c>
    </row>
    <row r="83" spans="1:22" x14ac:dyDescent="0.3">
      <c r="A83" s="29" t="s">
        <v>25</v>
      </c>
      <c r="B83" s="10"/>
      <c r="C83" s="10"/>
      <c r="D83" s="10"/>
      <c r="E83" s="10"/>
      <c r="F83" s="10"/>
      <c r="G83" s="10">
        <f t="shared" ref="G83:V83" si="23">F71</f>
        <v>148179.37265999999</v>
      </c>
      <c r="H83" s="10">
        <f t="shared" si="23"/>
        <v>147438.47579669999</v>
      </c>
      <c r="I83" s="10">
        <f t="shared" si="23"/>
        <v>146701.28341771651</v>
      </c>
      <c r="J83" s="10">
        <f t="shared" si="23"/>
        <v>145967.77700062795</v>
      </c>
      <c r="K83" s="10">
        <f t="shared" si="23"/>
        <v>145237.9381156248</v>
      </c>
      <c r="L83" s="10">
        <f t="shared" si="23"/>
        <v>144511.74842504668</v>
      </c>
      <c r="M83" s="10">
        <f t="shared" si="23"/>
        <v>143789.18968292145</v>
      </c>
      <c r="N83" s="10">
        <f t="shared" si="23"/>
        <v>143070.24373450683</v>
      </c>
      <c r="O83" s="10">
        <f t="shared" si="23"/>
        <v>142354.8925158343</v>
      </c>
      <c r="P83" s="10">
        <f t="shared" si="23"/>
        <v>141643.11805325511</v>
      </c>
      <c r="Q83" s="10">
        <f t="shared" si="23"/>
        <v>140934.90246298886</v>
      </c>
      <c r="R83" s="10">
        <f t="shared" si="23"/>
        <v>140230.2279506739</v>
      </c>
      <c r="S83" s="10">
        <f t="shared" si="23"/>
        <v>139529.07681092052</v>
      </c>
      <c r="T83" s="10">
        <f t="shared" si="23"/>
        <v>138831.43142686592</v>
      </c>
      <c r="U83" s="10">
        <f t="shared" si="23"/>
        <v>138137.2742697316</v>
      </c>
      <c r="V83" s="10">
        <f t="shared" si="23"/>
        <v>137446.58789838295</v>
      </c>
    </row>
    <row r="84" spans="1:22" x14ac:dyDescent="0.3">
      <c r="A84" s="29" t="s">
        <v>29</v>
      </c>
      <c r="B84" s="10"/>
      <c r="C84" s="10"/>
      <c r="D84" s="10"/>
      <c r="E84" s="10"/>
      <c r="F84" s="10"/>
      <c r="G84" s="10">
        <f t="shared" ref="G84:V84" si="24">F72</f>
        <v>0</v>
      </c>
      <c r="H84" s="10">
        <f t="shared" si="24"/>
        <v>49393.124220000005</v>
      </c>
      <c r="I84" s="10">
        <f t="shared" si="24"/>
        <v>49146.158598900001</v>
      </c>
      <c r="J84" s="10">
        <f t="shared" si="24"/>
        <v>48900.4278059055</v>
      </c>
      <c r="K84" s="10">
        <f t="shared" si="24"/>
        <v>48655.92566687597</v>
      </c>
      <c r="L84" s="10">
        <f t="shared" si="24"/>
        <v>48412.646038541592</v>
      </c>
      <c r="M84" s="10">
        <f t="shared" si="24"/>
        <v>48170.582808348889</v>
      </c>
      <c r="N84" s="10">
        <f t="shared" si="24"/>
        <v>47929.729894307144</v>
      </c>
      <c r="O84" s="10">
        <f t="shared" si="24"/>
        <v>47690.081244835608</v>
      </c>
      <c r="P84" s="10">
        <f t="shared" si="24"/>
        <v>47451.630838611432</v>
      </c>
      <c r="Q84" s="10">
        <f t="shared" si="24"/>
        <v>47214.372684418369</v>
      </c>
      <c r="R84" s="10">
        <f t="shared" si="24"/>
        <v>46978.300820996279</v>
      </c>
      <c r="S84" s="10">
        <f t="shared" si="24"/>
        <v>46743.409316891295</v>
      </c>
      <c r="T84" s="10">
        <f t="shared" si="24"/>
        <v>46509.692270306841</v>
      </c>
      <c r="U84" s="10">
        <f t="shared" si="24"/>
        <v>46277.143808955305</v>
      </c>
      <c r="V84" s="10">
        <f t="shared" si="24"/>
        <v>46045.758089910531</v>
      </c>
    </row>
    <row r="85" spans="1:22" x14ac:dyDescent="0.3">
      <c r="A85" s="30" t="s">
        <v>33</v>
      </c>
      <c r="B85" s="10"/>
      <c r="C85" s="10"/>
      <c r="D85" s="10"/>
      <c r="E85" s="10"/>
      <c r="F85" s="10"/>
      <c r="G85" s="10">
        <f t="shared" ref="G85:V85" si="25">F73</f>
        <v>86301.29985067404</v>
      </c>
      <c r="H85" s="10">
        <f t="shared" si="25"/>
        <v>85869.793351420667</v>
      </c>
      <c r="I85" s="10">
        <f t="shared" si="25"/>
        <v>85440.44438466357</v>
      </c>
      <c r="J85" s="10">
        <f t="shared" si="25"/>
        <v>85013.242162740251</v>
      </c>
      <c r="K85" s="10">
        <f t="shared" si="25"/>
        <v>84588.175951926562</v>
      </c>
      <c r="L85" s="10">
        <f t="shared" si="25"/>
        <v>84165.235072166921</v>
      </c>
      <c r="M85" s="10">
        <f t="shared" si="25"/>
        <v>83744.408896806068</v>
      </c>
      <c r="N85" s="10">
        <f t="shared" si="25"/>
        <v>83325.686852322047</v>
      </c>
      <c r="O85" s="10">
        <f t="shared" si="25"/>
        <v>82909.058418060435</v>
      </c>
      <c r="P85" s="10">
        <f t="shared" si="25"/>
        <v>82494.51312597013</v>
      </c>
      <c r="Q85" s="10">
        <f t="shared" si="25"/>
        <v>82082.040560340276</v>
      </c>
      <c r="R85" s="10">
        <f t="shared" si="25"/>
        <v>81671.630357538583</v>
      </c>
      <c r="S85" s="10">
        <f t="shared" si="25"/>
        <v>81263.272205750894</v>
      </c>
      <c r="T85" s="10">
        <f t="shared" si="25"/>
        <v>80856.955844722121</v>
      </c>
      <c r="U85" s="10">
        <f t="shared" si="25"/>
        <v>80452.671065498522</v>
      </c>
      <c r="V85" s="10">
        <f t="shared" si="25"/>
        <v>0</v>
      </c>
    </row>
    <row r="86" spans="1:22" x14ac:dyDescent="0.3">
      <c r="A86" s="30" t="s">
        <v>40</v>
      </c>
      <c r="B86" s="10"/>
      <c r="C86" s="10"/>
      <c r="D86" s="10"/>
      <c r="E86" s="10"/>
      <c r="F86" s="10"/>
      <c r="G86" s="10">
        <v>0</v>
      </c>
      <c r="H86" s="10">
        <v>0</v>
      </c>
      <c r="I86" s="10">
        <v>0</v>
      </c>
      <c r="J86" s="10">
        <v>2500000</v>
      </c>
      <c r="K86" s="10">
        <v>2500000</v>
      </c>
      <c r="L86" s="10">
        <v>2500000</v>
      </c>
      <c r="M86" s="10">
        <v>2500000</v>
      </c>
      <c r="N86" s="10">
        <v>2500000</v>
      </c>
      <c r="O86" s="10">
        <v>2500000</v>
      </c>
      <c r="P86" s="10">
        <v>2500000</v>
      </c>
      <c r="Q86" s="10">
        <v>2500000</v>
      </c>
      <c r="R86" s="10">
        <v>2500000</v>
      </c>
      <c r="S86" s="10">
        <v>2500000</v>
      </c>
      <c r="T86" s="10">
        <v>2500000</v>
      </c>
      <c r="U86" s="10">
        <v>2500000</v>
      </c>
      <c r="V86" s="10">
        <v>2500000</v>
      </c>
    </row>
    <row r="87" spans="1:22" x14ac:dyDescent="0.3">
      <c r="A87" s="30" t="s">
        <v>41</v>
      </c>
      <c r="B87" s="10"/>
      <c r="C87" s="10"/>
      <c r="D87" s="10"/>
      <c r="E87" s="10"/>
      <c r="F87" s="10"/>
      <c r="G87" s="10">
        <v>0</v>
      </c>
      <c r="H87" s="10">
        <v>0</v>
      </c>
      <c r="I87" s="10">
        <v>0</v>
      </c>
      <c r="J87" s="10">
        <v>2000000</v>
      </c>
      <c r="K87" s="10">
        <v>2000000</v>
      </c>
      <c r="L87" s="10">
        <v>2000000</v>
      </c>
      <c r="M87" s="10">
        <v>2000000</v>
      </c>
      <c r="N87" s="10">
        <v>2000000</v>
      </c>
      <c r="O87" s="10">
        <v>2000000</v>
      </c>
      <c r="P87" s="10">
        <v>2000000</v>
      </c>
      <c r="Q87" s="10">
        <v>2000000</v>
      </c>
      <c r="R87" s="10">
        <v>2000000</v>
      </c>
      <c r="S87" s="10">
        <v>2000000</v>
      </c>
      <c r="T87" s="10">
        <v>2000000</v>
      </c>
      <c r="U87" s="10">
        <v>2000000</v>
      </c>
      <c r="V87" s="10">
        <v>2000000</v>
      </c>
    </row>
    <row r="88" spans="1:22" x14ac:dyDescent="0.3">
      <c r="A88" s="30" t="s">
        <v>42</v>
      </c>
      <c r="B88" s="10"/>
      <c r="C88" s="10"/>
      <c r="D88" s="10"/>
      <c r="E88" s="10"/>
      <c r="F88" s="10"/>
      <c r="G88" s="10">
        <v>0</v>
      </c>
      <c r="H88" s="10">
        <v>0</v>
      </c>
      <c r="I88" s="10">
        <v>0</v>
      </c>
      <c r="J88" s="10">
        <v>125000</v>
      </c>
      <c r="K88" s="10">
        <v>125000</v>
      </c>
      <c r="L88" s="10">
        <v>125000</v>
      </c>
      <c r="M88" s="10">
        <v>125000</v>
      </c>
      <c r="N88" s="10">
        <v>125000</v>
      </c>
      <c r="O88" s="10">
        <v>125000</v>
      </c>
      <c r="P88" s="10">
        <v>125000</v>
      </c>
      <c r="Q88" s="10">
        <v>125000</v>
      </c>
      <c r="R88" s="10">
        <v>125000</v>
      </c>
      <c r="S88" s="10">
        <v>125000</v>
      </c>
      <c r="T88" s="10">
        <v>125000</v>
      </c>
      <c r="U88" s="10">
        <v>125000</v>
      </c>
      <c r="V88" s="10">
        <v>125000</v>
      </c>
    </row>
    <row r="89" spans="1:22" x14ac:dyDescent="0.3">
      <c r="A89" s="5" t="s">
        <v>241</v>
      </c>
      <c r="B89" s="6">
        <f t="shared" ref="B89:V89" si="26">SUM(B80:B88)</f>
        <v>0</v>
      </c>
      <c r="C89" s="6">
        <f t="shared" si="26"/>
        <v>0</v>
      </c>
      <c r="D89" s="6">
        <f t="shared" si="26"/>
        <v>0</v>
      </c>
      <c r="E89" s="6">
        <f t="shared" si="26"/>
        <v>0</v>
      </c>
      <c r="F89" s="6">
        <f t="shared" si="26"/>
        <v>0</v>
      </c>
      <c r="G89" s="6">
        <f t="shared" si="26"/>
        <v>569202.00562930212</v>
      </c>
      <c r="H89" s="6">
        <f t="shared" si="26"/>
        <v>912107.86514115555</v>
      </c>
      <c r="I89" s="6">
        <f t="shared" si="26"/>
        <v>907547.32581544982</v>
      </c>
      <c r="J89" s="6">
        <f t="shared" si="26"/>
        <v>5528009.5891863722</v>
      </c>
      <c r="K89" s="6">
        <f t="shared" si="26"/>
        <v>5523494.5412404407</v>
      </c>
      <c r="L89" s="6">
        <f t="shared" si="26"/>
        <v>5519002.0685342383</v>
      </c>
      <c r="M89" s="6">
        <f t="shared" si="26"/>
        <v>5514532.0581915677</v>
      </c>
      <c r="N89" s="6">
        <f t="shared" si="26"/>
        <v>5510084.3979006093</v>
      </c>
      <c r="O89" s="6">
        <f t="shared" si="26"/>
        <v>5505658.9759111069</v>
      </c>
      <c r="P89" s="6">
        <f t="shared" si="26"/>
        <v>5501255.6810315512</v>
      </c>
      <c r="Q89" s="6">
        <f t="shared" si="26"/>
        <v>5496874.4026263934</v>
      </c>
      <c r="R89" s="6">
        <f t="shared" si="26"/>
        <v>5492515.0306132613</v>
      </c>
      <c r="S89" s="6">
        <f t="shared" si="26"/>
        <v>5488177.4554601945</v>
      </c>
      <c r="T89" s="6">
        <f t="shared" si="26"/>
        <v>5483861.568182894</v>
      </c>
      <c r="U89" s="6">
        <f t="shared" si="26"/>
        <v>5479567.2603419796</v>
      </c>
      <c r="V89" s="6">
        <f t="shared" si="26"/>
        <v>5084766.8945277566</v>
      </c>
    </row>
    <row r="91" spans="1:22" ht="15.6" x14ac:dyDescent="0.3">
      <c r="A91" s="43">
        <v>2028</v>
      </c>
      <c r="B91" s="2">
        <v>2022</v>
      </c>
      <c r="C91" s="2">
        <v>2023</v>
      </c>
      <c r="D91" s="2">
        <v>2024</v>
      </c>
      <c r="E91" s="2">
        <v>2025</v>
      </c>
      <c r="F91" s="2">
        <v>2026</v>
      </c>
      <c r="G91" s="2">
        <v>2027</v>
      </c>
      <c r="H91" s="2">
        <v>2028</v>
      </c>
      <c r="I91" s="2">
        <v>2029</v>
      </c>
      <c r="J91" s="2">
        <v>2030</v>
      </c>
      <c r="K91" s="2">
        <v>2031</v>
      </c>
      <c r="L91" s="2">
        <v>2032</v>
      </c>
      <c r="M91" s="2">
        <v>2033</v>
      </c>
      <c r="N91" s="2">
        <v>2034</v>
      </c>
      <c r="O91" s="2">
        <v>2035</v>
      </c>
      <c r="P91" s="2">
        <v>2036</v>
      </c>
      <c r="Q91" s="2">
        <v>2037</v>
      </c>
      <c r="R91" s="2">
        <v>2038</v>
      </c>
      <c r="S91" s="2">
        <v>2039</v>
      </c>
      <c r="T91" s="2">
        <v>2040</v>
      </c>
      <c r="U91" s="2">
        <v>2041</v>
      </c>
      <c r="V91" s="2">
        <v>2042</v>
      </c>
    </row>
    <row r="92" spans="1:22" x14ac:dyDescent="0.3">
      <c r="A92" s="29" t="s">
        <v>6</v>
      </c>
      <c r="B92" s="10"/>
      <c r="C92" s="10"/>
      <c r="D92" s="10"/>
      <c r="E92" s="10"/>
      <c r="F92" s="10"/>
      <c r="G92" s="10"/>
      <c r="H92" s="10">
        <f t="shared" ref="H92:V92" si="27">G80</f>
        <v>162118.73341728002</v>
      </c>
      <c r="I92" s="10">
        <f t="shared" si="27"/>
        <v>161308.1397501936</v>
      </c>
      <c r="J92" s="10">
        <f t="shared" si="27"/>
        <v>160501.59905144264</v>
      </c>
      <c r="K92" s="10">
        <f t="shared" si="27"/>
        <v>159699.09105618543</v>
      </c>
      <c r="L92" s="10">
        <f t="shared" si="27"/>
        <v>158900.59560090449</v>
      </c>
      <c r="M92" s="10">
        <f t="shared" si="27"/>
        <v>158106.09262289997</v>
      </c>
      <c r="N92" s="10">
        <f t="shared" si="27"/>
        <v>157315.56215978548</v>
      </c>
      <c r="O92" s="10">
        <f t="shared" si="27"/>
        <v>156528.98434898653</v>
      </c>
      <c r="P92" s="10">
        <f t="shared" si="27"/>
        <v>155746.33942724159</v>
      </c>
      <c r="Q92" s="10">
        <f t="shared" si="27"/>
        <v>154967.6077301054</v>
      </c>
      <c r="R92" s="10">
        <f t="shared" si="27"/>
        <v>154192.76969145489</v>
      </c>
      <c r="S92" s="10">
        <f t="shared" si="27"/>
        <v>153421.80584299756</v>
      </c>
      <c r="T92" s="10">
        <f t="shared" si="27"/>
        <v>152654.69681378259</v>
      </c>
      <c r="U92" s="10">
        <f t="shared" si="27"/>
        <v>151891.42332971367</v>
      </c>
      <c r="V92" s="10">
        <f t="shared" si="27"/>
        <v>151131.96621306511</v>
      </c>
    </row>
    <row r="93" spans="1:22" x14ac:dyDescent="0.3">
      <c r="A93" s="29" t="s">
        <v>12</v>
      </c>
      <c r="B93" s="10"/>
      <c r="C93" s="10"/>
      <c r="D93" s="10"/>
      <c r="E93" s="10"/>
      <c r="F93" s="10"/>
      <c r="G93" s="10"/>
      <c r="H93" s="10">
        <f t="shared" ref="H93:V93" si="28">G81</f>
        <v>172602.59970134808</v>
      </c>
      <c r="I93" s="10">
        <f t="shared" si="28"/>
        <v>171739.58670284133</v>
      </c>
      <c r="J93" s="10">
        <f t="shared" si="28"/>
        <v>170880.88876932714</v>
      </c>
      <c r="K93" s="10">
        <f t="shared" si="28"/>
        <v>170026.4843254805</v>
      </c>
      <c r="L93" s="10">
        <f t="shared" si="28"/>
        <v>169176.35190385312</v>
      </c>
      <c r="M93" s="10">
        <f t="shared" si="28"/>
        <v>168330.47014433384</v>
      </c>
      <c r="N93" s="10">
        <f t="shared" si="28"/>
        <v>167488.81779361214</v>
      </c>
      <c r="O93" s="10">
        <f t="shared" si="28"/>
        <v>166651.37370464409</v>
      </c>
      <c r="P93" s="10">
        <f t="shared" si="28"/>
        <v>165818.11683612087</v>
      </c>
      <c r="Q93" s="10">
        <f t="shared" si="28"/>
        <v>164989.02625194026</v>
      </c>
      <c r="R93" s="10">
        <f t="shared" si="28"/>
        <v>164164.08112068055</v>
      </c>
      <c r="S93" s="10">
        <f t="shared" si="28"/>
        <v>163343.26071507717</v>
      </c>
      <c r="T93" s="10">
        <f t="shared" si="28"/>
        <v>162526.54441150179</v>
      </c>
      <c r="U93" s="10">
        <f t="shared" si="28"/>
        <v>161713.91168944424</v>
      </c>
      <c r="V93" s="10">
        <f t="shared" si="28"/>
        <v>160905.34213099704</v>
      </c>
    </row>
    <row r="94" spans="1:22" x14ac:dyDescent="0.3">
      <c r="A94" s="29" t="s">
        <v>21</v>
      </c>
      <c r="B94" s="10"/>
      <c r="C94" s="10"/>
      <c r="D94" s="10"/>
      <c r="E94" s="10"/>
      <c r="F94" s="10"/>
      <c r="G94" s="10"/>
      <c r="H94" s="10">
        <f t="shared" ref="H94:V94" si="29">G82</f>
        <v>0</v>
      </c>
      <c r="I94" s="10">
        <f t="shared" si="29"/>
        <v>296358.74531999999</v>
      </c>
      <c r="J94" s="10">
        <f t="shared" si="29"/>
        <v>294876.95159339998</v>
      </c>
      <c r="K94" s="10">
        <f t="shared" si="29"/>
        <v>293402.56683543301</v>
      </c>
      <c r="L94" s="10">
        <f t="shared" si="29"/>
        <v>291935.55400125583</v>
      </c>
      <c r="M94" s="10">
        <f t="shared" si="29"/>
        <v>290475.87623124954</v>
      </c>
      <c r="N94" s="10">
        <f t="shared" si="29"/>
        <v>289023.4968500933</v>
      </c>
      <c r="O94" s="10">
        <f t="shared" si="29"/>
        <v>287578.37936584279</v>
      </c>
      <c r="P94" s="10">
        <f t="shared" si="29"/>
        <v>286140.48746901361</v>
      </c>
      <c r="Q94" s="10">
        <f t="shared" si="29"/>
        <v>284709.78503166855</v>
      </c>
      <c r="R94" s="10">
        <f t="shared" si="29"/>
        <v>283286.23610651016</v>
      </c>
      <c r="S94" s="10">
        <f t="shared" si="29"/>
        <v>281869.8049259776</v>
      </c>
      <c r="T94" s="10">
        <f t="shared" si="29"/>
        <v>280460.45590134774</v>
      </c>
      <c r="U94" s="10">
        <f t="shared" si="29"/>
        <v>279058.15362184099</v>
      </c>
      <c r="V94" s="10">
        <f t="shared" si="29"/>
        <v>277662.86285373179</v>
      </c>
    </row>
    <row r="95" spans="1:22" x14ac:dyDescent="0.3">
      <c r="A95" s="29" t="s">
        <v>25</v>
      </c>
      <c r="B95" s="10"/>
      <c r="C95" s="10"/>
      <c r="D95" s="10"/>
      <c r="E95" s="10"/>
      <c r="F95" s="10"/>
      <c r="G95" s="10"/>
      <c r="H95" s="10">
        <f t="shared" ref="H95:V95" si="30">G83</f>
        <v>148179.37265999999</v>
      </c>
      <c r="I95" s="10">
        <f t="shared" si="30"/>
        <v>147438.47579669999</v>
      </c>
      <c r="J95" s="10">
        <f t="shared" si="30"/>
        <v>146701.28341771651</v>
      </c>
      <c r="K95" s="10">
        <f t="shared" si="30"/>
        <v>145967.77700062795</v>
      </c>
      <c r="L95" s="10">
        <f t="shared" si="30"/>
        <v>145237.9381156248</v>
      </c>
      <c r="M95" s="10">
        <f t="shared" si="30"/>
        <v>144511.74842504668</v>
      </c>
      <c r="N95" s="10">
        <f t="shared" si="30"/>
        <v>143789.18968292145</v>
      </c>
      <c r="O95" s="10">
        <f t="shared" si="30"/>
        <v>143070.24373450683</v>
      </c>
      <c r="P95" s="10">
        <f t="shared" si="30"/>
        <v>142354.8925158343</v>
      </c>
      <c r="Q95" s="10">
        <f t="shared" si="30"/>
        <v>141643.11805325511</v>
      </c>
      <c r="R95" s="10">
        <f t="shared" si="30"/>
        <v>140934.90246298886</v>
      </c>
      <c r="S95" s="10">
        <f t="shared" si="30"/>
        <v>140230.2279506739</v>
      </c>
      <c r="T95" s="10">
        <f t="shared" si="30"/>
        <v>139529.07681092052</v>
      </c>
      <c r="U95" s="10">
        <f t="shared" si="30"/>
        <v>138831.43142686592</v>
      </c>
      <c r="V95" s="10">
        <f t="shared" si="30"/>
        <v>138137.2742697316</v>
      </c>
    </row>
    <row r="96" spans="1:22" x14ac:dyDescent="0.3">
      <c r="A96" s="29" t="s">
        <v>29</v>
      </c>
      <c r="B96" s="10"/>
      <c r="C96" s="10"/>
      <c r="D96" s="10"/>
      <c r="E96" s="10"/>
      <c r="F96" s="10"/>
      <c r="G96" s="10"/>
      <c r="H96" s="10">
        <f t="shared" ref="H96:V96" si="31">G84</f>
        <v>0</v>
      </c>
      <c r="I96" s="10">
        <f t="shared" si="31"/>
        <v>49393.124220000005</v>
      </c>
      <c r="J96" s="10">
        <f t="shared" si="31"/>
        <v>49146.158598900001</v>
      </c>
      <c r="K96" s="10">
        <f t="shared" si="31"/>
        <v>48900.4278059055</v>
      </c>
      <c r="L96" s="10">
        <f t="shared" si="31"/>
        <v>48655.92566687597</v>
      </c>
      <c r="M96" s="10">
        <f t="shared" si="31"/>
        <v>48412.646038541592</v>
      </c>
      <c r="N96" s="10">
        <f t="shared" si="31"/>
        <v>48170.582808348889</v>
      </c>
      <c r="O96" s="10">
        <f t="shared" si="31"/>
        <v>47929.729894307144</v>
      </c>
      <c r="P96" s="10">
        <f t="shared" si="31"/>
        <v>47690.081244835608</v>
      </c>
      <c r="Q96" s="10">
        <f t="shared" si="31"/>
        <v>47451.630838611432</v>
      </c>
      <c r="R96" s="10">
        <f t="shared" si="31"/>
        <v>47214.372684418369</v>
      </c>
      <c r="S96" s="10">
        <f t="shared" si="31"/>
        <v>46978.300820996279</v>
      </c>
      <c r="T96" s="10">
        <f t="shared" si="31"/>
        <v>46743.409316891295</v>
      </c>
      <c r="U96" s="10">
        <f t="shared" si="31"/>
        <v>46509.692270306841</v>
      </c>
      <c r="V96" s="10">
        <f t="shared" si="31"/>
        <v>46277.143808955305</v>
      </c>
    </row>
    <row r="97" spans="1:22" x14ac:dyDescent="0.3">
      <c r="A97" s="30" t="s">
        <v>33</v>
      </c>
      <c r="B97" s="10"/>
      <c r="C97" s="10"/>
      <c r="D97" s="10"/>
      <c r="E97" s="10"/>
      <c r="F97" s="10"/>
      <c r="G97" s="10"/>
      <c r="H97" s="10">
        <f t="shared" ref="H97:V97" si="32">G85</f>
        <v>86301.29985067404</v>
      </c>
      <c r="I97" s="10">
        <f t="shared" si="32"/>
        <v>85869.793351420667</v>
      </c>
      <c r="J97" s="10">
        <f t="shared" si="32"/>
        <v>85440.44438466357</v>
      </c>
      <c r="K97" s="10">
        <f t="shared" si="32"/>
        <v>85013.242162740251</v>
      </c>
      <c r="L97" s="10">
        <f t="shared" si="32"/>
        <v>84588.175951926562</v>
      </c>
      <c r="M97" s="10">
        <f t="shared" si="32"/>
        <v>84165.235072166921</v>
      </c>
      <c r="N97" s="10">
        <f t="shared" si="32"/>
        <v>83744.408896806068</v>
      </c>
      <c r="O97" s="10">
        <f t="shared" si="32"/>
        <v>83325.686852322047</v>
      </c>
      <c r="P97" s="10">
        <f t="shared" si="32"/>
        <v>82909.058418060435</v>
      </c>
      <c r="Q97" s="10">
        <f t="shared" si="32"/>
        <v>82494.51312597013</v>
      </c>
      <c r="R97" s="10">
        <f t="shared" si="32"/>
        <v>82082.040560340276</v>
      </c>
      <c r="S97" s="10">
        <f t="shared" si="32"/>
        <v>81671.630357538583</v>
      </c>
      <c r="T97" s="10">
        <f t="shared" si="32"/>
        <v>81263.272205750894</v>
      </c>
      <c r="U97" s="10">
        <f t="shared" si="32"/>
        <v>80856.955844722121</v>
      </c>
      <c r="V97" s="10">
        <f t="shared" si="32"/>
        <v>80452.671065498522</v>
      </c>
    </row>
    <row r="98" spans="1:22" x14ac:dyDescent="0.3">
      <c r="A98" s="30" t="s">
        <v>40</v>
      </c>
      <c r="B98" s="10"/>
      <c r="C98" s="10"/>
      <c r="D98" s="10"/>
      <c r="E98" s="10"/>
      <c r="F98" s="10"/>
      <c r="G98" s="10"/>
      <c r="H98" s="10">
        <v>0</v>
      </c>
      <c r="I98" s="10">
        <v>0</v>
      </c>
      <c r="J98" s="10">
        <v>0</v>
      </c>
      <c r="K98" s="10">
        <v>2500000</v>
      </c>
      <c r="L98" s="10">
        <v>2500000</v>
      </c>
      <c r="M98" s="10">
        <v>2500000</v>
      </c>
      <c r="N98" s="10">
        <v>2500000</v>
      </c>
      <c r="O98" s="10">
        <v>2500000</v>
      </c>
      <c r="P98" s="10">
        <v>2500000</v>
      </c>
      <c r="Q98" s="10">
        <v>2500000</v>
      </c>
      <c r="R98" s="10">
        <v>2500000</v>
      </c>
      <c r="S98" s="10">
        <v>2500000</v>
      </c>
      <c r="T98" s="10">
        <v>2500000</v>
      </c>
      <c r="U98" s="10">
        <v>2500000</v>
      </c>
      <c r="V98" s="10">
        <v>2500000</v>
      </c>
    </row>
    <row r="99" spans="1:22" x14ac:dyDescent="0.3">
      <c r="A99" s="30" t="s">
        <v>41</v>
      </c>
      <c r="B99" s="10"/>
      <c r="C99" s="10"/>
      <c r="D99" s="10"/>
      <c r="E99" s="10"/>
      <c r="F99" s="10"/>
      <c r="G99" s="10"/>
      <c r="H99" s="10">
        <v>0</v>
      </c>
      <c r="I99" s="10">
        <v>0</v>
      </c>
      <c r="J99" s="10">
        <v>0</v>
      </c>
      <c r="K99" s="10">
        <v>2000000</v>
      </c>
      <c r="L99" s="10">
        <v>2000000</v>
      </c>
      <c r="M99" s="10">
        <v>2000000</v>
      </c>
      <c r="N99" s="10">
        <v>2000000</v>
      </c>
      <c r="O99" s="10">
        <v>2000000</v>
      </c>
      <c r="P99" s="10">
        <v>2000000</v>
      </c>
      <c r="Q99" s="10">
        <v>2000000</v>
      </c>
      <c r="R99" s="10">
        <v>2000000</v>
      </c>
      <c r="S99" s="10">
        <v>2000000</v>
      </c>
      <c r="T99" s="10">
        <v>2000000</v>
      </c>
      <c r="U99" s="10">
        <v>2000000</v>
      </c>
      <c r="V99" s="10">
        <v>2000000</v>
      </c>
    </row>
    <row r="100" spans="1:22" x14ac:dyDescent="0.3">
      <c r="A100" s="30" t="s">
        <v>42</v>
      </c>
      <c r="B100" s="10"/>
      <c r="C100" s="10"/>
      <c r="D100" s="10"/>
      <c r="E100" s="10"/>
      <c r="F100" s="10"/>
      <c r="G100" s="10"/>
      <c r="H100" s="10">
        <v>0</v>
      </c>
      <c r="I100" s="10">
        <v>0</v>
      </c>
      <c r="J100" s="10">
        <v>0</v>
      </c>
      <c r="K100" s="10">
        <v>125000</v>
      </c>
      <c r="L100" s="10">
        <v>125000</v>
      </c>
      <c r="M100" s="10">
        <v>125000</v>
      </c>
      <c r="N100" s="10">
        <v>125000</v>
      </c>
      <c r="O100" s="10">
        <v>125000</v>
      </c>
      <c r="P100" s="10">
        <v>125000</v>
      </c>
      <c r="Q100" s="10">
        <v>125000</v>
      </c>
      <c r="R100" s="10">
        <v>125000</v>
      </c>
      <c r="S100" s="10">
        <v>125000</v>
      </c>
      <c r="T100" s="10">
        <v>125000</v>
      </c>
      <c r="U100" s="10">
        <v>125000</v>
      </c>
      <c r="V100" s="10">
        <v>125000</v>
      </c>
    </row>
    <row r="101" spans="1:22" x14ac:dyDescent="0.3">
      <c r="A101" s="5" t="s">
        <v>241</v>
      </c>
      <c r="B101" s="6">
        <f t="shared" ref="B101:V101" si="33">SUM(B92:B100)</f>
        <v>0</v>
      </c>
      <c r="C101" s="6">
        <f t="shared" si="33"/>
        <v>0</v>
      </c>
      <c r="D101" s="6">
        <f t="shared" si="33"/>
        <v>0</v>
      </c>
      <c r="E101" s="6">
        <f t="shared" si="33"/>
        <v>0</v>
      </c>
      <c r="F101" s="6">
        <f t="shared" si="33"/>
        <v>0</v>
      </c>
      <c r="G101" s="6">
        <f t="shared" si="33"/>
        <v>0</v>
      </c>
      <c r="H101" s="6">
        <f t="shared" si="33"/>
        <v>569202.00562930212</v>
      </c>
      <c r="I101" s="6">
        <f t="shared" si="33"/>
        <v>912107.86514115555</v>
      </c>
      <c r="J101" s="6">
        <f t="shared" si="33"/>
        <v>907547.32581544982</v>
      </c>
      <c r="K101" s="6">
        <f t="shared" si="33"/>
        <v>5528009.5891863722</v>
      </c>
      <c r="L101" s="6">
        <f t="shared" si="33"/>
        <v>5523494.5412404407</v>
      </c>
      <c r="M101" s="6">
        <f t="shared" si="33"/>
        <v>5519002.0685342383</v>
      </c>
      <c r="N101" s="6">
        <f t="shared" si="33"/>
        <v>5514532.0581915677</v>
      </c>
      <c r="O101" s="6">
        <f t="shared" si="33"/>
        <v>5510084.3979006093</v>
      </c>
      <c r="P101" s="6">
        <f t="shared" si="33"/>
        <v>5505658.9759111069</v>
      </c>
      <c r="Q101" s="6">
        <f t="shared" si="33"/>
        <v>5501255.6810315512</v>
      </c>
      <c r="R101" s="6">
        <f t="shared" si="33"/>
        <v>5496874.4026263934</v>
      </c>
      <c r="S101" s="6">
        <f t="shared" si="33"/>
        <v>5492515.0306132613</v>
      </c>
      <c r="T101" s="6">
        <f t="shared" si="33"/>
        <v>5488177.4554601945</v>
      </c>
      <c r="U101" s="6">
        <f t="shared" si="33"/>
        <v>5483861.568182894</v>
      </c>
      <c r="V101" s="6">
        <f t="shared" si="33"/>
        <v>5479567.2603419796</v>
      </c>
    </row>
    <row r="103" spans="1:22" ht="15.6" x14ac:dyDescent="0.3">
      <c r="A103" s="43">
        <v>2029</v>
      </c>
      <c r="B103" s="2">
        <v>2022</v>
      </c>
      <c r="C103" s="2">
        <v>2023</v>
      </c>
      <c r="D103" s="2">
        <v>2024</v>
      </c>
      <c r="E103" s="2">
        <v>2025</v>
      </c>
      <c r="F103" s="2">
        <v>2026</v>
      </c>
      <c r="G103" s="2">
        <v>2027</v>
      </c>
      <c r="H103" s="2">
        <v>2028</v>
      </c>
      <c r="I103" s="2">
        <v>2029</v>
      </c>
      <c r="J103" s="2">
        <v>2030</v>
      </c>
      <c r="K103" s="2">
        <v>2031</v>
      </c>
      <c r="L103" s="2">
        <v>2032</v>
      </c>
      <c r="M103" s="2">
        <v>2033</v>
      </c>
      <c r="N103" s="2">
        <v>2034</v>
      </c>
      <c r="O103" s="2">
        <v>2035</v>
      </c>
      <c r="P103" s="2">
        <v>2036</v>
      </c>
      <c r="Q103" s="2">
        <v>2037</v>
      </c>
      <c r="R103" s="2">
        <v>2038</v>
      </c>
      <c r="S103" s="2">
        <v>2039</v>
      </c>
      <c r="T103" s="2">
        <v>2040</v>
      </c>
      <c r="U103" s="2">
        <v>2041</v>
      </c>
      <c r="V103" s="2">
        <v>2042</v>
      </c>
    </row>
    <row r="104" spans="1:22" x14ac:dyDescent="0.3">
      <c r="A104" s="29" t="s">
        <v>6</v>
      </c>
      <c r="B104" s="10"/>
      <c r="C104" s="10"/>
      <c r="D104" s="10"/>
      <c r="E104" s="10"/>
      <c r="F104" s="10"/>
      <c r="G104" s="10"/>
      <c r="H104" s="10"/>
      <c r="I104" s="10">
        <f t="shared" ref="I104:V104" si="34">H92</f>
        <v>162118.73341728002</v>
      </c>
      <c r="J104" s="10">
        <f t="shared" si="34"/>
        <v>161308.1397501936</v>
      </c>
      <c r="K104" s="10">
        <f t="shared" si="34"/>
        <v>160501.59905144264</v>
      </c>
      <c r="L104" s="10">
        <f t="shared" si="34"/>
        <v>159699.09105618543</v>
      </c>
      <c r="M104" s="10">
        <f t="shared" si="34"/>
        <v>158900.59560090449</v>
      </c>
      <c r="N104" s="10">
        <f t="shared" si="34"/>
        <v>158106.09262289997</v>
      </c>
      <c r="O104" s="10">
        <f t="shared" si="34"/>
        <v>157315.56215978548</v>
      </c>
      <c r="P104" s="10">
        <f t="shared" si="34"/>
        <v>156528.98434898653</v>
      </c>
      <c r="Q104" s="10">
        <f t="shared" si="34"/>
        <v>155746.33942724159</v>
      </c>
      <c r="R104" s="10">
        <f t="shared" si="34"/>
        <v>154967.6077301054</v>
      </c>
      <c r="S104" s="10">
        <f t="shared" si="34"/>
        <v>154192.76969145489</v>
      </c>
      <c r="T104" s="10">
        <f t="shared" si="34"/>
        <v>153421.80584299756</v>
      </c>
      <c r="U104" s="10">
        <f t="shared" si="34"/>
        <v>152654.69681378259</v>
      </c>
      <c r="V104" s="10">
        <f t="shared" si="34"/>
        <v>151891.42332971367</v>
      </c>
    </row>
    <row r="105" spans="1:22" x14ac:dyDescent="0.3">
      <c r="A105" s="29" t="s">
        <v>12</v>
      </c>
      <c r="B105" s="10"/>
      <c r="C105" s="10"/>
      <c r="D105" s="10"/>
      <c r="E105" s="10"/>
      <c r="F105" s="10"/>
      <c r="G105" s="10"/>
      <c r="H105" s="10"/>
      <c r="I105" s="10">
        <f t="shared" ref="I105:V105" si="35">H93</f>
        <v>172602.59970134808</v>
      </c>
      <c r="J105" s="10">
        <f t="shared" si="35"/>
        <v>171739.58670284133</v>
      </c>
      <c r="K105" s="10">
        <f t="shared" si="35"/>
        <v>170880.88876932714</v>
      </c>
      <c r="L105" s="10">
        <f t="shared" si="35"/>
        <v>170026.4843254805</v>
      </c>
      <c r="M105" s="10">
        <f t="shared" si="35"/>
        <v>169176.35190385312</v>
      </c>
      <c r="N105" s="10">
        <f t="shared" si="35"/>
        <v>168330.47014433384</v>
      </c>
      <c r="O105" s="10">
        <f t="shared" si="35"/>
        <v>167488.81779361214</v>
      </c>
      <c r="P105" s="10">
        <f t="shared" si="35"/>
        <v>166651.37370464409</v>
      </c>
      <c r="Q105" s="10">
        <f t="shared" si="35"/>
        <v>165818.11683612087</v>
      </c>
      <c r="R105" s="10">
        <f t="shared" si="35"/>
        <v>164989.02625194026</v>
      </c>
      <c r="S105" s="10">
        <f t="shared" si="35"/>
        <v>164164.08112068055</v>
      </c>
      <c r="T105" s="10">
        <f t="shared" si="35"/>
        <v>163343.26071507717</v>
      </c>
      <c r="U105" s="10">
        <f t="shared" si="35"/>
        <v>162526.54441150179</v>
      </c>
      <c r="V105" s="10">
        <f t="shared" si="35"/>
        <v>161713.91168944424</v>
      </c>
    </row>
    <row r="106" spans="1:22" x14ac:dyDescent="0.3">
      <c r="A106" s="29" t="s">
        <v>21</v>
      </c>
      <c r="B106" s="10"/>
      <c r="C106" s="10"/>
      <c r="D106" s="10"/>
      <c r="E106" s="10"/>
      <c r="F106" s="10"/>
      <c r="G106" s="10"/>
      <c r="H106" s="10"/>
      <c r="I106" s="10">
        <f t="shared" ref="I106:V106" si="36">H94</f>
        <v>0</v>
      </c>
      <c r="J106" s="10">
        <f t="shared" si="36"/>
        <v>296358.74531999999</v>
      </c>
      <c r="K106" s="10">
        <f t="shared" si="36"/>
        <v>294876.95159339998</v>
      </c>
      <c r="L106" s="10">
        <f t="shared" si="36"/>
        <v>293402.56683543301</v>
      </c>
      <c r="M106" s="10">
        <f t="shared" si="36"/>
        <v>291935.55400125583</v>
      </c>
      <c r="N106" s="10">
        <f t="shared" si="36"/>
        <v>290475.87623124954</v>
      </c>
      <c r="O106" s="10">
        <f t="shared" si="36"/>
        <v>289023.4968500933</v>
      </c>
      <c r="P106" s="10">
        <f t="shared" si="36"/>
        <v>287578.37936584279</v>
      </c>
      <c r="Q106" s="10">
        <f t="shared" si="36"/>
        <v>286140.48746901361</v>
      </c>
      <c r="R106" s="10">
        <f t="shared" si="36"/>
        <v>284709.78503166855</v>
      </c>
      <c r="S106" s="10">
        <f t="shared" si="36"/>
        <v>283286.23610651016</v>
      </c>
      <c r="T106" s="10">
        <f t="shared" si="36"/>
        <v>281869.8049259776</v>
      </c>
      <c r="U106" s="10">
        <f t="shared" si="36"/>
        <v>280460.45590134774</v>
      </c>
      <c r="V106" s="10">
        <f t="shared" si="36"/>
        <v>279058.15362184099</v>
      </c>
    </row>
    <row r="107" spans="1:22" x14ac:dyDescent="0.3">
      <c r="A107" s="29" t="s">
        <v>25</v>
      </c>
      <c r="B107" s="10"/>
      <c r="C107" s="10"/>
      <c r="D107" s="10"/>
      <c r="E107" s="10"/>
      <c r="F107" s="10"/>
      <c r="G107" s="10"/>
      <c r="H107" s="10"/>
      <c r="I107" s="10">
        <f t="shared" ref="I107:V107" si="37">H95</f>
        <v>148179.37265999999</v>
      </c>
      <c r="J107" s="10">
        <f t="shared" si="37"/>
        <v>147438.47579669999</v>
      </c>
      <c r="K107" s="10">
        <f t="shared" si="37"/>
        <v>146701.28341771651</v>
      </c>
      <c r="L107" s="10">
        <f t="shared" si="37"/>
        <v>145967.77700062795</v>
      </c>
      <c r="M107" s="10">
        <f t="shared" si="37"/>
        <v>145237.9381156248</v>
      </c>
      <c r="N107" s="10">
        <f t="shared" si="37"/>
        <v>144511.74842504668</v>
      </c>
      <c r="O107" s="10">
        <f t="shared" si="37"/>
        <v>143789.18968292145</v>
      </c>
      <c r="P107" s="10">
        <f t="shared" si="37"/>
        <v>143070.24373450683</v>
      </c>
      <c r="Q107" s="10">
        <f t="shared" si="37"/>
        <v>142354.8925158343</v>
      </c>
      <c r="R107" s="10">
        <f t="shared" si="37"/>
        <v>141643.11805325511</v>
      </c>
      <c r="S107" s="10">
        <f t="shared" si="37"/>
        <v>140934.90246298886</v>
      </c>
      <c r="T107" s="10">
        <f t="shared" si="37"/>
        <v>140230.2279506739</v>
      </c>
      <c r="U107" s="10">
        <f t="shared" si="37"/>
        <v>139529.07681092052</v>
      </c>
      <c r="V107" s="10">
        <f t="shared" si="37"/>
        <v>138831.43142686592</v>
      </c>
    </row>
    <row r="108" spans="1:22" x14ac:dyDescent="0.3">
      <c r="A108" s="29" t="s">
        <v>29</v>
      </c>
      <c r="B108" s="10"/>
      <c r="C108" s="10"/>
      <c r="D108" s="10"/>
      <c r="E108" s="10"/>
      <c r="F108" s="10"/>
      <c r="G108" s="10"/>
      <c r="H108" s="10"/>
      <c r="I108" s="10">
        <f t="shared" ref="I108:V108" si="38">H96</f>
        <v>0</v>
      </c>
      <c r="J108" s="10">
        <f t="shared" si="38"/>
        <v>49393.124220000005</v>
      </c>
      <c r="K108" s="10">
        <f t="shared" si="38"/>
        <v>49146.158598900001</v>
      </c>
      <c r="L108" s="10">
        <f t="shared" si="38"/>
        <v>48900.4278059055</v>
      </c>
      <c r="M108" s="10">
        <f t="shared" si="38"/>
        <v>48655.92566687597</v>
      </c>
      <c r="N108" s="10">
        <f t="shared" si="38"/>
        <v>48412.646038541592</v>
      </c>
      <c r="O108" s="10">
        <f t="shared" si="38"/>
        <v>48170.582808348889</v>
      </c>
      <c r="P108" s="10">
        <f t="shared" si="38"/>
        <v>47929.729894307144</v>
      </c>
      <c r="Q108" s="10">
        <f t="shared" si="38"/>
        <v>47690.081244835608</v>
      </c>
      <c r="R108" s="10">
        <f t="shared" si="38"/>
        <v>47451.630838611432</v>
      </c>
      <c r="S108" s="10">
        <f t="shared" si="38"/>
        <v>47214.372684418369</v>
      </c>
      <c r="T108" s="10">
        <f t="shared" si="38"/>
        <v>46978.300820996279</v>
      </c>
      <c r="U108" s="10">
        <f t="shared" si="38"/>
        <v>46743.409316891295</v>
      </c>
      <c r="V108" s="10">
        <f t="shared" si="38"/>
        <v>46509.692270306841</v>
      </c>
    </row>
    <row r="109" spans="1:22" x14ac:dyDescent="0.3">
      <c r="A109" s="30" t="s">
        <v>33</v>
      </c>
      <c r="B109" s="10"/>
      <c r="C109" s="10"/>
      <c r="D109" s="10"/>
      <c r="E109" s="10"/>
      <c r="F109" s="10"/>
      <c r="G109" s="10"/>
      <c r="H109" s="10"/>
      <c r="I109" s="10">
        <f t="shared" ref="I109:V109" si="39">H97</f>
        <v>86301.29985067404</v>
      </c>
      <c r="J109" s="10">
        <f t="shared" si="39"/>
        <v>85869.793351420667</v>
      </c>
      <c r="K109" s="10">
        <f t="shared" si="39"/>
        <v>85440.44438466357</v>
      </c>
      <c r="L109" s="10">
        <f t="shared" si="39"/>
        <v>85013.242162740251</v>
      </c>
      <c r="M109" s="10">
        <f t="shared" si="39"/>
        <v>84588.175951926562</v>
      </c>
      <c r="N109" s="10">
        <f t="shared" si="39"/>
        <v>84165.235072166921</v>
      </c>
      <c r="O109" s="10">
        <f t="shared" si="39"/>
        <v>83744.408896806068</v>
      </c>
      <c r="P109" s="10">
        <f t="shared" si="39"/>
        <v>83325.686852322047</v>
      </c>
      <c r="Q109" s="10">
        <f t="shared" si="39"/>
        <v>82909.058418060435</v>
      </c>
      <c r="R109" s="10">
        <f t="shared" si="39"/>
        <v>82494.51312597013</v>
      </c>
      <c r="S109" s="10">
        <f t="shared" si="39"/>
        <v>82082.040560340276</v>
      </c>
      <c r="T109" s="10">
        <f t="shared" si="39"/>
        <v>81671.630357538583</v>
      </c>
      <c r="U109" s="10">
        <f t="shared" si="39"/>
        <v>81263.272205750894</v>
      </c>
      <c r="V109" s="10">
        <f t="shared" si="39"/>
        <v>80856.955844722121</v>
      </c>
    </row>
    <row r="110" spans="1:22" x14ac:dyDescent="0.3">
      <c r="A110" s="30" t="s">
        <v>40</v>
      </c>
      <c r="B110" s="10"/>
      <c r="C110" s="10"/>
      <c r="D110" s="10"/>
      <c r="E110" s="10"/>
      <c r="F110" s="10"/>
      <c r="G110" s="10"/>
      <c r="H110" s="10"/>
      <c r="I110" s="10">
        <v>0</v>
      </c>
      <c r="J110" s="10">
        <v>0</v>
      </c>
      <c r="K110" s="10">
        <v>0</v>
      </c>
      <c r="L110" s="10">
        <v>2500000</v>
      </c>
      <c r="M110" s="10">
        <v>2500000</v>
      </c>
      <c r="N110" s="10">
        <v>2500000</v>
      </c>
      <c r="O110" s="10">
        <v>2500000</v>
      </c>
      <c r="P110" s="10">
        <v>2500000</v>
      </c>
      <c r="Q110" s="10">
        <v>2500000</v>
      </c>
      <c r="R110" s="10">
        <v>2500000</v>
      </c>
      <c r="S110" s="10">
        <v>2500000</v>
      </c>
      <c r="T110" s="10">
        <v>2500000</v>
      </c>
      <c r="U110" s="10">
        <v>2500000</v>
      </c>
      <c r="V110" s="10">
        <v>2500000</v>
      </c>
    </row>
    <row r="111" spans="1:22" x14ac:dyDescent="0.3">
      <c r="A111" s="30" t="s">
        <v>41</v>
      </c>
      <c r="B111" s="10"/>
      <c r="C111" s="10"/>
      <c r="D111" s="10"/>
      <c r="E111" s="10"/>
      <c r="F111" s="10"/>
      <c r="G111" s="10"/>
      <c r="H111" s="10"/>
      <c r="I111" s="10">
        <v>0</v>
      </c>
      <c r="J111" s="10">
        <v>0</v>
      </c>
      <c r="K111" s="10">
        <v>0</v>
      </c>
      <c r="L111" s="10">
        <v>2000000</v>
      </c>
      <c r="M111" s="10">
        <v>2000000</v>
      </c>
      <c r="N111" s="10">
        <v>2000000</v>
      </c>
      <c r="O111" s="10">
        <v>2000000</v>
      </c>
      <c r="P111" s="10">
        <v>2000000</v>
      </c>
      <c r="Q111" s="10">
        <v>2000000</v>
      </c>
      <c r="R111" s="10">
        <v>2000000</v>
      </c>
      <c r="S111" s="10">
        <v>2000000</v>
      </c>
      <c r="T111" s="10">
        <v>2000000</v>
      </c>
      <c r="U111" s="10">
        <v>2000000</v>
      </c>
      <c r="V111" s="10">
        <v>2000000</v>
      </c>
    </row>
    <row r="112" spans="1:22" x14ac:dyDescent="0.3">
      <c r="A112" s="30" t="s">
        <v>42</v>
      </c>
      <c r="B112" s="10"/>
      <c r="C112" s="10"/>
      <c r="D112" s="10"/>
      <c r="E112" s="10"/>
      <c r="F112" s="10"/>
      <c r="G112" s="10"/>
      <c r="H112" s="10"/>
      <c r="I112" s="10">
        <v>0</v>
      </c>
      <c r="J112" s="10">
        <v>0</v>
      </c>
      <c r="K112" s="10">
        <v>0</v>
      </c>
      <c r="L112" s="10">
        <v>125000</v>
      </c>
      <c r="M112" s="10">
        <v>125000</v>
      </c>
      <c r="N112" s="10">
        <v>125000</v>
      </c>
      <c r="O112" s="10">
        <v>125000</v>
      </c>
      <c r="P112" s="10">
        <v>125000</v>
      </c>
      <c r="Q112" s="10">
        <v>125000</v>
      </c>
      <c r="R112" s="10">
        <v>125000</v>
      </c>
      <c r="S112" s="10">
        <v>125000</v>
      </c>
      <c r="T112" s="10">
        <v>125000</v>
      </c>
      <c r="U112" s="10">
        <v>125000</v>
      </c>
      <c r="V112" s="10">
        <v>125000</v>
      </c>
    </row>
    <row r="113" spans="1:44" x14ac:dyDescent="0.3">
      <c r="A113" s="5" t="s">
        <v>241</v>
      </c>
      <c r="B113" s="6">
        <f t="shared" ref="B113:V113" si="40">SUM(B104:B112)</f>
        <v>0</v>
      </c>
      <c r="C113" s="6">
        <f t="shared" si="40"/>
        <v>0</v>
      </c>
      <c r="D113" s="6">
        <f t="shared" si="40"/>
        <v>0</v>
      </c>
      <c r="E113" s="6">
        <f t="shared" si="40"/>
        <v>0</v>
      </c>
      <c r="F113" s="6">
        <f t="shared" si="40"/>
        <v>0</v>
      </c>
      <c r="G113" s="6">
        <f t="shared" si="40"/>
        <v>0</v>
      </c>
      <c r="H113" s="6">
        <f t="shared" si="40"/>
        <v>0</v>
      </c>
      <c r="I113" s="6">
        <f t="shared" si="40"/>
        <v>569202.00562930212</v>
      </c>
      <c r="J113" s="6">
        <f t="shared" si="40"/>
        <v>912107.86514115555</v>
      </c>
      <c r="K113" s="6">
        <f t="shared" si="40"/>
        <v>907547.32581544982</v>
      </c>
      <c r="L113" s="6">
        <f t="shared" si="40"/>
        <v>5528009.5891863722</v>
      </c>
      <c r="M113" s="6">
        <f t="shared" si="40"/>
        <v>5523494.5412404407</v>
      </c>
      <c r="N113" s="6">
        <f t="shared" si="40"/>
        <v>5519002.0685342383</v>
      </c>
      <c r="O113" s="6">
        <f t="shared" si="40"/>
        <v>5514532.0581915677</v>
      </c>
      <c r="P113" s="6">
        <f t="shared" si="40"/>
        <v>5510084.3979006093</v>
      </c>
      <c r="Q113" s="6">
        <f t="shared" si="40"/>
        <v>5505658.9759111069</v>
      </c>
      <c r="R113" s="6">
        <f t="shared" si="40"/>
        <v>5501255.6810315512</v>
      </c>
      <c r="S113" s="6">
        <f t="shared" si="40"/>
        <v>5496874.4026263934</v>
      </c>
      <c r="T113" s="6">
        <f t="shared" si="40"/>
        <v>5492515.0306132613</v>
      </c>
      <c r="U113" s="6">
        <f t="shared" si="40"/>
        <v>5488177.4554601945</v>
      </c>
      <c r="V113" s="6">
        <f t="shared" si="40"/>
        <v>5483861.568182894</v>
      </c>
    </row>
    <row r="116" spans="1:44" ht="15.6" x14ac:dyDescent="0.3">
      <c r="A116" s="43">
        <v>2030</v>
      </c>
      <c r="B116" s="2">
        <v>2022</v>
      </c>
      <c r="C116" s="2">
        <v>2023</v>
      </c>
      <c r="D116" s="2">
        <v>2024</v>
      </c>
      <c r="E116" s="2">
        <v>2025</v>
      </c>
      <c r="F116" s="2">
        <v>2026</v>
      </c>
      <c r="G116" s="2">
        <v>2027</v>
      </c>
      <c r="H116" s="2">
        <v>2028</v>
      </c>
      <c r="I116" s="2">
        <v>2029</v>
      </c>
      <c r="J116" s="2">
        <v>2030</v>
      </c>
      <c r="K116" s="2">
        <v>2031</v>
      </c>
      <c r="L116" s="2">
        <v>2032</v>
      </c>
      <c r="M116" s="2">
        <v>2033</v>
      </c>
      <c r="N116" s="2">
        <v>2034</v>
      </c>
      <c r="O116" s="2">
        <v>2035</v>
      </c>
      <c r="P116" s="2">
        <v>2036</v>
      </c>
      <c r="Q116" s="2">
        <v>2037</v>
      </c>
      <c r="R116" s="2">
        <v>2038</v>
      </c>
      <c r="S116" s="2">
        <v>2039</v>
      </c>
      <c r="T116" s="2">
        <v>2040</v>
      </c>
      <c r="U116" s="2">
        <v>2041</v>
      </c>
      <c r="V116" s="2">
        <v>2042</v>
      </c>
    </row>
    <row r="117" spans="1:44" x14ac:dyDescent="0.3">
      <c r="A117" s="29" t="s">
        <v>6</v>
      </c>
      <c r="B117" s="10"/>
      <c r="C117" s="10"/>
      <c r="D117" s="10"/>
      <c r="E117" s="10"/>
      <c r="F117" s="10"/>
      <c r="G117" s="10"/>
      <c r="H117" s="10"/>
      <c r="I117" s="10"/>
      <c r="J117" s="10">
        <v>162118.73341728002</v>
      </c>
      <c r="K117" s="10">
        <v>161308.1397501936</v>
      </c>
      <c r="L117" s="10">
        <v>160501.59905144264</v>
      </c>
      <c r="M117" s="10">
        <v>159699.09105618543</v>
      </c>
      <c r="N117" s="10">
        <v>158900.59560090449</v>
      </c>
      <c r="O117" s="10">
        <v>158106.09262289997</v>
      </c>
      <c r="P117" s="10">
        <v>157315.56215978548</v>
      </c>
      <c r="Q117" s="10">
        <v>156528.98434898653</v>
      </c>
      <c r="R117" s="10">
        <v>155746.33942724159</v>
      </c>
      <c r="S117" s="10">
        <v>154967.6077301054</v>
      </c>
      <c r="T117" s="10">
        <v>154192.76969145489</v>
      </c>
      <c r="U117" s="10">
        <v>153421.80584299756</v>
      </c>
      <c r="V117" s="10">
        <v>152654.69681378259</v>
      </c>
      <c r="X117" s="19"/>
      <c r="Y117" s="19"/>
      <c r="Z117" s="19"/>
      <c r="AA117" s="19"/>
      <c r="AB117" s="19"/>
      <c r="AC117" s="19"/>
      <c r="AD117" s="19"/>
      <c r="AE117" s="19"/>
      <c r="AF117" s="19"/>
      <c r="AG117" s="19"/>
      <c r="AH117" s="19"/>
      <c r="AI117" s="19"/>
      <c r="AJ117" s="19"/>
      <c r="AK117" s="19"/>
      <c r="AL117" s="19"/>
      <c r="AM117" s="19"/>
      <c r="AN117" s="19"/>
      <c r="AO117" s="19"/>
      <c r="AP117" s="19"/>
      <c r="AQ117" s="19"/>
      <c r="AR117" s="19"/>
    </row>
    <row r="118" spans="1:44" x14ac:dyDescent="0.3">
      <c r="A118" s="29" t="s">
        <v>12</v>
      </c>
      <c r="B118" s="10"/>
      <c r="C118" s="10"/>
      <c r="D118" s="10"/>
      <c r="E118" s="10"/>
      <c r="F118" s="10"/>
      <c r="G118" s="10"/>
      <c r="H118" s="10"/>
      <c r="I118" s="10"/>
      <c r="J118" s="10">
        <v>172602.59970134808</v>
      </c>
      <c r="K118" s="10">
        <v>171739.58670284133</v>
      </c>
      <c r="L118" s="10">
        <v>170880.88876932714</v>
      </c>
      <c r="M118" s="10">
        <v>170026.4843254805</v>
      </c>
      <c r="N118" s="10">
        <v>169176.35190385312</v>
      </c>
      <c r="O118" s="10">
        <v>168330.47014433384</v>
      </c>
      <c r="P118" s="10">
        <v>167488.81779361214</v>
      </c>
      <c r="Q118" s="10">
        <v>166651.37370464409</v>
      </c>
      <c r="R118" s="10">
        <v>165818.11683612087</v>
      </c>
      <c r="S118" s="10">
        <v>164989.02625194026</v>
      </c>
      <c r="T118" s="10">
        <v>164164.08112068055</v>
      </c>
      <c r="U118" s="10">
        <v>163343.26071507717</v>
      </c>
      <c r="V118" s="10">
        <v>162526.54441150179</v>
      </c>
      <c r="X118" s="19"/>
      <c r="Y118" s="19"/>
      <c r="Z118" s="19"/>
      <c r="AA118" s="19"/>
      <c r="AB118" s="19"/>
      <c r="AC118" s="19"/>
      <c r="AD118" s="19"/>
      <c r="AE118" s="19"/>
      <c r="AF118" s="19"/>
      <c r="AG118" s="19"/>
      <c r="AH118" s="19"/>
      <c r="AI118" s="19"/>
      <c r="AJ118" s="19"/>
      <c r="AK118" s="19"/>
      <c r="AL118" s="19"/>
      <c r="AM118" s="19"/>
      <c r="AN118" s="19"/>
      <c r="AO118" s="19"/>
      <c r="AP118" s="19"/>
      <c r="AQ118" s="19"/>
      <c r="AR118" s="19"/>
    </row>
    <row r="119" spans="1:44" x14ac:dyDescent="0.3">
      <c r="A119" s="29" t="s">
        <v>21</v>
      </c>
      <c r="B119" s="10"/>
      <c r="C119" s="10"/>
      <c r="D119" s="10"/>
      <c r="E119" s="10"/>
      <c r="F119" s="10"/>
      <c r="G119" s="10"/>
      <c r="H119" s="10"/>
      <c r="I119" s="10"/>
      <c r="J119" s="10">
        <v>0</v>
      </c>
      <c r="K119" s="10">
        <v>296358.74531999999</v>
      </c>
      <c r="L119" s="10">
        <v>294876.95159339998</v>
      </c>
      <c r="M119" s="10">
        <v>293402.56683543301</v>
      </c>
      <c r="N119" s="10">
        <v>291935.55400125583</v>
      </c>
      <c r="O119" s="10">
        <v>290475.87623124954</v>
      </c>
      <c r="P119" s="10">
        <v>289023.4968500933</v>
      </c>
      <c r="Q119" s="10">
        <v>287578.37936584279</v>
      </c>
      <c r="R119" s="10">
        <v>286140.48746901361</v>
      </c>
      <c r="S119" s="10">
        <v>284709.78503166855</v>
      </c>
      <c r="T119" s="10">
        <v>283286.23610651016</v>
      </c>
      <c r="U119" s="10">
        <v>281869.8049259776</v>
      </c>
      <c r="V119" s="10">
        <v>280460.45590134774</v>
      </c>
      <c r="X119" s="19"/>
      <c r="Y119" s="19"/>
      <c r="Z119" s="19"/>
      <c r="AA119" s="19"/>
      <c r="AB119" s="19"/>
      <c r="AC119" s="19"/>
      <c r="AD119" s="19"/>
      <c r="AE119" s="19"/>
      <c r="AF119" s="19"/>
      <c r="AG119" s="19"/>
      <c r="AH119" s="19"/>
      <c r="AI119" s="19"/>
      <c r="AJ119" s="19"/>
      <c r="AK119" s="19"/>
      <c r="AL119" s="19"/>
      <c r="AM119" s="19"/>
      <c r="AN119" s="19"/>
      <c r="AO119" s="19"/>
      <c r="AP119" s="19"/>
      <c r="AQ119" s="19"/>
      <c r="AR119" s="19"/>
    </row>
    <row r="120" spans="1:44" x14ac:dyDescent="0.3">
      <c r="A120" s="29" t="s">
        <v>25</v>
      </c>
      <c r="B120" s="10"/>
      <c r="C120" s="10"/>
      <c r="D120" s="10"/>
      <c r="E120" s="10"/>
      <c r="F120" s="10"/>
      <c r="G120" s="10"/>
      <c r="H120" s="10"/>
      <c r="I120" s="10"/>
      <c r="J120" s="10">
        <v>148179.37265999999</v>
      </c>
      <c r="K120" s="10">
        <v>147438.47579669999</v>
      </c>
      <c r="L120" s="10">
        <v>146701.28341771651</v>
      </c>
      <c r="M120" s="10">
        <v>145967.77700062795</v>
      </c>
      <c r="N120" s="10">
        <v>145237.9381156248</v>
      </c>
      <c r="O120" s="10">
        <v>144511.74842504668</v>
      </c>
      <c r="P120" s="10">
        <v>143789.18968292145</v>
      </c>
      <c r="Q120" s="10">
        <v>143070.24373450683</v>
      </c>
      <c r="R120" s="10">
        <v>142354.8925158343</v>
      </c>
      <c r="S120" s="10">
        <v>141643.11805325511</v>
      </c>
      <c r="T120" s="10">
        <v>140934.90246298886</v>
      </c>
      <c r="U120" s="10">
        <v>140230.2279506739</v>
      </c>
      <c r="V120" s="10">
        <v>139529.07681092052</v>
      </c>
      <c r="X120" s="19"/>
      <c r="Y120" s="19"/>
      <c r="Z120" s="19"/>
      <c r="AA120" s="19"/>
      <c r="AB120" s="19"/>
      <c r="AC120" s="19"/>
      <c r="AD120" s="19"/>
      <c r="AE120" s="19"/>
      <c r="AF120" s="19"/>
      <c r="AG120" s="19"/>
      <c r="AH120" s="19"/>
      <c r="AI120" s="19"/>
      <c r="AJ120" s="19"/>
      <c r="AK120" s="19"/>
      <c r="AL120" s="19"/>
      <c r="AM120" s="19"/>
      <c r="AN120" s="19"/>
      <c r="AO120" s="19"/>
      <c r="AP120" s="19"/>
      <c r="AQ120" s="19"/>
      <c r="AR120" s="19"/>
    </row>
    <row r="121" spans="1:44" x14ac:dyDescent="0.3">
      <c r="A121" s="29" t="s">
        <v>29</v>
      </c>
      <c r="B121" s="10"/>
      <c r="C121" s="10"/>
      <c r="D121" s="10"/>
      <c r="E121" s="10"/>
      <c r="F121" s="10"/>
      <c r="G121" s="10"/>
      <c r="H121" s="10"/>
      <c r="I121" s="10"/>
      <c r="J121" s="10">
        <v>0</v>
      </c>
      <c r="K121" s="10">
        <v>49393.124220000005</v>
      </c>
      <c r="L121" s="10">
        <v>49146.158598900001</v>
      </c>
      <c r="M121" s="10">
        <v>48900.4278059055</v>
      </c>
      <c r="N121" s="10">
        <v>48655.92566687597</v>
      </c>
      <c r="O121" s="10">
        <v>48412.646038541592</v>
      </c>
      <c r="P121" s="10">
        <v>48170.582808348889</v>
      </c>
      <c r="Q121" s="10">
        <v>47929.729894307144</v>
      </c>
      <c r="R121" s="10">
        <v>47690.081244835608</v>
      </c>
      <c r="S121" s="10">
        <v>47451.630838611432</v>
      </c>
      <c r="T121" s="10">
        <v>47214.372684418369</v>
      </c>
      <c r="U121" s="10">
        <v>46978.300820996279</v>
      </c>
      <c r="V121" s="10">
        <v>46743.409316891295</v>
      </c>
      <c r="X121" s="19"/>
      <c r="Y121" s="19"/>
      <c r="Z121" s="19"/>
      <c r="AA121" s="19"/>
      <c r="AB121" s="19"/>
      <c r="AC121" s="19"/>
      <c r="AD121" s="19"/>
      <c r="AE121" s="19"/>
      <c r="AF121" s="19"/>
      <c r="AG121" s="19"/>
      <c r="AH121" s="19"/>
      <c r="AI121" s="19"/>
      <c r="AJ121" s="19"/>
      <c r="AK121" s="19"/>
      <c r="AL121" s="19"/>
      <c r="AM121" s="19"/>
      <c r="AN121" s="19"/>
      <c r="AO121" s="19"/>
      <c r="AP121" s="19"/>
      <c r="AQ121" s="19"/>
      <c r="AR121" s="19"/>
    </row>
    <row r="122" spans="1:44" x14ac:dyDescent="0.3">
      <c r="A122" s="30" t="s">
        <v>33</v>
      </c>
      <c r="B122" s="10"/>
      <c r="C122" s="10"/>
      <c r="D122" s="10"/>
      <c r="E122" s="10"/>
      <c r="F122" s="10"/>
      <c r="G122" s="10"/>
      <c r="H122" s="10"/>
      <c r="I122" s="10"/>
      <c r="J122" s="10">
        <v>86301.29985067404</v>
      </c>
      <c r="K122" s="10">
        <v>85869.793351420667</v>
      </c>
      <c r="L122" s="10">
        <v>85440.44438466357</v>
      </c>
      <c r="M122" s="10">
        <v>85013.242162740251</v>
      </c>
      <c r="N122" s="10">
        <v>84588.175951926562</v>
      </c>
      <c r="O122" s="10">
        <v>84165.235072166921</v>
      </c>
      <c r="P122" s="10">
        <v>83744.408896806068</v>
      </c>
      <c r="Q122" s="10">
        <v>83325.686852322047</v>
      </c>
      <c r="R122" s="10">
        <v>82909.058418060435</v>
      </c>
      <c r="S122" s="10">
        <v>82494.51312597013</v>
      </c>
      <c r="T122" s="10">
        <v>82082.040560340276</v>
      </c>
      <c r="U122" s="10">
        <v>81671.630357538583</v>
      </c>
      <c r="V122" s="10">
        <v>81263.272205750894</v>
      </c>
      <c r="X122" s="19"/>
      <c r="Y122" s="19"/>
      <c r="Z122" s="19"/>
      <c r="AA122" s="19"/>
      <c r="AB122" s="19"/>
      <c r="AC122" s="19"/>
      <c r="AD122" s="19"/>
      <c r="AE122" s="19"/>
      <c r="AF122" s="19"/>
      <c r="AG122" s="19"/>
      <c r="AH122" s="19"/>
      <c r="AI122" s="19"/>
      <c r="AJ122" s="19"/>
      <c r="AK122" s="19"/>
      <c r="AL122" s="19"/>
      <c r="AM122" s="19"/>
      <c r="AN122" s="19"/>
      <c r="AO122" s="19"/>
      <c r="AP122" s="19"/>
      <c r="AQ122" s="19"/>
      <c r="AR122" s="19"/>
    </row>
    <row r="123" spans="1:44" x14ac:dyDescent="0.3">
      <c r="A123" s="30" t="s">
        <v>40</v>
      </c>
      <c r="B123" s="10"/>
      <c r="C123" s="10"/>
      <c r="D123" s="10"/>
      <c r="E123" s="10"/>
      <c r="F123" s="10"/>
      <c r="G123" s="10"/>
      <c r="H123" s="10"/>
      <c r="I123" s="10"/>
      <c r="J123" s="10">
        <v>0</v>
      </c>
      <c r="K123" s="10">
        <v>0</v>
      </c>
      <c r="L123" s="10">
        <v>0</v>
      </c>
      <c r="M123" s="10">
        <v>2500000</v>
      </c>
      <c r="N123" s="10">
        <v>2500000</v>
      </c>
      <c r="O123" s="10">
        <v>2500000</v>
      </c>
      <c r="P123" s="10">
        <v>2500000</v>
      </c>
      <c r="Q123" s="10">
        <v>2500000</v>
      </c>
      <c r="R123" s="10">
        <v>2500000</v>
      </c>
      <c r="S123" s="10">
        <v>2500000</v>
      </c>
      <c r="T123" s="10">
        <v>2500000</v>
      </c>
      <c r="U123" s="10">
        <v>2500000</v>
      </c>
      <c r="V123" s="10">
        <v>2500000</v>
      </c>
      <c r="X123" s="19"/>
      <c r="Y123" s="19"/>
      <c r="Z123" s="19"/>
      <c r="AA123" s="19"/>
      <c r="AB123" s="19"/>
      <c r="AC123" s="19"/>
      <c r="AD123" s="19"/>
      <c r="AE123" s="19"/>
      <c r="AF123" s="19"/>
      <c r="AG123" s="19"/>
      <c r="AH123" s="19"/>
      <c r="AI123" s="19"/>
      <c r="AJ123" s="19"/>
      <c r="AK123" s="19"/>
      <c r="AL123" s="19"/>
      <c r="AM123" s="19"/>
      <c r="AN123" s="19"/>
      <c r="AO123" s="19"/>
      <c r="AP123" s="19"/>
      <c r="AQ123" s="19"/>
      <c r="AR123" s="19"/>
    </row>
    <row r="124" spans="1:44" x14ac:dyDescent="0.3">
      <c r="A124" s="30" t="s">
        <v>41</v>
      </c>
      <c r="B124" s="10"/>
      <c r="C124" s="10"/>
      <c r="D124" s="10"/>
      <c r="E124" s="10"/>
      <c r="F124" s="10"/>
      <c r="G124" s="10"/>
      <c r="H124" s="10"/>
      <c r="I124" s="10"/>
      <c r="J124" s="10">
        <v>0</v>
      </c>
      <c r="K124" s="10">
        <v>0</v>
      </c>
      <c r="L124" s="10">
        <v>0</v>
      </c>
      <c r="M124" s="10">
        <v>2000000</v>
      </c>
      <c r="N124" s="10">
        <v>2000000</v>
      </c>
      <c r="O124" s="10">
        <v>2000000</v>
      </c>
      <c r="P124" s="10">
        <v>2000000</v>
      </c>
      <c r="Q124" s="10">
        <v>2000000</v>
      </c>
      <c r="R124" s="10">
        <v>2000000</v>
      </c>
      <c r="S124" s="10">
        <v>2000000</v>
      </c>
      <c r="T124" s="10">
        <v>2000000</v>
      </c>
      <c r="U124" s="10">
        <v>2000000</v>
      </c>
      <c r="V124" s="10">
        <v>2000000</v>
      </c>
      <c r="X124" s="19"/>
      <c r="Y124" s="19"/>
      <c r="Z124" s="19"/>
      <c r="AA124" s="19"/>
      <c r="AB124" s="19"/>
      <c r="AC124" s="19"/>
      <c r="AD124" s="19"/>
      <c r="AE124" s="19"/>
      <c r="AF124" s="19"/>
      <c r="AG124" s="19"/>
      <c r="AH124" s="19"/>
      <c r="AI124" s="19"/>
      <c r="AJ124" s="19"/>
      <c r="AK124" s="19"/>
      <c r="AL124" s="19"/>
      <c r="AM124" s="19"/>
      <c r="AN124" s="19"/>
      <c r="AO124" s="19"/>
      <c r="AP124" s="19"/>
      <c r="AQ124" s="19"/>
      <c r="AR124" s="19"/>
    </row>
    <row r="125" spans="1:44" x14ac:dyDescent="0.3">
      <c r="A125" s="30" t="s">
        <v>42</v>
      </c>
      <c r="B125" s="10"/>
      <c r="C125" s="10"/>
      <c r="D125" s="10"/>
      <c r="E125" s="10"/>
      <c r="F125" s="10"/>
      <c r="G125" s="10"/>
      <c r="H125" s="10"/>
      <c r="I125" s="10"/>
      <c r="J125" s="10">
        <v>0</v>
      </c>
      <c r="K125" s="10">
        <v>0</v>
      </c>
      <c r="L125" s="10">
        <v>0</v>
      </c>
      <c r="M125" s="10">
        <v>125000</v>
      </c>
      <c r="N125" s="10">
        <v>125000</v>
      </c>
      <c r="O125" s="10">
        <v>125000</v>
      </c>
      <c r="P125" s="10">
        <v>125000</v>
      </c>
      <c r="Q125" s="10">
        <v>125000</v>
      </c>
      <c r="R125" s="10">
        <v>125000</v>
      </c>
      <c r="S125" s="10">
        <v>125000</v>
      </c>
      <c r="T125" s="10">
        <v>125000</v>
      </c>
      <c r="U125" s="10">
        <v>125000</v>
      </c>
      <c r="V125" s="10">
        <v>125000</v>
      </c>
      <c r="X125" s="19"/>
      <c r="Y125" s="19"/>
      <c r="Z125" s="19"/>
      <c r="AA125" s="19"/>
      <c r="AB125" s="19"/>
      <c r="AC125" s="19"/>
      <c r="AD125" s="19"/>
      <c r="AE125" s="19"/>
      <c r="AF125" s="19"/>
      <c r="AG125" s="19"/>
      <c r="AH125" s="19"/>
      <c r="AI125" s="19"/>
      <c r="AJ125" s="19"/>
      <c r="AK125" s="19"/>
      <c r="AL125" s="19"/>
      <c r="AM125" s="19"/>
      <c r="AN125" s="19"/>
      <c r="AO125" s="19"/>
      <c r="AP125" s="19"/>
      <c r="AQ125" s="19"/>
      <c r="AR125" s="19"/>
    </row>
    <row r="126" spans="1:44" x14ac:dyDescent="0.3">
      <c r="A126" s="5" t="s">
        <v>241</v>
      </c>
      <c r="B126" s="6">
        <f t="shared" ref="B126:V126" si="41">SUM(B117:B125)</f>
        <v>0</v>
      </c>
      <c r="C126" s="6">
        <f t="shared" si="41"/>
        <v>0</v>
      </c>
      <c r="D126" s="6">
        <f t="shared" si="41"/>
        <v>0</v>
      </c>
      <c r="E126" s="6">
        <f t="shared" si="41"/>
        <v>0</v>
      </c>
      <c r="F126" s="6">
        <f t="shared" si="41"/>
        <v>0</v>
      </c>
      <c r="G126" s="6">
        <f t="shared" si="41"/>
        <v>0</v>
      </c>
      <c r="H126" s="6">
        <f t="shared" si="41"/>
        <v>0</v>
      </c>
      <c r="I126" s="6">
        <f t="shared" si="41"/>
        <v>0</v>
      </c>
      <c r="J126" s="6">
        <f t="shared" si="41"/>
        <v>569202.00562930212</v>
      </c>
      <c r="K126" s="6">
        <f t="shared" si="41"/>
        <v>912107.86514115555</v>
      </c>
      <c r="L126" s="6">
        <f t="shared" si="41"/>
        <v>907547.32581544982</v>
      </c>
      <c r="M126" s="6">
        <f t="shared" si="41"/>
        <v>5528009.5891863722</v>
      </c>
      <c r="N126" s="6">
        <f t="shared" si="41"/>
        <v>5523494.5412404407</v>
      </c>
      <c r="O126" s="6">
        <f t="shared" si="41"/>
        <v>5519002.0685342383</v>
      </c>
      <c r="P126" s="6">
        <f t="shared" si="41"/>
        <v>5514532.0581915677</v>
      </c>
      <c r="Q126" s="6">
        <f t="shared" si="41"/>
        <v>5510084.3979006093</v>
      </c>
      <c r="R126" s="6">
        <f t="shared" si="41"/>
        <v>5505658.9759111069</v>
      </c>
      <c r="S126" s="6">
        <f t="shared" si="41"/>
        <v>5501255.6810315512</v>
      </c>
      <c r="T126" s="6">
        <f t="shared" si="41"/>
        <v>5496874.4026263934</v>
      </c>
      <c r="U126" s="6">
        <f t="shared" si="41"/>
        <v>5492515.0306132613</v>
      </c>
      <c r="V126" s="6">
        <f t="shared" si="41"/>
        <v>5488177.4554601945</v>
      </c>
    </row>
    <row r="129" spans="1:22" ht="15.6" x14ac:dyDescent="0.3">
      <c r="A129" s="43">
        <v>2031</v>
      </c>
      <c r="B129" s="2">
        <v>2022</v>
      </c>
      <c r="C129" s="2">
        <v>2023</v>
      </c>
      <c r="D129" s="2">
        <v>2024</v>
      </c>
      <c r="E129" s="2">
        <v>2025</v>
      </c>
      <c r="F129" s="2">
        <v>2026</v>
      </c>
      <c r="G129" s="2">
        <v>2027</v>
      </c>
      <c r="H129" s="2">
        <v>2028</v>
      </c>
      <c r="I129" s="2">
        <v>2029</v>
      </c>
      <c r="J129" s="2">
        <v>2030</v>
      </c>
      <c r="K129" s="2">
        <v>2031</v>
      </c>
      <c r="L129" s="2">
        <v>2032</v>
      </c>
      <c r="M129" s="2">
        <v>2033</v>
      </c>
      <c r="N129" s="2">
        <v>2034</v>
      </c>
      <c r="O129" s="2">
        <v>2035</v>
      </c>
      <c r="P129" s="2">
        <v>2036</v>
      </c>
      <c r="Q129" s="2">
        <v>2037</v>
      </c>
      <c r="R129" s="2">
        <v>2038</v>
      </c>
      <c r="S129" s="2">
        <v>2039</v>
      </c>
      <c r="T129" s="2">
        <v>2040</v>
      </c>
      <c r="U129" s="2">
        <v>2041</v>
      </c>
      <c r="V129" s="2">
        <v>2042</v>
      </c>
    </row>
    <row r="130" spans="1:22" x14ac:dyDescent="0.3">
      <c r="A130" s="29" t="s">
        <v>6</v>
      </c>
      <c r="B130" s="18"/>
      <c r="C130" s="10"/>
      <c r="D130" s="10"/>
      <c r="E130" s="10"/>
      <c r="F130" s="10"/>
      <c r="G130" s="10"/>
      <c r="H130" s="10"/>
      <c r="I130" s="10"/>
      <c r="J130" s="10"/>
      <c r="K130" s="10">
        <f t="shared" ref="K130:V130" si="42">J117</f>
        <v>162118.73341728002</v>
      </c>
      <c r="L130" s="10">
        <f t="shared" si="42"/>
        <v>161308.1397501936</v>
      </c>
      <c r="M130" s="10">
        <f t="shared" si="42"/>
        <v>160501.59905144264</v>
      </c>
      <c r="N130" s="10">
        <f t="shared" si="42"/>
        <v>159699.09105618543</v>
      </c>
      <c r="O130" s="10">
        <f t="shared" si="42"/>
        <v>158900.59560090449</v>
      </c>
      <c r="P130" s="10">
        <f t="shared" si="42"/>
        <v>158106.09262289997</v>
      </c>
      <c r="Q130" s="10">
        <f t="shared" si="42"/>
        <v>157315.56215978548</v>
      </c>
      <c r="R130" s="10">
        <f t="shared" si="42"/>
        <v>156528.98434898653</v>
      </c>
      <c r="S130" s="10">
        <f t="shared" si="42"/>
        <v>155746.33942724159</v>
      </c>
      <c r="T130" s="10">
        <f t="shared" si="42"/>
        <v>154967.6077301054</v>
      </c>
      <c r="U130" s="10">
        <f t="shared" si="42"/>
        <v>154192.76969145489</v>
      </c>
      <c r="V130" s="10">
        <f t="shared" si="42"/>
        <v>153421.80584299756</v>
      </c>
    </row>
    <row r="131" spans="1:22" x14ac:dyDescent="0.3">
      <c r="A131" s="29" t="s">
        <v>12</v>
      </c>
      <c r="B131" s="18"/>
      <c r="C131" s="10"/>
      <c r="D131" s="10"/>
      <c r="E131" s="10"/>
      <c r="F131" s="10"/>
      <c r="G131" s="10"/>
      <c r="H131" s="10"/>
      <c r="I131" s="10"/>
      <c r="J131" s="10"/>
      <c r="K131" s="10">
        <f t="shared" ref="K131:V131" si="43">J118</f>
        <v>172602.59970134808</v>
      </c>
      <c r="L131" s="10">
        <f t="shared" si="43"/>
        <v>171739.58670284133</v>
      </c>
      <c r="M131" s="10">
        <f t="shared" si="43"/>
        <v>170880.88876932714</v>
      </c>
      <c r="N131" s="10">
        <f t="shared" si="43"/>
        <v>170026.4843254805</v>
      </c>
      <c r="O131" s="10">
        <f t="shared" si="43"/>
        <v>169176.35190385312</v>
      </c>
      <c r="P131" s="10">
        <f t="shared" si="43"/>
        <v>168330.47014433384</v>
      </c>
      <c r="Q131" s="10">
        <f t="shared" si="43"/>
        <v>167488.81779361214</v>
      </c>
      <c r="R131" s="10">
        <f t="shared" si="43"/>
        <v>166651.37370464409</v>
      </c>
      <c r="S131" s="10">
        <f t="shared" si="43"/>
        <v>165818.11683612087</v>
      </c>
      <c r="T131" s="10">
        <f t="shared" si="43"/>
        <v>164989.02625194026</v>
      </c>
      <c r="U131" s="10">
        <f t="shared" si="43"/>
        <v>164164.08112068055</v>
      </c>
      <c r="V131" s="10">
        <f t="shared" si="43"/>
        <v>163343.26071507717</v>
      </c>
    </row>
    <row r="132" spans="1:22" x14ac:dyDescent="0.3">
      <c r="A132" s="29" t="s">
        <v>21</v>
      </c>
      <c r="B132" s="18"/>
      <c r="C132" s="10"/>
      <c r="D132" s="10"/>
      <c r="E132" s="10"/>
      <c r="F132" s="10"/>
      <c r="G132" s="10"/>
      <c r="H132" s="10"/>
      <c r="I132" s="10"/>
      <c r="J132" s="10"/>
      <c r="K132" s="10">
        <f t="shared" ref="K132:V132" si="44">J119</f>
        <v>0</v>
      </c>
      <c r="L132" s="10">
        <f t="shared" si="44"/>
        <v>296358.74531999999</v>
      </c>
      <c r="M132" s="10">
        <f t="shared" si="44"/>
        <v>294876.95159339998</v>
      </c>
      <c r="N132" s="10">
        <f t="shared" si="44"/>
        <v>293402.56683543301</v>
      </c>
      <c r="O132" s="10">
        <f t="shared" si="44"/>
        <v>291935.55400125583</v>
      </c>
      <c r="P132" s="10">
        <f t="shared" si="44"/>
        <v>290475.87623124954</v>
      </c>
      <c r="Q132" s="10">
        <f t="shared" si="44"/>
        <v>289023.4968500933</v>
      </c>
      <c r="R132" s="10">
        <f t="shared" si="44"/>
        <v>287578.37936584279</v>
      </c>
      <c r="S132" s="10">
        <f t="shared" si="44"/>
        <v>286140.48746901361</v>
      </c>
      <c r="T132" s="10">
        <f t="shared" si="44"/>
        <v>284709.78503166855</v>
      </c>
      <c r="U132" s="10">
        <f t="shared" si="44"/>
        <v>283286.23610651016</v>
      </c>
      <c r="V132" s="10">
        <f t="shared" si="44"/>
        <v>281869.8049259776</v>
      </c>
    </row>
    <row r="133" spans="1:22" x14ac:dyDescent="0.3">
      <c r="A133" s="29" t="s">
        <v>25</v>
      </c>
      <c r="B133" s="18"/>
      <c r="C133" s="10"/>
      <c r="D133" s="10"/>
      <c r="E133" s="10"/>
      <c r="F133" s="10"/>
      <c r="G133" s="10"/>
      <c r="H133" s="10"/>
      <c r="I133" s="10"/>
      <c r="J133" s="10"/>
      <c r="K133" s="10">
        <f t="shared" ref="K133:V133" si="45">J120</f>
        <v>148179.37265999999</v>
      </c>
      <c r="L133" s="10">
        <f t="shared" si="45"/>
        <v>147438.47579669999</v>
      </c>
      <c r="M133" s="10">
        <f t="shared" si="45"/>
        <v>146701.28341771651</v>
      </c>
      <c r="N133" s="10">
        <f t="shared" si="45"/>
        <v>145967.77700062795</v>
      </c>
      <c r="O133" s="10">
        <f t="shared" si="45"/>
        <v>145237.9381156248</v>
      </c>
      <c r="P133" s="10">
        <f t="shared" si="45"/>
        <v>144511.74842504668</v>
      </c>
      <c r="Q133" s="10">
        <f t="shared" si="45"/>
        <v>143789.18968292145</v>
      </c>
      <c r="R133" s="10">
        <f t="shared" si="45"/>
        <v>143070.24373450683</v>
      </c>
      <c r="S133" s="10">
        <f t="shared" si="45"/>
        <v>142354.8925158343</v>
      </c>
      <c r="T133" s="10">
        <f t="shared" si="45"/>
        <v>141643.11805325511</v>
      </c>
      <c r="U133" s="10">
        <f t="shared" si="45"/>
        <v>140934.90246298886</v>
      </c>
      <c r="V133" s="10">
        <f t="shared" si="45"/>
        <v>140230.2279506739</v>
      </c>
    </row>
    <row r="134" spans="1:22" x14ac:dyDescent="0.3">
      <c r="A134" s="29" t="s">
        <v>29</v>
      </c>
      <c r="B134" s="18"/>
      <c r="C134" s="10"/>
      <c r="D134" s="10"/>
      <c r="E134" s="10"/>
      <c r="F134" s="10"/>
      <c r="G134" s="10"/>
      <c r="H134" s="10"/>
      <c r="I134" s="10"/>
      <c r="J134" s="10"/>
      <c r="K134" s="10">
        <f t="shared" ref="K134:V134" si="46">J121</f>
        <v>0</v>
      </c>
      <c r="L134" s="10">
        <f t="shared" si="46"/>
        <v>49393.124220000005</v>
      </c>
      <c r="M134" s="10">
        <f t="shared" si="46"/>
        <v>49146.158598900001</v>
      </c>
      <c r="N134" s="10">
        <f t="shared" si="46"/>
        <v>48900.4278059055</v>
      </c>
      <c r="O134" s="10">
        <f t="shared" si="46"/>
        <v>48655.92566687597</v>
      </c>
      <c r="P134" s="10">
        <f t="shared" si="46"/>
        <v>48412.646038541592</v>
      </c>
      <c r="Q134" s="10">
        <f t="shared" si="46"/>
        <v>48170.582808348889</v>
      </c>
      <c r="R134" s="10">
        <f t="shared" si="46"/>
        <v>47929.729894307144</v>
      </c>
      <c r="S134" s="10">
        <f t="shared" si="46"/>
        <v>47690.081244835608</v>
      </c>
      <c r="T134" s="10">
        <f t="shared" si="46"/>
        <v>47451.630838611432</v>
      </c>
      <c r="U134" s="10">
        <f t="shared" si="46"/>
        <v>47214.372684418369</v>
      </c>
      <c r="V134" s="10">
        <f t="shared" si="46"/>
        <v>46978.300820996279</v>
      </c>
    </row>
    <row r="135" spans="1:22" x14ac:dyDescent="0.3">
      <c r="A135" s="30" t="s">
        <v>33</v>
      </c>
      <c r="B135" s="18"/>
      <c r="C135" s="10"/>
      <c r="D135" s="10"/>
      <c r="E135" s="10"/>
      <c r="F135" s="10"/>
      <c r="G135" s="10"/>
      <c r="H135" s="10"/>
      <c r="I135" s="10"/>
      <c r="J135" s="10"/>
      <c r="K135" s="10">
        <f t="shared" ref="K135:V135" si="47">J122</f>
        <v>86301.29985067404</v>
      </c>
      <c r="L135" s="10">
        <f t="shared" si="47"/>
        <v>85869.793351420667</v>
      </c>
      <c r="M135" s="10">
        <f t="shared" si="47"/>
        <v>85440.44438466357</v>
      </c>
      <c r="N135" s="10">
        <f t="shared" si="47"/>
        <v>85013.242162740251</v>
      </c>
      <c r="O135" s="10">
        <f t="shared" si="47"/>
        <v>84588.175951926562</v>
      </c>
      <c r="P135" s="10">
        <f t="shared" si="47"/>
        <v>84165.235072166921</v>
      </c>
      <c r="Q135" s="10">
        <f t="shared" si="47"/>
        <v>83744.408896806068</v>
      </c>
      <c r="R135" s="10">
        <f t="shared" si="47"/>
        <v>83325.686852322047</v>
      </c>
      <c r="S135" s="10">
        <f t="shared" si="47"/>
        <v>82909.058418060435</v>
      </c>
      <c r="T135" s="10">
        <f t="shared" si="47"/>
        <v>82494.51312597013</v>
      </c>
      <c r="U135" s="10">
        <f t="shared" si="47"/>
        <v>82082.040560340276</v>
      </c>
      <c r="V135" s="10">
        <f t="shared" si="47"/>
        <v>81671.630357538583</v>
      </c>
    </row>
    <row r="136" spans="1:22" x14ac:dyDescent="0.3">
      <c r="A136" s="30" t="s">
        <v>40</v>
      </c>
      <c r="B136" s="18"/>
      <c r="C136" s="10"/>
      <c r="D136" s="10"/>
      <c r="E136" s="10"/>
      <c r="F136" s="10"/>
      <c r="G136" s="10"/>
      <c r="H136" s="10"/>
      <c r="I136" s="10"/>
      <c r="J136" s="10"/>
      <c r="K136" s="10">
        <f t="shared" ref="K136:V136" si="48">J123</f>
        <v>0</v>
      </c>
      <c r="L136" s="10">
        <f t="shared" si="48"/>
        <v>0</v>
      </c>
      <c r="M136" s="10">
        <f t="shared" si="48"/>
        <v>0</v>
      </c>
      <c r="N136" s="10">
        <f t="shared" si="48"/>
        <v>2500000</v>
      </c>
      <c r="O136" s="10">
        <f t="shared" si="48"/>
        <v>2500000</v>
      </c>
      <c r="P136" s="10">
        <f t="shared" si="48"/>
        <v>2500000</v>
      </c>
      <c r="Q136" s="10">
        <f t="shared" si="48"/>
        <v>2500000</v>
      </c>
      <c r="R136" s="10">
        <f t="shared" si="48"/>
        <v>2500000</v>
      </c>
      <c r="S136" s="10">
        <f t="shared" si="48"/>
        <v>2500000</v>
      </c>
      <c r="T136" s="10">
        <f t="shared" si="48"/>
        <v>2500000</v>
      </c>
      <c r="U136" s="10">
        <f t="shared" si="48"/>
        <v>2500000</v>
      </c>
      <c r="V136" s="10">
        <f t="shared" si="48"/>
        <v>2500000</v>
      </c>
    </row>
    <row r="137" spans="1:22" x14ac:dyDescent="0.3">
      <c r="A137" s="30" t="s">
        <v>41</v>
      </c>
      <c r="B137" s="18"/>
      <c r="C137" s="10"/>
      <c r="D137" s="10"/>
      <c r="E137" s="10"/>
      <c r="F137" s="10"/>
      <c r="G137" s="10"/>
      <c r="H137" s="10"/>
      <c r="I137" s="10"/>
      <c r="J137" s="10"/>
      <c r="K137" s="10">
        <f t="shared" ref="K137:V137" si="49">J124</f>
        <v>0</v>
      </c>
      <c r="L137" s="10">
        <f t="shared" si="49"/>
        <v>0</v>
      </c>
      <c r="M137" s="10">
        <f t="shared" si="49"/>
        <v>0</v>
      </c>
      <c r="N137" s="10">
        <f t="shared" si="49"/>
        <v>2000000</v>
      </c>
      <c r="O137" s="10">
        <f t="shared" si="49"/>
        <v>2000000</v>
      </c>
      <c r="P137" s="10">
        <f t="shared" si="49"/>
        <v>2000000</v>
      </c>
      <c r="Q137" s="10">
        <f t="shared" si="49"/>
        <v>2000000</v>
      </c>
      <c r="R137" s="10">
        <f t="shared" si="49"/>
        <v>2000000</v>
      </c>
      <c r="S137" s="10">
        <f t="shared" si="49"/>
        <v>2000000</v>
      </c>
      <c r="T137" s="10">
        <f t="shared" si="49"/>
        <v>2000000</v>
      </c>
      <c r="U137" s="10">
        <f t="shared" si="49"/>
        <v>2000000</v>
      </c>
      <c r="V137" s="10">
        <f t="shared" si="49"/>
        <v>2000000</v>
      </c>
    </row>
    <row r="138" spans="1:22" x14ac:dyDescent="0.3">
      <c r="A138" s="30" t="s">
        <v>42</v>
      </c>
      <c r="B138" s="18"/>
      <c r="C138" s="10"/>
      <c r="D138" s="10"/>
      <c r="E138" s="10"/>
      <c r="F138" s="10"/>
      <c r="G138" s="10"/>
      <c r="H138" s="10"/>
      <c r="I138" s="10"/>
      <c r="J138" s="10"/>
      <c r="K138" s="10">
        <f t="shared" ref="K138:V138" si="50">J125</f>
        <v>0</v>
      </c>
      <c r="L138" s="10">
        <f t="shared" si="50"/>
        <v>0</v>
      </c>
      <c r="M138" s="10">
        <f t="shared" si="50"/>
        <v>0</v>
      </c>
      <c r="N138" s="10">
        <f t="shared" si="50"/>
        <v>125000</v>
      </c>
      <c r="O138" s="10">
        <f t="shared" si="50"/>
        <v>125000</v>
      </c>
      <c r="P138" s="10">
        <f t="shared" si="50"/>
        <v>125000</v>
      </c>
      <c r="Q138" s="10">
        <f t="shared" si="50"/>
        <v>125000</v>
      </c>
      <c r="R138" s="10">
        <f t="shared" si="50"/>
        <v>125000</v>
      </c>
      <c r="S138" s="10">
        <f t="shared" si="50"/>
        <v>125000</v>
      </c>
      <c r="T138" s="10">
        <f t="shared" si="50"/>
        <v>125000</v>
      </c>
      <c r="U138" s="10">
        <f t="shared" si="50"/>
        <v>125000</v>
      </c>
      <c r="V138" s="10">
        <f t="shared" si="50"/>
        <v>125000</v>
      </c>
    </row>
    <row r="139" spans="1:22" x14ac:dyDescent="0.3">
      <c r="A139" s="5" t="s">
        <v>241</v>
      </c>
      <c r="B139" s="6">
        <f t="shared" ref="B139:V139" si="51">SUM(B130:B138)</f>
        <v>0</v>
      </c>
      <c r="C139" s="6">
        <f t="shared" si="51"/>
        <v>0</v>
      </c>
      <c r="D139" s="6">
        <f t="shared" si="51"/>
        <v>0</v>
      </c>
      <c r="E139" s="6">
        <f t="shared" si="51"/>
        <v>0</v>
      </c>
      <c r="F139" s="6">
        <f t="shared" si="51"/>
        <v>0</v>
      </c>
      <c r="G139" s="6">
        <f t="shared" si="51"/>
        <v>0</v>
      </c>
      <c r="H139" s="6">
        <f t="shared" si="51"/>
        <v>0</v>
      </c>
      <c r="I139" s="6">
        <f t="shared" si="51"/>
        <v>0</v>
      </c>
      <c r="J139" s="6">
        <f t="shared" si="51"/>
        <v>0</v>
      </c>
      <c r="K139" s="6">
        <f t="shared" si="51"/>
        <v>569202.00562930212</v>
      </c>
      <c r="L139" s="6">
        <f t="shared" si="51"/>
        <v>912107.86514115555</v>
      </c>
      <c r="M139" s="6">
        <f t="shared" si="51"/>
        <v>907547.32581544982</v>
      </c>
      <c r="N139" s="6">
        <f t="shared" si="51"/>
        <v>5528009.5891863722</v>
      </c>
      <c r="O139" s="6">
        <f t="shared" si="51"/>
        <v>5523494.5412404407</v>
      </c>
      <c r="P139" s="6">
        <f t="shared" si="51"/>
        <v>5519002.0685342383</v>
      </c>
      <c r="Q139" s="6">
        <f t="shared" si="51"/>
        <v>5514532.0581915677</v>
      </c>
      <c r="R139" s="6">
        <f t="shared" si="51"/>
        <v>5510084.3979006093</v>
      </c>
      <c r="S139" s="6">
        <f t="shared" si="51"/>
        <v>5505658.9759111069</v>
      </c>
      <c r="T139" s="6">
        <f t="shared" si="51"/>
        <v>5501255.6810315512</v>
      </c>
      <c r="U139" s="6">
        <f t="shared" si="51"/>
        <v>5496874.4026263934</v>
      </c>
      <c r="V139" s="6">
        <f t="shared" si="51"/>
        <v>5492515.0306132613</v>
      </c>
    </row>
    <row r="141" spans="1:22" ht="15.6" x14ac:dyDescent="0.3">
      <c r="A141" s="43">
        <v>2032</v>
      </c>
      <c r="B141" s="2">
        <v>2022</v>
      </c>
      <c r="C141" s="2">
        <v>2023</v>
      </c>
      <c r="D141" s="2">
        <v>2024</v>
      </c>
      <c r="E141" s="2">
        <v>2025</v>
      </c>
      <c r="F141" s="2">
        <v>2026</v>
      </c>
      <c r="G141" s="2">
        <v>2027</v>
      </c>
      <c r="H141" s="2">
        <v>2028</v>
      </c>
      <c r="I141" s="2">
        <v>2029</v>
      </c>
      <c r="J141" s="2">
        <v>2030</v>
      </c>
      <c r="K141" s="2">
        <v>2031</v>
      </c>
      <c r="L141" s="2">
        <v>2032</v>
      </c>
      <c r="M141" s="2">
        <v>2033</v>
      </c>
      <c r="N141" s="2">
        <v>2034</v>
      </c>
      <c r="O141" s="2">
        <v>2035</v>
      </c>
      <c r="P141" s="2">
        <v>2036</v>
      </c>
      <c r="Q141" s="2">
        <v>2037</v>
      </c>
      <c r="R141" s="2">
        <v>2038</v>
      </c>
      <c r="S141" s="2">
        <v>2039</v>
      </c>
      <c r="T141" s="2">
        <v>2040</v>
      </c>
      <c r="U141" s="2">
        <v>2041</v>
      </c>
      <c r="V141" s="2">
        <v>2042</v>
      </c>
    </row>
    <row r="142" spans="1:22" x14ac:dyDescent="0.3">
      <c r="A142" s="29" t="s">
        <v>6</v>
      </c>
      <c r="B142" s="10"/>
      <c r="C142" s="10"/>
      <c r="D142" s="10"/>
      <c r="E142" s="10"/>
      <c r="F142" s="10"/>
      <c r="G142" s="10"/>
      <c r="H142" s="10"/>
      <c r="I142" s="10"/>
      <c r="J142" s="10"/>
      <c r="K142" s="10"/>
      <c r="L142" s="10">
        <f t="shared" ref="L142:V142" si="52">K130</f>
        <v>162118.73341728002</v>
      </c>
      <c r="M142" s="10">
        <f t="shared" si="52"/>
        <v>161308.1397501936</v>
      </c>
      <c r="N142" s="10">
        <f t="shared" si="52"/>
        <v>160501.59905144264</v>
      </c>
      <c r="O142" s="10">
        <f t="shared" si="52"/>
        <v>159699.09105618543</v>
      </c>
      <c r="P142" s="10">
        <f t="shared" si="52"/>
        <v>158900.59560090449</v>
      </c>
      <c r="Q142" s="10">
        <f t="shared" si="52"/>
        <v>158106.09262289997</v>
      </c>
      <c r="R142" s="10">
        <f t="shared" si="52"/>
        <v>157315.56215978548</v>
      </c>
      <c r="S142" s="10">
        <f t="shared" si="52"/>
        <v>156528.98434898653</v>
      </c>
      <c r="T142" s="10">
        <f t="shared" si="52"/>
        <v>155746.33942724159</v>
      </c>
      <c r="U142" s="10">
        <f t="shared" si="52"/>
        <v>154967.6077301054</v>
      </c>
      <c r="V142" s="10">
        <f t="shared" si="52"/>
        <v>154192.76969145489</v>
      </c>
    </row>
    <row r="143" spans="1:22" x14ac:dyDescent="0.3">
      <c r="A143" s="29" t="s">
        <v>12</v>
      </c>
      <c r="B143" s="10"/>
      <c r="C143" s="10"/>
      <c r="D143" s="10"/>
      <c r="E143" s="10"/>
      <c r="F143" s="10"/>
      <c r="G143" s="10"/>
      <c r="H143" s="10"/>
      <c r="I143" s="10"/>
      <c r="J143" s="10"/>
      <c r="K143" s="10"/>
      <c r="L143" s="10">
        <f t="shared" ref="L143:V143" si="53">K131</f>
        <v>172602.59970134808</v>
      </c>
      <c r="M143" s="10">
        <f t="shared" si="53"/>
        <v>171739.58670284133</v>
      </c>
      <c r="N143" s="10">
        <f t="shared" si="53"/>
        <v>170880.88876932714</v>
      </c>
      <c r="O143" s="10">
        <f t="shared" si="53"/>
        <v>170026.4843254805</v>
      </c>
      <c r="P143" s="10">
        <f t="shared" si="53"/>
        <v>169176.35190385312</v>
      </c>
      <c r="Q143" s="10">
        <f t="shared" si="53"/>
        <v>168330.47014433384</v>
      </c>
      <c r="R143" s="10">
        <f t="shared" si="53"/>
        <v>167488.81779361214</v>
      </c>
      <c r="S143" s="10">
        <f t="shared" si="53"/>
        <v>166651.37370464409</v>
      </c>
      <c r="T143" s="10">
        <f t="shared" si="53"/>
        <v>165818.11683612087</v>
      </c>
      <c r="U143" s="10">
        <f t="shared" si="53"/>
        <v>164989.02625194026</v>
      </c>
      <c r="V143" s="10">
        <f t="shared" si="53"/>
        <v>164164.08112068055</v>
      </c>
    </row>
    <row r="144" spans="1:22" x14ac:dyDescent="0.3">
      <c r="A144" s="29" t="s">
        <v>21</v>
      </c>
      <c r="B144" s="10"/>
      <c r="C144" s="10"/>
      <c r="D144" s="10"/>
      <c r="E144" s="10"/>
      <c r="F144" s="10"/>
      <c r="G144" s="10"/>
      <c r="H144" s="10"/>
      <c r="I144" s="10"/>
      <c r="J144" s="10"/>
      <c r="K144" s="10"/>
      <c r="L144" s="10">
        <f t="shared" ref="L144:V144" si="54">K132</f>
        <v>0</v>
      </c>
      <c r="M144" s="10">
        <f t="shared" si="54"/>
        <v>296358.74531999999</v>
      </c>
      <c r="N144" s="10">
        <f t="shared" si="54"/>
        <v>294876.95159339998</v>
      </c>
      <c r="O144" s="10">
        <f t="shared" si="54"/>
        <v>293402.56683543301</v>
      </c>
      <c r="P144" s="10">
        <f t="shared" si="54"/>
        <v>291935.55400125583</v>
      </c>
      <c r="Q144" s="10">
        <f t="shared" si="54"/>
        <v>290475.87623124954</v>
      </c>
      <c r="R144" s="10">
        <f t="shared" si="54"/>
        <v>289023.4968500933</v>
      </c>
      <c r="S144" s="10">
        <f t="shared" si="54"/>
        <v>287578.37936584279</v>
      </c>
      <c r="T144" s="10">
        <f t="shared" si="54"/>
        <v>286140.48746901361</v>
      </c>
      <c r="U144" s="10">
        <f t="shared" si="54"/>
        <v>284709.78503166855</v>
      </c>
      <c r="V144" s="10">
        <f t="shared" si="54"/>
        <v>283286.23610651016</v>
      </c>
    </row>
    <row r="145" spans="1:30" x14ac:dyDescent="0.3">
      <c r="A145" s="29" t="s">
        <v>25</v>
      </c>
      <c r="B145" s="10"/>
      <c r="C145" s="10"/>
      <c r="D145" s="10"/>
      <c r="E145" s="10"/>
      <c r="F145" s="10"/>
      <c r="G145" s="10"/>
      <c r="H145" s="10"/>
      <c r="I145" s="10"/>
      <c r="J145" s="10"/>
      <c r="K145" s="10"/>
      <c r="L145" s="10">
        <f t="shared" ref="L145:V145" si="55">K133</f>
        <v>148179.37265999999</v>
      </c>
      <c r="M145" s="10">
        <f t="shared" si="55"/>
        <v>147438.47579669999</v>
      </c>
      <c r="N145" s="10">
        <f t="shared" si="55"/>
        <v>146701.28341771651</v>
      </c>
      <c r="O145" s="10">
        <f t="shared" si="55"/>
        <v>145967.77700062795</v>
      </c>
      <c r="P145" s="10">
        <f t="shared" si="55"/>
        <v>145237.9381156248</v>
      </c>
      <c r="Q145" s="10">
        <f t="shared" si="55"/>
        <v>144511.74842504668</v>
      </c>
      <c r="R145" s="10">
        <f t="shared" si="55"/>
        <v>143789.18968292145</v>
      </c>
      <c r="S145" s="10">
        <f t="shared" si="55"/>
        <v>143070.24373450683</v>
      </c>
      <c r="T145" s="10">
        <f t="shared" si="55"/>
        <v>142354.8925158343</v>
      </c>
      <c r="U145" s="10">
        <f t="shared" si="55"/>
        <v>141643.11805325511</v>
      </c>
      <c r="V145" s="10">
        <f t="shared" si="55"/>
        <v>140934.90246298886</v>
      </c>
    </row>
    <row r="146" spans="1:30" x14ac:dyDescent="0.3">
      <c r="A146" s="29" t="s">
        <v>29</v>
      </c>
      <c r="B146" s="10"/>
      <c r="C146" s="10"/>
      <c r="D146" s="10"/>
      <c r="E146" s="10"/>
      <c r="F146" s="10"/>
      <c r="G146" s="10"/>
      <c r="H146" s="10"/>
      <c r="I146" s="10"/>
      <c r="J146" s="10"/>
      <c r="K146" s="10"/>
      <c r="L146" s="10">
        <f t="shared" ref="L146:V146" si="56">K134</f>
        <v>0</v>
      </c>
      <c r="M146" s="10">
        <f t="shared" si="56"/>
        <v>49393.124220000005</v>
      </c>
      <c r="N146" s="10">
        <f t="shared" si="56"/>
        <v>49146.158598900001</v>
      </c>
      <c r="O146" s="10">
        <f t="shared" si="56"/>
        <v>48900.4278059055</v>
      </c>
      <c r="P146" s="10">
        <f t="shared" si="56"/>
        <v>48655.92566687597</v>
      </c>
      <c r="Q146" s="10">
        <f t="shared" si="56"/>
        <v>48412.646038541592</v>
      </c>
      <c r="R146" s="10">
        <f t="shared" si="56"/>
        <v>48170.582808348889</v>
      </c>
      <c r="S146" s="10">
        <f t="shared" si="56"/>
        <v>47929.729894307144</v>
      </c>
      <c r="T146" s="10">
        <f t="shared" si="56"/>
        <v>47690.081244835608</v>
      </c>
      <c r="U146" s="10">
        <f t="shared" si="56"/>
        <v>47451.630838611432</v>
      </c>
      <c r="V146" s="10">
        <f t="shared" si="56"/>
        <v>47214.372684418369</v>
      </c>
    </row>
    <row r="147" spans="1:30" x14ac:dyDescent="0.3">
      <c r="A147" s="30" t="s">
        <v>33</v>
      </c>
      <c r="B147" s="10"/>
      <c r="C147" s="10"/>
      <c r="D147" s="10"/>
      <c r="E147" s="10"/>
      <c r="F147" s="10"/>
      <c r="G147" s="10"/>
      <c r="H147" s="10"/>
      <c r="I147" s="10"/>
      <c r="J147" s="10"/>
      <c r="K147" s="10"/>
      <c r="L147" s="10">
        <f t="shared" ref="L147:V147" si="57">K135</f>
        <v>86301.29985067404</v>
      </c>
      <c r="M147" s="10">
        <f t="shared" si="57"/>
        <v>85869.793351420667</v>
      </c>
      <c r="N147" s="10">
        <f t="shared" si="57"/>
        <v>85440.44438466357</v>
      </c>
      <c r="O147" s="10">
        <f t="shared" si="57"/>
        <v>85013.242162740251</v>
      </c>
      <c r="P147" s="10">
        <f t="shared" si="57"/>
        <v>84588.175951926562</v>
      </c>
      <c r="Q147" s="10">
        <f t="shared" si="57"/>
        <v>84165.235072166921</v>
      </c>
      <c r="R147" s="10">
        <f t="shared" si="57"/>
        <v>83744.408896806068</v>
      </c>
      <c r="S147" s="10">
        <f t="shared" si="57"/>
        <v>83325.686852322047</v>
      </c>
      <c r="T147" s="10">
        <f t="shared" si="57"/>
        <v>82909.058418060435</v>
      </c>
      <c r="U147" s="10">
        <f t="shared" si="57"/>
        <v>82494.51312597013</v>
      </c>
      <c r="V147" s="10">
        <f t="shared" si="57"/>
        <v>82082.040560340276</v>
      </c>
    </row>
    <row r="148" spans="1:30" x14ac:dyDescent="0.3">
      <c r="A148" s="30" t="s">
        <v>40</v>
      </c>
      <c r="B148" s="10"/>
      <c r="C148" s="10"/>
      <c r="D148" s="10"/>
      <c r="E148" s="10"/>
      <c r="F148" s="10"/>
      <c r="G148" s="10"/>
      <c r="H148" s="10"/>
      <c r="I148" s="10"/>
      <c r="J148" s="10"/>
      <c r="K148" s="10"/>
      <c r="L148" s="10">
        <f t="shared" ref="L148:V148" si="58">K136</f>
        <v>0</v>
      </c>
      <c r="M148" s="10">
        <f t="shared" si="58"/>
        <v>0</v>
      </c>
      <c r="N148" s="10">
        <f t="shared" si="58"/>
        <v>0</v>
      </c>
      <c r="O148" s="10">
        <f t="shared" si="58"/>
        <v>2500000</v>
      </c>
      <c r="P148" s="10">
        <f t="shared" si="58"/>
        <v>2500000</v>
      </c>
      <c r="Q148" s="10">
        <f t="shared" si="58"/>
        <v>2500000</v>
      </c>
      <c r="R148" s="10">
        <f t="shared" si="58"/>
        <v>2500000</v>
      </c>
      <c r="S148" s="10">
        <f t="shared" si="58"/>
        <v>2500000</v>
      </c>
      <c r="T148" s="10">
        <f t="shared" si="58"/>
        <v>2500000</v>
      </c>
      <c r="U148" s="10">
        <f t="shared" si="58"/>
        <v>2500000</v>
      </c>
      <c r="V148" s="10">
        <f t="shared" si="58"/>
        <v>2500000</v>
      </c>
    </row>
    <row r="149" spans="1:30" x14ac:dyDescent="0.3">
      <c r="A149" s="30" t="s">
        <v>41</v>
      </c>
      <c r="B149" s="10"/>
      <c r="C149" s="10"/>
      <c r="D149" s="10"/>
      <c r="E149" s="10"/>
      <c r="F149" s="10"/>
      <c r="G149" s="10"/>
      <c r="H149" s="10"/>
      <c r="I149" s="10"/>
      <c r="J149" s="10"/>
      <c r="K149" s="10"/>
      <c r="L149" s="10">
        <f t="shared" ref="L149:V149" si="59">K137</f>
        <v>0</v>
      </c>
      <c r="M149" s="10">
        <f t="shared" si="59"/>
        <v>0</v>
      </c>
      <c r="N149" s="10">
        <f t="shared" si="59"/>
        <v>0</v>
      </c>
      <c r="O149" s="10">
        <f t="shared" si="59"/>
        <v>2000000</v>
      </c>
      <c r="P149" s="10">
        <f t="shared" si="59"/>
        <v>2000000</v>
      </c>
      <c r="Q149" s="10">
        <f t="shared" si="59"/>
        <v>2000000</v>
      </c>
      <c r="R149" s="10">
        <f t="shared" si="59"/>
        <v>2000000</v>
      </c>
      <c r="S149" s="10">
        <f t="shared" si="59"/>
        <v>2000000</v>
      </c>
      <c r="T149" s="10">
        <f t="shared" si="59"/>
        <v>2000000</v>
      </c>
      <c r="U149" s="10">
        <f t="shared" si="59"/>
        <v>2000000</v>
      </c>
      <c r="V149" s="10">
        <f t="shared" si="59"/>
        <v>2000000</v>
      </c>
    </row>
    <row r="150" spans="1:30" x14ac:dyDescent="0.3">
      <c r="A150" s="30" t="s">
        <v>42</v>
      </c>
      <c r="B150" s="10"/>
      <c r="C150" s="10"/>
      <c r="D150" s="10"/>
      <c r="E150" s="10"/>
      <c r="F150" s="10"/>
      <c r="G150" s="10"/>
      <c r="H150" s="10"/>
      <c r="I150" s="10"/>
      <c r="J150" s="10"/>
      <c r="K150" s="10"/>
      <c r="L150" s="10">
        <f t="shared" ref="L150:V150" si="60">K138</f>
        <v>0</v>
      </c>
      <c r="M150" s="10">
        <f t="shared" si="60"/>
        <v>0</v>
      </c>
      <c r="N150" s="10">
        <f t="shared" si="60"/>
        <v>0</v>
      </c>
      <c r="O150" s="10">
        <f t="shared" si="60"/>
        <v>125000</v>
      </c>
      <c r="P150" s="10">
        <f t="shared" si="60"/>
        <v>125000</v>
      </c>
      <c r="Q150" s="10">
        <f t="shared" si="60"/>
        <v>125000</v>
      </c>
      <c r="R150" s="10">
        <f t="shared" si="60"/>
        <v>125000</v>
      </c>
      <c r="S150" s="10">
        <f t="shared" si="60"/>
        <v>125000</v>
      </c>
      <c r="T150" s="10">
        <f t="shared" si="60"/>
        <v>125000</v>
      </c>
      <c r="U150" s="10">
        <f t="shared" si="60"/>
        <v>125000</v>
      </c>
      <c r="V150" s="10">
        <f t="shared" si="60"/>
        <v>125000</v>
      </c>
    </row>
    <row r="151" spans="1:30" x14ac:dyDescent="0.3">
      <c r="A151" s="5" t="s">
        <v>241</v>
      </c>
      <c r="B151" s="6">
        <f t="shared" ref="B151:V151" si="61">SUM(B142:B150)</f>
        <v>0</v>
      </c>
      <c r="C151" s="6">
        <f t="shared" si="61"/>
        <v>0</v>
      </c>
      <c r="D151" s="6">
        <f t="shared" si="61"/>
        <v>0</v>
      </c>
      <c r="E151" s="6">
        <f t="shared" si="61"/>
        <v>0</v>
      </c>
      <c r="F151" s="6">
        <f t="shared" si="61"/>
        <v>0</v>
      </c>
      <c r="G151" s="6">
        <f t="shared" si="61"/>
        <v>0</v>
      </c>
      <c r="H151" s="6">
        <f t="shared" si="61"/>
        <v>0</v>
      </c>
      <c r="I151" s="6">
        <f t="shared" si="61"/>
        <v>0</v>
      </c>
      <c r="J151" s="6">
        <f t="shared" si="61"/>
        <v>0</v>
      </c>
      <c r="K151" s="6">
        <f t="shared" si="61"/>
        <v>0</v>
      </c>
      <c r="L151" s="6">
        <f t="shared" si="61"/>
        <v>569202.00562930212</v>
      </c>
      <c r="M151" s="6">
        <f t="shared" si="61"/>
        <v>912107.86514115555</v>
      </c>
      <c r="N151" s="6">
        <f t="shared" si="61"/>
        <v>907547.32581544982</v>
      </c>
      <c r="O151" s="6">
        <f t="shared" si="61"/>
        <v>5528009.5891863722</v>
      </c>
      <c r="P151" s="6">
        <f t="shared" si="61"/>
        <v>5523494.5412404407</v>
      </c>
      <c r="Q151" s="6">
        <f t="shared" si="61"/>
        <v>5519002.0685342383</v>
      </c>
      <c r="R151" s="6">
        <f t="shared" si="61"/>
        <v>5514532.0581915677</v>
      </c>
      <c r="S151" s="6">
        <f t="shared" si="61"/>
        <v>5510084.3979006093</v>
      </c>
      <c r="T151" s="6">
        <f t="shared" si="61"/>
        <v>5505658.9759111069</v>
      </c>
      <c r="U151" s="6">
        <f t="shared" si="61"/>
        <v>5501255.6810315512</v>
      </c>
      <c r="V151" s="6">
        <f t="shared" si="61"/>
        <v>5496874.4026263934</v>
      </c>
    </row>
    <row r="153" spans="1:30" ht="15.6" x14ac:dyDescent="0.3">
      <c r="A153" s="43">
        <v>2033</v>
      </c>
      <c r="B153" s="2">
        <v>2022</v>
      </c>
      <c r="C153" s="2">
        <v>2023</v>
      </c>
      <c r="D153" s="2">
        <v>2024</v>
      </c>
      <c r="E153" s="2">
        <v>2025</v>
      </c>
      <c r="F153" s="2">
        <v>2026</v>
      </c>
      <c r="G153" s="2">
        <v>2027</v>
      </c>
      <c r="H153" s="2">
        <v>2028</v>
      </c>
      <c r="I153" s="2">
        <v>2029</v>
      </c>
      <c r="J153" s="2">
        <v>2030</v>
      </c>
      <c r="K153" s="2">
        <v>2031</v>
      </c>
      <c r="L153" s="2">
        <v>2032</v>
      </c>
      <c r="M153" s="2">
        <v>2033</v>
      </c>
      <c r="N153" s="2">
        <v>2034</v>
      </c>
      <c r="O153" s="2">
        <v>2035</v>
      </c>
      <c r="P153" s="2">
        <v>2036</v>
      </c>
      <c r="Q153" s="2">
        <v>2037</v>
      </c>
      <c r="R153" s="2">
        <v>2038</v>
      </c>
      <c r="S153" s="2">
        <v>2039</v>
      </c>
      <c r="T153" s="2">
        <v>2040</v>
      </c>
      <c r="U153" s="2">
        <v>2041</v>
      </c>
      <c r="V153" s="2">
        <v>2042</v>
      </c>
    </row>
    <row r="154" spans="1:30" x14ac:dyDescent="0.3">
      <c r="A154" s="29" t="s">
        <v>6</v>
      </c>
      <c r="B154" s="10"/>
      <c r="C154" s="10"/>
      <c r="D154" s="10"/>
      <c r="E154" s="10"/>
      <c r="F154" s="10"/>
      <c r="G154" s="10"/>
      <c r="H154" s="10"/>
      <c r="I154" s="10"/>
      <c r="J154" s="10"/>
      <c r="K154" s="10"/>
      <c r="L154" s="10"/>
      <c r="M154" s="10">
        <f>L142/2</f>
        <v>81059.366708640009</v>
      </c>
      <c r="N154" s="10">
        <f t="shared" ref="N154:V154" si="62">M142/2</f>
        <v>80654.0698750968</v>
      </c>
      <c r="O154" s="10">
        <f t="shared" si="62"/>
        <v>80250.799525721319</v>
      </c>
      <c r="P154" s="10">
        <f t="shared" si="62"/>
        <v>79849.545528092713</v>
      </c>
      <c r="Q154" s="10">
        <f t="shared" si="62"/>
        <v>79450.297800452245</v>
      </c>
      <c r="R154" s="10">
        <f t="shared" si="62"/>
        <v>79053.046311449987</v>
      </c>
      <c r="S154" s="10">
        <f t="shared" si="62"/>
        <v>78657.781079892738</v>
      </c>
      <c r="T154" s="10">
        <f t="shared" si="62"/>
        <v>78264.492174493265</v>
      </c>
      <c r="U154" s="10">
        <f t="shared" si="62"/>
        <v>77873.169713620795</v>
      </c>
      <c r="V154" s="10">
        <f t="shared" si="62"/>
        <v>77483.803865052701</v>
      </c>
    </row>
    <row r="155" spans="1:30" x14ac:dyDescent="0.3">
      <c r="A155" s="29" t="s">
        <v>12</v>
      </c>
      <c r="B155" s="10"/>
      <c r="C155" s="10"/>
      <c r="D155" s="10"/>
      <c r="E155" s="10"/>
      <c r="F155" s="10"/>
      <c r="G155" s="10"/>
      <c r="H155" s="10"/>
      <c r="I155" s="10"/>
      <c r="J155" s="10"/>
      <c r="K155" s="10"/>
      <c r="L155" s="10"/>
      <c r="M155" s="10">
        <f t="shared" ref="M155:V159" si="63">L143/2</f>
        <v>86301.29985067404</v>
      </c>
      <c r="N155" s="10">
        <f t="shared" si="63"/>
        <v>85869.793351420667</v>
      </c>
      <c r="O155" s="10">
        <f t="shared" si="63"/>
        <v>85440.44438466357</v>
      </c>
      <c r="P155" s="10">
        <f t="shared" si="63"/>
        <v>85013.242162740251</v>
      </c>
      <c r="Q155" s="10">
        <f t="shared" si="63"/>
        <v>84588.175951926562</v>
      </c>
      <c r="R155" s="10">
        <f t="shared" si="63"/>
        <v>84165.235072166921</v>
      </c>
      <c r="S155" s="10">
        <f t="shared" si="63"/>
        <v>83744.408896806068</v>
      </c>
      <c r="T155" s="10">
        <f t="shared" si="63"/>
        <v>83325.686852322047</v>
      </c>
      <c r="U155" s="10">
        <f t="shared" si="63"/>
        <v>82909.058418060435</v>
      </c>
      <c r="V155" s="10">
        <f t="shared" si="63"/>
        <v>82494.51312597013</v>
      </c>
    </row>
    <row r="156" spans="1:30" x14ac:dyDescent="0.3">
      <c r="A156" s="29" t="s">
        <v>21</v>
      </c>
      <c r="B156" s="10"/>
      <c r="C156" s="10"/>
      <c r="D156" s="10"/>
      <c r="E156" s="10"/>
      <c r="F156" s="10"/>
      <c r="G156" s="10"/>
      <c r="H156" s="10"/>
      <c r="I156" s="10"/>
      <c r="J156" s="10"/>
      <c r="K156" s="10"/>
      <c r="L156" s="10"/>
      <c r="M156" s="10">
        <f t="shared" si="63"/>
        <v>0</v>
      </c>
      <c r="N156" s="10">
        <f t="shared" si="63"/>
        <v>148179.37265999999</v>
      </c>
      <c r="O156" s="10">
        <f t="shared" si="63"/>
        <v>147438.47579669999</v>
      </c>
      <c r="P156" s="10">
        <f t="shared" si="63"/>
        <v>146701.28341771651</v>
      </c>
      <c r="Q156" s="10">
        <f t="shared" si="63"/>
        <v>145967.77700062792</v>
      </c>
      <c r="R156" s="10">
        <f t="shared" si="63"/>
        <v>145237.93811562477</v>
      </c>
      <c r="S156" s="10">
        <f t="shared" si="63"/>
        <v>144511.74842504665</v>
      </c>
      <c r="T156" s="10">
        <f t="shared" si="63"/>
        <v>143789.18968292139</v>
      </c>
      <c r="U156" s="10">
        <f t="shared" si="63"/>
        <v>143070.2437345068</v>
      </c>
      <c r="V156" s="10">
        <f t="shared" si="63"/>
        <v>142354.89251583428</v>
      </c>
    </row>
    <row r="157" spans="1:30" x14ac:dyDescent="0.3">
      <c r="A157" s="29" t="s">
        <v>25</v>
      </c>
      <c r="B157" s="10"/>
      <c r="C157" s="10"/>
      <c r="D157" s="10"/>
      <c r="E157" s="10"/>
      <c r="F157" s="10"/>
      <c r="G157" s="10"/>
      <c r="H157" s="10"/>
      <c r="I157" s="10"/>
      <c r="J157" s="10"/>
      <c r="K157" s="10"/>
      <c r="L157" s="10"/>
      <c r="M157" s="10">
        <f t="shared" si="63"/>
        <v>74089.686329999997</v>
      </c>
      <c r="N157" s="10">
        <f t="shared" si="63"/>
        <v>73719.237898349995</v>
      </c>
      <c r="O157" s="10">
        <f t="shared" si="63"/>
        <v>73350.641708858253</v>
      </c>
      <c r="P157" s="10">
        <f t="shared" si="63"/>
        <v>72983.888500313973</v>
      </c>
      <c r="Q157" s="10">
        <f t="shared" si="63"/>
        <v>72618.969057812399</v>
      </c>
      <c r="R157" s="10">
        <f t="shared" si="63"/>
        <v>72255.87421252334</v>
      </c>
      <c r="S157" s="10">
        <f t="shared" si="63"/>
        <v>71894.594841460726</v>
      </c>
      <c r="T157" s="10">
        <f t="shared" si="63"/>
        <v>71535.121867253416</v>
      </c>
      <c r="U157" s="10">
        <f t="shared" si="63"/>
        <v>71177.446257917152</v>
      </c>
      <c r="V157" s="10">
        <f t="shared" si="63"/>
        <v>70821.559026627554</v>
      </c>
    </row>
    <row r="158" spans="1:30" x14ac:dyDescent="0.3">
      <c r="A158" s="29" t="s">
        <v>29</v>
      </c>
      <c r="B158" s="10"/>
      <c r="C158" s="10"/>
      <c r="D158" s="10"/>
      <c r="E158" s="10"/>
      <c r="F158" s="10"/>
      <c r="G158" s="10"/>
      <c r="H158" s="10"/>
      <c r="I158" s="10"/>
      <c r="J158" s="10"/>
      <c r="K158" s="10"/>
      <c r="L158" s="10"/>
      <c r="M158" s="10">
        <f t="shared" si="63"/>
        <v>0</v>
      </c>
      <c r="N158" s="10">
        <f t="shared" si="63"/>
        <v>24696.562110000003</v>
      </c>
      <c r="O158" s="10">
        <f t="shared" si="63"/>
        <v>24573.079299450001</v>
      </c>
      <c r="P158" s="10">
        <f t="shared" si="63"/>
        <v>24450.21390295275</v>
      </c>
      <c r="Q158" s="10">
        <f t="shared" si="63"/>
        <v>24327.962833437985</v>
      </c>
      <c r="R158" s="10">
        <f t="shared" si="63"/>
        <v>24206.323019270796</v>
      </c>
      <c r="S158" s="10">
        <f t="shared" si="63"/>
        <v>24085.291404174444</v>
      </c>
      <c r="T158" s="10">
        <f t="shared" si="63"/>
        <v>23964.864947153572</v>
      </c>
      <c r="U158" s="10">
        <f t="shared" si="63"/>
        <v>23845.040622417804</v>
      </c>
      <c r="V158" s="10">
        <f t="shared" si="63"/>
        <v>23725.815419305716</v>
      </c>
    </row>
    <row r="159" spans="1:30" x14ac:dyDescent="0.3">
      <c r="A159" s="30" t="s">
        <v>33</v>
      </c>
      <c r="B159" s="10"/>
      <c r="C159" s="10"/>
      <c r="D159" s="10"/>
      <c r="E159" s="10"/>
      <c r="F159" s="10"/>
      <c r="G159" s="10"/>
      <c r="H159" s="10"/>
      <c r="I159" s="10"/>
      <c r="J159" s="10"/>
      <c r="K159" s="10"/>
      <c r="L159" s="10"/>
      <c r="M159" s="10">
        <f t="shared" si="63"/>
        <v>43150.64992533702</v>
      </c>
      <c r="N159" s="10">
        <f t="shared" si="63"/>
        <v>42934.896675710334</v>
      </c>
      <c r="O159" s="10">
        <f t="shared" si="63"/>
        <v>42720.222192331785</v>
      </c>
      <c r="P159" s="10">
        <f t="shared" si="63"/>
        <v>42506.621081370125</v>
      </c>
      <c r="Q159" s="10">
        <f t="shared" si="63"/>
        <v>42294.087975963281</v>
      </c>
      <c r="R159" s="10">
        <f t="shared" si="63"/>
        <v>42082.61753608346</v>
      </c>
      <c r="S159" s="10">
        <f t="shared" si="63"/>
        <v>41872.204448403034</v>
      </c>
      <c r="T159" s="10">
        <f t="shared" si="63"/>
        <v>41662.843426161024</v>
      </c>
      <c r="U159" s="10">
        <f t="shared" si="63"/>
        <v>41454.529209030217</v>
      </c>
      <c r="V159" s="10">
        <f t="shared" si="63"/>
        <v>41247.256562985065</v>
      </c>
    </row>
    <row r="160" spans="1:30" x14ac:dyDescent="0.3">
      <c r="A160" s="30" t="s">
        <v>40</v>
      </c>
      <c r="B160" s="10"/>
      <c r="C160" s="10"/>
      <c r="D160" s="10"/>
      <c r="E160" s="10"/>
      <c r="F160" s="10"/>
      <c r="G160" s="10"/>
      <c r="H160" s="10"/>
      <c r="I160" s="10"/>
      <c r="J160" s="10"/>
      <c r="K160" s="10"/>
      <c r="L160" s="10"/>
      <c r="M160" s="10">
        <f t="shared" ref="M160:O160" si="64">L148</f>
        <v>0</v>
      </c>
      <c r="N160" s="10">
        <f t="shared" si="64"/>
        <v>0</v>
      </c>
      <c r="O160" s="10">
        <f t="shared" si="64"/>
        <v>0</v>
      </c>
      <c r="P160" s="10">
        <v>1250000</v>
      </c>
      <c r="Q160" s="10">
        <v>1250000</v>
      </c>
      <c r="R160" s="10">
        <v>1250000</v>
      </c>
      <c r="S160" s="10">
        <v>1250000</v>
      </c>
      <c r="T160" s="10">
        <v>1250000</v>
      </c>
      <c r="U160" s="10">
        <v>1250000</v>
      </c>
      <c r="V160" s="10">
        <v>1250000</v>
      </c>
      <c r="X160" s="202"/>
      <c r="Y160" s="202"/>
      <c r="Z160" s="202"/>
      <c r="AA160" s="202"/>
      <c r="AB160" s="202"/>
      <c r="AC160" s="202"/>
      <c r="AD160" s="202"/>
    </row>
    <row r="161" spans="1:30" x14ac:dyDescent="0.3">
      <c r="A161" s="30" t="s">
        <v>41</v>
      </c>
      <c r="B161" s="10"/>
      <c r="C161" s="10"/>
      <c r="D161" s="10"/>
      <c r="E161" s="10"/>
      <c r="F161" s="10"/>
      <c r="G161" s="10"/>
      <c r="H161" s="10"/>
      <c r="I161" s="10"/>
      <c r="J161" s="10"/>
      <c r="K161" s="10"/>
      <c r="L161" s="10"/>
      <c r="M161" s="10">
        <f t="shared" ref="M161:O161" si="65">L149</f>
        <v>0</v>
      </c>
      <c r="N161" s="10">
        <f t="shared" si="65"/>
        <v>0</v>
      </c>
      <c r="O161" s="10">
        <f t="shared" si="65"/>
        <v>0</v>
      </c>
      <c r="P161" s="10">
        <v>1000000</v>
      </c>
      <c r="Q161" s="10">
        <v>1000000</v>
      </c>
      <c r="R161" s="10">
        <v>1000000</v>
      </c>
      <c r="S161" s="10">
        <v>1000000</v>
      </c>
      <c r="T161" s="10">
        <v>1000000</v>
      </c>
      <c r="U161" s="10">
        <v>1000000</v>
      </c>
      <c r="V161" s="10">
        <v>1000000</v>
      </c>
      <c r="X161" s="202"/>
      <c r="Y161" s="202"/>
      <c r="Z161" s="202"/>
      <c r="AA161" s="202"/>
      <c r="AB161" s="202"/>
      <c r="AC161" s="202"/>
      <c r="AD161" s="202"/>
    </row>
    <row r="162" spans="1:30" x14ac:dyDescent="0.3">
      <c r="A162" s="30" t="s">
        <v>42</v>
      </c>
      <c r="B162" s="10"/>
      <c r="C162" s="10"/>
      <c r="D162" s="10"/>
      <c r="E162" s="10"/>
      <c r="F162" s="10"/>
      <c r="G162" s="10"/>
      <c r="H162" s="10"/>
      <c r="I162" s="10"/>
      <c r="J162" s="10"/>
      <c r="K162" s="10"/>
      <c r="L162" s="10"/>
      <c r="M162" s="10">
        <f t="shared" ref="M162:O162" si="66">L150</f>
        <v>0</v>
      </c>
      <c r="N162" s="10">
        <f t="shared" si="66"/>
        <v>0</v>
      </c>
      <c r="O162" s="10">
        <f t="shared" si="66"/>
        <v>0</v>
      </c>
      <c r="P162" s="10">
        <v>62500</v>
      </c>
      <c r="Q162" s="10">
        <v>62500</v>
      </c>
      <c r="R162" s="10">
        <v>62500</v>
      </c>
      <c r="S162" s="10">
        <v>62500</v>
      </c>
      <c r="T162" s="10">
        <v>62500</v>
      </c>
      <c r="U162" s="10">
        <v>62500</v>
      </c>
      <c r="V162" s="10">
        <v>62500</v>
      </c>
      <c r="X162" s="202"/>
      <c r="Y162" s="202"/>
      <c r="Z162" s="202"/>
      <c r="AA162" s="202"/>
      <c r="AB162" s="202"/>
      <c r="AC162" s="202"/>
      <c r="AD162" s="202"/>
    </row>
    <row r="163" spans="1:30" x14ac:dyDescent="0.3">
      <c r="A163" s="5" t="s">
        <v>241</v>
      </c>
      <c r="B163" s="6">
        <f t="shared" ref="B163:V163" si="67">SUM(B154:B162)</f>
        <v>0</v>
      </c>
      <c r="C163" s="6">
        <f t="shared" si="67"/>
        <v>0</v>
      </c>
      <c r="D163" s="6">
        <f t="shared" si="67"/>
        <v>0</v>
      </c>
      <c r="E163" s="6">
        <f t="shared" si="67"/>
        <v>0</v>
      </c>
      <c r="F163" s="6">
        <f t="shared" si="67"/>
        <v>0</v>
      </c>
      <c r="G163" s="6">
        <f t="shared" si="67"/>
        <v>0</v>
      </c>
      <c r="H163" s="6">
        <f t="shared" si="67"/>
        <v>0</v>
      </c>
      <c r="I163" s="6">
        <f t="shared" si="67"/>
        <v>0</v>
      </c>
      <c r="J163" s="6">
        <f t="shared" si="67"/>
        <v>0</v>
      </c>
      <c r="K163" s="6">
        <f t="shared" si="67"/>
        <v>0</v>
      </c>
      <c r="L163" s="6">
        <f t="shared" si="67"/>
        <v>0</v>
      </c>
      <c r="M163" s="6">
        <f t="shared" si="67"/>
        <v>284601.00281465106</v>
      </c>
      <c r="N163" s="6">
        <f t="shared" si="67"/>
        <v>456053.93257057777</v>
      </c>
      <c r="O163" s="6">
        <f t="shared" si="67"/>
        <v>453773.66290772491</v>
      </c>
      <c r="P163" s="6">
        <f t="shared" si="67"/>
        <v>2764004.7945931861</v>
      </c>
      <c r="Q163" s="6">
        <f t="shared" si="67"/>
        <v>2761747.2706202203</v>
      </c>
      <c r="R163" s="6">
        <f t="shared" si="67"/>
        <v>2759501.0342671191</v>
      </c>
      <c r="S163" s="6">
        <f t="shared" si="67"/>
        <v>2757266.0290957838</v>
      </c>
      <c r="T163" s="6">
        <f t="shared" si="67"/>
        <v>2755042.1989503046</v>
      </c>
      <c r="U163" s="6">
        <f t="shared" si="67"/>
        <v>2752829.4879555535</v>
      </c>
      <c r="V163" s="6">
        <f t="shared" si="67"/>
        <v>2750627.8405157756</v>
      </c>
    </row>
    <row r="165" spans="1:30" ht="15.6" x14ac:dyDescent="0.3">
      <c r="A165" s="43">
        <v>2034</v>
      </c>
      <c r="B165" s="2">
        <v>2022</v>
      </c>
      <c r="C165" s="2">
        <v>2023</v>
      </c>
      <c r="D165" s="2">
        <v>2024</v>
      </c>
      <c r="E165" s="2">
        <v>2025</v>
      </c>
      <c r="F165" s="2">
        <v>2026</v>
      </c>
      <c r="G165" s="2">
        <v>2027</v>
      </c>
      <c r="H165" s="2">
        <v>2028</v>
      </c>
      <c r="I165" s="2">
        <v>2029</v>
      </c>
      <c r="J165" s="2">
        <v>2030</v>
      </c>
      <c r="K165" s="2">
        <v>2031</v>
      </c>
      <c r="L165" s="2">
        <v>2032</v>
      </c>
      <c r="M165" s="2">
        <v>2033</v>
      </c>
      <c r="N165" s="2">
        <v>2034</v>
      </c>
      <c r="O165" s="2">
        <v>2035</v>
      </c>
      <c r="P165" s="2">
        <v>2036</v>
      </c>
      <c r="Q165" s="2">
        <v>2037</v>
      </c>
      <c r="R165" s="2">
        <v>2038</v>
      </c>
      <c r="S165" s="2">
        <v>2039</v>
      </c>
      <c r="T165" s="2">
        <v>2040</v>
      </c>
      <c r="U165" s="2">
        <v>2041</v>
      </c>
      <c r="V165" s="2">
        <v>2042</v>
      </c>
    </row>
    <row r="166" spans="1:30" x14ac:dyDescent="0.3">
      <c r="A166" s="29" t="s">
        <v>6</v>
      </c>
      <c r="B166" s="10"/>
      <c r="C166" s="10"/>
      <c r="D166" s="10"/>
      <c r="E166" s="10"/>
      <c r="F166" s="10"/>
      <c r="G166" s="10"/>
      <c r="H166" s="10"/>
      <c r="I166" s="10"/>
      <c r="J166" s="10"/>
      <c r="K166" s="10"/>
      <c r="L166" s="10"/>
      <c r="M166" s="10"/>
      <c r="N166" s="10">
        <f t="shared" ref="N166:V166" si="68">M154</f>
        <v>81059.366708640009</v>
      </c>
      <c r="O166" s="10">
        <f t="shared" si="68"/>
        <v>80654.0698750968</v>
      </c>
      <c r="P166" s="10">
        <f t="shared" si="68"/>
        <v>80250.799525721319</v>
      </c>
      <c r="Q166" s="10">
        <f t="shared" si="68"/>
        <v>79849.545528092713</v>
      </c>
      <c r="R166" s="10">
        <f t="shared" si="68"/>
        <v>79450.297800452245</v>
      </c>
      <c r="S166" s="10">
        <f t="shared" si="68"/>
        <v>79053.046311449987</v>
      </c>
      <c r="T166" s="10">
        <f t="shared" si="68"/>
        <v>78657.781079892738</v>
      </c>
      <c r="U166" s="10">
        <f t="shared" si="68"/>
        <v>78264.492174493265</v>
      </c>
      <c r="V166" s="10">
        <f t="shared" si="68"/>
        <v>77873.169713620795</v>
      </c>
    </row>
    <row r="167" spans="1:30" x14ac:dyDescent="0.3">
      <c r="A167" s="29" t="s">
        <v>12</v>
      </c>
      <c r="B167" s="10"/>
      <c r="C167" s="10"/>
      <c r="D167" s="10"/>
      <c r="E167" s="10"/>
      <c r="F167" s="10"/>
      <c r="G167" s="10"/>
      <c r="H167" s="10"/>
      <c r="I167" s="10"/>
      <c r="J167" s="10"/>
      <c r="K167" s="10"/>
      <c r="L167" s="10"/>
      <c r="M167" s="10"/>
      <c r="N167" s="10">
        <f t="shared" ref="N167:V167" si="69">M155</f>
        <v>86301.29985067404</v>
      </c>
      <c r="O167" s="10">
        <f t="shared" si="69"/>
        <v>85869.793351420667</v>
      </c>
      <c r="P167" s="10">
        <f t="shared" si="69"/>
        <v>85440.44438466357</v>
      </c>
      <c r="Q167" s="10">
        <f t="shared" si="69"/>
        <v>85013.242162740251</v>
      </c>
      <c r="R167" s="10">
        <f t="shared" si="69"/>
        <v>84588.175951926562</v>
      </c>
      <c r="S167" s="10">
        <f t="shared" si="69"/>
        <v>84165.235072166921</v>
      </c>
      <c r="T167" s="10">
        <f t="shared" si="69"/>
        <v>83744.408896806068</v>
      </c>
      <c r="U167" s="10">
        <f t="shared" si="69"/>
        <v>83325.686852322047</v>
      </c>
      <c r="V167" s="10">
        <f t="shared" si="69"/>
        <v>82909.058418060435</v>
      </c>
    </row>
    <row r="168" spans="1:30" x14ac:dyDescent="0.3">
      <c r="A168" s="29" t="s">
        <v>21</v>
      </c>
      <c r="B168" s="10"/>
      <c r="C168" s="10"/>
      <c r="D168" s="10"/>
      <c r="E168" s="10"/>
      <c r="F168" s="10"/>
      <c r="G168" s="10"/>
      <c r="H168" s="10"/>
      <c r="I168" s="10"/>
      <c r="J168" s="10"/>
      <c r="K168" s="10"/>
      <c r="L168" s="10"/>
      <c r="M168" s="10"/>
      <c r="N168" s="10">
        <f t="shared" ref="N168:V168" si="70">M156</f>
        <v>0</v>
      </c>
      <c r="O168" s="10">
        <f t="shared" si="70"/>
        <v>148179.37265999999</v>
      </c>
      <c r="P168" s="10">
        <f t="shared" si="70"/>
        <v>147438.47579669999</v>
      </c>
      <c r="Q168" s="10">
        <f t="shared" si="70"/>
        <v>146701.28341771651</v>
      </c>
      <c r="R168" s="10">
        <f t="shared" si="70"/>
        <v>145967.77700062792</v>
      </c>
      <c r="S168" s="10">
        <f t="shared" si="70"/>
        <v>145237.93811562477</v>
      </c>
      <c r="T168" s="10">
        <f t="shared" si="70"/>
        <v>144511.74842504665</v>
      </c>
      <c r="U168" s="10">
        <f t="shared" si="70"/>
        <v>143789.18968292139</v>
      </c>
      <c r="V168" s="10">
        <f t="shared" si="70"/>
        <v>143070.2437345068</v>
      </c>
    </row>
    <row r="169" spans="1:30" x14ac:dyDescent="0.3">
      <c r="A169" s="29" t="s">
        <v>25</v>
      </c>
      <c r="B169" s="10"/>
      <c r="C169" s="10"/>
      <c r="D169" s="10"/>
      <c r="E169" s="10"/>
      <c r="F169" s="10"/>
      <c r="G169" s="10"/>
      <c r="H169" s="10"/>
      <c r="I169" s="10"/>
      <c r="J169" s="10"/>
      <c r="K169" s="10"/>
      <c r="L169" s="10"/>
      <c r="M169" s="10"/>
      <c r="N169" s="10">
        <f t="shared" ref="N169:V169" si="71">M157</f>
        <v>74089.686329999997</v>
      </c>
      <c r="O169" s="10">
        <f t="shared" si="71"/>
        <v>73719.237898349995</v>
      </c>
      <c r="P169" s="10">
        <f t="shared" si="71"/>
        <v>73350.641708858253</v>
      </c>
      <c r="Q169" s="10">
        <f t="shared" si="71"/>
        <v>72983.888500313973</v>
      </c>
      <c r="R169" s="10">
        <f t="shared" si="71"/>
        <v>72618.969057812399</v>
      </c>
      <c r="S169" s="10">
        <f t="shared" si="71"/>
        <v>72255.87421252334</v>
      </c>
      <c r="T169" s="10">
        <f t="shared" si="71"/>
        <v>71894.594841460726</v>
      </c>
      <c r="U169" s="10">
        <f t="shared" si="71"/>
        <v>71535.121867253416</v>
      </c>
      <c r="V169" s="10">
        <f t="shared" si="71"/>
        <v>71177.446257917152</v>
      </c>
    </row>
    <row r="170" spans="1:30" x14ac:dyDescent="0.3">
      <c r="A170" s="29" t="s">
        <v>29</v>
      </c>
      <c r="B170" s="10"/>
      <c r="C170" s="10"/>
      <c r="D170" s="10"/>
      <c r="E170" s="10"/>
      <c r="F170" s="10"/>
      <c r="G170" s="10"/>
      <c r="H170" s="10"/>
      <c r="I170" s="10"/>
      <c r="J170" s="10"/>
      <c r="K170" s="10"/>
      <c r="L170" s="10"/>
      <c r="M170" s="10"/>
      <c r="N170" s="10">
        <f t="shared" ref="N170:V170" si="72">M158</f>
        <v>0</v>
      </c>
      <c r="O170" s="10">
        <f t="shared" si="72"/>
        <v>24696.562110000003</v>
      </c>
      <c r="P170" s="10">
        <f t="shared" si="72"/>
        <v>24573.079299450001</v>
      </c>
      <c r="Q170" s="10">
        <f t="shared" si="72"/>
        <v>24450.21390295275</v>
      </c>
      <c r="R170" s="10">
        <f t="shared" si="72"/>
        <v>24327.962833437985</v>
      </c>
      <c r="S170" s="10">
        <f t="shared" si="72"/>
        <v>24206.323019270796</v>
      </c>
      <c r="T170" s="10">
        <f t="shared" si="72"/>
        <v>24085.291404174444</v>
      </c>
      <c r="U170" s="10">
        <f t="shared" si="72"/>
        <v>23964.864947153572</v>
      </c>
      <c r="V170" s="10">
        <f t="shared" si="72"/>
        <v>23845.040622417804</v>
      </c>
    </row>
    <row r="171" spans="1:30" x14ac:dyDescent="0.3">
      <c r="A171" s="30" t="s">
        <v>33</v>
      </c>
      <c r="B171" s="10"/>
      <c r="C171" s="10"/>
      <c r="D171" s="10"/>
      <c r="E171" s="10"/>
      <c r="F171" s="10"/>
      <c r="G171" s="10"/>
      <c r="H171" s="10"/>
      <c r="I171" s="10"/>
      <c r="J171" s="10"/>
      <c r="K171" s="10"/>
      <c r="L171" s="10"/>
      <c r="M171" s="10"/>
      <c r="N171" s="10">
        <f t="shared" ref="N171:V171" si="73">M159</f>
        <v>43150.64992533702</v>
      </c>
      <c r="O171" s="10">
        <f t="shared" si="73"/>
        <v>42934.896675710334</v>
      </c>
      <c r="P171" s="10">
        <f t="shared" si="73"/>
        <v>42720.222192331785</v>
      </c>
      <c r="Q171" s="10">
        <f t="shared" si="73"/>
        <v>42506.621081370125</v>
      </c>
      <c r="R171" s="10">
        <f t="shared" si="73"/>
        <v>42294.087975963281</v>
      </c>
      <c r="S171" s="10">
        <f t="shared" si="73"/>
        <v>42082.61753608346</v>
      </c>
      <c r="T171" s="10">
        <f t="shared" si="73"/>
        <v>41872.204448403034</v>
      </c>
      <c r="U171" s="10">
        <f t="shared" si="73"/>
        <v>41662.843426161024</v>
      </c>
      <c r="V171" s="10">
        <f t="shared" si="73"/>
        <v>41454.529209030217</v>
      </c>
    </row>
    <row r="172" spans="1:30" x14ac:dyDescent="0.3">
      <c r="A172" s="30" t="s">
        <v>40</v>
      </c>
      <c r="B172" s="10"/>
      <c r="C172" s="10"/>
      <c r="D172" s="10"/>
      <c r="E172" s="10"/>
      <c r="F172" s="10"/>
      <c r="G172" s="10"/>
      <c r="H172" s="10"/>
      <c r="I172" s="10"/>
      <c r="J172" s="10"/>
      <c r="K172" s="10"/>
      <c r="L172" s="10"/>
      <c r="M172" s="10"/>
      <c r="N172" s="10">
        <f t="shared" ref="N172:V172" si="74">M160</f>
        <v>0</v>
      </c>
      <c r="O172" s="10">
        <f t="shared" si="74"/>
        <v>0</v>
      </c>
      <c r="P172" s="10">
        <f t="shared" si="74"/>
        <v>0</v>
      </c>
      <c r="Q172" s="10">
        <f t="shared" si="74"/>
        <v>1250000</v>
      </c>
      <c r="R172" s="10">
        <f t="shared" si="74"/>
        <v>1250000</v>
      </c>
      <c r="S172" s="10">
        <f t="shared" si="74"/>
        <v>1250000</v>
      </c>
      <c r="T172" s="10">
        <f t="shared" si="74"/>
        <v>1250000</v>
      </c>
      <c r="U172" s="10">
        <f t="shared" si="74"/>
        <v>1250000</v>
      </c>
      <c r="V172" s="10">
        <f t="shared" si="74"/>
        <v>1250000</v>
      </c>
    </row>
    <row r="173" spans="1:30" x14ac:dyDescent="0.3">
      <c r="A173" s="30" t="s">
        <v>41</v>
      </c>
      <c r="B173" s="10"/>
      <c r="C173" s="10"/>
      <c r="D173" s="10"/>
      <c r="E173" s="10"/>
      <c r="F173" s="10"/>
      <c r="G173" s="10"/>
      <c r="H173" s="10"/>
      <c r="I173" s="10"/>
      <c r="J173" s="10"/>
      <c r="K173" s="10"/>
      <c r="L173" s="10"/>
      <c r="M173" s="10"/>
      <c r="N173" s="10">
        <f t="shared" ref="N173:V173" si="75">M161</f>
        <v>0</v>
      </c>
      <c r="O173" s="10">
        <f t="shared" si="75"/>
        <v>0</v>
      </c>
      <c r="P173" s="10">
        <f t="shared" si="75"/>
        <v>0</v>
      </c>
      <c r="Q173" s="10">
        <f t="shared" si="75"/>
        <v>1000000</v>
      </c>
      <c r="R173" s="10">
        <f t="shared" si="75"/>
        <v>1000000</v>
      </c>
      <c r="S173" s="10">
        <f t="shared" si="75"/>
        <v>1000000</v>
      </c>
      <c r="T173" s="10">
        <f t="shared" si="75"/>
        <v>1000000</v>
      </c>
      <c r="U173" s="10">
        <f t="shared" si="75"/>
        <v>1000000</v>
      </c>
      <c r="V173" s="10">
        <f t="shared" si="75"/>
        <v>1000000</v>
      </c>
    </row>
    <row r="174" spans="1:30" x14ac:dyDescent="0.3">
      <c r="A174" s="30" t="s">
        <v>42</v>
      </c>
      <c r="B174" s="10"/>
      <c r="C174" s="10"/>
      <c r="D174" s="10"/>
      <c r="E174" s="10"/>
      <c r="F174" s="10"/>
      <c r="G174" s="10"/>
      <c r="H174" s="10"/>
      <c r="I174" s="10"/>
      <c r="J174" s="10"/>
      <c r="K174" s="10"/>
      <c r="L174" s="10"/>
      <c r="M174" s="10"/>
      <c r="N174" s="10">
        <f t="shared" ref="N174:V174" si="76">M162</f>
        <v>0</v>
      </c>
      <c r="O174" s="10">
        <f t="shared" si="76"/>
        <v>0</v>
      </c>
      <c r="P174" s="10">
        <f t="shared" si="76"/>
        <v>0</v>
      </c>
      <c r="Q174" s="10">
        <f t="shared" si="76"/>
        <v>62500</v>
      </c>
      <c r="R174" s="10">
        <f t="shared" si="76"/>
        <v>62500</v>
      </c>
      <c r="S174" s="10">
        <f t="shared" si="76"/>
        <v>62500</v>
      </c>
      <c r="T174" s="10">
        <f t="shared" si="76"/>
        <v>62500</v>
      </c>
      <c r="U174" s="10">
        <f t="shared" si="76"/>
        <v>62500</v>
      </c>
      <c r="V174" s="10">
        <f t="shared" si="76"/>
        <v>62500</v>
      </c>
    </row>
    <row r="175" spans="1:30" x14ac:dyDescent="0.3">
      <c r="A175" s="5" t="s">
        <v>241</v>
      </c>
      <c r="B175" s="6">
        <f t="shared" ref="B175:V175" si="77">SUM(B166:B174)</f>
        <v>0</v>
      </c>
      <c r="C175" s="6">
        <f t="shared" si="77"/>
        <v>0</v>
      </c>
      <c r="D175" s="6">
        <f t="shared" si="77"/>
        <v>0</v>
      </c>
      <c r="E175" s="6">
        <f t="shared" si="77"/>
        <v>0</v>
      </c>
      <c r="F175" s="6">
        <f t="shared" si="77"/>
        <v>0</v>
      </c>
      <c r="G175" s="6">
        <f t="shared" si="77"/>
        <v>0</v>
      </c>
      <c r="H175" s="6">
        <f t="shared" si="77"/>
        <v>0</v>
      </c>
      <c r="I175" s="6">
        <f t="shared" si="77"/>
        <v>0</v>
      </c>
      <c r="J175" s="6">
        <f t="shared" si="77"/>
        <v>0</v>
      </c>
      <c r="K175" s="6">
        <f t="shared" si="77"/>
        <v>0</v>
      </c>
      <c r="L175" s="6">
        <f t="shared" si="77"/>
        <v>0</v>
      </c>
      <c r="M175" s="6">
        <f t="shared" si="77"/>
        <v>0</v>
      </c>
      <c r="N175" s="6">
        <f t="shared" si="77"/>
        <v>284601.00281465106</v>
      </c>
      <c r="O175" s="6">
        <f t="shared" si="77"/>
        <v>456053.93257057777</v>
      </c>
      <c r="P175" s="6">
        <f t="shared" si="77"/>
        <v>453773.66290772491</v>
      </c>
      <c r="Q175" s="6">
        <f t="shared" si="77"/>
        <v>2764004.7945931861</v>
      </c>
      <c r="R175" s="6">
        <f t="shared" si="77"/>
        <v>2761747.2706202203</v>
      </c>
      <c r="S175" s="6">
        <f t="shared" si="77"/>
        <v>2759501.0342671191</v>
      </c>
      <c r="T175" s="6">
        <f t="shared" si="77"/>
        <v>2757266.0290957838</v>
      </c>
      <c r="U175" s="6">
        <f t="shared" si="77"/>
        <v>2755042.1989503046</v>
      </c>
      <c r="V175" s="6">
        <f t="shared" si="77"/>
        <v>2752829.4879555535</v>
      </c>
    </row>
    <row r="177" spans="1:22" ht="15.6" x14ac:dyDescent="0.3">
      <c r="A177" s="43">
        <v>2035</v>
      </c>
      <c r="B177" s="2">
        <v>2022</v>
      </c>
      <c r="C177" s="2">
        <v>2023</v>
      </c>
      <c r="D177" s="2">
        <v>2024</v>
      </c>
      <c r="E177" s="2">
        <v>2025</v>
      </c>
      <c r="F177" s="2">
        <v>2026</v>
      </c>
      <c r="G177" s="2">
        <v>2027</v>
      </c>
      <c r="H177" s="2">
        <v>2028</v>
      </c>
      <c r="I177" s="2">
        <v>2029</v>
      </c>
      <c r="J177" s="2">
        <v>2030</v>
      </c>
      <c r="K177" s="2">
        <v>2031</v>
      </c>
      <c r="L177" s="2">
        <v>2032</v>
      </c>
      <c r="M177" s="2">
        <v>2033</v>
      </c>
      <c r="N177" s="2">
        <v>2034</v>
      </c>
      <c r="O177" s="2">
        <v>2035</v>
      </c>
      <c r="P177" s="2">
        <v>2036</v>
      </c>
      <c r="Q177" s="2">
        <v>2037</v>
      </c>
      <c r="R177" s="2">
        <v>2038</v>
      </c>
      <c r="S177" s="2">
        <v>2039</v>
      </c>
      <c r="T177" s="2">
        <v>2040</v>
      </c>
      <c r="U177" s="2">
        <v>2041</v>
      </c>
      <c r="V177" s="2">
        <v>2042</v>
      </c>
    </row>
    <row r="178" spans="1:22" x14ac:dyDescent="0.3">
      <c r="A178" s="29" t="s">
        <v>6</v>
      </c>
      <c r="B178" s="10"/>
      <c r="C178" s="10"/>
      <c r="D178" s="10"/>
      <c r="E178" s="10"/>
      <c r="F178" s="10"/>
      <c r="G178" s="10"/>
      <c r="H178" s="10"/>
      <c r="I178" s="10"/>
      <c r="J178" s="10"/>
      <c r="K178" s="10"/>
      <c r="L178" s="10"/>
      <c r="M178" s="10"/>
      <c r="N178" s="10"/>
      <c r="O178" s="10">
        <f t="shared" ref="O178:V186" si="78">N166</f>
        <v>81059.366708640009</v>
      </c>
      <c r="P178" s="10">
        <f t="shared" si="78"/>
        <v>80654.0698750968</v>
      </c>
      <c r="Q178" s="10">
        <f t="shared" si="78"/>
        <v>80250.799525721319</v>
      </c>
      <c r="R178" s="10">
        <f t="shared" si="78"/>
        <v>79849.545528092713</v>
      </c>
      <c r="S178" s="10">
        <f t="shared" si="78"/>
        <v>79450.297800452245</v>
      </c>
      <c r="T178" s="10">
        <f t="shared" si="78"/>
        <v>79053.046311449987</v>
      </c>
      <c r="U178" s="10">
        <f t="shared" si="78"/>
        <v>78657.781079892738</v>
      </c>
      <c r="V178" s="10">
        <f t="shared" si="78"/>
        <v>78264.492174493265</v>
      </c>
    </row>
    <row r="179" spans="1:22" x14ac:dyDescent="0.3">
      <c r="A179" s="29" t="s">
        <v>12</v>
      </c>
      <c r="B179" s="10"/>
      <c r="C179" s="10"/>
      <c r="D179" s="10"/>
      <c r="E179" s="10"/>
      <c r="F179" s="10"/>
      <c r="G179" s="10"/>
      <c r="H179" s="10"/>
      <c r="I179" s="10"/>
      <c r="J179" s="10"/>
      <c r="K179" s="10"/>
      <c r="L179" s="10"/>
      <c r="M179" s="10"/>
      <c r="N179" s="10"/>
      <c r="O179" s="10">
        <f t="shared" si="78"/>
        <v>86301.29985067404</v>
      </c>
      <c r="P179" s="10">
        <f t="shared" si="78"/>
        <v>85869.793351420667</v>
      </c>
      <c r="Q179" s="10">
        <f t="shared" si="78"/>
        <v>85440.44438466357</v>
      </c>
      <c r="R179" s="10">
        <f t="shared" si="78"/>
        <v>85013.242162740251</v>
      </c>
      <c r="S179" s="10">
        <f t="shared" si="78"/>
        <v>84588.175951926562</v>
      </c>
      <c r="T179" s="10">
        <f t="shared" si="78"/>
        <v>84165.235072166921</v>
      </c>
      <c r="U179" s="10">
        <f t="shared" si="78"/>
        <v>83744.408896806068</v>
      </c>
      <c r="V179" s="10">
        <f t="shared" si="78"/>
        <v>83325.686852322047</v>
      </c>
    </row>
    <row r="180" spans="1:22" x14ac:dyDescent="0.3">
      <c r="A180" s="29" t="s">
        <v>21</v>
      </c>
      <c r="B180" s="10"/>
      <c r="C180" s="10"/>
      <c r="D180" s="10"/>
      <c r="E180" s="10"/>
      <c r="F180" s="10"/>
      <c r="G180" s="10"/>
      <c r="H180" s="10"/>
      <c r="I180" s="10"/>
      <c r="J180" s="10"/>
      <c r="K180" s="10"/>
      <c r="L180" s="10"/>
      <c r="M180" s="10"/>
      <c r="N180" s="10"/>
      <c r="O180" s="10">
        <f t="shared" si="78"/>
        <v>0</v>
      </c>
      <c r="P180" s="10">
        <f t="shared" si="78"/>
        <v>148179.37265999999</v>
      </c>
      <c r="Q180" s="10">
        <f t="shared" si="78"/>
        <v>147438.47579669999</v>
      </c>
      <c r="R180" s="10">
        <f t="shared" si="78"/>
        <v>146701.28341771651</v>
      </c>
      <c r="S180" s="10">
        <f t="shared" si="78"/>
        <v>145967.77700062792</v>
      </c>
      <c r="T180" s="10">
        <f t="shared" si="78"/>
        <v>145237.93811562477</v>
      </c>
      <c r="U180" s="10">
        <f t="shared" si="78"/>
        <v>144511.74842504665</v>
      </c>
      <c r="V180" s="10">
        <f t="shared" si="78"/>
        <v>143789.18968292139</v>
      </c>
    </row>
    <row r="181" spans="1:22" x14ac:dyDescent="0.3">
      <c r="A181" s="29" t="s">
        <v>25</v>
      </c>
      <c r="B181" s="10"/>
      <c r="C181" s="10"/>
      <c r="D181" s="10"/>
      <c r="E181" s="10"/>
      <c r="F181" s="10"/>
      <c r="G181" s="10"/>
      <c r="H181" s="10"/>
      <c r="I181" s="10"/>
      <c r="J181" s="10"/>
      <c r="K181" s="10"/>
      <c r="L181" s="10"/>
      <c r="M181" s="10"/>
      <c r="N181" s="10"/>
      <c r="O181" s="10">
        <f t="shared" si="78"/>
        <v>74089.686329999997</v>
      </c>
      <c r="P181" s="10">
        <f t="shared" si="78"/>
        <v>73719.237898349995</v>
      </c>
      <c r="Q181" s="10">
        <f t="shared" si="78"/>
        <v>73350.641708858253</v>
      </c>
      <c r="R181" s="10">
        <f t="shared" si="78"/>
        <v>72983.888500313973</v>
      </c>
      <c r="S181" s="10">
        <f t="shared" si="78"/>
        <v>72618.969057812399</v>
      </c>
      <c r="T181" s="10">
        <f t="shared" si="78"/>
        <v>72255.87421252334</v>
      </c>
      <c r="U181" s="10">
        <f t="shared" si="78"/>
        <v>71894.594841460726</v>
      </c>
      <c r="V181" s="10">
        <f t="shared" si="78"/>
        <v>71535.121867253416</v>
      </c>
    </row>
    <row r="182" spans="1:22" x14ac:dyDescent="0.3">
      <c r="A182" s="29" t="s">
        <v>29</v>
      </c>
      <c r="B182" s="10"/>
      <c r="C182" s="10"/>
      <c r="D182" s="10"/>
      <c r="E182" s="10"/>
      <c r="F182" s="10"/>
      <c r="G182" s="10"/>
      <c r="H182" s="10"/>
      <c r="I182" s="10"/>
      <c r="J182" s="10"/>
      <c r="K182" s="10"/>
      <c r="L182" s="10"/>
      <c r="M182" s="10"/>
      <c r="N182" s="10"/>
      <c r="O182" s="10">
        <f t="shared" si="78"/>
        <v>0</v>
      </c>
      <c r="P182" s="10">
        <f t="shared" si="78"/>
        <v>24696.562110000003</v>
      </c>
      <c r="Q182" s="10">
        <f t="shared" si="78"/>
        <v>24573.079299450001</v>
      </c>
      <c r="R182" s="10">
        <f t="shared" si="78"/>
        <v>24450.21390295275</v>
      </c>
      <c r="S182" s="10">
        <f t="shared" si="78"/>
        <v>24327.962833437985</v>
      </c>
      <c r="T182" s="10">
        <f t="shared" si="78"/>
        <v>24206.323019270796</v>
      </c>
      <c r="U182" s="10">
        <f t="shared" si="78"/>
        <v>24085.291404174444</v>
      </c>
      <c r="V182" s="10">
        <f t="shared" si="78"/>
        <v>23964.864947153572</v>
      </c>
    </row>
    <row r="183" spans="1:22" x14ac:dyDescent="0.3">
      <c r="A183" s="30" t="s">
        <v>33</v>
      </c>
      <c r="B183" s="10"/>
      <c r="C183" s="10"/>
      <c r="D183" s="10"/>
      <c r="E183" s="10"/>
      <c r="F183" s="10"/>
      <c r="G183" s="10"/>
      <c r="H183" s="10"/>
      <c r="I183" s="10"/>
      <c r="J183" s="10"/>
      <c r="K183" s="10"/>
      <c r="L183" s="10"/>
      <c r="M183" s="10"/>
      <c r="N183" s="10"/>
      <c r="O183" s="10">
        <f t="shared" si="78"/>
        <v>43150.64992533702</v>
      </c>
      <c r="P183" s="10">
        <f t="shared" si="78"/>
        <v>42934.896675710334</v>
      </c>
      <c r="Q183" s="10">
        <f t="shared" si="78"/>
        <v>42720.222192331785</v>
      </c>
      <c r="R183" s="10">
        <f t="shared" si="78"/>
        <v>42506.621081370125</v>
      </c>
      <c r="S183" s="10">
        <f t="shared" si="78"/>
        <v>42294.087975963281</v>
      </c>
      <c r="T183" s="10">
        <f t="shared" si="78"/>
        <v>42082.61753608346</v>
      </c>
      <c r="U183" s="10">
        <f t="shared" si="78"/>
        <v>41872.204448403034</v>
      </c>
      <c r="V183" s="10">
        <f t="shared" si="78"/>
        <v>41662.843426161024</v>
      </c>
    </row>
    <row r="184" spans="1:22" x14ac:dyDescent="0.3">
      <c r="A184" s="30" t="s">
        <v>40</v>
      </c>
      <c r="B184" s="10"/>
      <c r="C184" s="10"/>
      <c r="D184" s="10"/>
      <c r="E184" s="10"/>
      <c r="F184" s="10"/>
      <c r="G184" s="10"/>
      <c r="H184" s="10"/>
      <c r="I184" s="10"/>
      <c r="J184" s="10"/>
      <c r="K184" s="10"/>
      <c r="L184" s="10"/>
      <c r="M184" s="10"/>
      <c r="N184" s="10"/>
      <c r="O184" s="10">
        <f t="shared" si="78"/>
        <v>0</v>
      </c>
      <c r="P184" s="10">
        <f t="shared" si="78"/>
        <v>0</v>
      </c>
      <c r="Q184" s="10">
        <f t="shared" si="78"/>
        <v>0</v>
      </c>
      <c r="R184" s="10">
        <f t="shared" si="78"/>
        <v>1250000</v>
      </c>
      <c r="S184" s="10">
        <f t="shared" si="78"/>
        <v>1250000</v>
      </c>
      <c r="T184" s="10">
        <f t="shared" si="78"/>
        <v>1250000</v>
      </c>
      <c r="U184" s="10">
        <f t="shared" si="78"/>
        <v>1250000</v>
      </c>
      <c r="V184" s="10">
        <f t="shared" si="78"/>
        <v>1250000</v>
      </c>
    </row>
    <row r="185" spans="1:22" x14ac:dyDescent="0.3">
      <c r="A185" s="30" t="s">
        <v>41</v>
      </c>
      <c r="B185" s="10"/>
      <c r="C185" s="10"/>
      <c r="D185" s="10"/>
      <c r="E185" s="10"/>
      <c r="F185" s="10"/>
      <c r="G185" s="10"/>
      <c r="H185" s="10"/>
      <c r="I185" s="10"/>
      <c r="J185" s="10"/>
      <c r="K185" s="10"/>
      <c r="L185" s="10"/>
      <c r="M185" s="10"/>
      <c r="N185" s="10"/>
      <c r="O185" s="10">
        <f t="shared" si="78"/>
        <v>0</v>
      </c>
      <c r="P185" s="10">
        <f t="shared" si="78"/>
        <v>0</v>
      </c>
      <c r="Q185" s="10">
        <f t="shared" si="78"/>
        <v>0</v>
      </c>
      <c r="R185" s="10">
        <f t="shared" si="78"/>
        <v>1000000</v>
      </c>
      <c r="S185" s="10">
        <f t="shared" si="78"/>
        <v>1000000</v>
      </c>
      <c r="T185" s="10">
        <f t="shared" si="78"/>
        <v>1000000</v>
      </c>
      <c r="U185" s="10">
        <f t="shared" si="78"/>
        <v>1000000</v>
      </c>
      <c r="V185" s="10">
        <f t="shared" si="78"/>
        <v>1000000</v>
      </c>
    </row>
    <row r="186" spans="1:22" x14ac:dyDescent="0.3">
      <c r="A186" s="30" t="s">
        <v>42</v>
      </c>
      <c r="B186" s="10"/>
      <c r="C186" s="10"/>
      <c r="D186" s="10"/>
      <c r="E186" s="10"/>
      <c r="F186" s="10"/>
      <c r="G186" s="10"/>
      <c r="H186" s="10"/>
      <c r="I186" s="10"/>
      <c r="J186" s="10"/>
      <c r="K186" s="10"/>
      <c r="L186" s="10"/>
      <c r="M186" s="10"/>
      <c r="N186" s="10"/>
      <c r="O186" s="10">
        <f t="shared" si="78"/>
        <v>0</v>
      </c>
      <c r="P186" s="10">
        <f t="shared" si="78"/>
        <v>0</v>
      </c>
      <c r="Q186" s="10">
        <f t="shared" si="78"/>
        <v>0</v>
      </c>
      <c r="R186" s="10">
        <f t="shared" si="78"/>
        <v>62500</v>
      </c>
      <c r="S186" s="10">
        <f t="shared" si="78"/>
        <v>62500</v>
      </c>
      <c r="T186" s="10">
        <f t="shared" si="78"/>
        <v>62500</v>
      </c>
      <c r="U186" s="10">
        <f t="shared" si="78"/>
        <v>62500</v>
      </c>
      <c r="V186" s="10">
        <f t="shared" si="78"/>
        <v>62500</v>
      </c>
    </row>
    <row r="187" spans="1:22" x14ac:dyDescent="0.3">
      <c r="A187" s="5" t="s">
        <v>241</v>
      </c>
      <c r="B187" s="6">
        <f t="shared" ref="B187:V187" si="79">SUM(B178:B186)</f>
        <v>0</v>
      </c>
      <c r="C187" s="6">
        <f t="shared" si="79"/>
        <v>0</v>
      </c>
      <c r="D187" s="6">
        <f t="shared" si="79"/>
        <v>0</v>
      </c>
      <c r="E187" s="6">
        <f t="shared" si="79"/>
        <v>0</v>
      </c>
      <c r="F187" s="6">
        <f t="shared" si="79"/>
        <v>0</v>
      </c>
      <c r="G187" s="6">
        <f t="shared" si="79"/>
        <v>0</v>
      </c>
      <c r="H187" s="6">
        <f t="shared" si="79"/>
        <v>0</v>
      </c>
      <c r="I187" s="6">
        <f t="shared" si="79"/>
        <v>0</v>
      </c>
      <c r="J187" s="6">
        <f t="shared" si="79"/>
        <v>0</v>
      </c>
      <c r="K187" s="6">
        <f t="shared" si="79"/>
        <v>0</v>
      </c>
      <c r="L187" s="6">
        <f t="shared" si="79"/>
        <v>0</v>
      </c>
      <c r="M187" s="6">
        <f t="shared" si="79"/>
        <v>0</v>
      </c>
      <c r="N187" s="6">
        <f t="shared" si="79"/>
        <v>0</v>
      </c>
      <c r="O187" s="6">
        <f t="shared" si="79"/>
        <v>284601.00281465106</v>
      </c>
      <c r="P187" s="6">
        <f t="shared" si="79"/>
        <v>456053.93257057777</v>
      </c>
      <c r="Q187" s="6">
        <f t="shared" si="79"/>
        <v>453773.66290772491</v>
      </c>
      <c r="R187" s="6">
        <f t="shared" si="79"/>
        <v>2764004.7945931861</v>
      </c>
      <c r="S187" s="6">
        <f t="shared" si="79"/>
        <v>2761747.2706202203</v>
      </c>
      <c r="T187" s="6">
        <f t="shared" si="79"/>
        <v>2759501.0342671191</v>
      </c>
      <c r="U187" s="6">
        <f t="shared" si="79"/>
        <v>2757266.0290957838</v>
      </c>
      <c r="V187" s="6">
        <f t="shared" si="79"/>
        <v>2755042.1989503046</v>
      </c>
    </row>
    <row r="189" spans="1:22" ht="15.6" x14ac:dyDescent="0.3">
      <c r="A189" s="43">
        <v>2036</v>
      </c>
      <c r="B189" s="2">
        <v>2022</v>
      </c>
      <c r="C189" s="2">
        <v>2023</v>
      </c>
      <c r="D189" s="2">
        <v>2024</v>
      </c>
      <c r="E189" s="2">
        <v>2025</v>
      </c>
      <c r="F189" s="2">
        <v>2026</v>
      </c>
      <c r="G189" s="2">
        <v>2027</v>
      </c>
      <c r="H189" s="2">
        <v>2028</v>
      </c>
      <c r="I189" s="2">
        <v>2029</v>
      </c>
      <c r="J189" s="2">
        <v>2030</v>
      </c>
      <c r="K189" s="2">
        <v>2031</v>
      </c>
      <c r="L189" s="2">
        <v>2032</v>
      </c>
      <c r="M189" s="2">
        <v>2033</v>
      </c>
      <c r="N189" s="2">
        <v>2034</v>
      </c>
      <c r="O189" s="2">
        <v>2035</v>
      </c>
      <c r="P189" s="2">
        <v>2036</v>
      </c>
      <c r="Q189" s="2">
        <v>2037</v>
      </c>
      <c r="R189" s="2">
        <v>2038</v>
      </c>
      <c r="S189" s="2">
        <v>2039</v>
      </c>
      <c r="T189" s="2">
        <v>2040</v>
      </c>
      <c r="U189" s="2">
        <v>2041</v>
      </c>
      <c r="V189" s="2">
        <v>2042</v>
      </c>
    </row>
    <row r="190" spans="1:22" x14ac:dyDescent="0.3">
      <c r="A190" s="29" t="s">
        <v>6</v>
      </c>
      <c r="B190" s="10"/>
      <c r="C190" s="10"/>
      <c r="D190" s="10"/>
      <c r="E190" s="10"/>
      <c r="F190" s="10"/>
      <c r="G190" s="10"/>
      <c r="H190" s="10"/>
      <c r="I190" s="10"/>
      <c r="J190" s="10"/>
      <c r="K190" s="10"/>
      <c r="L190" s="10"/>
      <c r="M190" s="10"/>
      <c r="N190" s="10"/>
      <c r="O190" s="10"/>
      <c r="P190" s="10">
        <f t="shared" ref="P190:V198" si="80">O178</f>
        <v>81059.366708640009</v>
      </c>
      <c r="Q190" s="10">
        <f t="shared" si="80"/>
        <v>80654.0698750968</v>
      </c>
      <c r="R190" s="10">
        <f t="shared" si="80"/>
        <v>80250.799525721319</v>
      </c>
      <c r="S190" s="10">
        <f t="shared" si="80"/>
        <v>79849.545528092713</v>
      </c>
      <c r="T190" s="10">
        <f t="shared" si="80"/>
        <v>79450.297800452245</v>
      </c>
      <c r="U190" s="10">
        <f t="shared" si="80"/>
        <v>79053.046311449987</v>
      </c>
      <c r="V190" s="10">
        <f t="shared" si="80"/>
        <v>78657.781079892738</v>
      </c>
    </row>
    <row r="191" spans="1:22" x14ac:dyDescent="0.3">
      <c r="A191" s="29" t="s">
        <v>12</v>
      </c>
      <c r="B191" s="10"/>
      <c r="C191" s="10"/>
      <c r="D191" s="10"/>
      <c r="E191" s="10"/>
      <c r="F191" s="10"/>
      <c r="G191" s="10"/>
      <c r="H191" s="10"/>
      <c r="I191" s="10"/>
      <c r="J191" s="10"/>
      <c r="K191" s="10"/>
      <c r="L191" s="10"/>
      <c r="M191" s="10"/>
      <c r="N191" s="10"/>
      <c r="O191" s="10"/>
      <c r="P191" s="10">
        <f t="shared" si="80"/>
        <v>86301.29985067404</v>
      </c>
      <c r="Q191" s="10">
        <f t="shared" si="80"/>
        <v>85869.793351420667</v>
      </c>
      <c r="R191" s="10">
        <f t="shared" si="80"/>
        <v>85440.44438466357</v>
      </c>
      <c r="S191" s="10">
        <f t="shared" si="80"/>
        <v>85013.242162740251</v>
      </c>
      <c r="T191" s="10">
        <f t="shared" si="80"/>
        <v>84588.175951926562</v>
      </c>
      <c r="U191" s="10">
        <f t="shared" si="80"/>
        <v>84165.235072166921</v>
      </c>
      <c r="V191" s="10">
        <f t="shared" si="80"/>
        <v>83744.408896806068</v>
      </c>
    </row>
    <row r="192" spans="1:22" x14ac:dyDescent="0.3">
      <c r="A192" s="29" t="s">
        <v>21</v>
      </c>
      <c r="B192" s="10"/>
      <c r="C192" s="10"/>
      <c r="D192" s="10"/>
      <c r="E192" s="10"/>
      <c r="F192" s="10"/>
      <c r="G192" s="10"/>
      <c r="H192" s="10"/>
      <c r="I192" s="10"/>
      <c r="J192" s="10"/>
      <c r="K192" s="10"/>
      <c r="L192" s="10"/>
      <c r="M192" s="10"/>
      <c r="N192" s="10"/>
      <c r="O192" s="10"/>
      <c r="P192" s="10">
        <f t="shared" si="80"/>
        <v>0</v>
      </c>
      <c r="Q192" s="10">
        <f t="shared" si="80"/>
        <v>148179.37265999999</v>
      </c>
      <c r="R192" s="10">
        <f t="shared" si="80"/>
        <v>147438.47579669999</v>
      </c>
      <c r="S192" s="10">
        <f t="shared" si="80"/>
        <v>146701.28341771651</v>
      </c>
      <c r="T192" s="10">
        <f t="shared" si="80"/>
        <v>145967.77700062792</v>
      </c>
      <c r="U192" s="10">
        <f t="shared" si="80"/>
        <v>145237.93811562477</v>
      </c>
      <c r="V192" s="10">
        <f t="shared" si="80"/>
        <v>144511.74842504665</v>
      </c>
    </row>
    <row r="193" spans="1:22" x14ac:dyDescent="0.3">
      <c r="A193" s="29" t="s">
        <v>25</v>
      </c>
      <c r="B193" s="10"/>
      <c r="C193" s="10"/>
      <c r="D193" s="10"/>
      <c r="E193" s="10"/>
      <c r="F193" s="10"/>
      <c r="G193" s="10"/>
      <c r="H193" s="10"/>
      <c r="I193" s="10"/>
      <c r="J193" s="10"/>
      <c r="K193" s="10"/>
      <c r="L193" s="10"/>
      <c r="M193" s="10"/>
      <c r="N193" s="10"/>
      <c r="O193" s="10"/>
      <c r="P193" s="10">
        <f t="shared" si="80"/>
        <v>74089.686329999997</v>
      </c>
      <c r="Q193" s="10">
        <f t="shared" si="80"/>
        <v>73719.237898349995</v>
      </c>
      <c r="R193" s="10">
        <f t="shared" si="80"/>
        <v>73350.641708858253</v>
      </c>
      <c r="S193" s="10">
        <f t="shared" si="80"/>
        <v>72983.888500313973</v>
      </c>
      <c r="T193" s="10">
        <f t="shared" si="80"/>
        <v>72618.969057812399</v>
      </c>
      <c r="U193" s="10">
        <f t="shared" si="80"/>
        <v>72255.87421252334</v>
      </c>
      <c r="V193" s="10">
        <f t="shared" si="80"/>
        <v>71894.594841460726</v>
      </c>
    </row>
    <row r="194" spans="1:22" x14ac:dyDescent="0.3">
      <c r="A194" s="29" t="s">
        <v>29</v>
      </c>
      <c r="B194" s="10"/>
      <c r="C194" s="10"/>
      <c r="D194" s="10"/>
      <c r="E194" s="10"/>
      <c r="F194" s="10"/>
      <c r="G194" s="10"/>
      <c r="H194" s="10"/>
      <c r="I194" s="10"/>
      <c r="J194" s="10"/>
      <c r="K194" s="10"/>
      <c r="L194" s="10"/>
      <c r="M194" s="10"/>
      <c r="N194" s="10"/>
      <c r="O194" s="10"/>
      <c r="P194" s="10">
        <f t="shared" si="80"/>
        <v>0</v>
      </c>
      <c r="Q194" s="10">
        <f t="shared" si="80"/>
        <v>24696.562110000003</v>
      </c>
      <c r="R194" s="10">
        <f t="shared" si="80"/>
        <v>24573.079299450001</v>
      </c>
      <c r="S194" s="10">
        <f t="shared" si="80"/>
        <v>24450.21390295275</v>
      </c>
      <c r="T194" s="10">
        <f t="shared" si="80"/>
        <v>24327.962833437985</v>
      </c>
      <c r="U194" s="10">
        <f t="shared" si="80"/>
        <v>24206.323019270796</v>
      </c>
      <c r="V194" s="10">
        <f t="shared" si="80"/>
        <v>24085.291404174444</v>
      </c>
    </row>
    <row r="195" spans="1:22" x14ac:dyDescent="0.3">
      <c r="A195" s="30" t="s">
        <v>33</v>
      </c>
      <c r="B195" s="10"/>
      <c r="C195" s="10"/>
      <c r="D195" s="10"/>
      <c r="E195" s="10"/>
      <c r="F195" s="10"/>
      <c r="G195" s="10"/>
      <c r="H195" s="10"/>
      <c r="I195" s="10"/>
      <c r="J195" s="10"/>
      <c r="K195" s="10"/>
      <c r="L195" s="10"/>
      <c r="M195" s="10"/>
      <c r="N195" s="10"/>
      <c r="O195" s="10"/>
      <c r="P195" s="10">
        <f t="shared" si="80"/>
        <v>43150.64992533702</v>
      </c>
      <c r="Q195" s="10">
        <f t="shared" si="80"/>
        <v>42934.896675710334</v>
      </c>
      <c r="R195" s="10">
        <f t="shared" si="80"/>
        <v>42720.222192331785</v>
      </c>
      <c r="S195" s="10">
        <f t="shared" si="80"/>
        <v>42506.621081370125</v>
      </c>
      <c r="T195" s="10">
        <f t="shared" si="80"/>
        <v>42294.087975963281</v>
      </c>
      <c r="U195" s="10">
        <f t="shared" si="80"/>
        <v>42082.61753608346</v>
      </c>
      <c r="V195" s="10">
        <f t="shared" si="80"/>
        <v>41872.204448403034</v>
      </c>
    </row>
    <row r="196" spans="1:22" x14ac:dyDescent="0.3">
      <c r="A196" s="30" t="s">
        <v>40</v>
      </c>
      <c r="B196" s="10"/>
      <c r="C196" s="10"/>
      <c r="D196" s="10"/>
      <c r="E196" s="10"/>
      <c r="F196" s="10"/>
      <c r="G196" s="10"/>
      <c r="H196" s="10"/>
      <c r="I196" s="10"/>
      <c r="J196" s="10"/>
      <c r="K196" s="10"/>
      <c r="L196" s="10"/>
      <c r="M196" s="10"/>
      <c r="N196" s="10"/>
      <c r="O196" s="10"/>
      <c r="P196" s="10">
        <f t="shared" si="80"/>
        <v>0</v>
      </c>
      <c r="Q196" s="10">
        <f t="shared" si="80"/>
        <v>0</v>
      </c>
      <c r="R196" s="10">
        <f t="shared" si="80"/>
        <v>0</v>
      </c>
      <c r="S196" s="10">
        <f t="shared" si="80"/>
        <v>1250000</v>
      </c>
      <c r="T196" s="10">
        <f t="shared" si="80"/>
        <v>1250000</v>
      </c>
      <c r="U196" s="10">
        <f t="shared" si="80"/>
        <v>1250000</v>
      </c>
      <c r="V196" s="10">
        <f t="shared" si="80"/>
        <v>1250000</v>
      </c>
    </row>
    <row r="197" spans="1:22" x14ac:dyDescent="0.3">
      <c r="A197" s="30" t="s">
        <v>41</v>
      </c>
      <c r="B197" s="10"/>
      <c r="C197" s="10"/>
      <c r="D197" s="10"/>
      <c r="E197" s="10"/>
      <c r="F197" s="10"/>
      <c r="G197" s="10"/>
      <c r="H197" s="10"/>
      <c r="I197" s="10"/>
      <c r="J197" s="10"/>
      <c r="K197" s="10"/>
      <c r="L197" s="10"/>
      <c r="M197" s="10"/>
      <c r="N197" s="10"/>
      <c r="O197" s="10"/>
      <c r="P197" s="10">
        <f t="shared" si="80"/>
        <v>0</v>
      </c>
      <c r="Q197" s="10">
        <f t="shared" si="80"/>
        <v>0</v>
      </c>
      <c r="R197" s="10">
        <f t="shared" si="80"/>
        <v>0</v>
      </c>
      <c r="S197" s="10">
        <f t="shared" si="80"/>
        <v>1000000</v>
      </c>
      <c r="T197" s="10">
        <f t="shared" si="80"/>
        <v>1000000</v>
      </c>
      <c r="U197" s="10">
        <f t="shared" si="80"/>
        <v>1000000</v>
      </c>
      <c r="V197" s="10">
        <f t="shared" si="80"/>
        <v>1000000</v>
      </c>
    </row>
    <row r="198" spans="1:22" x14ac:dyDescent="0.3">
      <c r="A198" s="30" t="s">
        <v>42</v>
      </c>
      <c r="B198" s="10"/>
      <c r="C198" s="10"/>
      <c r="D198" s="10"/>
      <c r="E198" s="10"/>
      <c r="F198" s="10"/>
      <c r="G198" s="10"/>
      <c r="H198" s="10"/>
      <c r="I198" s="10"/>
      <c r="J198" s="10"/>
      <c r="K198" s="10"/>
      <c r="L198" s="10"/>
      <c r="M198" s="10"/>
      <c r="N198" s="10"/>
      <c r="O198" s="10"/>
      <c r="P198" s="10">
        <f t="shared" si="80"/>
        <v>0</v>
      </c>
      <c r="Q198" s="10">
        <f t="shared" si="80"/>
        <v>0</v>
      </c>
      <c r="R198" s="10">
        <f t="shared" si="80"/>
        <v>0</v>
      </c>
      <c r="S198" s="10">
        <f t="shared" si="80"/>
        <v>62500</v>
      </c>
      <c r="T198" s="10">
        <f t="shared" si="80"/>
        <v>62500</v>
      </c>
      <c r="U198" s="10">
        <f t="shared" si="80"/>
        <v>62500</v>
      </c>
      <c r="V198" s="10">
        <f t="shared" si="80"/>
        <v>62500</v>
      </c>
    </row>
    <row r="199" spans="1:22" x14ac:dyDescent="0.3">
      <c r="A199" s="5" t="s">
        <v>241</v>
      </c>
      <c r="B199" s="6">
        <f t="shared" ref="B199:V199" si="81">SUM(B190:B198)</f>
        <v>0</v>
      </c>
      <c r="C199" s="6">
        <f t="shared" si="81"/>
        <v>0</v>
      </c>
      <c r="D199" s="6">
        <f t="shared" si="81"/>
        <v>0</v>
      </c>
      <c r="E199" s="6">
        <f t="shared" si="81"/>
        <v>0</v>
      </c>
      <c r="F199" s="6">
        <f t="shared" si="81"/>
        <v>0</v>
      </c>
      <c r="G199" s="6">
        <f t="shared" si="81"/>
        <v>0</v>
      </c>
      <c r="H199" s="6">
        <f t="shared" si="81"/>
        <v>0</v>
      </c>
      <c r="I199" s="6">
        <f t="shared" si="81"/>
        <v>0</v>
      </c>
      <c r="J199" s="6">
        <f t="shared" si="81"/>
        <v>0</v>
      </c>
      <c r="K199" s="6">
        <f t="shared" si="81"/>
        <v>0</v>
      </c>
      <c r="L199" s="6">
        <f t="shared" si="81"/>
        <v>0</v>
      </c>
      <c r="M199" s="6">
        <f t="shared" si="81"/>
        <v>0</v>
      </c>
      <c r="N199" s="6">
        <f t="shared" si="81"/>
        <v>0</v>
      </c>
      <c r="O199" s="6">
        <f t="shared" si="81"/>
        <v>0</v>
      </c>
      <c r="P199" s="6">
        <f t="shared" si="81"/>
        <v>284601.00281465106</v>
      </c>
      <c r="Q199" s="6">
        <f t="shared" si="81"/>
        <v>456053.93257057777</v>
      </c>
      <c r="R199" s="6">
        <f t="shared" si="81"/>
        <v>453773.66290772491</v>
      </c>
      <c r="S199" s="6">
        <f t="shared" si="81"/>
        <v>2764004.7945931861</v>
      </c>
      <c r="T199" s="6">
        <f t="shared" si="81"/>
        <v>2761747.2706202203</v>
      </c>
      <c r="U199" s="6">
        <f t="shared" si="81"/>
        <v>2759501.0342671191</v>
      </c>
      <c r="V199" s="6">
        <f t="shared" si="81"/>
        <v>2757266.0290957838</v>
      </c>
    </row>
    <row r="201" spans="1:22" ht="15.6" x14ac:dyDescent="0.3">
      <c r="A201" s="43">
        <v>2037</v>
      </c>
      <c r="B201" s="2">
        <v>2022</v>
      </c>
      <c r="C201" s="2">
        <v>2023</v>
      </c>
      <c r="D201" s="2">
        <v>2024</v>
      </c>
      <c r="E201" s="2">
        <v>2025</v>
      </c>
      <c r="F201" s="2">
        <v>2026</v>
      </c>
      <c r="G201" s="2">
        <v>2027</v>
      </c>
      <c r="H201" s="2">
        <v>2028</v>
      </c>
      <c r="I201" s="2">
        <v>2029</v>
      </c>
      <c r="J201" s="2">
        <v>2030</v>
      </c>
      <c r="K201" s="2">
        <v>2031</v>
      </c>
      <c r="L201" s="2">
        <v>2032</v>
      </c>
      <c r="M201" s="2">
        <v>2033</v>
      </c>
      <c r="N201" s="2">
        <v>2034</v>
      </c>
      <c r="O201" s="2">
        <v>2035</v>
      </c>
      <c r="P201" s="2">
        <v>2036</v>
      </c>
      <c r="Q201" s="2">
        <v>2037</v>
      </c>
      <c r="R201" s="2">
        <v>2038</v>
      </c>
      <c r="S201" s="2">
        <v>2039</v>
      </c>
      <c r="T201" s="2">
        <v>2040</v>
      </c>
      <c r="U201" s="2">
        <v>2041</v>
      </c>
      <c r="V201" s="2">
        <v>2042</v>
      </c>
    </row>
    <row r="202" spans="1:22" x14ac:dyDescent="0.3">
      <c r="A202" s="29" t="s">
        <v>6</v>
      </c>
      <c r="B202" s="10"/>
      <c r="C202" s="10"/>
      <c r="D202" s="10"/>
      <c r="E202" s="10"/>
      <c r="F202" s="10"/>
      <c r="G202" s="10"/>
      <c r="H202" s="10"/>
      <c r="I202" s="10"/>
      <c r="J202" s="10"/>
      <c r="K202" s="10"/>
      <c r="L202" s="10"/>
      <c r="M202" s="10"/>
      <c r="N202" s="10"/>
      <c r="O202" s="10"/>
      <c r="P202" s="10"/>
      <c r="Q202" s="10">
        <f t="shared" ref="Q202:V210" si="82">P190</f>
        <v>81059.366708640009</v>
      </c>
      <c r="R202" s="10">
        <f t="shared" si="82"/>
        <v>80654.0698750968</v>
      </c>
      <c r="S202" s="10">
        <f t="shared" si="82"/>
        <v>80250.799525721319</v>
      </c>
      <c r="T202" s="10">
        <f t="shared" si="82"/>
        <v>79849.545528092713</v>
      </c>
      <c r="U202" s="10">
        <f t="shared" si="82"/>
        <v>79450.297800452245</v>
      </c>
      <c r="V202" s="10">
        <f t="shared" si="82"/>
        <v>79053.046311449987</v>
      </c>
    </row>
    <row r="203" spans="1:22" x14ac:dyDescent="0.3">
      <c r="A203" s="29" t="s">
        <v>12</v>
      </c>
      <c r="B203" s="10"/>
      <c r="C203" s="10"/>
      <c r="D203" s="10"/>
      <c r="E203" s="10"/>
      <c r="F203" s="10"/>
      <c r="G203" s="10"/>
      <c r="H203" s="10"/>
      <c r="I203" s="10"/>
      <c r="J203" s="10"/>
      <c r="K203" s="10"/>
      <c r="L203" s="10"/>
      <c r="M203" s="10"/>
      <c r="N203" s="10"/>
      <c r="O203" s="10"/>
      <c r="P203" s="10"/>
      <c r="Q203" s="10">
        <f t="shared" si="82"/>
        <v>86301.29985067404</v>
      </c>
      <c r="R203" s="10">
        <f t="shared" si="82"/>
        <v>85869.793351420667</v>
      </c>
      <c r="S203" s="10">
        <f t="shared" si="82"/>
        <v>85440.44438466357</v>
      </c>
      <c r="T203" s="10">
        <f t="shared" si="82"/>
        <v>85013.242162740251</v>
      </c>
      <c r="U203" s="10">
        <f t="shared" si="82"/>
        <v>84588.175951926562</v>
      </c>
      <c r="V203" s="10">
        <f t="shared" si="82"/>
        <v>84165.235072166921</v>
      </c>
    </row>
    <row r="204" spans="1:22" x14ac:dyDescent="0.3">
      <c r="A204" s="29" t="s">
        <v>21</v>
      </c>
      <c r="B204" s="10"/>
      <c r="C204" s="10"/>
      <c r="D204" s="10"/>
      <c r="E204" s="10"/>
      <c r="F204" s="10"/>
      <c r="G204" s="10"/>
      <c r="H204" s="10"/>
      <c r="I204" s="10"/>
      <c r="J204" s="10"/>
      <c r="K204" s="10"/>
      <c r="L204" s="10"/>
      <c r="M204" s="10"/>
      <c r="N204" s="10"/>
      <c r="O204" s="10"/>
      <c r="P204" s="10"/>
      <c r="Q204" s="10">
        <f t="shared" si="82"/>
        <v>0</v>
      </c>
      <c r="R204" s="10">
        <f t="shared" si="82"/>
        <v>148179.37265999999</v>
      </c>
      <c r="S204" s="10">
        <f t="shared" si="82"/>
        <v>147438.47579669999</v>
      </c>
      <c r="T204" s="10">
        <f t="shared" si="82"/>
        <v>146701.28341771651</v>
      </c>
      <c r="U204" s="10">
        <f t="shared" si="82"/>
        <v>145967.77700062792</v>
      </c>
      <c r="V204" s="10">
        <f t="shared" si="82"/>
        <v>145237.93811562477</v>
      </c>
    </row>
    <row r="205" spans="1:22" x14ac:dyDescent="0.3">
      <c r="A205" s="29" t="s">
        <v>25</v>
      </c>
      <c r="B205" s="10"/>
      <c r="C205" s="10"/>
      <c r="D205" s="10"/>
      <c r="E205" s="10"/>
      <c r="F205" s="10"/>
      <c r="G205" s="10"/>
      <c r="H205" s="10"/>
      <c r="I205" s="10"/>
      <c r="J205" s="10"/>
      <c r="K205" s="10"/>
      <c r="L205" s="10"/>
      <c r="M205" s="10"/>
      <c r="N205" s="10"/>
      <c r="O205" s="10"/>
      <c r="P205" s="10"/>
      <c r="Q205" s="10">
        <f t="shared" si="82"/>
        <v>74089.686329999997</v>
      </c>
      <c r="R205" s="10">
        <f t="shared" si="82"/>
        <v>73719.237898349995</v>
      </c>
      <c r="S205" s="10">
        <f t="shared" si="82"/>
        <v>73350.641708858253</v>
      </c>
      <c r="T205" s="10">
        <f t="shared" si="82"/>
        <v>72983.888500313973</v>
      </c>
      <c r="U205" s="10">
        <f t="shared" si="82"/>
        <v>72618.969057812399</v>
      </c>
      <c r="V205" s="10">
        <f t="shared" si="82"/>
        <v>72255.87421252334</v>
      </c>
    </row>
    <row r="206" spans="1:22" x14ac:dyDescent="0.3">
      <c r="A206" s="29" t="s">
        <v>29</v>
      </c>
      <c r="B206" s="10"/>
      <c r="C206" s="10"/>
      <c r="D206" s="10"/>
      <c r="E206" s="10"/>
      <c r="F206" s="10"/>
      <c r="G206" s="10"/>
      <c r="H206" s="10"/>
      <c r="I206" s="10"/>
      <c r="J206" s="10"/>
      <c r="K206" s="10"/>
      <c r="L206" s="10"/>
      <c r="M206" s="10"/>
      <c r="N206" s="10"/>
      <c r="O206" s="10"/>
      <c r="P206" s="10"/>
      <c r="Q206" s="10">
        <f t="shared" si="82"/>
        <v>0</v>
      </c>
      <c r="R206" s="10">
        <f t="shared" si="82"/>
        <v>24696.562110000003</v>
      </c>
      <c r="S206" s="10">
        <f t="shared" si="82"/>
        <v>24573.079299450001</v>
      </c>
      <c r="T206" s="10">
        <f t="shared" si="82"/>
        <v>24450.21390295275</v>
      </c>
      <c r="U206" s="10">
        <f t="shared" si="82"/>
        <v>24327.962833437985</v>
      </c>
      <c r="V206" s="10">
        <f t="shared" si="82"/>
        <v>24206.323019270796</v>
      </c>
    </row>
    <row r="207" spans="1:22" x14ac:dyDescent="0.3">
      <c r="A207" s="30" t="s">
        <v>33</v>
      </c>
      <c r="B207" s="10"/>
      <c r="C207" s="10"/>
      <c r="D207" s="10"/>
      <c r="E207" s="10"/>
      <c r="F207" s="10"/>
      <c r="G207" s="10"/>
      <c r="H207" s="10"/>
      <c r="I207" s="10"/>
      <c r="J207" s="10"/>
      <c r="K207" s="10"/>
      <c r="L207" s="10"/>
      <c r="M207" s="10"/>
      <c r="N207" s="10"/>
      <c r="O207" s="10"/>
      <c r="P207" s="10"/>
      <c r="Q207" s="10">
        <f t="shared" si="82"/>
        <v>43150.64992533702</v>
      </c>
      <c r="R207" s="10">
        <f t="shared" si="82"/>
        <v>42934.896675710334</v>
      </c>
      <c r="S207" s="10">
        <f t="shared" si="82"/>
        <v>42720.222192331785</v>
      </c>
      <c r="T207" s="10">
        <f t="shared" si="82"/>
        <v>42506.621081370125</v>
      </c>
      <c r="U207" s="10">
        <f t="shared" si="82"/>
        <v>42294.087975963281</v>
      </c>
      <c r="V207" s="10">
        <f t="shared" si="82"/>
        <v>42082.61753608346</v>
      </c>
    </row>
    <row r="208" spans="1:22" x14ac:dyDescent="0.3">
      <c r="A208" s="30" t="s">
        <v>40</v>
      </c>
      <c r="B208" s="10"/>
      <c r="C208" s="10"/>
      <c r="D208" s="10"/>
      <c r="E208" s="10"/>
      <c r="F208" s="10"/>
      <c r="G208" s="10"/>
      <c r="H208" s="10"/>
      <c r="I208" s="10"/>
      <c r="J208" s="10"/>
      <c r="K208" s="10"/>
      <c r="L208" s="10"/>
      <c r="M208" s="10"/>
      <c r="N208" s="10"/>
      <c r="O208" s="10"/>
      <c r="P208" s="10"/>
      <c r="Q208" s="10">
        <f t="shared" si="82"/>
        <v>0</v>
      </c>
      <c r="R208" s="10">
        <f t="shared" si="82"/>
        <v>0</v>
      </c>
      <c r="S208" s="10">
        <f t="shared" si="82"/>
        <v>0</v>
      </c>
      <c r="T208" s="10">
        <f t="shared" si="82"/>
        <v>1250000</v>
      </c>
      <c r="U208" s="10">
        <f t="shared" si="82"/>
        <v>1250000</v>
      </c>
      <c r="V208" s="10">
        <f t="shared" si="82"/>
        <v>1250000</v>
      </c>
    </row>
    <row r="209" spans="1:22" x14ac:dyDescent="0.3">
      <c r="A209" s="30" t="s">
        <v>41</v>
      </c>
      <c r="B209" s="10"/>
      <c r="C209" s="10"/>
      <c r="D209" s="10"/>
      <c r="E209" s="10"/>
      <c r="F209" s="10"/>
      <c r="G209" s="10"/>
      <c r="H209" s="10"/>
      <c r="I209" s="10"/>
      <c r="J209" s="10"/>
      <c r="K209" s="10"/>
      <c r="L209" s="10"/>
      <c r="M209" s="10"/>
      <c r="N209" s="10"/>
      <c r="O209" s="10"/>
      <c r="P209" s="10"/>
      <c r="Q209" s="10">
        <f t="shared" si="82"/>
        <v>0</v>
      </c>
      <c r="R209" s="10">
        <f t="shared" si="82"/>
        <v>0</v>
      </c>
      <c r="S209" s="10">
        <f t="shared" si="82"/>
        <v>0</v>
      </c>
      <c r="T209" s="10">
        <f t="shared" si="82"/>
        <v>1000000</v>
      </c>
      <c r="U209" s="10">
        <f t="shared" si="82"/>
        <v>1000000</v>
      </c>
      <c r="V209" s="10">
        <f t="shared" si="82"/>
        <v>1000000</v>
      </c>
    </row>
    <row r="210" spans="1:22" x14ac:dyDescent="0.3">
      <c r="A210" s="30" t="s">
        <v>42</v>
      </c>
      <c r="B210" s="10"/>
      <c r="C210" s="10"/>
      <c r="D210" s="10"/>
      <c r="E210" s="10"/>
      <c r="F210" s="10"/>
      <c r="G210" s="10"/>
      <c r="H210" s="10"/>
      <c r="I210" s="10"/>
      <c r="J210" s="10"/>
      <c r="K210" s="10"/>
      <c r="L210" s="10"/>
      <c r="M210" s="10"/>
      <c r="N210" s="10"/>
      <c r="O210" s="10"/>
      <c r="P210" s="10"/>
      <c r="Q210" s="10">
        <f t="shared" si="82"/>
        <v>0</v>
      </c>
      <c r="R210" s="10">
        <f t="shared" si="82"/>
        <v>0</v>
      </c>
      <c r="S210" s="10">
        <f t="shared" si="82"/>
        <v>0</v>
      </c>
      <c r="T210" s="10">
        <f t="shared" si="82"/>
        <v>62500</v>
      </c>
      <c r="U210" s="10">
        <f t="shared" si="82"/>
        <v>62500</v>
      </c>
      <c r="V210" s="10">
        <f t="shared" si="82"/>
        <v>62500</v>
      </c>
    </row>
    <row r="211" spans="1:22" x14ac:dyDescent="0.3">
      <c r="A211" s="5" t="s">
        <v>241</v>
      </c>
      <c r="B211" s="6">
        <f t="shared" ref="B211:V211" si="83">SUM(B202:B210)</f>
        <v>0</v>
      </c>
      <c r="C211" s="6">
        <f t="shared" si="83"/>
        <v>0</v>
      </c>
      <c r="D211" s="6">
        <f t="shared" si="83"/>
        <v>0</v>
      </c>
      <c r="E211" s="6">
        <f t="shared" si="83"/>
        <v>0</v>
      </c>
      <c r="F211" s="6">
        <f t="shared" si="83"/>
        <v>0</v>
      </c>
      <c r="G211" s="6">
        <f t="shared" si="83"/>
        <v>0</v>
      </c>
      <c r="H211" s="6">
        <f t="shared" si="83"/>
        <v>0</v>
      </c>
      <c r="I211" s="6">
        <f t="shared" si="83"/>
        <v>0</v>
      </c>
      <c r="J211" s="6">
        <f t="shared" si="83"/>
        <v>0</v>
      </c>
      <c r="K211" s="6">
        <f t="shared" si="83"/>
        <v>0</v>
      </c>
      <c r="L211" s="6">
        <f t="shared" si="83"/>
        <v>0</v>
      </c>
      <c r="M211" s="6">
        <f t="shared" si="83"/>
        <v>0</v>
      </c>
      <c r="N211" s="6">
        <f t="shared" si="83"/>
        <v>0</v>
      </c>
      <c r="O211" s="6">
        <f t="shared" si="83"/>
        <v>0</v>
      </c>
      <c r="P211" s="6">
        <f t="shared" si="83"/>
        <v>0</v>
      </c>
      <c r="Q211" s="6">
        <f t="shared" si="83"/>
        <v>284601.00281465106</v>
      </c>
      <c r="R211" s="6">
        <f t="shared" si="83"/>
        <v>456053.93257057777</v>
      </c>
      <c r="S211" s="6">
        <f t="shared" si="83"/>
        <v>453773.66290772491</v>
      </c>
      <c r="T211" s="6">
        <f t="shared" si="83"/>
        <v>2764004.7945931861</v>
      </c>
      <c r="U211" s="6">
        <f t="shared" si="83"/>
        <v>2761747.2706202203</v>
      </c>
      <c r="V211" s="6">
        <f t="shared" si="83"/>
        <v>2759501.0342671191</v>
      </c>
    </row>
    <row r="214" spans="1:22" ht="15.6" x14ac:dyDescent="0.3">
      <c r="A214" s="43">
        <v>2038</v>
      </c>
      <c r="B214" s="2">
        <v>2022</v>
      </c>
      <c r="C214" s="2">
        <v>2023</v>
      </c>
      <c r="D214" s="2">
        <v>2024</v>
      </c>
      <c r="E214" s="2">
        <v>2025</v>
      </c>
      <c r="F214" s="2">
        <v>2026</v>
      </c>
      <c r="G214" s="2">
        <v>2027</v>
      </c>
      <c r="H214" s="2">
        <v>2028</v>
      </c>
      <c r="I214" s="2">
        <v>2029</v>
      </c>
      <c r="J214" s="2">
        <v>2030</v>
      </c>
      <c r="K214" s="2">
        <v>2031</v>
      </c>
      <c r="L214" s="2">
        <v>2032</v>
      </c>
      <c r="M214" s="2">
        <v>2033</v>
      </c>
      <c r="N214" s="2">
        <v>2034</v>
      </c>
      <c r="O214" s="2">
        <v>2035</v>
      </c>
      <c r="P214" s="2">
        <v>2036</v>
      </c>
      <c r="Q214" s="2">
        <v>2037</v>
      </c>
      <c r="R214" s="2">
        <v>2038</v>
      </c>
      <c r="S214" s="2">
        <v>2039</v>
      </c>
      <c r="T214" s="2">
        <v>2040</v>
      </c>
      <c r="U214" s="2">
        <v>2041</v>
      </c>
      <c r="V214" s="2">
        <v>2042</v>
      </c>
    </row>
    <row r="215" spans="1:22" x14ac:dyDescent="0.3">
      <c r="A215" s="29" t="s">
        <v>6</v>
      </c>
      <c r="B215" s="10"/>
      <c r="C215" s="10"/>
      <c r="D215" s="10"/>
      <c r="E215" s="10"/>
      <c r="F215" s="10"/>
      <c r="G215" s="10"/>
      <c r="H215" s="10"/>
      <c r="I215" s="10"/>
      <c r="J215" s="10"/>
      <c r="K215" s="10"/>
      <c r="L215" s="10"/>
      <c r="M215" s="10"/>
      <c r="N215" s="10"/>
      <c r="O215" s="10"/>
      <c r="P215" s="10"/>
      <c r="Q215" s="10"/>
      <c r="R215" s="10">
        <f t="shared" ref="R215:V223" si="84">Q202</f>
        <v>81059.366708640009</v>
      </c>
      <c r="S215" s="10">
        <f t="shared" si="84"/>
        <v>80654.0698750968</v>
      </c>
      <c r="T215" s="10">
        <f t="shared" si="84"/>
        <v>80250.799525721319</v>
      </c>
      <c r="U215" s="10">
        <f t="shared" si="84"/>
        <v>79849.545528092713</v>
      </c>
      <c r="V215" s="10">
        <f t="shared" si="84"/>
        <v>79450.297800452245</v>
      </c>
    </row>
    <row r="216" spans="1:22" x14ac:dyDescent="0.3">
      <c r="A216" s="29" t="s">
        <v>12</v>
      </c>
      <c r="B216" s="10"/>
      <c r="C216" s="10"/>
      <c r="D216" s="10"/>
      <c r="E216" s="10"/>
      <c r="F216" s="10"/>
      <c r="G216" s="10"/>
      <c r="H216" s="10"/>
      <c r="I216" s="10"/>
      <c r="J216" s="10"/>
      <c r="K216" s="10"/>
      <c r="L216" s="10"/>
      <c r="M216" s="10"/>
      <c r="N216" s="10"/>
      <c r="O216" s="10"/>
      <c r="P216" s="10"/>
      <c r="Q216" s="10"/>
      <c r="R216" s="10">
        <f t="shared" si="84"/>
        <v>86301.29985067404</v>
      </c>
      <c r="S216" s="10">
        <f t="shared" si="84"/>
        <v>85869.793351420667</v>
      </c>
      <c r="T216" s="10">
        <f t="shared" si="84"/>
        <v>85440.44438466357</v>
      </c>
      <c r="U216" s="10">
        <f t="shared" si="84"/>
        <v>85013.242162740251</v>
      </c>
      <c r="V216" s="10">
        <f t="shared" si="84"/>
        <v>84588.175951926562</v>
      </c>
    </row>
    <row r="217" spans="1:22" x14ac:dyDescent="0.3">
      <c r="A217" s="29" t="s">
        <v>21</v>
      </c>
      <c r="B217" s="10"/>
      <c r="C217" s="10"/>
      <c r="D217" s="10"/>
      <c r="E217" s="10"/>
      <c r="F217" s="10"/>
      <c r="G217" s="10"/>
      <c r="H217" s="10"/>
      <c r="I217" s="10"/>
      <c r="J217" s="10"/>
      <c r="K217" s="10"/>
      <c r="L217" s="10"/>
      <c r="M217" s="10"/>
      <c r="N217" s="10"/>
      <c r="O217" s="10"/>
      <c r="P217" s="10"/>
      <c r="Q217" s="10"/>
      <c r="R217" s="10">
        <f t="shared" si="84"/>
        <v>0</v>
      </c>
      <c r="S217" s="10">
        <f t="shared" si="84"/>
        <v>148179.37265999999</v>
      </c>
      <c r="T217" s="10">
        <f t="shared" si="84"/>
        <v>147438.47579669999</v>
      </c>
      <c r="U217" s="10">
        <f t="shared" si="84"/>
        <v>146701.28341771651</v>
      </c>
      <c r="V217" s="10">
        <f t="shared" si="84"/>
        <v>145967.77700062792</v>
      </c>
    </row>
    <row r="218" spans="1:22" x14ac:dyDescent="0.3">
      <c r="A218" s="29" t="s">
        <v>25</v>
      </c>
      <c r="B218" s="10"/>
      <c r="C218" s="10"/>
      <c r="D218" s="10"/>
      <c r="E218" s="10"/>
      <c r="F218" s="10"/>
      <c r="G218" s="10"/>
      <c r="H218" s="10"/>
      <c r="I218" s="10"/>
      <c r="J218" s="10"/>
      <c r="K218" s="10"/>
      <c r="L218" s="10"/>
      <c r="M218" s="10"/>
      <c r="N218" s="10"/>
      <c r="O218" s="10"/>
      <c r="P218" s="10"/>
      <c r="Q218" s="10"/>
      <c r="R218" s="10">
        <f t="shared" si="84"/>
        <v>74089.686329999997</v>
      </c>
      <c r="S218" s="10">
        <f t="shared" si="84"/>
        <v>73719.237898349995</v>
      </c>
      <c r="T218" s="10">
        <f t="shared" si="84"/>
        <v>73350.641708858253</v>
      </c>
      <c r="U218" s="10">
        <f t="shared" si="84"/>
        <v>72983.888500313973</v>
      </c>
      <c r="V218" s="10">
        <f t="shared" si="84"/>
        <v>72618.969057812399</v>
      </c>
    </row>
    <row r="219" spans="1:22" x14ac:dyDescent="0.3">
      <c r="A219" s="29" t="s">
        <v>29</v>
      </c>
      <c r="B219" s="10"/>
      <c r="C219" s="10"/>
      <c r="D219" s="10"/>
      <c r="E219" s="10"/>
      <c r="F219" s="10"/>
      <c r="G219" s="10"/>
      <c r="H219" s="10"/>
      <c r="I219" s="10"/>
      <c r="J219" s="10"/>
      <c r="K219" s="10"/>
      <c r="L219" s="10"/>
      <c r="M219" s="10"/>
      <c r="N219" s="10"/>
      <c r="O219" s="10"/>
      <c r="P219" s="10"/>
      <c r="Q219" s="10"/>
      <c r="R219" s="10">
        <f t="shared" si="84"/>
        <v>0</v>
      </c>
      <c r="S219" s="10">
        <f t="shared" si="84"/>
        <v>24696.562110000003</v>
      </c>
      <c r="T219" s="10">
        <f t="shared" si="84"/>
        <v>24573.079299450001</v>
      </c>
      <c r="U219" s="10">
        <f t="shared" si="84"/>
        <v>24450.21390295275</v>
      </c>
      <c r="V219" s="10">
        <f t="shared" si="84"/>
        <v>24327.962833437985</v>
      </c>
    </row>
    <row r="220" spans="1:22" x14ac:dyDescent="0.3">
      <c r="A220" s="30" t="s">
        <v>33</v>
      </c>
      <c r="B220" s="10"/>
      <c r="C220" s="10"/>
      <c r="D220" s="10"/>
      <c r="E220" s="10"/>
      <c r="F220" s="10"/>
      <c r="G220" s="10"/>
      <c r="H220" s="10"/>
      <c r="I220" s="10"/>
      <c r="J220" s="10"/>
      <c r="K220" s="10"/>
      <c r="L220" s="10"/>
      <c r="M220" s="10"/>
      <c r="N220" s="10"/>
      <c r="O220" s="10"/>
      <c r="P220" s="10"/>
      <c r="Q220" s="10"/>
      <c r="R220" s="10">
        <f t="shared" si="84"/>
        <v>43150.64992533702</v>
      </c>
      <c r="S220" s="10">
        <f t="shared" si="84"/>
        <v>42934.896675710334</v>
      </c>
      <c r="T220" s="10">
        <f t="shared" si="84"/>
        <v>42720.222192331785</v>
      </c>
      <c r="U220" s="10">
        <f t="shared" si="84"/>
        <v>42506.621081370125</v>
      </c>
      <c r="V220" s="10">
        <f t="shared" si="84"/>
        <v>42294.087975963281</v>
      </c>
    </row>
    <row r="221" spans="1:22" x14ac:dyDescent="0.3">
      <c r="A221" s="30" t="s">
        <v>40</v>
      </c>
      <c r="B221" s="10"/>
      <c r="C221" s="10"/>
      <c r="D221" s="10"/>
      <c r="E221" s="10"/>
      <c r="F221" s="10"/>
      <c r="G221" s="10"/>
      <c r="H221" s="10"/>
      <c r="I221" s="10"/>
      <c r="J221" s="10"/>
      <c r="K221" s="10"/>
      <c r="L221" s="10"/>
      <c r="M221" s="10"/>
      <c r="N221" s="10"/>
      <c r="O221" s="10"/>
      <c r="P221" s="10"/>
      <c r="Q221" s="10"/>
      <c r="R221" s="10">
        <f t="shared" si="84"/>
        <v>0</v>
      </c>
      <c r="S221" s="10">
        <f t="shared" si="84"/>
        <v>0</v>
      </c>
      <c r="T221" s="10">
        <f t="shared" si="84"/>
        <v>0</v>
      </c>
      <c r="U221" s="10">
        <f t="shared" si="84"/>
        <v>1250000</v>
      </c>
      <c r="V221" s="10">
        <f t="shared" si="84"/>
        <v>1250000</v>
      </c>
    </row>
    <row r="222" spans="1:22" x14ac:dyDescent="0.3">
      <c r="A222" s="30" t="s">
        <v>41</v>
      </c>
      <c r="B222" s="10"/>
      <c r="C222" s="10"/>
      <c r="D222" s="10"/>
      <c r="E222" s="10"/>
      <c r="F222" s="10"/>
      <c r="G222" s="10"/>
      <c r="H222" s="10"/>
      <c r="I222" s="10"/>
      <c r="J222" s="10"/>
      <c r="K222" s="10"/>
      <c r="L222" s="10"/>
      <c r="M222" s="10"/>
      <c r="N222" s="10"/>
      <c r="O222" s="10"/>
      <c r="P222" s="10"/>
      <c r="Q222" s="10"/>
      <c r="R222" s="10">
        <f t="shared" si="84"/>
        <v>0</v>
      </c>
      <c r="S222" s="10">
        <f t="shared" si="84"/>
        <v>0</v>
      </c>
      <c r="T222" s="10">
        <f t="shared" si="84"/>
        <v>0</v>
      </c>
      <c r="U222" s="10">
        <f t="shared" si="84"/>
        <v>1000000</v>
      </c>
      <c r="V222" s="10">
        <f t="shared" si="84"/>
        <v>1000000</v>
      </c>
    </row>
    <row r="223" spans="1:22" x14ac:dyDescent="0.3">
      <c r="A223" s="30" t="s">
        <v>42</v>
      </c>
      <c r="B223" s="10"/>
      <c r="C223" s="10"/>
      <c r="D223" s="10"/>
      <c r="E223" s="10"/>
      <c r="F223" s="10"/>
      <c r="G223" s="10"/>
      <c r="H223" s="10"/>
      <c r="I223" s="10"/>
      <c r="J223" s="10"/>
      <c r="K223" s="10"/>
      <c r="L223" s="10"/>
      <c r="M223" s="10"/>
      <c r="N223" s="10"/>
      <c r="O223" s="10"/>
      <c r="P223" s="10"/>
      <c r="Q223" s="10"/>
      <c r="R223" s="10">
        <f t="shared" si="84"/>
        <v>0</v>
      </c>
      <c r="S223" s="10">
        <f t="shared" si="84"/>
        <v>0</v>
      </c>
      <c r="T223" s="10">
        <f t="shared" si="84"/>
        <v>0</v>
      </c>
      <c r="U223" s="10">
        <f t="shared" si="84"/>
        <v>62500</v>
      </c>
      <c r="V223" s="10">
        <f t="shared" si="84"/>
        <v>62500</v>
      </c>
    </row>
    <row r="224" spans="1:22" x14ac:dyDescent="0.3">
      <c r="A224" s="5" t="s">
        <v>241</v>
      </c>
      <c r="B224" s="6">
        <f t="shared" ref="B224:V224" si="85">SUM(B215:B223)</f>
        <v>0</v>
      </c>
      <c r="C224" s="6">
        <f t="shared" si="85"/>
        <v>0</v>
      </c>
      <c r="D224" s="6">
        <f t="shared" si="85"/>
        <v>0</v>
      </c>
      <c r="E224" s="6">
        <f t="shared" si="85"/>
        <v>0</v>
      </c>
      <c r="F224" s="6">
        <f t="shared" si="85"/>
        <v>0</v>
      </c>
      <c r="G224" s="6">
        <f t="shared" si="85"/>
        <v>0</v>
      </c>
      <c r="H224" s="6">
        <f t="shared" si="85"/>
        <v>0</v>
      </c>
      <c r="I224" s="6">
        <f t="shared" si="85"/>
        <v>0</v>
      </c>
      <c r="J224" s="6">
        <f t="shared" si="85"/>
        <v>0</v>
      </c>
      <c r="K224" s="6">
        <f t="shared" si="85"/>
        <v>0</v>
      </c>
      <c r="L224" s="6">
        <f t="shared" si="85"/>
        <v>0</v>
      </c>
      <c r="M224" s="6">
        <f t="shared" si="85"/>
        <v>0</v>
      </c>
      <c r="N224" s="6">
        <f t="shared" si="85"/>
        <v>0</v>
      </c>
      <c r="O224" s="6">
        <f t="shared" si="85"/>
        <v>0</v>
      </c>
      <c r="P224" s="6">
        <f t="shared" si="85"/>
        <v>0</v>
      </c>
      <c r="Q224" s="6">
        <f t="shared" si="85"/>
        <v>0</v>
      </c>
      <c r="R224" s="6">
        <f t="shared" si="85"/>
        <v>284601.00281465106</v>
      </c>
      <c r="S224" s="6">
        <f t="shared" si="85"/>
        <v>456053.93257057777</v>
      </c>
      <c r="T224" s="6">
        <f t="shared" si="85"/>
        <v>453773.66290772491</v>
      </c>
      <c r="U224" s="6">
        <f t="shared" si="85"/>
        <v>2764004.7945931861</v>
      </c>
      <c r="V224" s="6">
        <f t="shared" si="85"/>
        <v>2761747.2706202203</v>
      </c>
    </row>
    <row r="227" spans="1:22" ht="15.6" x14ac:dyDescent="0.3">
      <c r="A227" s="43">
        <v>2039</v>
      </c>
      <c r="B227" s="2">
        <v>2022</v>
      </c>
      <c r="C227" s="2">
        <v>2023</v>
      </c>
      <c r="D227" s="2">
        <v>2024</v>
      </c>
      <c r="E227" s="2">
        <v>2025</v>
      </c>
      <c r="F227" s="2">
        <v>2026</v>
      </c>
      <c r="G227" s="2">
        <v>2027</v>
      </c>
      <c r="H227" s="2">
        <v>2028</v>
      </c>
      <c r="I227" s="2">
        <v>2029</v>
      </c>
      <c r="J227" s="2">
        <v>2030</v>
      </c>
      <c r="K227" s="2">
        <v>2031</v>
      </c>
      <c r="L227" s="2">
        <v>2032</v>
      </c>
      <c r="M227" s="2">
        <v>2033</v>
      </c>
      <c r="N227" s="2">
        <v>2034</v>
      </c>
      <c r="O227" s="2">
        <v>2035</v>
      </c>
      <c r="P227" s="2">
        <v>2036</v>
      </c>
      <c r="Q227" s="2">
        <v>2037</v>
      </c>
      <c r="R227" s="2">
        <v>2038</v>
      </c>
      <c r="S227" s="2">
        <v>2039</v>
      </c>
      <c r="T227" s="2">
        <v>2040</v>
      </c>
      <c r="U227" s="2">
        <v>2041</v>
      </c>
      <c r="V227" s="2">
        <v>2042</v>
      </c>
    </row>
    <row r="228" spans="1:22" x14ac:dyDescent="0.3">
      <c r="A228" s="29" t="s">
        <v>6</v>
      </c>
      <c r="B228" s="10"/>
      <c r="C228" s="10"/>
      <c r="D228" s="10"/>
      <c r="E228" s="10"/>
      <c r="F228" s="10"/>
      <c r="G228" s="10"/>
      <c r="H228" s="10"/>
      <c r="I228" s="10"/>
      <c r="J228" s="10"/>
      <c r="K228" s="10"/>
      <c r="L228" s="10"/>
      <c r="M228" s="10"/>
      <c r="N228" s="10"/>
      <c r="O228" s="10"/>
      <c r="P228" s="10"/>
      <c r="Q228" s="10"/>
      <c r="R228" s="10"/>
      <c r="S228" s="10">
        <f t="shared" ref="S228:V236" si="86">R215</f>
        <v>81059.366708640009</v>
      </c>
      <c r="T228" s="10">
        <f t="shared" si="86"/>
        <v>80654.0698750968</v>
      </c>
      <c r="U228" s="10">
        <f t="shared" si="86"/>
        <v>80250.799525721319</v>
      </c>
      <c r="V228" s="10">
        <f t="shared" si="86"/>
        <v>79849.545528092713</v>
      </c>
    </row>
    <row r="229" spans="1:22" x14ac:dyDescent="0.3">
      <c r="A229" s="29" t="s">
        <v>12</v>
      </c>
      <c r="B229" s="10"/>
      <c r="C229" s="10"/>
      <c r="D229" s="10"/>
      <c r="E229" s="10"/>
      <c r="F229" s="10"/>
      <c r="G229" s="10"/>
      <c r="H229" s="10"/>
      <c r="I229" s="10"/>
      <c r="J229" s="10"/>
      <c r="K229" s="10"/>
      <c r="L229" s="10"/>
      <c r="M229" s="10"/>
      <c r="N229" s="10"/>
      <c r="O229" s="10"/>
      <c r="P229" s="10"/>
      <c r="Q229" s="10"/>
      <c r="R229" s="10"/>
      <c r="S229" s="10">
        <f t="shared" si="86"/>
        <v>86301.29985067404</v>
      </c>
      <c r="T229" s="10">
        <f t="shared" si="86"/>
        <v>85869.793351420667</v>
      </c>
      <c r="U229" s="10">
        <f t="shared" si="86"/>
        <v>85440.44438466357</v>
      </c>
      <c r="V229" s="10">
        <f t="shared" si="86"/>
        <v>85013.242162740251</v>
      </c>
    </row>
    <row r="230" spans="1:22" x14ac:dyDescent="0.3">
      <c r="A230" s="29" t="s">
        <v>21</v>
      </c>
      <c r="B230" s="10"/>
      <c r="C230" s="10"/>
      <c r="D230" s="10"/>
      <c r="E230" s="10"/>
      <c r="F230" s="10"/>
      <c r="G230" s="10"/>
      <c r="H230" s="10"/>
      <c r="I230" s="10"/>
      <c r="J230" s="10"/>
      <c r="K230" s="10"/>
      <c r="L230" s="10"/>
      <c r="M230" s="10"/>
      <c r="N230" s="10"/>
      <c r="O230" s="10"/>
      <c r="P230" s="10"/>
      <c r="Q230" s="10"/>
      <c r="R230" s="10"/>
      <c r="S230" s="10">
        <f t="shared" si="86"/>
        <v>0</v>
      </c>
      <c r="T230" s="10">
        <f t="shared" si="86"/>
        <v>148179.37265999999</v>
      </c>
      <c r="U230" s="10">
        <f t="shared" si="86"/>
        <v>147438.47579669999</v>
      </c>
      <c r="V230" s="10">
        <f t="shared" si="86"/>
        <v>146701.28341771651</v>
      </c>
    </row>
    <row r="231" spans="1:22" x14ac:dyDescent="0.3">
      <c r="A231" s="29" t="s">
        <v>25</v>
      </c>
      <c r="B231" s="10"/>
      <c r="C231" s="10"/>
      <c r="D231" s="10"/>
      <c r="E231" s="10"/>
      <c r="F231" s="10"/>
      <c r="G231" s="10"/>
      <c r="H231" s="10"/>
      <c r="I231" s="10"/>
      <c r="J231" s="10"/>
      <c r="K231" s="10"/>
      <c r="L231" s="10"/>
      <c r="M231" s="10"/>
      <c r="N231" s="10"/>
      <c r="O231" s="10"/>
      <c r="P231" s="10"/>
      <c r="Q231" s="10"/>
      <c r="R231" s="10"/>
      <c r="S231" s="10">
        <f t="shared" si="86"/>
        <v>74089.686329999997</v>
      </c>
      <c r="T231" s="10">
        <f t="shared" si="86"/>
        <v>73719.237898349995</v>
      </c>
      <c r="U231" s="10">
        <f t="shared" si="86"/>
        <v>73350.641708858253</v>
      </c>
      <c r="V231" s="10">
        <f t="shared" si="86"/>
        <v>72983.888500313973</v>
      </c>
    </row>
    <row r="232" spans="1:22" x14ac:dyDescent="0.3">
      <c r="A232" s="29" t="s">
        <v>29</v>
      </c>
      <c r="B232" s="10"/>
      <c r="C232" s="10"/>
      <c r="D232" s="10"/>
      <c r="E232" s="10"/>
      <c r="F232" s="10"/>
      <c r="G232" s="10"/>
      <c r="H232" s="10"/>
      <c r="I232" s="10"/>
      <c r="J232" s="10"/>
      <c r="K232" s="10"/>
      <c r="L232" s="10"/>
      <c r="M232" s="10"/>
      <c r="N232" s="10"/>
      <c r="O232" s="10"/>
      <c r="P232" s="10"/>
      <c r="Q232" s="10"/>
      <c r="R232" s="10"/>
      <c r="S232" s="10">
        <f t="shared" si="86"/>
        <v>0</v>
      </c>
      <c r="T232" s="10">
        <f t="shared" si="86"/>
        <v>24696.562110000003</v>
      </c>
      <c r="U232" s="10">
        <f t="shared" si="86"/>
        <v>24573.079299450001</v>
      </c>
      <c r="V232" s="10">
        <f t="shared" si="86"/>
        <v>24450.21390295275</v>
      </c>
    </row>
    <row r="233" spans="1:22" x14ac:dyDescent="0.3">
      <c r="A233" s="30" t="s">
        <v>33</v>
      </c>
      <c r="B233" s="10"/>
      <c r="C233" s="10"/>
      <c r="D233" s="10"/>
      <c r="E233" s="10"/>
      <c r="F233" s="10"/>
      <c r="G233" s="10"/>
      <c r="H233" s="10"/>
      <c r="I233" s="10"/>
      <c r="J233" s="10"/>
      <c r="K233" s="10"/>
      <c r="L233" s="10"/>
      <c r="M233" s="10"/>
      <c r="N233" s="10"/>
      <c r="O233" s="10"/>
      <c r="P233" s="10"/>
      <c r="Q233" s="10"/>
      <c r="R233" s="10"/>
      <c r="S233" s="10">
        <f t="shared" si="86"/>
        <v>43150.64992533702</v>
      </c>
      <c r="T233" s="10">
        <f t="shared" si="86"/>
        <v>42934.896675710334</v>
      </c>
      <c r="U233" s="10">
        <f t="shared" si="86"/>
        <v>42720.222192331785</v>
      </c>
      <c r="V233" s="10">
        <f t="shared" si="86"/>
        <v>42506.621081370125</v>
      </c>
    </row>
    <row r="234" spans="1:22" x14ac:dyDescent="0.3">
      <c r="A234" s="30" t="s">
        <v>40</v>
      </c>
      <c r="B234" s="10"/>
      <c r="C234" s="10"/>
      <c r="D234" s="10"/>
      <c r="E234" s="10"/>
      <c r="F234" s="10"/>
      <c r="G234" s="10"/>
      <c r="H234" s="10"/>
      <c r="I234" s="10"/>
      <c r="J234" s="10"/>
      <c r="K234" s="10"/>
      <c r="L234" s="10"/>
      <c r="M234" s="10"/>
      <c r="N234" s="10"/>
      <c r="O234" s="10"/>
      <c r="P234" s="10"/>
      <c r="Q234" s="10"/>
      <c r="R234" s="10"/>
      <c r="S234" s="10">
        <f t="shared" si="86"/>
        <v>0</v>
      </c>
      <c r="T234" s="10">
        <f t="shared" si="86"/>
        <v>0</v>
      </c>
      <c r="U234" s="10">
        <f t="shared" si="86"/>
        <v>0</v>
      </c>
      <c r="V234" s="10">
        <f t="shared" si="86"/>
        <v>1250000</v>
      </c>
    </row>
    <row r="235" spans="1:22" x14ac:dyDescent="0.3">
      <c r="A235" s="30" t="s">
        <v>41</v>
      </c>
      <c r="B235" s="10"/>
      <c r="C235" s="10"/>
      <c r="D235" s="10"/>
      <c r="E235" s="10"/>
      <c r="F235" s="10"/>
      <c r="G235" s="10"/>
      <c r="H235" s="10"/>
      <c r="I235" s="10"/>
      <c r="J235" s="10"/>
      <c r="K235" s="10"/>
      <c r="L235" s="10"/>
      <c r="M235" s="10"/>
      <c r="N235" s="10"/>
      <c r="O235" s="10"/>
      <c r="P235" s="10"/>
      <c r="Q235" s="10"/>
      <c r="R235" s="10"/>
      <c r="S235" s="10">
        <f t="shared" si="86"/>
        <v>0</v>
      </c>
      <c r="T235" s="10">
        <f t="shared" si="86"/>
        <v>0</v>
      </c>
      <c r="U235" s="10">
        <f t="shared" si="86"/>
        <v>0</v>
      </c>
      <c r="V235" s="10">
        <f t="shared" si="86"/>
        <v>1000000</v>
      </c>
    </row>
    <row r="236" spans="1:22" x14ac:dyDescent="0.3">
      <c r="A236" s="30" t="s">
        <v>42</v>
      </c>
      <c r="B236" s="10"/>
      <c r="C236" s="10"/>
      <c r="D236" s="10"/>
      <c r="E236" s="10"/>
      <c r="F236" s="10"/>
      <c r="G236" s="10"/>
      <c r="H236" s="10"/>
      <c r="I236" s="10"/>
      <c r="J236" s="10"/>
      <c r="K236" s="10"/>
      <c r="L236" s="10"/>
      <c r="M236" s="10"/>
      <c r="N236" s="10"/>
      <c r="O236" s="10"/>
      <c r="P236" s="10"/>
      <c r="Q236" s="10"/>
      <c r="R236" s="10"/>
      <c r="S236" s="10">
        <f t="shared" si="86"/>
        <v>0</v>
      </c>
      <c r="T236" s="10">
        <f t="shared" si="86"/>
        <v>0</v>
      </c>
      <c r="U236" s="10">
        <f t="shared" si="86"/>
        <v>0</v>
      </c>
      <c r="V236" s="10">
        <f t="shared" si="86"/>
        <v>62500</v>
      </c>
    </row>
    <row r="237" spans="1:22" x14ac:dyDescent="0.3">
      <c r="A237" s="5" t="s">
        <v>241</v>
      </c>
      <c r="B237" s="6">
        <f t="shared" ref="B237:V237" si="87">SUM(B228:B236)</f>
        <v>0</v>
      </c>
      <c r="C237" s="6">
        <f t="shared" si="87"/>
        <v>0</v>
      </c>
      <c r="D237" s="6">
        <f t="shared" si="87"/>
        <v>0</v>
      </c>
      <c r="E237" s="6">
        <f t="shared" si="87"/>
        <v>0</v>
      </c>
      <c r="F237" s="6">
        <f t="shared" si="87"/>
        <v>0</v>
      </c>
      <c r="G237" s="6">
        <f t="shared" si="87"/>
        <v>0</v>
      </c>
      <c r="H237" s="6">
        <f t="shared" si="87"/>
        <v>0</v>
      </c>
      <c r="I237" s="6">
        <f t="shared" si="87"/>
        <v>0</v>
      </c>
      <c r="J237" s="6">
        <f t="shared" si="87"/>
        <v>0</v>
      </c>
      <c r="K237" s="6">
        <f t="shared" si="87"/>
        <v>0</v>
      </c>
      <c r="L237" s="6">
        <f t="shared" si="87"/>
        <v>0</v>
      </c>
      <c r="M237" s="6">
        <f t="shared" si="87"/>
        <v>0</v>
      </c>
      <c r="N237" s="6">
        <f t="shared" si="87"/>
        <v>0</v>
      </c>
      <c r="O237" s="6">
        <f t="shared" si="87"/>
        <v>0</v>
      </c>
      <c r="P237" s="6">
        <f t="shared" si="87"/>
        <v>0</v>
      </c>
      <c r="Q237" s="6">
        <f t="shared" si="87"/>
        <v>0</v>
      </c>
      <c r="R237" s="6">
        <f t="shared" si="87"/>
        <v>0</v>
      </c>
      <c r="S237" s="6">
        <f t="shared" si="87"/>
        <v>284601.00281465106</v>
      </c>
      <c r="T237" s="6">
        <f t="shared" si="87"/>
        <v>456053.93257057777</v>
      </c>
      <c r="U237" s="6">
        <f t="shared" si="87"/>
        <v>453773.66290772491</v>
      </c>
      <c r="V237" s="6">
        <f t="shared" si="87"/>
        <v>2764004.7945931861</v>
      </c>
    </row>
    <row r="240" spans="1:22" ht="15.6" x14ac:dyDescent="0.3">
      <c r="A240" s="43">
        <v>2040</v>
      </c>
      <c r="B240" s="2">
        <v>2022</v>
      </c>
      <c r="C240" s="2">
        <v>2023</v>
      </c>
      <c r="D240" s="2">
        <v>2024</v>
      </c>
      <c r="E240" s="2">
        <v>2025</v>
      </c>
      <c r="F240" s="2">
        <v>2026</v>
      </c>
      <c r="G240" s="2">
        <v>2027</v>
      </c>
      <c r="H240" s="2">
        <v>2028</v>
      </c>
      <c r="I240" s="2">
        <v>2029</v>
      </c>
      <c r="J240" s="2">
        <v>2030</v>
      </c>
      <c r="K240" s="2">
        <v>2031</v>
      </c>
      <c r="L240" s="2">
        <v>2032</v>
      </c>
      <c r="M240" s="2">
        <v>2033</v>
      </c>
      <c r="N240" s="2">
        <v>2034</v>
      </c>
      <c r="O240" s="2">
        <v>2035</v>
      </c>
      <c r="P240" s="2">
        <v>2036</v>
      </c>
      <c r="Q240" s="2">
        <v>2037</v>
      </c>
      <c r="R240" s="2">
        <v>2038</v>
      </c>
      <c r="S240" s="2">
        <v>2039</v>
      </c>
      <c r="T240" s="2">
        <v>2040</v>
      </c>
      <c r="U240" s="2">
        <v>2041</v>
      </c>
      <c r="V240" s="2">
        <v>2042</v>
      </c>
    </row>
    <row r="241" spans="1:22" x14ac:dyDescent="0.3">
      <c r="A241" s="29" t="s">
        <v>6</v>
      </c>
      <c r="B241" s="10"/>
      <c r="C241" s="10"/>
      <c r="D241" s="10"/>
      <c r="E241" s="10"/>
      <c r="F241" s="10"/>
      <c r="G241" s="10"/>
      <c r="H241" s="10"/>
      <c r="I241" s="10"/>
      <c r="J241" s="10"/>
      <c r="K241" s="10"/>
      <c r="L241" s="10"/>
      <c r="M241" s="10"/>
      <c r="N241" s="10"/>
      <c r="O241" s="10"/>
      <c r="P241" s="10"/>
      <c r="Q241" s="10"/>
      <c r="R241" s="10"/>
      <c r="S241" s="10"/>
      <c r="T241" s="10">
        <f t="shared" ref="T241:V249" si="88">S228</f>
        <v>81059.366708640009</v>
      </c>
      <c r="U241" s="10">
        <f t="shared" si="88"/>
        <v>80654.0698750968</v>
      </c>
      <c r="V241" s="10">
        <f t="shared" si="88"/>
        <v>80250.799525721319</v>
      </c>
    </row>
    <row r="242" spans="1:22" x14ac:dyDescent="0.3">
      <c r="A242" s="29" t="s">
        <v>12</v>
      </c>
      <c r="B242" s="10"/>
      <c r="C242" s="10"/>
      <c r="D242" s="10"/>
      <c r="E242" s="10"/>
      <c r="F242" s="10"/>
      <c r="G242" s="10"/>
      <c r="H242" s="10"/>
      <c r="I242" s="10"/>
      <c r="J242" s="10"/>
      <c r="K242" s="10"/>
      <c r="L242" s="10"/>
      <c r="M242" s="10"/>
      <c r="N242" s="10"/>
      <c r="O242" s="10"/>
      <c r="P242" s="10"/>
      <c r="Q242" s="10"/>
      <c r="R242" s="10"/>
      <c r="S242" s="10"/>
      <c r="T242" s="10">
        <f t="shared" si="88"/>
        <v>86301.29985067404</v>
      </c>
      <c r="U242" s="10">
        <f t="shared" si="88"/>
        <v>85869.793351420667</v>
      </c>
      <c r="V242" s="10">
        <f t="shared" si="88"/>
        <v>85440.44438466357</v>
      </c>
    </row>
    <row r="243" spans="1:22" x14ac:dyDescent="0.3">
      <c r="A243" s="29" t="s">
        <v>21</v>
      </c>
      <c r="B243" s="10"/>
      <c r="C243" s="10"/>
      <c r="D243" s="10"/>
      <c r="E243" s="10"/>
      <c r="F243" s="10"/>
      <c r="G243" s="10"/>
      <c r="H243" s="10"/>
      <c r="I243" s="10"/>
      <c r="J243" s="10"/>
      <c r="K243" s="10"/>
      <c r="L243" s="10"/>
      <c r="M243" s="10"/>
      <c r="N243" s="10"/>
      <c r="O243" s="10"/>
      <c r="P243" s="10"/>
      <c r="Q243" s="10"/>
      <c r="R243" s="10"/>
      <c r="S243" s="10"/>
      <c r="T243" s="10">
        <f t="shared" si="88"/>
        <v>0</v>
      </c>
      <c r="U243" s="10">
        <f t="shared" si="88"/>
        <v>148179.37265999999</v>
      </c>
      <c r="V243" s="10">
        <f t="shared" si="88"/>
        <v>147438.47579669999</v>
      </c>
    </row>
    <row r="244" spans="1:22" x14ac:dyDescent="0.3">
      <c r="A244" s="29" t="s">
        <v>25</v>
      </c>
      <c r="B244" s="10"/>
      <c r="C244" s="10"/>
      <c r="D244" s="10"/>
      <c r="E244" s="10"/>
      <c r="F244" s="10"/>
      <c r="G244" s="10"/>
      <c r="H244" s="10"/>
      <c r="I244" s="10"/>
      <c r="J244" s="10"/>
      <c r="K244" s="10"/>
      <c r="L244" s="10"/>
      <c r="M244" s="10"/>
      <c r="N244" s="10"/>
      <c r="O244" s="10"/>
      <c r="P244" s="10"/>
      <c r="Q244" s="10"/>
      <c r="R244" s="10"/>
      <c r="S244" s="10"/>
      <c r="T244" s="10">
        <f t="shared" si="88"/>
        <v>74089.686329999997</v>
      </c>
      <c r="U244" s="10">
        <f t="shared" si="88"/>
        <v>73719.237898349995</v>
      </c>
      <c r="V244" s="10">
        <f t="shared" si="88"/>
        <v>73350.641708858253</v>
      </c>
    </row>
    <row r="245" spans="1:22" x14ac:dyDescent="0.3">
      <c r="A245" s="29" t="s">
        <v>29</v>
      </c>
      <c r="B245" s="10"/>
      <c r="C245" s="10"/>
      <c r="D245" s="10"/>
      <c r="E245" s="10"/>
      <c r="F245" s="10"/>
      <c r="G245" s="10"/>
      <c r="H245" s="10"/>
      <c r="I245" s="10"/>
      <c r="J245" s="10"/>
      <c r="K245" s="10"/>
      <c r="L245" s="10"/>
      <c r="M245" s="10"/>
      <c r="N245" s="10"/>
      <c r="O245" s="10"/>
      <c r="P245" s="10"/>
      <c r="Q245" s="10"/>
      <c r="R245" s="10"/>
      <c r="S245" s="10"/>
      <c r="T245" s="10">
        <f t="shared" si="88"/>
        <v>0</v>
      </c>
      <c r="U245" s="10">
        <f t="shared" si="88"/>
        <v>24696.562110000003</v>
      </c>
      <c r="V245" s="10">
        <f t="shared" si="88"/>
        <v>24573.079299450001</v>
      </c>
    </row>
    <row r="246" spans="1:22" x14ac:dyDescent="0.3">
      <c r="A246" s="30" t="s">
        <v>33</v>
      </c>
      <c r="B246" s="10"/>
      <c r="C246" s="10"/>
      <c r="D246" s="10"/>
      <c r="E246" s="10"/>
      <c r="F246" s="10"/>
      <c r="G246" s="10"/>
      <c r="H246" s="10"/>
      <c r="I246" s="10"/>
      <c r="J246" s="10"/>
      <c r="K246" s="10"/>
      <c r="L246" s="10"/>
      <c r="M246" s="10"/>
      <c r="N246" s="10"/>
      <c r="O246" s="10"/>
      <c r="P246" s="10"/>
      <c r="Q246" s="10"/>
      <c r="R246" s="10"/>
      <c r="S246" s="10"/>
      <c r="T246" s="10">
        <f t="shared" si="88"/>
        <v>43150.64992533702</v>
      </c>
      <c r="U246" s="10">
        <f t="shared" si="88"/>
        <v>42934.896675710334</v>
      </c>
      <c r="V246" s="10">
        <f t="shared" si="88"/>
        <v>42720.222192331785</v>
      </c>
    </row>
    <row r="247" spans="1:22" x14ac:dyDescent="0.3">
      <c r="A247" s="30" t="s">
        <v>40</v>
      </c>
      <c r="B247" s="10"/>
      <c r="C247" s="10"/>
      <c r="D247" s="10"/>
      <c r="E247" s="10"/>
      <c r="F247" s="10"/>
      <c r="G247" s="10"/>
      <c r="H247" s="10"/>
      <c r="I247" s="10"/>
      <c r="J247" s="10"/>
      <c r="K247" s="10"/>
      <c r="L247" s="10"/>
      <c r="M247" s="10"/>
      <c r="N247" s="10"/>
      <c r="O247" s="10"/>
      <c r="P247" s="10"/>
      <c r="Q247" s="10"/>
      <c r="R247" s="10"/>
      <c r="S247" s="10"/>
      <c r="T247" s="10">
        <f t="shared" si="88"/>
        <v>0</v>
      </c>
      <c r="U247" s="10">
        <f t="shared" si="88"/>
        <v>0</v>
      </c>
      <c r="V247" s="10">
        <f t="shared" si="88"/>
        <v>0</v>
      </c>
    </row>
    <row r="248" spans="1:22" x14ac:dyDescent="0.3">
      <c r="A248" s="30" t="s">
        <v>41</v>
      </c>
      <c r="B248" s="10"/>
      <c r="C248" s="10"/>
      <c r="D248" s="10"/>
      <c r="E248" s="10"/>
      <c r="F248" s="10"/>
      <c r="G248" s="10"/>
      <c r="H248" s="10"/>
      <c r="I248" s="10"/>
      <c r="J248" s="10"/>
      <c r="K248" s="10"/>
      <c r="L248" s="10"/>
      <c r="M248" s="10"/>
      <c r="N248" s="10"/>
      <c r="O248" s="10"/>
      <c r="P248" s="10"/>
      <c r="Q248" s="10"/>
      <c r="R248" s="10"/>
      <c r="S248" s="10"/>
      <c r="T248" s="10">
        <f t="shared" si="88"/>
        <v>0</v>
      </c>
      <c r="U248" s="10">
        <f t="shared" si="88"/>
        <v>0</v>
      </c>
      <c r="V248" s="10">
        <f t="shared" si="88"/>
        <v>0</v>
      </c>
    </row>
    <row r="249" spans="1:22" x14ac:dyDescent="0.3">
      <c r="A249" s="30" t="s">
        <v>42</v>
      </c>
      <c r="B249" s="10"/>
      <c r="C249" s="10"/>
      <c r="D249" s="10"/>
      <c r="E249" s="10"/>
      <c r="F249" s="10"/>
      <c r="G249" s="10"/>
      <c r="H249" s="10"/>
      <c r="I249" s="10"/>
      <c r="J249" s="10"/>
      <c r="K249" s="10"/>
      <c r="L249" s="10"/>
      <c r="M249" s="10"/>
      <c r="N249" s="10"/>
      <c r="O249" s="10"/>
      <c r="P249" s="10"/>
      <c r="Q249" s="10"/>
      <c r="R249" s="10"/>
      <c r="S249" s="10"/>
      <c r="T249" s="10">
        <f t="shared" si="88"/>
        <v>0</v>
      </c>
      <c r="U249" s="10">
        <f t="shared" si="88"/>
        <v>0</v>
      </c>
      <c r="V249" s="10">
        <f t="shared" si="88"/>
        <v>0</v>
      </c>
    </row>
    <row r="250" spans="1:22" x14ac:dyDescent="0.3">
      <c r="A250" s="5" t="s">
        <v>241</v>
      </c>
      <c r="B250" s="6">
        <f t="shared" ref="B250:V250" si="89">SUM(B241:B249)</f>
        <v>0</v>
      </c>
      <c r="C250" s="6">
        <f t="shared" si="89"/>
        <v>0</v>
      </c>
      <c r="D250" s="6">
        <f t="shared" si="89"/>
        <v>0</v>
      </c>
      <c r="E250" s="6">
        <f t="shared" si="89"/>
        <v>0</v>
      </c>
      <c r="F250" s="6">
        <f t="shared" si="89"/>
        <v>0</v>
      </c>
      <c r="G250" s="6">
        <f t="shared" si="89"/>
        <v>0</v>
      </c>
      <c r="H250" s="6">
        <f t="shared" si="89"/>
        <v>0</v>
      </c>
      <c r="I250" s="6">
        <f t="shared" si="89"/>
        <v>0</v>
      </c>
      <c r="J250" s="6">
        <f t="shared" si="89"/>
        <v>0</v>
      </c>
      <c r="K250" s="6">
        <f t="shared" si="89"/>
        <v>0</v>
      </c>
      <c r="L250" s="6">
        <f t="shared" si="89"/>
        <v>0</v>
      </c>
      <c r="M250" s="6">
        <f t="shared" si="89"/>
        <v>0</v>
      </c>
      <c r="N250" s="6">
        <f t="shared" si="89"/>
        <v>0</v>
      </c>
      <c r="O250" s="6">
        <f t="shared" si="89"/>
        <v>0</v>
      </c>
      <c r="P250" s="6">
        <f t="shared" si="89"/>
        <v>0</v>
      </c>
      <c r="Q250" s="6">
        <f t="shared" si="89"/>
        <v>0</v>
      </c>
      <c r="R250" s="6">
        <f t="shared" si="89"/>
        <v>0</v>
      </c>
      <c r="S250" s="6">
        <f t="shared" si="89"/>
        <v>0</v>
      </c>
      <c r="T250" s="6">
        <f t="shared" si="89"/>
        <v>284601.00281465106</v>
      </c>
      <c r="U250" s="6">
        <f t="shared" si="89"/>
        <v>456053.93257057777</v>
      </c>
      <c r="V250" s="6">
        <f t="shared" si="89"/>
        <v>453773.66290772491</v>
      </c>
    </row>
    <row r="254" spans="1:22" ht="15.6" x14ac:dyDescent="0.3">
      <c r="A254" s="35" t="s">
        <v>242</v>
      </c>
      <c r="B254" s="2">
        <v>2022</v>
      </c>
      <c r="C254" s="2">
        <f t="shared" ref="C254:V254" si="90">B254+1</f>
        <v>2023</v>
      </c>
      <c r="D254" s="2">
        <f t="shared" si="90"/>
        <v>2024</v>
      </c>
      <c r="E254" s="2">
        <f t="shared" si="90"/>
        <v>2025</v>
      </c>
      <c r="F254" s="2">
        <f t="shared" si="90"/>
        <v>2026</v>
      </c>
      <c r="G254" s="2">
        <f t="shared" si="90"/>
        <v>2027</v>
      </c>
      <c r="H254" s="2">
        <f t="shared" si="90"/>
        <v>2028</v>
      </c>
      <c r="I254" s="2">
        <f t="shared" si="90"/>
        <v>2029</v>
      </c>
      <c r="J254" s="2">
        <f t="shared" si="90"/>
        <v>2030</v>
      </c>
      <c r="K254" s="2">
        <f t="shared" si="90"/>
        <v>2031</v>
      </c>
      <c r="L254" s="2">
        <f t="shared" si="90"/>
        <v>2032</v>
      </c>
      <c r="M254" s="2">
        <f t="shared" si="90"/>
        <v>2033</v>
      </c>
      <c r="N254" s="2">
        <f t="shared" si="90"/>
        <v>2034</v>
      </c>
      <c r="O254" s="2">
        <f t="shared" si="90"/>
        <v>2035</v>
      </c>
      <c r="P254" s="2">
        <f t="shared" si="90"/>
        <v>2036</v>
      </c>
      <c r="Q254" s="2">
        <f t="shared" si="90"/>
        <v>2037</v>
      </c>
      <c r="R254" s="2">
        <f t="shared" si="90"/>
        <v>2038</v>
      </c>
      <c r="S254" s="2">
        <f t="shared" si="90"/>
        <v>2039</v>
      </c>
      <c r="T254" s="2">
        <f t="shared" si="90"/>
        <v>2040</v>
      </c>
      <c r="U254" s="2">
        <f t="shared" si="90"/>
        <v>2041</v>
      </c>
      <c r="V254" s="2">
        <f t="shared" si="90"/>
        <v>2042</v>
      </c>
    </row>
    <row r="255" spans="1:22" x14ac:dyDescent="0.3">
      <c r="A255" s="29" t="s">
        <v>6</v>
      </c>
      <c r="B255" s="21">
        <f t="shared" ref="B255:V255" si="91">B4+B18+B32+B44+B56+B68+B80+B92+B104+B117+B130+B142+B154+B166+B178+B190+B202+B215+B228+B241</f>
        <v>324384.68665872002</v>
      </c>
      <c r="C255" s="21">
        <f t="shared" si="91"/>
        <v>484881.49664270645</v>
      </c>
      <c r="D255" s="21">
        <f t="shared" si="91"/>
        <v>644575.82257677289</v>
      </c>
      <c r="E255" s="21">
        <f t="shared" si="91"/>
        <v>803471.67688116909</v>
      </c>
      <c r="F255" s="21">
        <f t="shared" si="91"/>
        <v>961573.05191404314</v>
      </c>
      <c r="G255" s="21">
        <f t="shared" si="91"/>
        <v>1118883.920071753</v>
      </c>
      <c r="H255" s="21">
        <f t="shared" si="91"/>
        <v>1275408.2338886741</v>
      </c>
      <c r="I255" s="21">
        <f t="shared" si="91"/>
        <v>1431149.9261365107</v>
      </c>
      <c r="J255" s="21">
        <f t="shared" si="91"/>
        <v>1586112.9099231083</v>
      </c>
      <c r="K255" s="21">
        <f t="shared" si="91"/>
        <v>1740301.0787907727</v>
      </c>
      <c r="L255" s="21">
        <f t="shared" si="91"/>
        <v>1893718.3068140987</v>
      </c>
      <c r="M255" s="21">
        <f t="shared" si="91"/>
        <v>1965309.0819886685</v>
      </c>
      <c r="N255" s="21">
        <f t="shared" si="91"/>
        <v>2036541.9032873649</v>
      </c>
      <c r="O255" s="21">
        <f t="shared" si="91"/>
        <v>2107418.5604795683</v>
      </c>
      <c r="P255" s="21">
        <f t="shared" si="91"/>
        <v>2177940.8343858104</v>
      </c>
      <c r="Q255" s="21">
        <f t="shared" si="91"/>
        <v>1947221.327618036</v>
      </c>
      <c r="R255" s="21">
        <f t="shared" si="91"/>
        <v>1868168.281306586</v>
      </c>
      <c r="S255" s="21">
        <f t="shared" si="91"/>
        <v>1789510.5002266932</v>
      </c>
      <c r="T255" s="21">
        <f t="shared" si="91"/>
        <v>1711246.0080521998</v>
      </c>
      <c r="U255" s="21">
        <f t="shared" si="91"/>
        <v>1552313.471629939</v>
      </c>
      <c r="V255" s="21">
        <f t="shared" si="91"/>
        <v>1394175.5978897894</v>
      </c>
    </row>
    <row r="256" spans="1:22" x14ac:dyDescent="0.3">
      <c r="A256" s="29" t="s">
        <v>12</v>
      </c>
      <c r="B256" s="21">
        <f t="shared" ref="B256:V256" si="92">B5+B19+B33+B45+B57+B69+B81+B93+B105+B118+B131+B143+B155+B167+B179+B191+B203+B216+B229+B242</f>
        <v>363420.19756986172</v>
      </c>
      <c r="C256" s="21">
        <f t="shared" si="92"/>
        <v>534205.69628336059</v>
      </c>
      <c r="D256" s="21">
        <f t="shared" si="92"/>
        <v>704137.26750329183</v>
      </c>
      <c r="E256" s="21">
        <f t="shared" si="92"/>
        <v>873219.18086712353</v>
      </c>
      <c r="F256" s="21">
        <f t="shared" si="92"/>
        <v>1041455.6846641359</v>
      </c>
      <c r="G256" s="21">
        <f t="shared" si="92"/>
        <v>1208851.0059421633</v>
      </c>
      <c r="H256" s="21">
        <f t="shared" si="92"/>
        <v>1375409.3506138006</v>
      </c>
      <c r="I256" s="21">
        <f t="shared" si="92"/>
        <v>1541134.9035620796</v>
      </c>
      <c r="J256" s="21">
        <f t="shared" si="92"/>
        <v>1706031.8287456173</v>
      </c>
      <c r="K256" s="21">
        <f t="shared" si="92"/>
        <v>1870104.2693032371</v>
      </c>
      <c r="L256" s="21">
        <f t="shared" si="92"/>
        <v>2033356.3476580689</v>
      </c>
      <c r="M256" s="21">
        <f t="shared" si="92"/>
        <v>2109490.8657704527</v>
      </c>
      <c r="N256" s="21">
        <f t="shared" si="92"/>
        <v>2185244.7112922748</v>
      </c>
      <c r="O256" s="21">
        <f t="shared" si="92"/>
        <v>2260619.7875864874</v>
      </c>
      <c r="P256" s="21">
        <f t="shared" si="92"/>
        <v>2335617.9884992284</v>
      </c>
      <c r="Q256" s="21">
        <f t="shared" si="92"/>
        <v>2073143.9004997772</v>
      </c>
      <c r="R256" s="21">
        <f t="shared" si="92"/>
        <v>1988978.6654276103</v>
      </c>
      <c r="S256" s="21">
        <f t="shared" si="92"/>
        <v>1905234.2565308043</v>
      </c>
      <c r="T256" s="21">
        <f t="shared" si="92"/>
        <v>1821908.5696784819</v>
      </c>
      <c r="U256" s="21">
        <f t="shared" si="92"/>
        <v>1652698.2114097476</v>
      </c>
      <c r="V256" s="21">
        <f t="shared" si="92"/>
        <v>1484333.9049323569</v>
      </c>
    </row>
    <row r="257" spans="1:22" x14ac:dyDescent="0.3">
      <c r="A257" s="29" t="s">
        <v>21</v>
      </c>
      <c r="B257" s="21">
        <f t="shared" ref="B257:V257" si="93">B6+B20+B34+B46+B58+B70+B82+B94+B106+B119+B132+B144+B156+B168+B180+B192+B204+B217+B230+B243</f>
        <v>0</v>
      </c>
      <c r="C257" s="21">
        <f t="shared" si="93"/>
        <v>607231.81199999992</v>
      </c>
      <c r="D257" s="21">
        <f t="shared" si="93"/>
        <v>900554.39825999993</v>
      </c>
      <c r="E257" s="21">
        <f t="shared" si="93"/>
        <v>1192410.3715887</v>
      </c>
      <c r="F257" s="21">
        <f t="shared" si="93"/>
        <v>1482807.0650507563</v>
      </c>
      <c r="G257" s="21">
        <f t="shared" si="93"/>
        <v>1771751.7750455027</v>
      </c>
      <c r="H257" s="21">
        <f t="shared" si="93"/>
        <v>2059251.7614902752</v>
      </c>
      <c r="I257" s="21">
        <f t="shared" si="93"/>
        <v>2345314.2480028239</v>
      </c>
      <c r="J257" s="21">
        <f t="shared" si="93"/>
        <v>2629946.4220828097</v>
      </c>
      <c r="K257" s="21">
        <f t="shared" si="93"/>
        <v>2913155.4352923958</v>
      </c>
      <c r="L257" s="21">
        <f t="shared" si="93"/>
        <v>3194948.4034359334</v>
      </c>
      <c r="M257" s="21">
        <f t="shared" si="93"/>
        <v>3475332.4067387534</v>
      </c>
      <c r="N257" s="21">
        <f t="shared" si="93"/>
        <v>3606135.1173650594</v>
      </c>
      <c r="O257" s="21">
        <f t="shared" si="93"/>
        <v>3736283.8144382345</v>
      </c>
      <c r="P257" s="21">
        <f t="shared" si="93"/>
        <v>3865781.7680260437</v>
      </c>
      <c r="Q257" s="21">
        <f t="shared" si="93"/>
        <v>3994632.2318459135</v>
      </c>
      <c r="R257" s="21">
        <f t="shared" si="93"/>
        <v>4122838.4433466839</v>
      </c>
      <c r="S257" s="21">
        <f t="shared" si="93"/>
        <v>4250403.6237899503</v>
      </c>
      <c r="T257" s="21">
        <f t="shared" si="93"/>
        <v>4377330.9783310005</v>
      </c>
      <c r="U257" s="21">
        <f t="shared" si="93"/>
        <v>4503623.6960993446</v>
      </c>
      <c r="V257" s="21">
        <f t="shared" si="93"/>
        <v>4481105.5776188485</v>
      </c>
    </row>
    <row r="258" spans="1:22" x14ac:dyDescent="0.3">
      <c r="A258" s="29" t="s">
        <v>25</v>
      </c>
      <c r="B258" s="21">
        <f t="shared" ref="B258:V258" si="94">B7+B21+B35+B47+B59+B71+B83+B95+B107+B120+B133+B145+B157+B169+B181+B193+B205+B218+B231+B244</f>
        <v>296210.64</v>
      </c>
      <c r="C258" s="21">
        <f t="shared" si="94"/>
        <v>442908.95945999998</v>
      </c>
      <c r="D258" s="21">
        <f t="shared" si="94"/>
        <v>588873.78732269991</v>
      </c>
      <c r="E258" s="21">
        <f t="shared" si="94"/>
        <v>734108.79104608647</v>
      </c>
      <c r="F258" s="21">
        <f t="shared" si="94"/>
        <v>878617.61975085607</v>
      </c>
      <c r="G258" s="21">
        <f t="shared" si="94"/>
        <v>1022403.9043121018</v>
      </c>
      <c r="H258" s="21">
        <f t="shared" si="94"/>
        <v>1165471.2574505412</v>
      </c>
      <c r="I258" s="21">
        <f t="shared" si="94"/>
        <v>1307823.2738232887</v>
      </c>
      <c r="J258" s="21">
        <f t="shared" si="94"/>
        <v>1449463.530114172</v>
      </c>
      <c r="K258" s="21">
        <f t="shared" si="94"/>
        <v>1590395.5851236014</v>
      </c>
      <c r="L258" s="21">
        <f t="shared" si="94"/>
        <v>1730622.9798579831</v>
      </c>
      <c r="M258" s="21">
        <f t="shared" si="94"/>
        <v>1796059.5512886932</v>
      </c>
      <c r="N258" s="21">
        <f t="shared" si="94"/>
        <v>1861168.9398622497</v>
      </c>
      <c r="O258" s="21">
        <f t="shared" si="94"/>
        <v>1925952.7814929388</v>
      </c>
      <c r="P258" s="21">
        <f t="shared" si="94"/>
        <v>1990412.703915474</v>
      </c>
      <c r="Q258" s="21">
        <f t="shared" si="94"/>
        <v>2054550.3267258967</v>
      </c>
      <c r="R258" s="21">
        <f t="shared" si="94"/>
        <v>2118367.2614222672</v>
      </c>
      <c r="S258" s="21">
        <f t="shared" si="94"/>
        <v>2181865.1114451559</v>
      </c>
      <c r="T258" s="21">
        <f t="shared" si="94"/>
        <v>2245045.4722179295</v>
      </c>
      <c r="U258" s="21">
        <f t="shared" si="94"/>
        <v>2233820.24485684</v>
      </c>
      <c r="V258" s="21">
        <f t="shared" si="94"/>
        <v>1954695.894319705</v>
      </c>
    </row>
    <row r="259" spans="1:22" x14ac:dyDescent="0.3">
      <c r="A259" s="29" t="s">
        <v>29</v>
      </c>
      <c r="B259" s="21">
        <f t="shared" ref="B259:V259" si="95">B8+B22+B36+B48+B60+B72+B84+B96+B108+B121+B134+B146+B158+B170+B182+B194+B206+B219+B232+B245</f>
        <v>0</v>
      </c>
      <c r="C259" s="21">
        <f t="shared" si="95"/>
        <v>63685.287599999996</v>
      </c>
      <c r="D259" s="21">
        <f t="shared" si="95"/>
        <v>112759.985382</v>
      </c>
      <c r="E259" s="21">
        <f t="shared" si="95"/>
        <v>161589.30967509001</v>
      </c>
      <c r="F259" s="21">
        <f t="shared" si="95"/>
        <v>210174.48734671454</v>
      </c>
      <c r="G259" s="21">
        <f t="shared" si="95"/>
        <v>258516.73912998097</v>
      </c>
      <c r="H259" s="21">
        <f t="shared" si="95"/>
        <v>306617.27965433104</v>
      </c>
      <c r="I259" s="21">
        <f t="shared" si="95"/>
        <v>354477.31747605943</v>
      </c>
      <c r="J259" s="21">
        <f t="shared" si="95"/>
        <v>402098.05510867911</v>
      </c>
      <c r="K259" s="21">
        <f t="shared" si="95"/>
        <v>449480.68905313581</v>
      </c>
      <c r="L259" s="21">
        <f t="shared" si="95"/>
        <v>496626.40982787008</v>
      </c>
      <c r="M259" s="21">
        <f t="shared" si="95"/>
        <v>543536.40199873073</v>
      </c>
      <c r="N259" s="21">
        <f t="shared" si="95"/>
        <v>565515.28209873708</v>
      </c>
      <c r="O259" s="21">
        <f t="shared" si="95"/>
        <v>587384.26779824344</v>
      </c>
      <c r="P259" s="21">
        <f t="shared" si="95"/>
        <v>609143.90856925223</v>
      </c>
      <c r="Q259" s="21">
        <f t="shared" si="95"/>
        <v>630794.75113640598</v>
      </c>
      <c r="R259" s="21">
        <f t="shared" si="95"/>
        <v>593264.84294269339</v>
      </c>
      <c r="S259" s="21">
        <f t="shared" si="95"/>
        <v>569179.55153851898</v>
      </c>
      <c r="T259" s="21">
        <f t="shared" si="95"/>
        <v>545214.68659136526</v>
      </c>
      <c r="U259" s="21">
        <f t="shared" si="95"/>
        <v>521369.64596894744</v>
      </c>
      <c r="V259" s="21">
        <f t="shared" si="95"/>
        <v>472947.26843964169</v>
      </c>
    </row>
    <row r="260" spans="1:22" x14ac:dyDescent="0.3">
      <c r="A260" s="30" t="s">
        <v>33</v>
      </c>
      <c r="B260" s="21">
        <f t="shared" ref="B260:V260" si="96">B9+B23+B37+B49+B61+B73+B85+B97+B109+B122+B135+B147+B159+B171+B183+B195+B207+B220+B233+B246</f>
        <v>182432.62174992182</v>
      </c>
      <c r="C260" s="21">
        <f t="shared" si="96"/>
        <v>267821.75849184627</v>
      </c>
      <c r="D260" s="21">
        <f t="shared" si="96"/>
        <v>352783.94955006108</v>
      </c>
      <c r="E260" s="21">
        <f t="shared" si="96"/>
        <v>437321.3296529848</v>
      </c>
      <c r="F260" s="21">
        <f t="shared" si="96"/>
        <v>521436.022855394</v>
      </c>
      <c r="G260" s="21">
        <f t="shared" si="96"/>
        <v>605130.14259179099</v>
      </c>
      <c r="H260" s="21">
        <f t="shared" si="96"/>
        <v>688405.79172950599</v>
      </c>
      <c r="I260" s="21">
        <f t="shared" si="96"/>
        <v>771265.06262153259</v>
      </c>
      <c r="J260" s="21">
        <f t="shared" si="96"/>
        <v>853710.03715909889</v>
      </c>
      <c r="K260" s="21">
        <f t="shared" si="96"/>
        <v>935742.78682397748</v>
      </c>
      <c r="L260" s="21">
        <f t="shared" si="96"/>
        <v>1017365.3727405316</v>
      </c>
      <c r="M260" s="21">
        <f t="shared" si="96"/>
        <v>1055429.1958021659</v>
      </c>
      <c r="N260" s="21">
        <f t="shared" si="96"/>
        <v>1093302.6997484921</v>
      </c>
      <c r="O260" s="21">
        <f t="shared" si="96"/>
        <v>1130986.8361750867</v>
      </c>
      <c r="P260" s="21">
        <f t="shared" si="96"/>
        <v>1168482.5519195481</v>
      </c>
      <c r="Q260" s="21">
        <f t="shared" si="96"/>
        <v>1036571.9502498886</v>
      </c>
      <c r="R260" s="21">
        <f t="shared" si="96"/>
        <v>994489.33271380514</v>
      </c>
      <c r="S260" s="21">
        <f t="shared" si="96"/>
        <v>952617.12826540216</v>
      </c>
      <c r="T260" s="21">
        <f t="shared" si="96"/>
        <v>910954.28483924095</v>
      </c>
      <c r="U260" s="21">
        <f t="shared" si="96"/>
        <v>826349.1057048738</v>
      </c>
      <c r="V260" s="21">
        <f t="shared" si="96"/>
        <v>742166.95246617845</v>
      </c>
    </row>
    <row r="261" spans="1:22" x14ac:dyDescent="0.3">
      <c r="A261" s="30" t="s">
        <v>40</v>
      </c>
      <c r="B261" s="21">
        <f t="shared" ref="B261:V261" si="97">B10+B24+B38+B50+B62+B74+B86+B98+B110+B123+B136+B148+B160+B172+B184+B196+B208+B221+B234+B247</f>
        <v>0</v>
      </c>
      <c r="C261" s="21">
        <f t="shared" si="97"/>
        <v>0</v>
      </c>
      <c r="D261" s="21">
        <f t="shared" si="97"/>
        <v>0</v>
      </c>
      <c r="E261" s="21">
        <f t="shared" si="97"/>
        <v>460000</v>
      </c>
      <c r="F261" s="21">
        <f t="shared" si="97"/>
        <v>3960000</v>
      </c>
      <c r="G261" s="21">
        <f t="shared" si="97"/>
        <v>5710000</v>
      </c>
      <c r="H261" s="21">
        <f t="shared" si="97"/>
        <v>8210000</v>
      </c>
      <c r="I261" s="21">
        <f t="shared" si="97"/>
        <v>10710000</v>
      </c>
      <c r="J261" s="21">
        <f t="shared" si="97"/>
        <v>13210000</v>
      </c>
      <c r="K261" s="21">
        <f t="shared" si="97"/>
        <v>15710000</v>
      </c>
      <c r="L261" s="21">
        <f t="shared" si="97"/>
        <v>18210000</v>
      </c>
      <c r="M261" s="21">
        <f t="shared" si="97"/>
        <v>20710000</v>
      </c>
      <c r="N261" s="21">
        <f t="shared" si="97"/>
        <v>23210000</v>
      </c>
      <c r="O261" s="21">
        <f t="shared" si="97"/>
        <v>25710000</v>
      </c>
      <c r="P261" s="21">
        <f t="shared" si="97"/>
        <v>26960000</v>
      </c>
      <c r="Q261" s="21">
        <f t="shared" si="97"/>
        <v>28210000</v>
      </c>
      <c r="R261" s="21">
        <f t="shared" si="97"/>
        <v>29460000</v>
      </c>
      <c r="S261" s="21">
        <f t="shared" si="97"/>
        <v>30710000</v>
      </c>
      <c r="T261" s="21">
        <f t="shared" si="97"/>
        <v>31960000</v>
      </c>
      <c r="U261" s="21">
        <f t="shared" si="97"/>
        <v>33210000</v>
      </c>
      <c r="V261" s="21">
        <f t="shared" si="97"/>
        <v>34460000</v>
      </c>
    </row>
    <row r="262" spans="1:22" x14ac:dyDescent="0.3">
      <c r="A262" s="30" t="s">
        <v>41</v>
      </c>
      <c r="B262" s="21">
        <f t="shared" ref="B262:V262" si="98">B11+B25+B39+B51+B63+B75+B87+B99+B111+B124+B137+B149+B161+B173+B185+B197+B209+B222+B235+B248</f>
        <v>0</v>
      </c>
      <c r="C262" s="21">
        <f t="shared" si="98"/>
        <v>0</v>
      </c>
      <c r="D262" s="21">
        <f t="shared" si="98"/>
        <v>0</v>
      </c>
      <c r="E262" s="21">
        <f t="shared" si="98"/>
        <v>1891521</v>
      </c>
      <c r="F262" s="21">
        <f t="shared" si="98"/>
        <v>2938633.395</v>
      </c>
      <c r="G262" s="21">
        <f t="shared" si="98"/>
        <v>3923940.2280249996</v>
      </c>
      <c r="H262" s="21">
        <f t="shared" si="98"/>
        <v>5904320.5268848753</v>
      </c>
      <c r="I262" s="21">
        <f t="shared" si="98"/>
        <v>7884798.92425045</v>
      </c>
      <c r="J262" s="21">
        <f t="shared" si="98"/>
        <v>9865374.9296291992</v>
      </c>
      <c r="K262" s="21">
        <f t="shared" si="98"/>
        <v>11846048.054981053</v>
      </c>
      <c r="L262" s="21">
        <f t="shared" si="98"/>
        <v>13826817.814706147</v>
      </c>
      <c r="M262" s="21">
        <f t="shared" si="98"/>
        <v>15807683.725632615</v>
      </c>
      <c r="N262" s="21">
        <f t="shared" si="98"/>
        <v>17788645.307004452</v>
      </c>
      <c r="O262" s="21">
        <f t="shared" si="98"/>
        <v>19769702.080469429</v>
      </c>
      <c r="P262" s="21">
        <f t="shared" si="98"/>
        <v>20750853.570067085</v>
      </c>
      <c r="Q262" s="21">
        <f t="shared" si="98"/>
        <v>21732099.302216746</v>
      </c>
      <c r="R262" s="21">
        <f t="shared" si="98"/>
        <v>22713438.805705667</v>
      </c>
      <c r="S262" s="21">
        <f t="shared" si="98"/>
        <v>23694871.611677136</v>
      </c>
      <c r="T262" s="21">
        <f t="shared" si="98"/>
        <v>24676397.253618751</v>
      </c>
      <c r="U262" s="21">
        <f t="shared" si="98"/>
        <v>25658015.267350659</v>
      </c>
      <c r="V262" s="21">
        <f t="shared" si="98"/>
        <v>26639725.191013902</v>
      </c>
    </row>
    <row r="263" spans="1:22" x14ac:dyDescent="0.3">
      <c r="A263" s="30" t="s">
        <v>42</v>
      </c>
      <c r="B263" s="21">
        <f t="shared" ref="B263:V263" si="99">B12+B26+B40+B52+B64+B76+B88+B100+B112+B125+B138+B150+B162+B174+B186+B198+B210+B223+B236+B249</f>
        <v>0</v>
      </c>
      <c r="C263" s="21">
        <f t="shared" si="99"/>
        <v>0</v>
      </c>
      <c r="D263" s="21">
        <f t="shared" si="99"/>
        <v>0</v>
      </c>
      <c r="E263" s="21">
        <f t="shared" si="99"/>
        <v>57870</v>
      </c>
      <c r="F263" s="21">
        <f t="shared" si="99"/>
        <v>138203.65</v>
      </c>
      <c r="G263" s="21">
        <f t="shared" si="99"/>
        <v>202512.63175</v>
      </c>
      <c r="H263" s="21">
        <f t="shared" si="99"/>
        <v>326500.06859124999</v>
      </c>
      <c r="I263" s="21">
        <f t="shared" si="99"/>
        <v>450492.56824829371</v>
      </c>
      <c r="J263" s="21">
        <f t="shared" si="99"/>
        <v>574490.10540705221</v>
      </c>
      <c r="K263" s="21">
        <f t="shared" si="99"/>
        <v>698492.65488001704</v>
      </c>
      <c r="L263" s="21">
        <f t="shared" si="99"/>
        <v>822500.19160561694</v>
      </c>
      <c r="M263" s="21">
        <f t="shared" si="99"/>
        <v>946512.69064758881</v>
      </c>
      <c r="N263" s="21">
        <f t="shared" si="99"/>
        <v>1070530.1271943511</v>
      </c>
      <c r="O263" s="21">
        <f t="shared" si="99"/>
        <v>1194552.4765583791</v>
      </c>
      <c r="P263" s="21">
        <f t="shared" si="99"/>
        <v>1256079.7141755873</v>
      </c>
      <c r="Q263" s="21">
        <f t="shared" si="99"/>
        <v>1317611.8156047093</v>
      </c>
      <c r="R263" s="21">
        <f t="shared" si="99"/>
        <v>1379148.7565266858</v>
      </c>
      <c r="S263" s="21">
        <f t="shared" si="99"/>
        <v>1440690.5127440523</v>
      </c>
      <c r="T263" s="21">
        <f t="shared" si="99"/>
        <v>1502237.060180332</v>
      </c>
      <c r="U263" s="21">
        <f t="shared" si="99"/>
        <v>1563788.3748794305</v>
      </c>
      <c r="V263" s="21">
        <f t="shared" si="99"/>
        <v>1625344.4330050333</v>
      </c>
    </row>
    <row r="264" spans="1:22" x14ac:dyDescent="0.3">
      <c r="A264" s="5" t="s">
        <v>241</v>
      </c>
      <c r="B264" s="21">
        <f t="shared" ref="B264:V264" si="100">SUM(B255:B263)</f>
        <v>1166448.1459785036</v>
      </c>
      <c r="C264" s="21">
        <f t="shared" si="100"/>
        <v>2400735.0104779131</v>
      </c>
      <c r="D264" s="21">
        <f t="shared" si="100"/>
        <v>3303685.2105948259</v>
      </c>
      <c r="E264" s="21">
        <f t="shared" si="100"/>
        <v>6611511.6597111542</v>
      </c>
      <c r="F264" s="21">
        <f t="shared" si="100"/>
        <v>12132900.976581899</v>
      </c>
      <c r="G264" s="21">
        <f t="shared" si="100"/>
        <v>15821990.346868293</v>
      </c>
      <c r="H264" s="21">
        <f t="shared" si="100"/>
        <v>21311384.270303253</v>
      </c>
      <c r="I264" s="21">
        <f t="shared" si="100"/>
        <v>26796456.224121038</v>
      </c>
      <c r="J264" s="21">
        <f t="shared" si="100"/>
        <v>32277227.818169735</v>
      </c>
      <c r="K264" s="21">
        <f t="shared" si="100"/>
        <v>37753720.554248191</v>
      </c>
      <c r="L264" s="21">
        <f t="shared" si="100"/>
        <v>43225955.826646253</v>
      </c>
      <c r="M264" s="21">
        <f t="shared" si="100"/>
        <v>48409353.919867665</v>
      </c>
      <c r="N264" s="21">
        <f t="shared" si="100"/>
        <v>53417084.087852977</v>
      </c>
      <c r="O264" s="21">
        <f t="shared" si="100"/>
        <v>58422900.604998372</v>
      </c>
      <c r="P264" s="21">
        <f t="shared" si="100"/>
        <v>61114313.039558031</v>
      </c>
      <c r="Q264" s="21">
        <f t="shared" si="100"/>
        <v>62996625.605897374</v>
      </c>
      <c r="R264" s="21">
        <f t="shared" si="100"/>
        <v>65238694.389391996</v>
      </c>
      <c r="S264" s="21">
        <f t="shared" si="100"/>
        <v>67494372.29621771</v>
      </c>
      <c r="T264" s="21">
        <f t="shared" si="100"/>
        <v>69750334.3135093</v>
      </c>
      <c r="U264" s="21">
        <f t="shared" si="100"/>
        <v>71721978.017899781</v>
      </c>
      <c r="V264" s="21">
        <f t="shared" si="100"/>
        <v>73254494.819685459</v>
      </c>
    </row>
  </sheetData>
  <printOptions horizontalCentered="1" verticalCentered="1"/>
  <pageMargins left="0.7" right="0.7" top="0.75" bottom="0.75" header="0.3" footer="0.3"/>
  <pageSetup scale="39" orientation="landscape" r:id="rId1"/>
  <headerFooter>
    <oddHeader>&amp;A</oddHeader>
  </headerFooter>
  <rowBreaks count="2" manualBreakCount="2">
    <brk id="41" max="16383" man="1"/>
    <brk id="8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2B95C-C368-4B2A-9B97-08D5C0DA0D7B}">
  <dimension ref="A2:J127"/>
  <sheetViews>
    <sheetView zoomScale="120" zoomScaleNormal="120" workbookViewId="0"/>
  </sheetViews>
  <sheetFormatPr defaultRowHeight="14.4" x14ac:dyDescent="0.3"/>
  <cols>
    <col min="1" max="1" width="43.109375" bestFit="1" customWidth="1"/>
    <col min="2" max="2" width="16.44140625" bestFit="1" customWidth="1"/>
    <col min="3" max="3" width="18.5546875" bestFit="1" customWidth="1"/>
    <col min="4" max="4" width="12.6640625" bestFit="1" customWidth="1"/>
    <col min="5" max="5" width="20.77734375" bestFit="1" customWidth="1"/>
    <col min="6" max="6" width="9.88671875" bestFit="1" customWidth="1"/>
    <col min="10" max="10" width="10.21875" bestFit="1" customWidth="1"/>
  </cols>
  <sheetData>
    <row r="2" spans="1:10" ht="18" x14ac:dyDescent="0.35">
      <c r="A2" s="184"/>
    </row>
    <row r="3" spans="1:10" ht="46.8" x14ac:dyDescent="0.3">
      <c r="A3" s="174" t="s">
        <v>0</v>
      </c>
      <c r="B3" s="174" t="s">
        <v>1</v>
      </c>
      <c r="C3" s="174" t="s">
        <v>278</v>
      </c>
      <c r="D3" s="174" t="s">
        <v>2</v>
      </c>
      <c r="E3" s="174" t="s">
        <v>3</v>
      </c>
    </row>
    <row r="4" spans="1:10" x14ac:dyDescent="0.3">
      <c r="A4" s="76" t="s">
        <v>4</v>
      </c>
      <c r="B4" s="77"/>
      <c r="C4" s="78">
        <f>C6+C13+C24+C41+C54+C71+C84+C85+C86</f>
        <v>1933744</v>
      </c>
      <c r="D4" s="78"/>
      <c r="E4" s="78"/>
    </row>
    <row r="5" spans="1:10" x14ac:dyDescent="0.3">
      <c r="A5" s="79" t="s">
        <v>5</v>
      </c>
      <c r="B5" s="6">
        <v>715110</v>
      </c>
      <c r="C5" s="78">
        <f>C6+C13+C24+C41+C54+C71</f>
        <v>517160</v>
      </c>
      <c r="D5" s="78"/>
      <c r="E5" s="78"/>
      <c r="I5" s="175"/>
    </row>
    <row r="6" spans="1:10" x14ac:dyDescent="0.3">
      <c r="A6" s="79" t="s">
        <v>6</v>
      </c>
      <c r="B6" s="6">
        <f>C6</f>
        <v>116650</v>
      </c>
      <c r="C6" s="80">
        <f>C7+C10</f>
        <v>116650</v>
      </c>
      <c r="D6" s="81"/>
      <c r="E6" s="82"/>
    </row>
    <row r="7" spans="1:10" x14ac:dyDescent="0.3">
      <c r="A7" s="83" t="s">
        <v>7</v>
      </c>
      <c r="B7" s="84"/>
      <c r="C7" s="80">
        <v>32330</v>
      </c>
      <c r="D7" s="81"/>
      <c r="E7" s="85"/>
    </row>
    <row r="8" spans="1:10" x14ac:dyDescent="0.3">
      <c r="A8" s="75" t="s">
        <v>8</v>
      </c>
      <c r="B8" s="173">
        <v>0.38</v>
      </c>
      <c r="C8" s="86">
        <f>$C$7*B8</f>
        <v>12285.4</v>
      </c>
      <c r="D8" s="87">
        <v>0.14884</v>
      </c>
      <c r="E8" s="88">
        <v>75.290000000000006</v>
      </c>
      <c r="J8" s="48"/>
    </row>
    <row r="9" spans="1:10" x14ac:dyDescent="0.3">
      <c r="A9" s="75" t="s">
        <v>9</v>
      </c>
      <c r="B9" s="173">
        <v>0.62</v>
      </c>
      <c r="C9" s="86">
        <f>$C$7*B9</f>
        <v>20044.599999999999</v>
      </c>
      <c r="D9" s="87">
        <v>0.15130000000000002</v>
      </c>
      <c r="E9" s="88">
        <v>75.290000000000006</v>
      </c>
      <c r="H9" s="202"/>
    </row>
    <row r="10" spans="1:10" x14ac:dyDescent="0.3">
      <c r="A10" s="83" t="s">
        <v>10</v>
      </c>
      <c r="B10" s="84"/>
      <c r="C10" s="80">
        <v>84320</v>
      </c>
      <c r="D10" s="81"/>
      <c r="E10" s="82"/>
      <c r="H10" s="202"/>
    </row>
    <row r="11" spans="1:10" x14ac:dyDescent="0.3">
      <c r="A11" s="75" t="s">
        <v>11</v>
      </c>
      <c r="B11" s="173">
        <v>0.38</v>
      </c>
      <c r="C11" s="86">
        <f>$C$10*B11</f>
        <v>32041.600000000002</v>
      </c>
      <c r="D11" s="87">
        <v>0.13464999999999999</v>
      </c>
      <c r="E11" s="88">
        <v>64.56</v>
      </c>
    </row>
    <row r="12" spans="1:10" x14ac:dyDescent="0.3">
      <c r="A12" s="75" t="s">
        <v>9</v>
      </c>
      <c r="B12" s="173">
        <v>0.62</v>
      </c>
      <c r="C12" s="86">
        <f>$C$10*B12</f>
        <v>52278.400000000001</v>
      </c>
      <c r="D12" s="87">
        <v>0.13319</v>
      </c>
      <c r="E12" s="88">
        <v>64.56</v>
      </c>
    </row>
    <row r="13" spans="1:10" x14ac:dyDescent="0.3">
      <c r="A13" s="79" t="s">
        <v>12</v>
      </c>
      <c r="B13" s="80">
        <v>146860</v>
      </c>
      <c r="C13" s="80">
        <v>146860</v>
      </c>
      <c r="D13" s="89"/>
      <c r="E13" s="90"/>
    </row>
    <row r="14" spans="1:10" x14ac:dyDescent="0.3">
      <c r="A14" s="83" t="s">
        <v>13</v>
      </c>
      <c r="B14" s="84"/>
      <c r="C14" s="80">
        <v>42900</v>
      </c>
      <c r="D14" s="81"/>
      <c r="E14" s="82"/>
    </row>
    <row r="15" spans="1:10" x14ac:dyDescent="0.3">
      <c r="A15" s="75" t="s">
        <v>14</v>
      </c>
      <c r="B15" s="173">
        <v>8.2589858081657974E-2</v>
      </c>
      <c r="C15" s="86">
        <f>$C$14*B15</f>
        <v>3543.1049117031271</v>
      </c>
      <c r="D15" s="87">
        <v>0.15196999999999999</v>
      </c>
      <c r="E15" s="88">
        <v>57.82</v>
      </c>
    </row>
    <row r="16" spans="1:10" x14ac:dyDescent="0.3">
      <c r="A16" s="75" t="s">
        <v>15</v>
      </c>
      <c r="B16" s="173">
        <v>6.3796727298494463E-2</v>
      </c>
      <c r="C16" s="86">
        <f>$C$14*B16</f>
        <v>2736.8796011054123</v>
      </c>
      <c r="D16" s="87">
        <v>0.14819000000000002</v>
      </c>
      <c r="E16" s="88">
        <v>47.03</v>
      </c>
    </row>
    <row r="17" spans="1:7" x14ac:dyDescent="0.3">
      <c r="A17" s="75" t="s">
        <v>16</v>
      </c>
      <c r="B17" s="173">
        <v>0.14809231752718796</v>
      </c>
      <c r="C17" s="86">
        <f>$C$14*B17</f>
        <v>6353.1604219163637</v>
      </c>
      <c r="D17" s="87">
        <v>0.15303</v>
      </c>
      <c r="E17" s="88">
        <v>41.48</v>
      </c>
    </row>
    <row r="18" spans="1:7" x14ac:dyDescent="0.3">
      <c r="A18" s="75" t="s">
        <v>17</v>
      </c>
      <c r="B18" s="173">
        <v>0.7055190579627767</v>
      </c>
      <c r="C18" s="86">
        <f>$C$14*B18</f>
        <v>30266.76758660312</v>
      </c>
      <c r="D18" s="87">
        <v>0.14410999999999999</v>
      </c>
      <c r="E18" s="88">
        <v>38.33</v>
      </c>
    </row>
    <row r="19" spans="1:7" x14ac:dyDescent="0.3">
      <c r="A19" s="83" t="s">
        <v>18</v>
      </c>
      <c r="B19" s="91"/>
      <c r="C19" s="80">
        <v>56660</v>
      </c>
      <c r="D19" s="81"/>
      <c r="E19" s="82"/>
      <c r="G19" s="202"/>
    </row>
    <row r="20" spans="1:7" x14ac:dyDescent="0.3">
      <c r="A20" s="75" t="s">
        <v>19</v>
      </c>
      <c r="B20" s="173">
        <v>3.7818107834294019E-2</v>
      </c>
      <c r="C20" s="86">
        <f>$C$19*B20</f>
        <v>2142.7739898910991</v>
      </c>
      <c r="D20" s="87">
        <v>0.14305999999999999</v>
      </c>
      <c r="E20" s="88">
        <v>58.84</v>
      </c>
    </row>
    <row r="21" spans="1:7" x14ac:dyDescent="0.3">
      <c r="A21" s="75" t="s">
        <v>15</v>
      </c>
      <c r="B21" s="173">
        <v>2.9448996157951057E-2</v>
      </c>
      <c r="C21" s="86">
        <f>$C$19*B21</f>
        <v>1668.5801223095068</v>
      </c>
      <c r="D21" s="87">
        <v>0.14176</v>
      </c>
      <c r="E21" s="88">
        <v>48.06</v>
      </c>
    </row>
    <row r="22" spans="1:7" x14ac:dyDescent="0.3">
      <c r="A22" s="75" t="s">
        <v>16</v>
      </c>
      <c r="B22" s="173">
        <v>0.1091491177452943</v>
      </c>
      <c r="C22" s="86">
        <f>$C$19*B22</f>
        <v>6184.3890114483747</v>
      </c>
      <c r="D22" s="87">
        <v>0.14119000000000001</v>
      </c>
      <c r="E22" s="88">
        <v>42.51</v>
      </c>
    </row>
    <row r="23" spans="1:7" x14ac:dyDescent="0.3">
      <c r="A23" s="75" t="s">
        <v>20</v>
      </c>
      <c r="B23" s="173">
        <v>0.82358343106844789</v>
      </c>
      <c r="C23" s="86">
        <f>$C$19*B23</f>
        <v>46664.237204338257</v>
      </c>
      <c r="D23" s="87">
        <v>0.1497</v>
      </c>
      <c r="E23" s="88">
        <v>39.369999999999997</v>
      </c>
    </row>
    <row r="24" spans="1:7" x14ac:dyDescent="0.3">
      <c r="A24" s="79" t="s">
        <v>21</v>
      </c>
      <c r="B24" s="80">
        <v>250000</v>
      </c>
      <c r="C24" s="80">
        <v>250000</v>
      </c>
      <c r="D24" s="89"/>
      <c r="E24" s="90"/>
    </row>
    <row r="25" spans="1:7" x14ac:dyDescent="0.3">
      <c r="A25" s="83" t="s">
        <v>22</v>
      </c>
      <c r="B25" s="173">
        <v>0.3</v>
      </c>
      <c r="C25" s="80">
        <v>75000</v>
      </c>
      <c r="D25" s="87">
        <v>0.16907</v>
      </c>
      <c r="E25" s="88"/>
    </row>
    <row r="26" spans="1:7" x14ac:dyDescent="0.3">
      <c r="A26" s="75" t="s">
        <v>8</v>
      </c>
      <c r="B26" s="173">
        <v>0</v>
      </c>
      <c r="C26" s="203">
        <v>0</v>
      </c>
      <c r="D26" s="87">
        <v>0.16907</v>
      </c>
      <c r="E26" s="88">
        <v>98.88</v>
      </c>
    </row>
    <row r="27" spans="1:7" x14ac:dyDescent="0.3">
      <c r="A27" s="75" t="s">
        <v>9</v>
      </c>
      <c r="B27" s="173">
        <v>0</v>
      </c>
      <c r="C27" s="203">
        <v>0</v>
      </c>
      <c r="D27" s="87">
        <v>0.16907</v>
      </c>
      <c r="E27" s="88">
        <v>91.67</v>
      </c>
    </row>
    <row r="28" spans="1:7" x14ac:dyDescent="0.3">
      <c r="A28" s="75" t="s">
        <v>19</v>
      </c>
      <c r="B28" s="173">
        <v>0</v>
      </c>
      <c r="C28" s="203">
        <v>0</v>
      </c>
      <c r="D28" s="87">
        <v>0.16907</v>
      </c>
      <c r="E28" s="88">
        <v>78.83</v>
      </c>
    </row>
    <row r="29" spans="1:7" x14ac:dyDescent="0.3">
      <c r="A29" s="75" t="s">
        <v>15</v>
      </c>
      <c r="B29" s="173">
        <v>0</v>
      </c>
      <c r="C29" s="203">
        <v>0</v>
      </c>
      <c r="D29" s="87">
        <v>0.16907</v>
      </c>
      <c r="E29" s="88">
        <v>70.489999999999995</v>
      </c>
    </row>
    <row r="30" spans="1:7" x14ac:dyDescent="0.3">
      <c r="A30" s="75" t="s">
        <v>16</v>
      </c>
      <c r="B30" s="173">
        <v>0</v>
      </c>
      <c r="C30" s="203">
        <v>0</v>
      </c>
      <c r="D30" s="87">
        <v>0.16907</v>
      </c>
      <c r="E30" s="88">
        <v>66.5</v>
      </c>
    </row>
    <row r="31" spans="1:7" x14ac:dyDescent="0.3">
      <c r="A31" s="75" t="s">
        <v>20</v>
      </c>
      <c r="B31" s="173">
        <v>1</v>
      </c>
      <c r="C31" s="86">
        <v>75000</v>
      </c>
      <c r="D31" s="87">
        <v>0.16907</v>
      </c>
      <c r="E31" s="88">
        <v>63.97</v>
      </c>
    </row>
    <row r="32" spans="1:7" x14ac:dyDescent="0.3">
      <c r="A32" s="75" t="s">
        <v>23</v>
      </c>
      <c r="B32" s="173">
        <v>0</v>
      </c>
      <c r="C32" s="203">
        <v>0</v>
      </c>
      <c r="D32" s="87">
        <v>0.16907</v>
      </c>
      <c r="E32" s="88">
        <v>59.79</v>
      </c>
    </row>
    <row r="33" spans="1:5" x14ac:dyDescent="0.3">
      <c r="A33" s="83" t="s">
        <v>24</v>
      </c>
      <c r="B33" s="173">
        <v>0.7</v>
      </c>
      <c r="C33" s="80">
        <v>175000</v>
      </c>
      <c r="D33" s="204"/>
      <c r="E33" s="90"/>
    </row>
    <row r="34" spans="1:5" x14ac:dyDescent="0.3">
      <c r="A34" s="75" t="s">
        <v>8</v>
      </c>
      <c r="B34" s="173">
        <v>0</v>
      </c>
      <c r="C34" s="203">
        <v>0</v>
      </c>
      <c r="D34" s="87">
        <v>0.16907</v>
      </c>
      <c r="E34" s="88">
        <v>94.94</v>
      </c>
    </row>
    <row r="35" spans="1:5" x14ac:dyDescent="0.3">
      <c r="A35" s="75" t="s">
        <v>9</v>
      </c>
      <c r="B35" s="173">
        <v>0</v>
      </c>
      <c r="C35" s="203">
        <v>0</v>
      </c>
      <c r="D35" s="87">
        <v>0.16907</v>
      </c>
      <c r="E35" s="88">
        <v>87.72</v>
      </c>
    </row>
    <row r="36" spans="1:5" x14ac:dyDescent="0.3">
      <c r="A36" s="75" t="s">
        <v>19</v>
      </c>
      <c r="B36" s="173">
        <v>0</v>
      </c>
      <c r="C36" s="203">
        <v>0</v>
      </c>
      <c r="D36" s="87">
        <v>0.16907</v>
      </c>
      <c r="E36" s="88">
        <v>74.83</v>
      </c>
    </row>
    <row r="37" spans="1:5" x14ac:dyDescent="0.3">
      <c r="A37" s="75" t="s">
        <v>15</v>
      </c>
      <c r="B37" s="173">
        <v>0</v>
      </c>
      <c r="C37" s="203">
        <v>0</v>
      </c>
      <c r="D37" s="87">
        <v>0.16907</v>
      </c>
      <c r="E37" s="88">
        <v>66.459999999999994</v>
      </c>
    </row>
    <row r="38" spans="1:5" x14ac:dyDescent="0.3">
      <c r="A38" s="75" t="s">
        <v>16</v>
      </c>
      <c r="B38" s="173">
        <v>0</v>
      </c>
      <c r="C38" s="203">
        <v>0</v>
      </c>
      <c r="D38" s="87">
        <v>0.16907</v>
      </c>
      <c r="E38" s="88">
        <v>62.45</v>
      </c>
    </row>
    <row r="39" spans="1:5" x14ac:dyDescent="0.3">
      <c r="A39" s="75" t="s">
        <v>20</v>
      </c>
      <c r="B39" s="173">
        <v>1</v>
      </c>
      <c r="C39" s="86">
        <v>175000</v>
      </c>
      <c r="D39" s="87">
        <v>0.16907</v>
      </c>
      <c r="E39" s="88">
        <v>59.89</v>
      </c>
    </row>
    <row r="40" spans="1:5" x14ac:dyDescent="0.3">
      <c r="A40" s="75" t="s">
        <v>23</v>
      </c>
      <c r="B40" s="173">
        <v>0</v>
      </c>
      <c r="C40" s="203">
        <v>0</v>
      </c>
      <c r="D40" s="87">
        <v>0.16907</v>
      </c>
      <c r="E40" s="88">
        <v>55.68</v>
      </c>
    </row>
    <row r="41" spans="1:5" x14ac:dyDescent="0.3">
      <c r="A41" s="79" t="s">
        <v>284</v>
      </c>
      <c r="B41" s="79"/>
      <c r="C41" s="80">
        <v>650</v>
      </c>
      <c r="D41" s="89"/>
      <c r="E41" s="90"/>
    </row>
    <row r="42" spans="1:5" x14ac:dyDescent="0.3">
      <c r="A42" s="83" t="s">
        <v>285</v>
      </c>
      <c r="B42" s="84"/>
      <c r="C42" s="80"/>
      <c r="D42" s="92"/>
      <c r="E42" s="83"/>
    </row>
    <row r="43" spans="1:5" x14ac:dyDescent="0.3">
      <c r="A43" s="75" t="s">
        <v>27</v>
      </c>
      <c r="B43" s="173">
        <v>4.6296296296296294E-2</v>
      </c>
      <c r="C43" s="203">
        <f>$C$42*B43</f>
        <v>0</v>
      </c>
      <c r="D43" s="87">
        <v>0.16907</v>
      </c>
      <c r="E43" s="88">
        <v>69.63</v>
      </c>
    </row>
    <row r="44" spans="1:5" x14ac:dyDescent="0.3">
      <c r="A44" s="75" t="s">
        <v>19</v>
      </c>
      <c r="B44" s="173">
        <v>5.5555555555555552E-2</v>
      </c>
      <c r="C44" s="203">
        <f>$C$42*B44</f>
        <v>0</v>
      </c>
      <c r="D44" s="87">
        <v>0.16907</v>
      </c>
      <c r="E44" s="88">
        <v>56.99</v>
      </c>
    </row>
    <row r="45" spans="1:5" x14ac:dyDescent="0.3">
      <c r="A45" s="75" t="s">
        <v>15</v>
      </c>
      <c r="B45" s="173">
        <v>0.21296296296296297</v>
      </c>
      <c r="C45" s="203">
        <f>$C$42*B45</f>
        <v>0</v>
      </c>
      <c r="D45" s="87">
        <v>0.16907</v>
      </c>
      <c r="E45" s="88">
        <v>46.48</v>
      </c>
    </row>
    <row r="46" spans="1:5" x14ac:dyDescent="0.3">
      <c r="A46" s="75" t="s">
        <v>16</v>
      </c>
      <c r="B46" s="173">
        <v>0.45370370370370372</v>
      </c>
      <c r="C46" s="203">
        <f>$C$42*B46</f>
        <v>0</v>
      </c>
      <c r="D46" s="87">
        <v>0.16907</v>
      </c>
      <c r="E46" s="88">
        <v>41.45</v>
      </c>
    </row>
    <row r="47" spans="1:5" x14ac:dyDescent="0.3">
      <c r="A47" s="75" t="s">
        <v>20</v>
      </c>
      <c r="B47" s="173">
        <v>0.23148148148148148</v>
      </c>
      <c r="C47" s="203">
        <f>$C$42*B47</f>
        <v>0</v>
      </c>
      <c r="D47" s="87">
        <v>0.16907</v>
      </c>
      <c r="E47" s="88">
        <v>38.42</v>
      </c>
    </row>
    <row r="48" spans="1:5" x14ac:dyDescent="0.3">
      <c r="A48" s="83" t="s">
        <v>286</v>
      </c>
      <c r="B48" s="79"/>
      <c r="C48" s="80">
        <v>650</v>
      </c>
      <c r="D48" s="79"/>
      <c r="E48" s="79"/>
    </row>
    <row r="49" spans="1:5" x14ac:dyDescent="0.3">
      <c r="A49" s="75" t="s">
        <v>27</v>
      </c>
      <c r="B49" s="173">
        <v>4.6296296296296294E-2</v>
      </c>
      <c r="C49" s="86">
        <f>$C$48*B49</f>
        <v>30.092592592592592</v>
      </c>
      <c r="D49" s="87">
        <v>0.16907</v>
      </c>
      <c r="E49" s="88">
        <v>64.790000000000006</v>
      </c>
    </row>
    <row r="50" spans="1:5" x14ac:dyDescent="0.3">
      <c r="A50" s="75" t="s">
        <v>19</v>
      </c>
      <c r="B50" s="173">
        <v>5.5555555555555552E-2</v>
      </c>
      <c r="C50" s="86">
        <f>$C$48*B50</f>
        <v>36.111111111111107</v>
      </c>
      <c r="D50" s="87">
        <v>0.16907</v>
      </c>
      <c r="E50" s="88">
        <v>58.05</v>
      </c>
    </row>
    <row r="51" spans="1:5" x14ac:dyDescent="0.3">
      <c r="A51" s="75" t="s">
        <v>15</v>
      </c>
      <c r="B51" s="173">
        <v>0.21296296296296297</v>
      </c>
      <c r="C51" s="86">
        <f>$C$48*B51</f>
        <v>138.42592592592592</v>
      </c>
      <c r="D51" s="87">
        <v>0.16907</v>
      </c>
      <c r="E51" s="88">
        <v>47.56</v>
      </c>
    </row>
    <row r="52" spans="1:5" x14ac:dyDescent="0.3">
      <c r="A52" s="75" t="s">
        <v>16</v>
      </c>
      <c r="B52" s="173">
        <v>0.45370370370370372</v>
      </c>
      <c r="C52" s="86">
        <f>$C$48*B52</f>
        <v>294.90740740740739</v>
      </c>
      <c r="D52" s="87">
        <v>0.16907</v>
      </c>
      <c r="E52" s="88">
        <v>42.53</v>
      </c>
    </row>
    <row r="53" spans="1:5" x14ac:dyDescent="0.3">
      <c r="A53" s="75" t="s">
        <v>20</v>
      </c>
      <c r="B53" s="173">
        <v>0.23148148148148148</v>
      </c>
      <c r="C53" s="86">
        <f>$C$48*B53</f>
        <v>150.46296296296296</v>
      </c>
      <c r="D53" s="87">
        <v>0.16907</v>
      </c>
      <c r="E53" s="88">
        <v>39.49</v>
      </c>
    </row>
    <row r="54" spans="1:5" x14ac:dyDescent="0.3">
      <c r="A54" s="79" t="s">
        <v>29</v>
      </c>
      <c r="B54" s="80">
        <v>10000</v>
      </c>
      <c r="C54" s="80">
        <v>3000</v>
      </c>
      <c r="D54" s="79"/>
      <c r="E54" s="79"/>
    </row>
    <row r="55" spans="1:5" x14ac:dyDescent="0.3">
      <c r="A55" s="83" t="s">
        <v>30</v>
      </c>
      <c r="B55" s="173">
        <v>0.3</v>
      </c>
      <c r="C55" s="80">
        <v>3000</v>
      </c>
      <c r="D55" s="87">
        <v>0.16907</v>
      </c>
      <c r="E55" s="88">
        <v>58.954751999999992</v>
      </c>
    </row>
    <row r="56" spans="1:5" x14ac:dyDescent="0.3">
      <c r="A56" s="75" t="s">
        <v>8</v>
      </c>
      <c r="B56" s="173">
        <v>0</v>
      </c>
      <c r="C56" s="203">
        <v>0</v>
      </c>
      <c r="D56" s="87">
        <v>0.16907</v>
      </c>
      <c r="E56" s="88">
        <v>98.88</v>
      </c>
    </row>
    <row r="57" spans="1:5" x14ac:dyDescent="0.3">
      <c r="A57" s="75" t="s">
        <v>9</v>
      </c>
      <c r="B57" s="173">
        <v>0</v>
      </c>
      <c r="C57" s="203">
        <v>0</v>
      </c>
      <c r="D57" s="87">
        <v>0.16907</v>
      </c>
      <c r="E57" s="88">
        <v>91.67</v>
      </c>
    </row>
    <row r="58" spans="1:5" x14ac:dyDescent="0.3">
      <c r="A58" s="75" t="s">
        <v>19</v>
      </c>
      <c r="B58" s="173">
        <v>0</v>
      </c>
      <c r="C58" s="203">
        <v>0</v>
      </c>
      <c r="D58" s="87">
        <v>0.16907</v>
      </c>
      <c r="E58" s="88">
        <v>78.83</v>
      </c>
    </row>
    <row r="59" spans="1:5" x14ac:dyDescent="0.3">
      <c r="A59" s="75" t="s">
        <v>15</v>
      </c>
      <c r="B59" s="173">
        <v>0</v>
      </c>
      <c r="C59" s="203">
        <v>0</v>
      </c>
      <c r="D59" s="87">
        <v>0.16907</v>
      </c>
      <c r="E59" s="88">
        <v>70.489999999999995</v>
      </c>
    </row>
    <row r="60" spans="1:5" x14ac:dyDescent="0.3">
      <c r="A60" s="75" t="s">
        <v>16</v>
      </c>
      <c r="B60" s="173">
        <v>0</v>
      </c>
      <c r="C60" s="203">
        <v>0</v>
      </c>
      <c r="D60" s="87">
        <v>0.16907</v>
      </c>
      <c r="E60" s="88">
        <v>66.5</v>
      </c>
    </row>
    <row r="61" spans="1:5" x14ac:dyDescent="0.3">
      <c r="A61" s="75" t="s">
        <v>20</v>
      </c>
      <c r="B61" s="173">
        <v>1</v>
      </c>
      <c r="C61" s="86">
        <v>3000</v>
      </c>
      <c r="D61" s="87">
        <v>0.16907</v>
      </c>
      <c r="E61" s="88">
        <v>63.97</v>
      </c>
    </row>
    <row r="62" spans="1:5" x14ac:dyDescent="0.3">
      <c r="A62" s="75" t="s">
        <v>31</v>
      </c>
      <c r="B62" s="173">
        <v>0</v>
      </c>
      <c r="C62" s="203">
        <v>0</v>
      </c>
      <c r="D62" s="87">
        <v>0.16907</v>
      </c>
      <c r="E62" s="88"/>
    </row>
    <row r="63" spans="1:5" x14ac:dyDescent="0.3">
      <c r="A63" s="83" t="s">
        <v>32</v>
      </c>
      <c r="B63" s="173">
        <v>0.7</v>
      </c>
      <c r="C63" s="80"/>
      <c r="D63" s="204"/>
      <c r="E63" s="90"/>
    </row>
    <row r="64" spans="1:5" x14ac:dyDescent="0.3">
      <c r="A64" s="75" t="s">
        <v>8</v>
      </c>
      <c r="B64" s="173">
        <v>0</v>
      </c>
      <c r="C64" s="203">
        <v>0</v>
      </c>
      <c r="D64" s="87">
        <v>0.16907</v>
      </c>
      <c r="E64" s="88">
        <v>94.94</v>
      </c>
    </row>
    <row r="65" spans="1:5" x14ac:dyDescent="0.3">
      <c r="A65" s="75" t="s">
        <v>9</v>
      </c>
      <c r="B65" s="173">
        <v>0</v>
      </c>
      <c r="C65" s="203">
        <v>0</v>
      </c>
      <c r="D65" s="87">
        <v>0.16907</v>
      </c>
      <c r="E65" s="88">
        <v>87.72</v>
      </c>
    </row>
    <row r="66" spans="1:5" x14ac:dyDescent="0.3">
      <c r="A66" s="75" t="s">
        <v>19</v>
      </c>
      <c r="B66" s="173">
        <v>0</v>
      </c>
      <c r="C66" s="203">
        <v>0</v>
      </c>
      <c r="D66" s="87">
        <v>0.16907</v>
      </c>
      <c r="E66" s="88">
        <v>74.83</v>
      </c>
    </row>
    <row r="67" spans="1:5" x14ac:dyDescent="0.3">
      <c r="A67" s="75" t="s">
        <v>15</v>
      </c>
      <c r="B67" s="173">
        <v>0</v>
      </c>
      <c r="C67" s="203">
        <v>0</v>
      </c>
      <c r="D67" s="87">
        <v>0.16907</v>
      </c>
      <c r="E67" s="88">
        <v>66.459999999999994</v>
      </c>
    </row>
    <row r="68" spans="1:5" x14ac:dyDescent="0.3">
      <c r="A68" s="75" t="s">
        <v>16</v>
      </c>
      <c r="B68" s="173">
        <v>0</v>
      </c>
      <c r="C68" s="203">
        <v>0</v>
      </c>
      <c r="D68" s="87">
        <v>0.16907</v>
      </c>
      <c r="E68" s="88">
        <v>62.45</v>
      </c>
    </row>
    <row r="69" spans="1:5" x14ac:dyDescent="0.3">
      <c r="A69" s="75" t="s">
        <v>20</v>
      </c>
      <c r="B69" s="173">
        <v>1</v>
      </c>
      <c r="C69" s="203">
        <v>0</v>
      </c>
      <c r="D69" s="87">
        <v>0.16907</v>
      </c>
      <c r="E69" s="88">
        <v>59.89</v>
      </c>
    </row>
    <row r="70" spans="1:5" x14ac:dyDescent="0.3">
      <c r="A70" s="75" t="s">
        <v>31</v>
      </c>
      <c r="B70" s="173">
        <v>0</v>
      </c>
      <c r="C70" s="203">
        <v>0</v>
      </c>
      <c r="D70" s="87">
        <v>0.16907</v>
      </c>
      <c r="E70" s="88"/>
    </row>
    <row r="71" spans="1:5" x14ac:dyDescent="0.3">
      <c r="A71" s="93" t="s">
        <v>33</v>
      </c>
      <c r="B71" s="80">
        <f>C71</f>
        <v>0</v>
      </c>
      <c r="C71" s="80">
        <f>C72+C77</f>
        <v>0</v>
      </c>
      <c r="D71" s="79"/>
      <c r="E71" s="79"/>
    </row>
    <row r="72" spans="1:5" x14ac:dyDescent="0.3">
      <c r="A72" s="83" t="s">
        <v>34</v>
      </c>
      <c r="B72" s="84"/>
      <c r="C72" s="80"/>
      <c r="D72" s="81"/>
      <c r="E72" s="82"/>
    </row>
    <row r="73" spans="1:5" x14ac:dyDescent="0.3">
      <c r="A73" s="75" t="s">
        <v>14</v>
      </c>
      <c r="B73" s="173">
        <v>8.2589858081657974E-2</v>
      </c>
      <c r="C73" s="203">
        <f>$C$72*B73</f>
        <v>0</v>
      </c>
      <c r="D73" s="87">
        <v>0.15196999999999999</v>
      </c>
      <c r="E73" s="88">
        <v>57.82</v>
      </c>
    </row>
    <row r="74" spans="1:5" x14ac:dyDescent="0.3">
      <c r="A74" s="75" t="s">
        <v>15</v>
      </c>
      <c r="B74" s="173">
        <v>6.3796727298494463E-2</v>
      </c>
      <c r="C74" s="203">
        <f>$C$72*B74</f>
        <v>0</v>
      </c>
      <c r="D74" s="87">
        <v>0.14819000000000002</v>
      </c>
      <c r="E74" s="88">
        <v>47.03</v>
      </c>
    </row>
    <row r="75" spans="1:5" x14ac:dyDescent="0.3">
      <c r="A75" s="75" t="s">
        <v>16</v>
      </c>
      <c r="B75" s="173">
        <v>0.14809231752718796</v>
      </c>
      <c r="C75" s="203">
        <f>$C$72*B75</f>
        <v>0</v>
      </c>
      <c r="D75" s="87">
        <v>0.15303</v>
      </c>
      <c r="E75" s="88">
        <v>41.48</v>
      </c>
    </row>
    <row r="76" spans="1:5" x14ac:dyDescent="0.3">
      <c r="A76" s="75" t="s">
        <v>35</v>
      </c>
      <c r="B76" s="173">
        <v>0.7055190579627767</v>
      </c>
      <c r="C76" s="203">
        <f>$C$72*B76</f>
        <v>0</v>
      </c>
      <c r="D76" s="87">
        <v>0.14410999999999999</v>
      </c>
      <c r="E76" s="88">
        <v>38.33</v>
      </c>
    </row>
    <row r="77" spans="1:5" x14ac:dyDescent="0.3">
      <c r="A77" s="83" t="s">
        <v>36</v>
      </c>
      <c r="B77" s="84"/>
      <c r="C77" s="80"/>
      <c r="D77" s="81"/>
      <c r="E77" s="82"/>
    </row>
    <row r="78" spans="1:5" x14ac:dyDescent="0.3">
      <c r="A78" s="75" t="s">
        <v>19</v>
      </c>
      <c r="B78" s="173">
        <v>3.7818107834294019E-2</v>
      </c>
      <c r="C78" s="203">
        <f>$C$77*B78</f>
        <v>0</v>
      </c>
      <c r="D78" s="87">
        <v>0.14305999999999999</v>
      </c>
      <c r="E78" s="88">
        <v>58.84</v>
      </c>
    </row>
    <row r="79" spans="1:5" x14ac:dyDescent="0.3">
      <c r="A79" s="75" t="s">
        <v>15</v>
      </c>
      <c r="B79" s="173">
        <v>2.9448996157951057E-2</v>
      </c>
      <c r="C79" s="203">
        <f>$C$77*B79</f>
        <v>0</v>
      </c>
      <c r="D79" s="87">
        <v>0.14176</v>
      </c>
      <c r="E79" s="88">
        <v>48.06</v>
      </c>
    </row>
    <row r="80" spans="1:5" x14ac:dyDescent="0.3">
      <c r="A80" s="75" t="s">
        <v>16</v>
      </c>
      <c r="B80" s="173">
        <v>0.1091491177452943</v>
      </c>
      <c r="C80" s="203">
        <f>$C$77*B80</f>
        <v>0</v>
      </c>
      <c r="D80" s="87">
        <v>0.14119000000000001</v>
      </c>
      <c r="E80" s="88">
        <v>42.51</v>
      </c>
    </row>
    <row r="81" spans="1:5" x14ac:dyDescent="0.3">
      <c r="A81" s="75" t="s">
        <v>37</v>
      </c>
      <c r="B81" s="173">
        <v>0.82358343106844789</v>
      </c>
      <c r="C81" s="203">
        <f>$C$77*B81</f>
        <v>0</v>
      </c>
      <c r="D81" s="87">
        <v>0.1497</v>
      </c>
      <c r="E81" s="88">
        <v>39.369999999999997</v>
      </c>
    </row>
    <row r="83" spans="1:5" x14ac:dyDescent="0.3">
      <c r="A83" s="29" t="s">
        <v>283</v>
      </c>
      <c r="B83" s="195"/>
      <c r="C83" s="198" t="s">
        <v>38</v>
      </c>
    </row>
    <row r="84" spans="1:5" x14ac:dyDescent="0.3">
      <c r="A84" s="79" t="s">
        <v>40</v>
      </c>
      <c r="B84" s="79"/>
      <c r="C84" s="80">
        <v>460000</v>
      </c>
    </row>
    <row r="85" spans="1:5" x14ac:dyDescent="0.3">
      <c r="A85" s="79" t="s">
        <v>41</v>
      </c>
      <c r="B85" s="79"/>
      <c r="C85" s="80">
        <v>948091</v>
      </c>
    </row>
    <row r="86" spans="1:5" x14ac:dyDescent="0.3">
      <c r="A86" s="79" t="s">
        <v>42</v>
      </c>
      <c r="B86" s="79"/>
      <c r="C86" s="80">
        <v>8493</v>
      </c>
    </row>
    <row r="87" spans="1:5" x14ac:dyDescent="0.3">
      <c r="A87" s="79" t="s">
        <v>274</v>
      </c>
    </row>
    <row r="88" spans="1:5" x14ac:dyDescent="0.3">
      <c r="A88" s="79" t="s">
        <v>280</v>
      </c>
    </row>
    <row r="89" spans="1:5" x14ac:dyDescent="0.3">
      <c r="A89" s="79" t="s">
        <v>281</v>
      </c>
    </row>
    <row r="90" spans="1:5" x14ac:dyDescent="0.3">
      <c r="A90" s="79" t="s">
        <v>282</v>
      </c>
    </row>
    <row r="92" spans="1:5" ht="18" x14ac:dyDescent="0.35">
      <c r="A92" s="184"/>
    </row>
    <row r="93" spans="1:5" ht="18" x14ac:dyDescent="0.35">
      <c r="A93" s="184"/>
    </row>
    <row r="94" spans="1:5" x14ac:dyDescent="0.3">
      <c r="A94" s="29" t="s">
        <v>43</v>
      </c>
      <c r="B94" s="29" t="s">
        <v>44</v>
      </c>
    </row>
    <row r="95" spans="1:5" x14ac:dyDescent="0.3">
      <c r="A95" s="9" t="s">
        <v>45</v>
      </c>
      <c r="B95" s="113"/>
    </row>
    <row r="96" spans="1:5" x14ac:dyDescent="0.3">
      <c r="A96" s="9" t="s">
        <v>46</v>
      </c>
      <c r="B96" s="113">
        <v>10000000</v>
      </c>
    </row>
    <row r="97" spans="1:2" x14ac:dyDescent="0.3">
      <c r="A97" s="9" t="s">
        <v>47</v>
      </c>
      <c r="B97" s="113"/>
    </row>
    <row r="98" spans="1:2" x14ac:dyDescent="0.3">
      <c r="A98" s="9" t="s">
        <v>48</v>
      </c>
      <c r="B98" s="113"/>
    </row>
    <row r="99" spans="1:2" x14ac:dyDescent="0.3">
      <c r="A99" s="9" t="s">
        <v>49</v>
      </c>
      <c r="B99" s="113">
        <v>10000000</v>
      </c>
    </row>
    <row r="100" spans="1:2" x14ac:dyDescent="0.3">
      <c r="A100" s="9" t="s">
        <v>50</v>
      </c>
      <c r="B100" s="113"/>
    </row>
    <row r="101" spans="1:2" x14ac:dyDescent="0.3">
      <c r="A101" s="9" t="s">
        <v>51</v>
      </c>
      <c r="B101" s="113"/>
    </row>
    <row r="102" spans="1:2" x14ac:dyDescent="0.3">
      <c r="A102" s="9" t="s">
        <v>52</v>
      </c>
      <c r="B102" s="113">
        <v>10000000</v>
      </c>
    </row>
    <row r="103" spans="1:2" x14ac:dyDescent="0.3">
      <c r="A103" s="9" t="s">
        <v>53</v>
      </c>
      <c r="B103" s="113"/>
    </row>
    <row r="104" spans="1:2" x14ac:dyDescent="0.3">
      <c r="A104" s="9" t="s">
        <v>54</v>
      </c>
      <c r="B104" s="113"/>
    </row>
    <row r="105" spans="1:2" x14ac:dyDescent="0.3">
      <c r="A105" s="9" t="s">
        <v>55</v>
      </c>
      <c r="B105" s="113">
        <v>10000000</v>
      </c>
    </row>
    <row r="106" spans="1:2" x14ac:dyDescent="0.3">
      <c r="A106" s="9" t="s">
        <v>56</v>
      </c>
      <c r="B106" s="113"/>
    </row>
    <row r="107" spans="1:2" x14ac:dyDescent="0.3">
      <c r="A107" s="9" t="s">
        <v>57</v>
      </c>
      <c r="B107" s="113"/>
    </row>
    <row r="108" spans="1:2" x14ac:dyDescent="0.3">
      <c r="A108" s="9" t="s">
        <v>58</v>
      </c>
      <c r="B108" s="113"/>
    </row>
    <row r="109" spans="1:2" x14ac:dyDescent="0.3">
      <c r="A109" s="9" t="s">
        <v>59</v>
      </c>
      <c r="B109" s="113"/>
    </row>
    <row r="110" spans="1:2" x14ac:dyDescent="0.3">
      <c r="A110" s="9" t="s">
        <v>60</v>
      </c>
      <c r="B110" s="113"/>
    </row>
    <row r="111" spans="1:2" x14ac:dyDescent="0.3">
      <c r="A111" s="9" t="s">
        <v>61</v>
      </c>
      <c r="B111" s="113"/>
    </row>
    <row r="112" spans="1:2" x14ac:dyDescent="0.3">
      <c r="A112" s="9" t="s">
        <v>62</v>
      </c>
      <c r="B112" s="113"/>
    </row>
    <row r="113" spans="1:2" x14ac:dyDescent="0.3">
      <c r="A113" s="9" t="s">
        <v>63</v>
      </c>
      <c r="B113" s="113"/>
    </row>
    <row r="114" spans="1:2" x14ac:dyDescent="0.3">
      <c r="A114" s="9" t="s">
        <v>64</v>
      </c>
      <c r="B114" s="113"/>
    </row>
    <row r="115" spans="1:2" x14ac:dyDescent="0.3">
      <c r="A115" s="9" t="s">
        <v>65</v>
      </c>
      <c r="B115" s="113"/>
    </row>
    <row r="116" spans="1:2" x14ac:dyDescent="0.3">
      <c r="A116" s="9" t="s">
        <v>66</v>
      </c>
      <c r="B116" s="113"/>
    </row>
    <row r="117" spans="1:2" x14ac:dyDescent="0.3">
      <c r="A117" s="9" t="s">
        <v>67</v>
      </c>
      <c r="B117" s="113"/>
    </row>
    <row r="119" spans="1:2" ht="18" x14ac:dyDescent="0.35">
      <c r="A119" s="184"/>
    </row>
    <row r="120" spans="1:2" x14ac:dyDescent="0.3">
      <c r="A120" s="29" t="s">
        <v>68</v>
      </c>
    </row>
    <row r="121" spans="1:2" x14ac:dyDescent="0.3">
      <c r="A121" s="9">
        <v>0.995</v>
      </c>
    </row>
    <row r="123" spans="1:2" ht="28.8" x14ac:dyDescent="0.3">
      <c r="A123" s="181" t="s">
        <v>69</v>
      </c>
    </row>
    <row r="124" spans="1:2" x14ac:dyDescent="0.3">
      <c r="A124" s="9">
        <v>0.995</v>
      </c>
    </row>
    <row r="126" spans="1:2" x14ac:dyDescent="0.3">
      <c r="A126" s="181" t="s">
        <v>276</v>
      </c>
    </row>
    <row r="127" spans="1:2" x14ac:dyDescent="0.3">
      <c r="A127" s="9">
        <v>1.02</v>
      </c>
    </row>
  </sheetData>
  <printOptions horizontalCentered="1" verticalCentered="1"/>
  <pageMargins left="0.25" right="0.25" top="0.75" bottom="0.75" header="0.3" footer="0.3"/>
  <pageSetup scale="68" orientation="portrait" r:id="rId1"/>
  <headerFooter>
    <oddHeader>&amp;CReopening Assumptions</oddHeader>
  </headerFooter>
  <rowBreaks count="1" manualBreakCount="1">
    <brk id="53"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450B3-EAD9-7142-AAE9-AB424695C1C9}">
  <dimension ref="A2:Z119"/>
  <sheetViews>
    <sheetView zoomScaleNormal="100" workbookViewId="0"/>
  </sheetViews>
  <sheetFormatPr defaultColWidth="8.77734375" defaultRowHeight="14.4" x14ac:dyDescent="0.3"/>
  <cols>
    <col min="1" max="1" width="8.77734375" customWidth="1"/>
    <col min="2" max="2" width="45.109375" bestFit="1" customWidth="1"/>
    <col min="3" max="3" width="11.77734375" bestFit="1" customWidth="1"/>
    <col min="4" max="4" width="9.33203125" bestFit="1" customWidth="1"/>
    <col min="5" max="5" width="17.44140625" bestFit="1" customWidth="1"/>
    <col min="6" max="13" width="16.21875" bestFit="1" customWidth="1"/>
    <col min="14" max="15" width="15.77734375" bestFit="1" customWidth="1"/>
    <col min="16" max="23" width="16.21875" bestFit="1" customWidth="1"/>
    <col min="24" max="25" width="15.77734375" bestFit="1" customWidth="1"/>
    <col min="26" max="26" width="16.21875" bestFit="1" customWidth="1"/>
    <col min="27" max="27" width="13.77734375" bestFit="1" customWidth="1"/>
  </cols>
  <sheetData>
    <row r="2" spans="1:26" x14ac:dyDescent="0.3">
      <c r="C2" s="19"/>
    </row>
    <row r="3" spans="1:26" x14ac:dyDescent="0.3">
      <c r="B3" s="63" t="s">
        <v>243</v>
      </c>
      <c r="C3" s="19"/>
    </row>
    <row r="4" spans="1:26" ht="15.6" x14ac:dyDescent="0.3">
      <c r="B4" s="9"/>
      <c r="F4" s="2" t="s">
        <v>47</v>
      </c>
      <c r="G4" s="2" t="s">
        <v>48</v>
      </c>
      <c r="H4" s="2" t="s">
        <v>49</v>
      </c>
      <c r="I4" s="2" t="s">
        <v>50</v>
      </c>
      <c r="J4" s="2" t="s">
        <v>51</v>
      </c>
      <c r="K4" s="2" t="s">
        <v>52</v>
      </c>
      <c r="L4" s="2" t="s">
        <v>53</v>
      </c>
      <c r="M4" s="2" t="s">
        <v>54</v>
      </c>
      <c r="N4" s="2" t="s">
        <v>55</v>
      </c>
      <c r="O4" s="2" t="s">
        <v>56</v>
      </c>
      <c r="P4" s="2" t="s">
        <v>57</v>
      </c>
      <c r="Q4" s="2" t="s">
        <v>58</v>
      </c>
      <c r="R4" s="2" t="s">
        <v>59</v>
      </c>
      <c r="S4" s="2" t="s">
        <v>60</v>
      </c>
      <c r="T4" s="2" t="s">
        <v>61</v>
      </c>
      <c r="U4" s="2" t="s">
        <v>62</v>
      </c>
      <c r="V4" s="2" t="s">
        <v>63</v>
      </c>
      <c r="W4" s="2" t="s">
        <v>64</v>
      </c>
      <c r="X4" s="2" t="s">
        <v>65</v>
      </c>
      <c r="Y4" s="2" t="s">
        <v>66</v>
      </c>
      <c r="Z4" s="2" t="s">
        <v>67</v>
      </c>
    </row>
    <row r="5" spans="1:26" ht="15.6" x14ac:dyDescent="0.3">
      <c r="B5" s="1"/>
      <c r="C5" s="2" t="s">
        <v>244</v>
      </c>
      <c r="D5" s="2" t="s">
        <v>245</v>
      </c>
      <c r="E5" s="2" t="s">
        <v>225</v>
      </c>
      <c r="F5" s="2"/>
      <c r="G5" s="2"/>
      <c r="H5" s="2"/>
      <c r="I5" s="2"/>
      <c r="J5" s="2"/>
      <c r="K5" s="2"/>
      <c r="L5" s="2"/>
      <c r="M5" s="2"/>
      <c r="N5" s="2"/>
      <c r="O5" s="2"/>
      <c r="P5" s="2"/>
      <c r="Q5" s="2"/>
      <c r="R5" s="2"/>
      <c r="S5" s="2"/>
      <c r="T5" s="2"/>
      <c r="U5" s="2"/>
      <c r="V5" s="2"/>
      <c r="W5" s="2"/>
      <c r="X5" s="2"/>
      <c r="Y5" s="2"/>
      <c r="Z5" s="2"/>
    </row>
    <row r="6" spans="1:26" x14ac:dyDescent="0.3">
      <c r="B6" s="71" t="s">
        <v>246</v>
      </c>
      <c r="C6" s="4"/>
      <c r="D6" s="47"/>
      <c r="E6" s="4">
        <f>SUM(E9:E59)</f>
        <v>12474010.979379414</v>
      </c>
      <c r="F6" s="20"/>
      <c r="G6" s="20"/>
      <c r="H6" s="20"/>
      <c r="I6" s="20"/>
      <c r="J6" s="20"/>
      <c r="K6" s="20"/>
      <c r="L6" s="20"/>
      <c r="M6" s="20"/>
      <c r="N6" s="20"/>
      <c r="O6" s="20"/>
      <c r="P6" s="20"/>
      <c r="Q6" s="20"/>
      <c r="R6" s="20"/>
      <c r="S6" s="20"/>
      <c r="T6" s="20"/>
      <c r="U6" s="20"/>
      <c r="V6" s="20"/>
      <c r="W6" s="20"/>
      <c r="X6" s="20"/>
      <c r="Y6" s="70"/>
      <c r="Z6" s="47"/>
    </row>
    <row r="7" spans="1:26" x14ac:dyDescent="0.3">
      <c r="B7" s="3" t="s">
        <v>5</v>
      </c>
      <c r="C7" s="4">
        <f>C9+C16+C27+C30+C43+C46</f>
        <v>517160</v>
      </c>
      <c r="D7" s="47"/>
      <c r="E7" s="4">
        <f>SUM(F7:Z7)</f>
        <v>11057426.979379419</v>
      </c>
      <c r="F7" s="20">
        <f t="shared" ref="F7:Y7" si="0">F11+F12+F14+F15+F18+F19+F20+F21+F23+F24+F25+F26+F28+F29+F32+F33+F34+F35+F36+F38+F39+F40+F41+F42+F37+F44+F45+F48+F49+F50+F51+F53+F54+F55+F56</f>
        <v>270933.21471990406</v>
      </c>
      <c r="G7" s="20">
        <f t="shared" si="0"/>
        <v>644285.00824630458</v>
      </c>
      <c r="H7" s="20">
        <f t="shared" si="0"/>
        <v>641063.58320507291</v>
      </c>
      <c r="I7" s="20">
        <f t="shared" si="0"/>
        <v>637858.26528904773</v>
      </c>
      <c r="J7" s="20">
        <f t="shared" si="0"/>
        <v>634668.97396260232</v>
      </c>
      <c r="K7" s="20">
        <f t="shared" si="0"/>
        <v>631495.62909278937</v>
      </c>
      <c r="L7" s="20">
        <f t="shared" si="0"/>
        <v>628338.1509473254</v>
      </c>
      <c r="M7" s="20">
        <f t="shared" si="0"/>
        <v>625196.46019258886</v>
      </c>
      <c r="N7" s="20">
        <f t="shared" si="0"/>
        <v>622070.47789162584</v>
      </c>
      <c r="O7" s="20">
        <f t="shared" si="0"/>
        <v>618960.12550216774</v>
      </c>
      <c r="P7" s="20">
        <f t="shared" si="0"/>
        <v>615865.32487465686</v>
      </c>
      <c r="Q7" s="20">
        <f t="shared" si="0"/>
        <v>612785.99825028365</v>
      </c>
      <c r="R7" s="20">
        <f t="shared" si="0"/>
        <v>609722.06825903221</v>
      </c>
      <c r="S7" s="20">
        <f t="shared" si="0"/>
        <v>606673.45791773708</v>
      </c>
      <c r="T7" s="20">
        <f t="shared" si="0"/>
        <v>603640.09062814841</v>
      </c>
      <c r="U7" s="20">
        <f t="shared" si="0"/>
        <v>350205.6039217994</v>
      </c>
      <c r="V7" s="20">
        <f t="shared" si="0"/>
        <v>344333.23893372325</v>
      </c>
      <c r="W7" s="20">
        <f t="shared" si="0"/>
        <v>342611.57273905457</v>
      </c>
      <c r="X7" s="20">
        <f t="shared" si="0"/>
        <v>340898.51487535931</v>
      </c>
      <c r="Y7" s="20">
        <f t="shared" si="0"/>
        <v>339194.02230098256</v>
      </c>
      <c r="Z7" s="70">
        <f>Z11+Z12+Z14+Z15+Z18+Z19+Z20+Z21+Z23+Z24+Z25+Z26+Z28+Z29+Z31+Z37+Z44+Z45+Z48+Z49+Z50+Z51+Z53+Z54+Z55+Z56</f>
        <v>336627.19762921083</v>
      </c>
    </row>
    <row r="8" spans="1:26" x14ac:dyDescent="0.3">
      <c r="B8" s="5" t="s">
        <v>5</v>
      </c>
      <c r="C8" s="6">
        <f>C10+C13+C17+C22+C28+C29+C31+C37+C44+C45+C47+C52</f>
        <v>469860</v>
      </c>
      <c r="D8" s="47"/>
      <c r="E8" s="4">
        <f>SUM(E9:E56)</f>
        <v>11057426.979379414</v>
      </c>
      <c r="F8" s="20">
        <f>F9+F16+F27+F30+F43+F46</f>
        <v>270933.21471990406</v>
      </c>
      <c r="G8" s="20"/>
      <c r="H8" s="20"/>
      <c r="I8" s="20"/>
      <c r="J8" s="20"/>
      <c r="K8" s="20"/>
      <c r="L8" s="20"/>
      <c r="M8" s="20"/>
      <c r="N8" s="20"/>
      <c r="O8" s="20"/>
      <c r="P8" s="20"/>
      <c r="Q8" s="20"/>
      <c r="R8" s="20"/>
      <c r="S8" s="20"/>
      <c r="T8" s="20"/>
      <c r="U8" s="70"/>
      <c r="V8" s="70"/>
      <c r="W8" s="70"/>
      <c r="X8" s="70"/>
      <c r="Y8" s="70"/>
      <c r="Z8" s="70"/>
    </row>
    <row r="9" spans="1:26" x14ac:dyDescent="0.3">
      <c r="B9" s="5" t="s">
        <v>6</v>
      </c>
      <c r="C9" s="6">
        <f>'Reopening Assumptions'!C6</f>
        <v>116650</v>
      </c>
      <c r="D9" s="6"/>
      <c r="E9" s="32"/>
      <c r="F9" s="6">
        <f t="shared" ref="F9:Y9" si="1">SUM(F10:F15)</f>
        <v>141374.73563951999</v>
      </c>
      <c r="G9" s="6">
        <f t="shared" si="1"/>
        <v>140667.8619613224</v>
      </c>
      <c r="H9" s="6">
        <f t="shared" si="1"/>
        <v>139964.52265151578</v>
      </c>
      <c r="I9" s="6">
        <f t="shared" si="1"/>
        <v>139264.70003825822</v>
      </c>
      <c r="J9" s="6">
        <f t="shared" si="1"/>
        <v>138568.37653806692</v>
      </c>
      <c r="K9" s="6">
        <f t="shared" si="1"/>
        <v>137875.5346553766</v>
      </c>
      <c r="L9" s="6">
        <f t="shared" si="1"/>
        <v>137186.1569820997</v>
      </c>
      <c r="M9" s="6">
        <f t="shared" si="1"/>
        <v>136500.22619718921</v>
      </c>
      <c r="N9" s="6">
        <f t="shared" si="1"/>
        <v>135817.72506620327</v>
      </c>
      <c r="O9" s="6">
        <f t="shared" si="1"/>
        <v>135138.63644087224</v>
      </c>
      <c r="P9" s="6">
        <f t="shared" si="1"/>
        <v>134462.94325866789</v>
      </c>
      <c r="Q9" s="6">
        <f t="shared" si="1"/>
        <v>133790.62854237453</v>
      </c>
      <c r="R9" s="6">
        <f t="shared" si="1"/>
        <v>133121.67539966266</v>
      </c>
      <c r="S9" s="6">
        <f t="shared" si="1"/>
        <v>132456.06702266436</v>
      </c>
      <c r="T9" s="6">
        <f t="shared" si="1"/>
        <v>131793.78668755104</v>
      </c>
      <c r="U9" s="6">
        <f t="shared" si="1"/>
        <v>0</v>
      </c>
      <c r="V9" s="6">
        <f t="shared" si="1"/>
        <v>0</v>
      </c>
      <c r="W9" s="6">
        <f t="shared" si="1"/>
        <v>0</v>
      </c>
      <c r="X9" s="6">
        <f t="shared" si="1"/>
        <v>0</v>
      </c>
      <c r="Y9" s="6">
        <f t="shared" si="1"/>
        <v>0</v>
      </c>
      <c r="Z9" s="6"/>
    </row>
    <row r="10" spans="1:26" x14ac:dyDescent="0.3">
      <c r="A10" s="38"/>
      <c r="B10" s="1" t="s">
        <v>7</v>
      </c>
      <c r="C10" s="10">
        <f>'Reopening Assumptions'!C7</f>
        <v>32330</v>
      </c>
      <c r="D10" s="46"/>
      <c r="E10" s="31"/>
      <c r="F10" s="20"/>
      <c r="G10" s="20"/>
      <c r="H10" s="20"/>
      <c r="I10" s="20"/>
      <c r="J10" s="20"/>
      <c r="K10" s="20"/>
      <c r="L10" s="20"/>
      <c r="M10" s="20"/>
      <c r="N10" s="20"/>
      <c r="O10" s="20"/>
      <c r="P10" s="20"/>
      <c r="Q10" s="20"/>
      <c r="R10" s="20"/>
      <c r="S10" s="20"/>
      <c r="T10" s="20"/>
      <c r="U10" s="1"/>
      <c r="V10" s="1"/>
      <c r="W10" s="1"/>
      <c r="X10" s="1"/>
      <c r="Y10" s="1"/>
      <c r="Z10" s="1"/>
    </row>
    <row r="11" spans="1:26" x14ac:dyDescent="0.3">
      <c r="B11" s="9" t="s">
        <v>8</v>
      </c>
      <c r="C11" s="10">
        <f>'Reopening Assumptions'!C8</f>
        <v>12285.4</v>
      </c>
      <c r="D11" s="11">
        <f>'Reopening Assumptions'!D8</f>
        <v>0.14884</v>
      </c>
      <c r="E11" s="32">
        <f>SUM(F11:Z11)</f>
        <v>232042.60511276891</v>
      </c>
      <c r="F11" s="21">
        <f>(C11*D11*8760)/1000</f>
        <v>16018.176279359999</v>
      </c>
      <c r="G11" s="21">
        <f>F11*'Reopening Assumptions'!$A$121</f>
        <v>15938.085397963199</v>
      </c>
      <c r="H11" s="21">
        <f>G11*'Reopening Assumptions'!$A$121</f>
        <v>15858.394970973382</v>
      </c>
      <c r="I11" s="21">
        <f>H11*'Reopening Assumptions'!$A$121</f>
        <v>15779.102996118516</v>
      </c>
      <c r="J11" s="21">
        <f>I11*'Reopening Assumptions'!$A$121</f>
        <v>15700.207481137923</v>
      </c>
      <c r="K11" s="21">
        <f>J11*'Reopening Assumptions'!$A$121</f>
        <v>15621.706443732233</v>
      </c>
      <c r="L11" s="21">
        <f>K11*'Reopening Assumptions'!$A$121</f>
        <v>15543.597911513572</v>
      </c>
      <c r="M11" s="21">
        <f>L11*'Reopening Assumptions'!$A$121</f>
        <v>15465.879921956004</v>
      </c>
      <c r="N11" s="21">
        <f>M11*'Reopening Assumptions'!$A$121</f>
        <v>15388.550522346224</v>
      </c>
      <c r="O11" s="21">
        <f>N11*'Reopening Assumptions'!$A$121</f>
        <v>15311.607769734494</v>
      </c>
      <c r="P11" s="21">
        <f>O11*'Reopening Assumptions'!$A$121</f>
        <v>15235.049730885821</v>
      </c>
      <c r="Q11" s="21">
        <f>P11*'Reopening Assumptions'!$A$121</f>
        <v>15158.874482231393</v>
      </c>
      <c r="R11" s="21">
        <f>Q11*'Reopening Assumptions'!$A$121</f>
        <v>15083.080109820236</v>
      </c>
      <c r="S11" s="21">
        <f>R11*'Reopening Assumptions'!$A$121</f>
        <v>15007.664709271134</v>
      </c>
      <c r="T11" s="21">
        <f>S11*'Reopening Assumptions'!$A$121</f>
        <v>14932.626385724778</v>
      </c>
      <c r="U11" s="12"/>
      <c r="V11" s="12"/>
      <c r="W11" s="12"/>
      <c r="X11" s="12"/>
      <c r="Y11" s="12"/>
      <c r="Z11" s="12"/>
    </row>
    <row r="12" spans="1:26" x14ac:dyDescent="0.3">
      <c r="B12" s="9" t="s">
        <v>9</v>
      </c>
      <c r="C12" s="10">
        <f>'Reopening Assumptions'!C9</f>
        <v>20044.599999999999</v>
      </c>
      <c r="D12" s="11">
        <f>'Reopening Assumptions'!D9</f>
        <v>0.15130000000000002</v>
      </c>
      <c r="E12" s="32">
        <f>SUM(F12:Z12)</f>
        <v>384853.19126169389</v>
      </c>
      <c r="F12" s="21">
        <f>(C12*D12*8760)/1000</f>
        <v>26566.872304799999</v>
      </c>
      <c r="G12" s="21">
        <f>F12*'Reopening Assumptions'!$A$121</f>
        <v>26434.037943275998</v>
      </c>
      <c r="H12" s="21">
        <f>G12*'Reopening Assumptions'!$A$121</f>
        <v>26301.867753559618</v>
      </c>
      <c r="I12" s="21">
        <f>H12*'Reopening Assumptions'!$A$121</f>
        <v>26170.358414791819</v>
      </c>
      <c r="J12" s="21">
        <f>I12*'Reopening Assumptions'!$A$121</f>
        <v>26039.506622717861</v>
      </c>
      <c r="K12" s="21">
        <f>J12*'Reopening Assumptions'!$A$121</f>
        <v>25909.30908960427</v>
      </c>
      <c r="L12" s="21">
        <f>K12*'Reopening Assumptions'!$A$121</f>
        <v>25779.762544156249</v>
      </c>
      <c r="M12" s="21">
        <f>L12*'Reopening Assumptions'!$A$121</f>
        <v>25650.863731435467</v>
      </c>
      <c r="N12" s="21">
        <f>M12*'Reopening Assumptions'!$A$121</f>
        <v>25522.609412778289</v>
      </c>
      <c r="O12" s="21">
        <f>N12*'Reopening Assumptions'!$A$121</f>
        <v>25394.996365714396</v>
      </c>
      <c r="P12" s="21">
        <f>O12*'Reopening Assumptions'!$A$121</f>
        <v>25268.021383885825</v>
      </c>
      <c r="Q12" s="21">
        <f>P12*'Reopening Assumptions'!$A$121</f>
        <v>25141.681276966396</v>
      </c>
      <c r="R12" s="21">
        <f>Q12*'Reopening Assumptions'!$A$121</f>
        <v>25015.972870581565</v>
      </c>
      <c r="S12" s="21">
        <f>R12*'Reopening Assumptions'!$A$121</f>
        <v>24890.893006228656</v>
      </c>
      <c r="T12" s="21">
        <f>S12*'Reopening Assumptions'!$A$121</f>
        <v>24766.438541197513</v>
      </c>
      <c r="U12" s="12"/>
      <c r="V12" s="12"/>
      <c r="W12" s="12"/>
      <c r="X12" s="12"/>
      <c r="Y12" s="12"/>
      <c r="Z12" s="12"/>
    </row>
    <row r="13" spans="1:26" x14ac:dyDescent="0.3">
      <c r="B13" s="1" t="s">
        <v>10</v>
      </c>
      <c r="C13" s="10">
        <f>'Reopening Assumptions'!C10</f>
        <v>84320</v>
      </c>
      <c r="D13" s="52"/>
      <c r="E13" s="31"/>
      <c r="F13" s="20"/>
      <c r="G13" s="21"/>
      <c r="H13" s="20"/>
      <c r="I13" s="20"/>
      <c r="J13" s="20"/>
      <c r="K13" s="20"/>
      <c r="L13" s="20"/>
      <c r="M13" s="20"/>
      <c r="N13" s="20"/>
      <c r="O13" s="20"/>
      <c r="P13" s="20"/>
      <c r="Q13" s="20"/>
      <c r="R13" s="20"/>
      <c r="S13" s="20"/>
      <c r="T13" s="20"/>
      <c r="U13" s="1"/>
      <c r="V13" s="1"/>
      <c r="W13" s="1"/>
      <c r="X13" s="1"/>
      <c r="Y13" s="1"/>
      <c r="Z13" s="1"/>
    </row>
    <row r="14" spans="1:26" x14ac:dyDescent="0.3">
      <c r="B14" s="9" t="s">
        <v>11</v>
      </c>
      <c r="C14" s="10">
        <f>'Reopening Assumptions'!C11</f>
        <v>32041.600000000002</v>
      </c>
      <c r="D14" s="11">
        <f>'Reopening Assumptions'!D11</f>
        <v>0.13464999999999999</v>
      </c>
      <c r="E14" s="32">
        <f>SUM(F14:Z14)</f>
        <v>547493.94724452111</v>
      </c>
      <c r="F14" s="21">
        <f>(C14*D14*8760)/1000</f>
        <v>37794.156614400003</v>
      </c>
      <c r="G14" s="21">
        <f>F14*'Reopening Assumptions'!$A$121</f>
        <v>37605.185831328003</v>
      </c>
      <c r="H14" s="21">
        <f>G14*'Reopening Assumptions'!$A$121</f>
        <v>37417.159902171363</v>
      </c>
      <c r="I14" s="21">
        <f>H14*'Reopening Assumptions'!$A$121</f>
        <v>37230.074102660503</v>
      </c>
      <c r="J14" s="21">
        <f>I14*'Reopening Assumptions'!$A$121</f>
        <v>37043.923732147203</v>
      </c>
      <c r="K14" s="21">
        <f>J14*'Reopening Assumptions'!$A$121</f>
        <v>36858.704113486463</v>
      </c>
      <c r="L14" s="21">
        <f>K14*'Reopening Assumptions'!$A$121</f>
        <v>36674.410592919034</v>
      </c>
      <c r="M14" s="21">
        <f>L14*'Reopening Assumptions'!$A$121</f>
        <v>36491.038539954439</v>
      </c>
      <c r="N14" s="21">
        <f>M14*'Reopening Assumptions'!$A$121</f>
        <v>36308.583347254666</v>
      </c>
      <c r="O14" s="21">
        <f>N14*'Reopening Assumptions'!$A$121</f>
        <v>36127.040430518391</v>
      </c>
      <c r="P14" s="21">
        <f>O14*'Reopening Assumptions'!$A$121</f>
        <v>35946.405228365802</v>
      </c>
      <c r="Q14" s="21">
        <f>P14*'Reopening Assumptions'!$A$121</f>
        <v>35766.673202223974</v>
      </c>
      <c r="R14" s="21">
        <f>Q14*'Reopening Assumptions'!$A$121</f>
        <v>35587.839836212857</v>
      </c>
      <c r="S14" s="21">
        <f>R14*'Reopening Assumptions'!$A$121</f>
        <v>35409.900637031795</v>
      </c>
      <c r="T14" s="21">
        <f>S14*'Reopening Assumptions'!$A$121</f>
        <v>35232.851133846634</v>
      </c>
      <c r="U14" s="12"/>
      <c r="V14" s="12"/>
      <c r="W14" s="12"/>
      <c r="X14" s="12"/>
      <c r="Y14" s="12"/>
      <c r="Z14" s="12"/>
    </row>
    <row r="15" spans="1:26" x14ac:dyDescent="0.3">
      <c r="B15" s="9" t="s">
        <v>9</v>
      </c>
      <c r="C15" s="10">
        <f>'Reopening Assumptions'!C12</f>
        <v>52278.400000000001</v>
      </c>
      <c r="D15" s="11">
        <f>'Reopening Assumptions'!D12</f>
        <v>0.13319</v>
      </c>
      <c r="E15" s="32">
        <f>SUM(F15:Z15)</f>
        <v>883593.83346236078</v>
      </c>
      <c r="F15" s="21">
        <f>(C15*D15*8760)/1000</f>
        <v>60995.530440960007</v>
      </c>
      <c r="G15" s="21">
        <f>F15*'Reopening Assumptions'!$A$121</f>
        <v>60690.552788755209</v>
      </c>
      <c r="H15" s="21">
        <f>G15*'Reopening Assumptions'!$A$121</f>
        <v>60387.100024811436</v>
      </c>
      <c r="I15" s="21">
        <f>H15*'Reopening Assumptions'!$A$121</f>
        <v>60085.164524687381</v>
      </c>
      <c r="J15" s="21">
        <f>I15*'Reopening Assumptions'!$A$121</f>
        <v>59784.738702063943</v>
      </c>
      <c r="K15" s="21">
        <f>J15*'Reopening Assumptions'!$A$121</f>
        <v>59485.815008553625</v>
      </c>
      <c r="L15" s="21">
        <f>K15*'Reopening Assumptions'!$A$121</f>
        <v>59188.385933510857</v>
      </c>
      <c r="M15" s="21">
        <f>L15*'Reopening Assumptions'!$A$121</f>
        <v>58892.444003843302</v>
      </c>
      <c r="N15" s="21">
        <f>M15*'Reopening Assumptions'!$A$121</f>
        <v>58597.981783824085</v>
      </c>
      <c r="O15" s="21">
        <f>N15*'Reopening Assumptions'!$A$121</f>
        <v>58304.991874904961</v>
      </c>
      <c r="P15" s="21">
        <f>O15*'Reopening Assumptions'!$A$121</f>
        <v>58013.466915530436</v>
      </c>
      <c r="Q15" s="21">
        <f>P15*'Reopening Assumptions'!$A$121</f>
        <v>57723.399580952784</v>
      </c>
      <c r="R15" s="21">
        <f>Q15*'Reopening Assumptions'!$A$121</f>
        <v>57434.782583048021</v>
      </c>
      <c r="S15" s="21">
        <f>R15*'Reopening Assumptions'!$A$121</f>
        <v>57147.60867013278</v>
      </c>
      <c r="T15" s="21">
        <f>S15*'Reopening Assumptions'!$A$121</f>
        <v>56861.870626782118</v>
      </c>
      <c r="U15" s="12"/>
      <c r="V15" s="12"/>
      <c r="W15" s="12"/>
      <c r="X15" s="12"/>
      <c r="Y15" s="12"/>
      <c r="Z15" s="12"/>
    </row>
    <row r="16" spans="1:26" x14ac:dyDescent="0.3">
      <c r="B16" s="5" t="s">
        <v>12</v>
      </c>
      <c r="C16" s="6">
        <f>'Reopening Assumptions'!C13</f>
        <v>146860</v>
      </c>
      <c r="D16" s="118"/>
      <c r="E16" s="31"/>
      <c r="F16" s="23">
        <f t="shared" ref="F16:Z16" si="2">SUM(F18:F26)</f>
        <v>128595.79450038407</v>
      </c>
      <c r="G16" s="23">
        <f t="shared" si="2"/>
        <v>127952.81552788217</v>
      </c>
      <c r="H16" s="23">
        <f t="shared" si="2"/>
        <v>127313.05145024274</v>
      </c>
      <c r="I16" s="23">
        <f t="shared" si="2"/>
        <v>126676.48619299152</v>
      </c>
      <c r="J16" s="23">
        <f t="shared" si="2"/>
        <v>126043.10376202657</v>
      </c>
      <c r="K16" s="23">
        <f t="shared" si="2"/>
        <v>125412.88824321644</v>
      </c>
      <c r="L16" s="23">
        <f t="shared" si="2"/>
        <v>124785.82380200036</v>
      </c>
      <c r="M16" s="23">
        <f t="shared" si="2"/>
        <v>124161.89468299036</v>
      </c>
      <c r="N16" s="23">
        <f t="shared" si="2"/>
        <v>123541.08520957539</v>
      </c>
      <c r="O16" s="23">
        <f t="shared" si="2"/>
        <v>122923.37978352752</v>
      </c>
      <c r="P16" s="23">
        <f t="shared" si="2"/>
        <v>122308.76288460988</v>
      </c>
      <c r="Q16" s="23">
        <f t="shared" si="2"/>
        <v>121697.21907018684</v>
      </c>
      <c r="R16" s="23">
        <f t="shared" si="2"/>
        <v>121088.7329748359</v>
      </c>
      <c r="S16" s="23">
        <f t="shared" si="2"/>
        <v>120483.28930996171</v>
      </c>
      <c r="T16" s="23">
        <f t="shared" si="2"/>
        <v>119880.8728634119</v>
      </c>
      <c r="U16" s="23">
        <f t="shared" si="2"/>
        <v>0</v>
      </c>
      <c r="V16" s="23">
        <f t="shared" si="2"/>
        <v>0</v>
      </c>
      <c r="W16" s="23">
        <f t="shared" si="2"/>
        <v>0</v>
      </c>
      <c r="X16" s="23">
        <f t="shared" si="2"/>
        <v>0</v>
      </c>
      <c r="Y16" s="23">
        <f t="shared" si="2"/>
        <v>0</v>
      </c>
      <c r="Z16" s="23">
        <f t="shared" si="2"/>
        <v>0</v>
      </c>
    </row>
    <row r="17" spans="2:26" x14ac:dyDescent="0.3">
      <c r="B17" s="1" t="s">
        <v>13</v>
      </c>
      <c r="C17" s="10">
        <f>'Reopening Assumptions'!C14</f>
        <v>42900</v>
      </c>
      <c r="D17" s="52"/>
      <c r="E17" s="31"/>
      <c r="F17" s="20"/>
      <c r="G17" s="20"/>
      <c r="H17" s="20"/>
      <c r="I17" s="20"/>
      <c r="J17" s="20"/>
      <c r="K17" s="20"/>
      <c r="L17" s="20"/>
      <c r="M17" s="20"/>
      <c r="N17" s="20"/>
      <c r="O17" s="20"/>
      <c r="P17" s="20"/>
      <c r="Q17" s="20"/>
      <c r="R17" s="20"/>
      <c r="S17" s="20"/>
      <c r="T17" s="20"/>
      <c r="U17" s="1"/>
      <c r="V17" s="1"/>
      <c r="W17" s="1"/>
      <c r="X17" s="1"/>
      <c r="Y17" s="1"/>
      <c r="Z17" s="1"/>
    </row>
    <row r="18" spans="2:26" x14ac:dyDescent="0.3">
      <c r="B18" s="9" t="s">
        <v>14</v>
      </c>
      <c r="C18" s="10">
        <f>'Reopening Assumptions'!C15</f>
        <v>3543.1049117031271</v>
      </c>
      <c r="D18" s="11">
        <f>'Reopening Assumptions'!D15</f>
        <v>0.15196999999999999</v>
      </c>
      <c r="E18" s="32">
        <f>SUM(F18:Z18)</f>
        <v>68328.304696162115</v>
      </c>
      <c r="F18" s="21">
        <f>(C18*D18*8760)/1000</f>
        <v>4716.7839240601515</v>
      </c>
      <c r="G18" s="21">
        <f>F18*'Reopening Assumptions'!$A$121</f>
        <v>4693.200004439851</v>
      </c>
      <c r="H18" s="21">
        <f>G18*'Reopening Assumptions'!$A$121</f>
        <v>4669.7340044176517</v>
      </c>
      <c r="I18" s="21">
        <f>H18*'Reopening Assumptions'!$A$121</f>
        <v>4646.3853343955634</v>
      </c>
      <c r="J18" s="21">
        <f>I18*'Reopening Assumptions'!$A$121</f>
        <v>4623.1534077235856</v>
      </c>
      <c r="K18" s="21">
        <f>J18*'Reopening Assumptions'!$A$121</f>
        <v>4600.0376406849673</v>
      </c>
      <c r="L18" s="21">
        <f>K18*'Reopening Assumptions'!$A$121</f>
        <v>4577.0374524815425</v>
      </c>
      <c r="M18" s="21">
        <f>L18*'Reopening Assumptions'!$A$121</f>
        <v>4554.1522652191343</v>
      </c>
      <c r="N18" s="21">
        <f>M18*'Reopening Assumptions'!$A$121</f>
        <v>4531.3815038930388</v>
      </c>
      <c r="O18" s="21">
        <f>N18*'Reopening Assumptions'!$A$121</f>
        <v>4508.7245963735741</v>
      </c>
      <c r="P18" s="21">
        <f>O18*'Reopening Assumptions'!$A$121</f>
        <v>4486.1809733917062</v>
      </c>
      <c r="Q18" s="21">
        <f>P18*'Reopening Assumptions'!$A$121</f>
        <v>4463.7500685247478</v>
      </c>
      <c r="R18" s="21">
        <f>Q18*'Reopening Assumptions'!$A$121</f>
        <v>4441.4313181821244</v>
      </c>
      <c r="S18" s="21">
        <f>R18*'Reopening Assumptions'!$A$121</f>
        <v>4419.2241615912135</v>
      </c>
      <c r="T18" s="21">
        <f>S18*'Reopening Assumptions'!$A$121</f>
        <v>4397.1280407832573</v>
      </c>
      <c r="U18" s="12"/>
      <c r="V18" s="12"/>
      <c r="W18" s="12"/>
      <c r="X18" s="12"/>
      <c r="Y18" s="12"/>
      <c r="Z18" s="12"/>
    </row>
    <row r="19" spans="2:26" x14ac:dyDescent="0.3">
      <c r="B19" s="9" t="s">
        <v>15</v>
      </c>
      <c r="C19" s="10">
        <f>'Reopening Assumptions'!C16</f>
        <v>2736.8796011054123</v>
      </c>
      <c r="D19" s="11">
        <f>'Reopening Assumptions'!D16</f>
        <v>0.14819000000000002</v>
      </c>
      <c r="E19" s="32">
        <f>SUM(F19:Z19)</f>
        <v>51467.534071766044</v>
      </c>
      <c r="F19" s="21">
        <f>(C19*D19*8760)/1000</f>
        <v>3552.8649276492251</v>
      </c>
      <c r="G19" s="21">
        <f>F19*'Reopening Assumptions'!$A$121</f>
        <v>3535.1006030109788</v>
      </c>
      <c r="H19" s="21">
        <f>G19*'Reopening Assumptions'!$A$121</f>
        <v>3517.425099995924</v>
      </c>
      <c r="I19" s="21">
        <f>H19*'Reopening Assumptions'!$A$121</f>
        <v>3499.8379744959443</v>
      </c>
      <c r="J19" s="21">
        <f>I19*'Reopening Assumptions'!$A$121</f>
        <v>3482.3387846234646</v>
      </c>
      <c r="K19" s="21">
        <f>J19*'Reopening Assumptions'!$A$121</f>
        <v>3464.9270907003474</v>
      </c>
      <c r="L19" s="21">
        <f>K19*'Reopening Assumptions'!$A$121</f>
        <v>3447.6024552468457</v>
      </c>
      <c r="M19" s="21">
        <f>L19*'Reopening Assumptions'!$A$121</f>
        <v>3430.3644429706114</v>
      </c>
      <c r="N19" s="21">
        <f>M19*'Reopening Assumptions'!$A$121</f>
        <v>3413.2126207557585</v>
      </c>
      <c r="O19" s="21">
        <f>N19*'Reopening Assumptions'!$A$121</f>
        <v>3396.1465576519795</v>
      </c>
      <c r="P19" s="21">
        <f>O19*'Reopening Assumptions'!$A$121</f>
        <v>3379.1658248637195</v>
      </c>
      <c r="Q19" s="21">
        <f>P19*'Reopening Assumptions'!$A$121</f>
        <v>3362.2699957394011</v>
      </c>
      <c r="R19" s="21">
        <f>Q19*'Reopening Assumptions'!$A$121</f>
        <v>3345.4586457607043</v>
      </c>
      <c r="S19" s="21">
        <f>R19*'Reopening Assumptions'!$A$121</f>
        <v>3328.7313525319009</v>
      </c>
      <c r="T19" s="21">
        <f>S19*'Reopening Assumptions'!$A$121</f>
        <v>3312.0876957692412</v>
      </c>
      <c r="U19" s="12"/>
      <c r="V19" s="12"/>
      <c r="W19" s="12"/>
      <c r="X19" s="12"/>
      <c r="Y19" s="12"/>
      <c r="Z19" s="12"/>
    </row>
    <row r="20" spans="2:26" x14ac:dyDescent="0.3">
      <c r="B20" s="9" t="s">
        <v>16</v>
      </c>
      <c r="C20" s="10">
        <f>'Reopening Assumptions'!C17</f>
        <v>6353.1604219163637</v>
      </c>
      <c r="D20" s="11">
        <f>'Reopening Assumptions'!D17</f>
        <v>0.15303</v>
      </c>
      <c r="E20" s="32">
        <f>SUM(F20:Z20)</f>
        <v>123374.43306337822</v>
      </c>
      <c r="F20" s="21">
        <f>(C20*D20*8760)/1000</f>
        <v>8516.6834608449426</v>
      </c>
      <c r="G20" s="21">
        <f>F20*'Reopening Assumptions'!$A$121</f>
        <v>8474.1000435407186</v>
      </c>
      <c r="H20" s="21">
        <f>G20*'Reopening Assumptions'!$A$121</f>
        <v>8431.7295433230156</v>
      </c>
      <c r="I20" s="21">
        <f>H20*'Reopening Assumptions'!$A$121</f>
        <v>8389.5708956064009</v>
      </c>
      <c r="J20" s="21">
        <f>I20*'Reopening Assumptions'!$A$121</f>
        <v>8347.6230411283686</v>
      </c>
      <c r="K20" s="21">
        <f>J20*'Reopening Assumptions'!$A$121</f>
        <v>8305.8849259227263</v>
      </c>
      <c r="L20" s="21">
        <f>K20*'Reopening Assumptions'!$A$121</f>
        <v>8264.355501293112</v>
      </c>
      <c r="M20" s="21">
        <f>L20*'Reopening Assumptions'!$A$121</f>
        <v>8223.0337237866461</v>
      </c>
      <c r="N20" s="21">
        <f>M20*'Reopening Assumptions'!$A$121</f>
        <v>8181.9185551677128</v>
      </c>
      <c r="O20" s="21">
        <f>N20*'Reopening Assumptions'!$A$121</f>
        <v>8141.0089623918739</v>
      </c>
      <c r="P20" s="21">
        <f>O20*'Reopening Assumptions'!$A$121</f>
        <v>8100.303917579914</v>
      </c>
      <c r="Q20" s="21">
        <f>P20*'Reopening Assumptions'!$A$121</f>
        <v>8059.8023979920144</v>
      </c>
      <c r="R20" s="21">
        <f>Q20*'Reopening Assumptions'!$A$121</f>
        <v>8019.503386002054</v>
      </c>
      <c r="S20" s="21">
        <f>R20*'Reopening Assumptions'!$A$121</f>
        <v>7979.405869072044</v>
      </c>
      <c r="T20" s="21">
        <f>S20*'Reopening Assumptions'!$A$121</f>
        <v>7939.5088397266836</v>
      </c>
      <c r="U20" s="12"/>
      <c r="V20" s="12"/>
      <c r="W20" s="12"/>
      <c r="X20" s="12"/>
      <c r="Y20" s="12"/>
      <c r="Z20" s="12"/>
    </row>
    <row r="21" spans="2:26" x14ac:dyDescent="0.3">
      <c r="B21" s="9" t="s">
        <v>35</v>
      </c>
      <c r="C21" s="10">
        <f>'Reopening Assumptions'!C18</f>
        <v>30266.76758660312</v>
      </c>
      <c r="D21" s="11">
        <f>'Reopening Assumptions'!D18</f>
        <v>0.14410999999999999</v>
      </c>
      <c r="E21" s="32">
        <f>SUM(F21:Z21)</f>
        <v>553501.66303406027</v>
      </c>
      <c r="F21" s="21">
        <f>(C21*D21*8760)/1000</f>
        <v>38208.876361691087</v>
      </c>
      <c r="G21" s="21">
        <f>F21*'Reopening Assumptions'!$A$121</f>
        <v>38017.831979882634</v>
      </c>
      <c r="H21" s="21">
        <f>G21*'Reopening Assumptions'!$A$121</f>
        <v>37827.742819983221</v>
      </c>
      <c r="I21" s="21">
        <f>H21*'Reopening Assumptions'!$A$121</f>
        <v>37638.604105883307</v>
      </c>
      <c r="J21" s="21">
        <f>I21*'Reopening Assumptions'!$A$121</f>
        <v>37450.411085353888</v>
      </c>
      <c r="K21" s="21">
        <f>J21*'Reopening Assumptions'!$A$121</f>
        <v>37263.159029927119</v>
      </c>
      <c r="L21" s="21">
        <f>K21*'Reopening Assumptions'!$A$121</f>
        <v>37076.843234777487</v>
      </c>
      <c r="M21" s="21">
        <f>L21*'Reopening Assumptions'!$A$121</f>
        <v>36891.4590186036</v>
      </c>
      <c r="N21" s="21">
        <f>M21*'Reopening Assumptions'!$A$121</f>
        <v>36707.001723510584</v>
      </c>
      <c r="O21" s="21">
        <f>N21*'Reopening Assumptions'!$A$121</f>
        <v>36523.466714893031</v>
      </c>
      <c r="P21" s="21">
        <f>O21*'Reopening Assumptions'!$A$121</f>
        <v>36340.849381318563</v>
      </c>
      <c r="Q21" s="21">
        <f>P21*'Reopening Assumptions'!$A$121</f>
        <v>36159.145134411971</v>
      </c>
      <c r="R21" s="21">
        <f>Q21*'Reopening Assumptions'!$A$121</f>
        <v>35978.349408739909</v>
      </c>
      <c r="S21" s="21">
        <f>R21*'Reopening Assumptions'!$A$121</f>
        <v>35798.457661696208</v>
      </c>
      <c r="T21" s="21">
        <f>S21*'Reopening Assumptions'!$A$121</f>
        <v>35619.465373387728</v>
      </c>
      <c r="U21" s="12"/>
      <c r="V21" s="12"/>
      <c r="W21" s="12"/>
      <c r="X21" s="12"/>
      <c r="Y21" s="12"/>
      <c r="Z21" s="12"/>
    </row>
    <row r="22" spans="2:26" x14ac:dyDescent="0.3">
      <c r="B22" s="1" t="s">
        <v>18</v>
      </c>
      <c r="C22" s="10">
        <f>'Reopening Assumptions'!C19</f>
        <v>56660</v>
      </c>
      <c r="D22" s="52"/>
      <c r="E22" s="31"/>
      <c r="F22" s="20"/>
      <c r="G22" s="21"/>
      <c r="H22" s="20"/>
      <c r="I22" s="20"/>
      <c r="J22" s="20"/>
      <c r="K22" s="20"/>
      <c r="L22" s="20"/>
      <c r="M22" s="20"/>
      <c r="N22" s="20"/>
      <c r="O22" s="20"/>
      <c r="P22" s="20"/>
      <c r="Q22" s="20"/>
      <c r="R22" s="20"/>
      <c r="S22" s="20"/>
      <c r="T22" s="20"/>
      <c r="U22" s="1"/>
      <c r="V22" s="1"/>
      <c r="W22" s="1"/>
      <c r="X22" s="1"/>
      <c r="Y22" s="1"/>
      <c r="Z22" s="1"/>
    </row>
    <row r="23" spans="2:26" x14ac:dyDescent="0.3">
      <c r="B23" s="9" t="s">
        <v>19</v>
      </c>
      <c r="C23" s="10">
        <f>'Reopening Assumptions'!C20</f>
        <v>2142.7739898910991</v>
      </c>
      <c r="D23" s="11">
        <f>'Reopening Assumptions'!D20</f>
        <v>0.14305999999999999</v>
      </c>
      <c r="E23" s="32">
        <f>SUM(F23:Z23)</f>
        <v>38900.336377992106</v>
      </c>
      <c r="F23" s="21">
        <f>(C23*D23*8760)/1000</f>
        <v>2685.3363636658687</v>
      </c>
      <c r="G23" s="21">
        <f>F23*'Reopening Assumptions'!$A$121</f>
        <v>2671.9096818475396</v>
      </c>
      <c r="H23" s="21">
        <f>G23*'Reopening Assumptions'!$A$121</f>
        <v>2658.5501334383021</v>
      </c>
      <c r="I23" s="21">
        <f>H23*'Reopening Assumptions'!$A$121</f>
        <v>2645.2573827711103</v>
      </c>
      <c r="J23" s="21">
        <f>I23*'Reopening Assumptions'!$A$121</f>
        <v>2632.031095857255</v>
      </c>
      <c r="K23" s="21">
        <f>J23*'Reopening Assumptions'!$A$121</f>
        <v>2618.8709403779685</v>
      </c>
      <c r="L23" s="21">
        <f>K23*'Reopening Assumptions'!$A$121</f>
        <v>2605.7765856760789</v>
      </c>
      <c r="M23" s="21">
        <f>L23*'Reopening Assumptions'!$A$121</f>
        <v>2592.7477027476984</v>
      </c>
      <c r="N23" s="21">
        <f>M23*'Reopening Assumptions'!$A$121</f>
        <v>2579.78396423396</v>
      </c>
      <c r="O23" s="21">
        <f>N23*'Reopening Assumptions'!$A$121</f>
        <v>2566.8850444127902</v>
      </c>
      <c r="P23" s="21">
        <f>O23*'Reopening Assumptions'!$A$121</f>
        <v>2554.0506191907261</v>
      </c>
      <c r="Q23" s="21">
        <f>P23*'Reopening Assumptions'!$A$121</f>
        <v>2541.2803660947725</v>
      </c>
      <c r="R23" s="21">
        <f>Q23*'Reopening Assumptions'!$A$121</f>
        <v>2528.5739642642984</v>
      </c>
      <c r="S23" s="21">
        <f>R23*'Reopening Assumptions'!$A$121</f>
        <v>2515.9310944429767</v>
      </c>
      <c r="T23" s="21">
        <f>S23*'Reopening Assumptions'!$A$121</f>
        <v>2503.3514389707616</v>
      </c>
      <c r="U23" s="12"/>
      <c r="V23" s="12"/>
      <c r="W23" s="12"/>
      <c r="X23" s="12"/>
      <c r="Y23" s="12"/>
      <c r="Z23" s="12"/>
    </row>
    <row r="24" spans="2:26" x14ac:dyDescent="0.3">
      <c r="B24" s="9" t="s">
        <v>15</v>
      </c>
      <c r="C24" s="10">
        <f>'Reopening Assumptions'!C21</f>
        <v>1668.5801223095068</v>
      </c>
      <c r="D24" s="11">
        <f>'Reopening Assumptions'!D21</f>
        <v>0.14176</v>
      </c>
      <c r="E24" s="32">
        <f>SUM(F24:Z24)</f>
        <v>30016.464688251439</v>
      </c>
      <c r="F24" s="21">
        <f>(C24*D24*8760)/1000</f>
        <v>2072.0721628940983</v>
      </c>
      <c r="G24" s="21">
        <f>F24*'Reopening Assumptions'!$A$121</f>
        <v>2061.7118020796279</v>
      </c>
      <c r="H24" s="21">
        <f>G24*'Reopening Assumptions'!$A$121</f>
        <v>2051.4032430692296</v>
      </c>
      <c r="I24" s="21">
        <f>H24*'Reopening Assumptions'!$A$121</f>
        <v>2041.1462268538835</v>
      </c>
      <c r="J24" s="21">
        <f>I24*'Reopening Assumptions'!$A$121</f>
        <v>2030.9404957196141</v>
      </c>
      <c r="K24" s="21">
        <f>J24*'Reopening Assumptions'!$A$121</f>
        <v>2020.7857932410161</v>
      </c>
      <c r="L24" s="21">
        <f>K24*'Reopening Assumptions'!$A$121</f>
        <v>2010.681864274811</v>
      </c>
      <c r="M24" s="21">
        <f>L24*'Reopening Assumptions'!$A$121</f>
        <v>2000.6284549534369</v>
      </c>
      <c r="N24" s="21">
        <f>M24*'Reopening Assumptions'!$A$121</f>
        <v>1990.6253126786696</v>
      </c>
      <c r="O24" s="21">
        <f>N24*'Reopening Assumptions'!$A$121</f>
        <v>1980.6721861152762</v>
      </c>
      <c r="P24" s="21">
        <f>O24*'Reopening Assumptions'!$A$121</f>
        <v>1970.7688251846998</v>
      </c>
      <c r="Q24" s="21">
        <f>P24*'Reopening Assumptions'!$A$121</f>
        <v>1960.9149810587762</v>
      </c>
      <c r="R24" s="21">
        <f>Q24*'Reopening Assumptions'!$A$121</f>
        <v>1951.1104061534822</v>
      </c>
      <c r="S24" s="21">
        <f>R24*'Reopening Assumptions'!$A$121</f>
        <v>1941.3548541227149</v>
      </c>
      <c r="T24" s="21">
        <f>S24*'Reopening Assumptions'!$A$121</f>
        <v>1931.6480798521013</v>
      </c>
      <c r="U24" s="12"/>
      <c r="V24" s="12"/>
      <c r="W24" s="12"/>
      <c r="X24" s="12"/>
      <c r="Y24" s="12"/>
      <c r="Z24" s="12"/>
    </row>
    <row r="25" spans="2:26" x14ac:dyDescent="0.3">
      <c r="B25" s="9" t="s">
        <v>16</v>
      </c>
      <c r="C25" s="10">
        <f>'Reopening Assumptions'!C22</f>
        <v>6184.3890114483747</v>
      </c>
      <c r="D25" s="11">
        <f>'Reopening Assumptions'!D22</f>
        <v>0.14119000000000001</v>
      </c>
      <c r="E25" s="32">
        <f>SUM(F25:Z25)</f>
        <v>110805.03826973235</v>
      </c>
      <c r="F25" s="21">
        <f>(C25*D25*8760)/1000</f>
        <v>7649.0032284512308</v>
      </c>
      <c r="G25" s="21">
        <f>F25*'Reopening Assumptions'!$A$121</f>
        <v>7610.7582123089751</v>
      </c>
      <c r="H25" s="21">
        <f>G25*'Reopening Assumptions'!$A$121</f>
        <v>7572.7044212474302</v>
      </c>
      <c r="I25" s="21">
        <f>H25*'Reopening Assumptions'!$A$121</f>
        <v>7534.8408991411934</v>
      </c>
      <c r="J25" s="21">
        <f>I25*'Reopening Assumptions'!$A$121</f>
        <v>7497.166694645487</v>
      </c>
      <c r="K25" s="21">
        <f>J25*'Reopening Assumptions'!$A$121</f>
        <v>7459.6808611722599</v>
      </c>
      <c r="L25" s="21">
        <f>K25*'Reopening Assumptions'!$A$121</f>
        <v>7422.3824568663986</v>
      </c>
      <c r="M25" s="21">
        <f>L25*'Reopening Assumptions'!$A$121</f>
        <v>7385.2705445820666</v>
      </c>
      <c r="N25" s="21">
        <f>M25*'Reopening Assumptions'!$A$121</f>
        <v>7348.3441918591561</v>
      </c>
      <c r="O25" s="21">
        <f>N25*'Reopening Assumptions'!$A$121</f>
        <v>7311.6024708998602</v>
      </c>
      <c r="P25" s="21">
        <f>O25*'Reopening Assumptions'!$A$121</f>
        <v>7275.0444585453606</v>
      </c>
      <c r="Q25" s="21">
        <f>P25*'Reopening Assumptions'!$A$121</f>
        <v>7238.6692362526337</v>
      </c>
      <c r="R25" s="21">
        <f>Q25*'Reopening Assumptions'!$A$121</f>
        <v>7202.4758900713705</v>
      </c>
      <c r="S25" s="21">
        <f>R25*'Reopening Assumptions'!$A$121</f>
        <v>7166.4635106210135</v>
      </c>
      <c r="T25" s="21">
        <f>S25*'Reopening Assumptions'!$A$121</f>
        <v>7130.6311930679085</v>
      </c>
      <c r="U25" s="12"/>
      <c r="V25" s="12"/>
      <c r="W25" s="12"/>
      <c r="X25" s="12"/>
      <c r="Y25" s="12"/>
      <c r="Z25" s="12"/>
    </row>
    <row r="26" spans="2:26" x14ac:dyDescent="0.3">
      <c r="B26" s="9" t="s">
        <v>37</v>
      </c>
      <c r="C26" s="10">
        <f>'Reopening Assumptions'!C23</f>
        <v>46664.237204338257</v>
      </c>
      <c r="D26" s="11">
        <f>'Reopening Assumptions'!D23</f>
        <v>0.1497</v>
      </c>
      <c r="E26" s="32">
        <f>SUM(F26:Z26)</f>
        <v>886471.42605650064</v>
      </c>
      <c r="F26" s="21">
        <f>(C26*D26*8760)/1000</f>
        <v>61194.174071127469</v>
      </c>
      <c r="G26" s="21">
        <f>F26*'Reopening Assumptions'!$A$121</f>
        <v>60888.20320077183</v>
      </c>
      <c r="H26" s="21">
        <f>G26*'Reopening Assumptions'!$A$121</f>
        <v>60583.762184767969</v>
      </c>
      <c r="I26" s="21">
        <f>H26*'Reopening Assumptions'!$A$121</f>
        <v>60280.843373844131</v>
      </c>
      <c r="J26" s="21">
        <f>I26*'Reopening Assumptions'!$A$121</f>
        <v>59979.439156974913</v>
      </c>
      <c r="K26" s="21">
        <f>J26*'Reopening Assumptions'!$A$121</f>
        <v>59679.541961190036</v>
      </c>
      <c r="L26" s="21">
        <f>K26*'Reopening Assumptions'!$A$121</f>
        <v>59381.144251384088</v>
      </c>
      <c r="M26" s="21">
        <f>L26*'Reopening Assumptions'!$A$121</f>
        <v>59084.238530127164</v>
      </c>
      <c r="N26" s="21">
        <f>M26*'Reopening Assumptions'!$A$121</f>
        <v>58788.817337476525</v>
      </c>
      <c r="O26" s="21">
        <f>N26*'Reopening Assumptions'!$A$121</f>
        <v>58494.87325078914</v>
      </c>
      <c r="P26" s="21">
        <f>O26*'Reopening Assumptions'!$A$121</f>
        <v>58202.398884535192</v>
      </c>
      <c r="Q26" s="21">
        <f>P26*'Reopening Assumptions'!$A$121</f>
        <v>57911.386890112517</v>
      </c>
      <c r="R26" s="21">
        <f>Q26*'Reopening Assumptions'!$A$121</f>
        <v>57621.829955661953</v>
      </c>
      <c r="S26" s="21">
        <f>R26*'Reopening Assumptions'!$A$121</f>
        <v>57333.72080588364</v>
      </c>
      <c r="T26" s="21">
        <f>S26*'Reopening Assumptions'!$A$121</f>
        <v>57047.052201854225</v>
      </c>
      <c r="U26" s="12"/>
      <c r="V26" s="12"/>
      <c r="W26" s="12"/>
      <c r="X26" s="12"/>
      <c r="Y26" s="12"/>
      <c r="Z26" s="12"/>
    </row>
    <row r="27" spans="2:26" x14ac:dyDescent="0.3">
      <c r="B27" s="5" t="s">
        <v>21</v>
      </c>
      <c r="C27" s="6">
        <f>'Reopening Assumptions'!C24</f>
        <v>250000</v>
      </c>
      <c r="D27" s="118"/>
      <c r="E27" s="31"/>
      <c r="F27" s="23">
        <f t="shared" ref="F27:Z27" si="3">SUM(F28:F29)</f>
        <v>0</v>
      </c>
      <c r="G27" s="23">
        <f t="shared" si="3"/>
        <v>370263.3</v>
      </c>
      <c r="H27" s="23">
        <f t="shared" si="3"/>
        <v>368411.98349999997</v>
      </c>
      <c r="I27" s="23">
        <f t="shared" si="3"/>
        <v>366569.92358249996</v>
      </c>
      <c r="J27" s="23">
        <f t="shared" si="3"/>
        <v>364737.07396458747</v>
      </c>
      <c r="K27" s="23">
        <f t="shared" si="3"/>
        <v>362913.38859476452</v>
      </c>
      <c r="L27" s="23">
        <f t="shared" si="3"/>
        <v>361098.8216517907</v>
      </c>
      <c r="M27" s="23">
        <f t="shared" si="3"/>
        <v>359293.32754353178</v>
      </c>
      <c r="N27" s="23">
        <f t="shared" si="3"/>
        <v>357496.8609058141</v>
      </c>
      <c r="O27" s="23">
        <f t="shared" si="3"/>
        <v>355709.37660128501</v>
      </c>
      <c r="P27" s="23">
        <f t="shared" si="3"/>
        <v>353930.8297182786</v>
      </c>
      <c r="Q27" s="23">
        <f t="shared" si="3"/>
        <v>352161.17556968716</v>
      </c>
      <c r="R27" s="23">
        <f t="shared" si="3"/>
        <v>350400.36969183874</v>
      </c>
      <c r="S27" s="23">
        <f t="shared" si="3"/>
        <v>348648.36784337956</v>
      </c>
      <c r="T27" s="23">
        <f t="shared" si="3"/>
        <v>346905.12600416265</v>
      </c>
      <c r="U27" s="23">
        <f t="shared" si="3"/>
        <v>345170.60037414182</v>
      </c>
      <c r="V27" s="23">
        <f t="shared" si="3"/>
        <v>343444.74737227114</v>
      </c>
      <c r="W27" s="23">
        <f t="shared" si="3"/>
        <v>341727.52363540977</v>
      </c>
      <c r="X27" s="23">
        <f t="shared" si="3"/>
        <v>340018.88601723273</v>
      </c>
      <c r="Y27" s="23">
        <f t="shared" si="3"/>
        <v>338318.79158714658</v>
      </c>
      <c r="Z27" s="23">
        <f t="shared" si="3"/>
        <v>336627.19762921083</v>
      </c>
    </row>
    <row r="28" spans="2:26" x14ac:dyDescent="0.3">
      <c r="B28" s="1" t="s">
        <v>22</v>
      </c>
      <c r="C28" s="10">
        <f>'Reopening Assumptions'!C25</f>
        <v>75000</v>
      </c>
      <c r="D28" s="11">
        <f>'Reopening Assumptions'!D31</f>
        <v>0.16907</v>
      </c>
      <c r="E28" s="32">
        <f>SUM(F28:Z28)</f>
        <v>2119154.3015361098</v>
      </c>
      <c r="F28" s="21"/>
      <c r="G28" s="21">
        <f>(($C28*$D28)*8760)/1000</f>
        <v>111078.99</v>
      </c>
      <c r="H28" s="21">
        <f>G28*'Reopening Assumptions'!$A$121</f>
        <v>110523.59505</v>
      </c>
      <c r="I28" s="21">
        <f>H28*'Reopening Assumptions'!$A$121</f>
        <v>109970.97707475</v>
      </c>
      <c r="J28" s="21">
        <f>I28*'Reopening Assumptions'!$A$121</f>
        <v>109421.12218937626</v>
      </c>
      <c r="K28" s="21">
        <f>J28*'Reopening Assumptions'!$A$121</f>
        <v>108874.01657842938</v>
      </c>
      <c r="L28" s="21">
        <f>K28*'Reopening Assumptions'!$A$121</f>
        <v>108329.64649553724</v>
      </c>
      <c r="M28" s="21">
        <f>L28*'Reopening Assumptions'!$A$121</f>
        <v>107787.99826305955</v>
      </c>
      <c r="N28" s="21">
        <f>M28*'Reopening Assumptions'!$A$121</f>
        <v>107249.05827174424</v>
      </c>
      <c r="O28" s="21">
        <f>N28*'Reopening Assumptions'!$A$121</f>
        <v>106712.81298038553</v>
      </c>
      <c r="P28" s="21">
        <f>O28*'Reopening Assumptions'!$A$121</f>
        <v>106179.24891548359</v>
      </c>
      <c r="Q28" s="21">
        <f>P28*'Reopening Assumptions'!$A$121</f>
        <v>105648.35267090617</v>
      </c>
      <c r="R28" s="21">
        <f>Q28*'Reopening Assumptions'!$A$121</f>
        <v>105120.11090755164</v>
      </c>
      <c r="S28" s="21">
        <f>R28*'Reopening Assumptions'!$A$121</f>
        <v>104594.51035301389</v>
      </c>
      <c r="T28" s="21">
        <f>S28*'Reopening Assumptions'!$A$121</f>
        <v>104071.53780124882</v>
      </c>
      <c r="U28" s="21">
        <f>T28*'Reopening Assumptions'!$A$121</f>
        <v>103551.18011224258</v>
      </c>
      <c r="V28" s="21">
        <f>U28*'Reopening Assumptions'!$A$121</f>
        <v>103033.42421168137</v>
      </c>
      <c r="W28" s="21">
        <f>V28*'Reopening Assumptions'!$A$121</f>
        <v>102518.25709062297</v>
      </c>
      <c r="X28" s="21">
        <f>W28*'Reopening Assumptions'!$A$121</f>
        <v>102005.66580516985</v>
      </c>
      <c r="Y28" s="21">
        <f>X28*'Reopening Assumptions'!$A$121</f>
        <v>101495.63747614399</v>
      </c>
      <c r="Z28" s="21">
        <f>Y28*'Reopening Assumptions'!$A$121</f>
        <v>100988.15928876327</v>
      </c>
    </row>
    <row r="29" spans="2:26" x14ac:dyDescent="0.3">
      <c r="B29" s="1" t="s">
        <v>24</v>
      </c>
      <c r="C29" s="10">
        <f>'Reopening Assumptions'!C33</f>
        <v>175000</v>
      </c>
      <c r="D29" s="11">
        <f>'Reopening Assumptions'!D39</f>
        <v>0.16907</v>
      </c>
      <c r="E29" s="32">
        <f>SUM(F29:Z29)</f>
        <v>4944693.3702509226</v>
      </c>
      <c r="F29" s="21"/>
      <c r="G29" s="21">
        <f>(($C29*$D29)*8760)/1000</f>
        <v>259184.31</v>
      </c>
      <c r="H29" s="21">
        <f>G29*'Reopening Assumptions'!$A$121</f>
        <v>257888.38845</v>
      </c>
      <c r="I29" s="21">
        <f>H29*'Reopening Assumptions'!$A$121</f>
        <v>256598.94650774999</v>
      </c>
      <c r="J29" s="21">
        <f>I29*'Reopening Assumptions'!$A$121</f>
        <v>255315.95177521123</v>
      </c>
      <c r="K29" s="21">
        <f>J29*'Reopening Assumptions'!$A$121</f>
        <v>254039.37201633517</v>
      </c>
      <c r="L29" s="21">
        <f>K29*'Reopening Assumptions'!$A$121</f>
        <v>252769.17515625348</v>
      </c>
      <c r="M29" s="21">
        <f>L29*'Reopening Assumptions'!$A$121</f>
        <v>251505.32928047222</v>
      </c>
      <c r="N29" s="21">
        <f>M29*'Reopening Assumptions'!$A$121</f>
        <v>250247.80263406984</v>
      </c>
      <c r="O29" s="21">
        <f>N29*'Reopening Assumptions'!$A$121</f>
        <v>248996.56362089948</v>
      </c>
      <c r="P29" s="21">
        <f>O29*'Reopening Assumptions'!$A$121</f>
        <v>247751.58080279498</v>
      </c>
      <c r="Q29" s="21">
        <f>P29*'Reopening Assumptions'!$A$121</f>
        <v>246512.82289878101</v>
      </c>
      <c r="R29" s="21">
        <f>Q29*'Reopening Assumptions'!$A$121</f>
        <v>245280.25878428711</v>
      </c>
      <c r="S29" s="21">
        <f>R29*'Reopening Assumptions'!$A$121</f>
        <v>244053.85749036568</v>
      </c>
      <c r="T29" s="21">
        <f>S29*'Reopening Assumptions'!$A$121</f>
        <v>242833.58820291384</v>
      </c>
      <c r="U29" s="21">
        <f>T29*'Reopening Assumptions'!$A$121</f>
        <v>241619.42026189927</v>
      </c>
      <c r="V29" s="21">
        <f>U29*'Reopening Assumptions'!$A$121</f>
        <v>240411.32316058976</v>
      </c>
      <c r="W29" s="21">
        <f>V29*'Reopening Assumptions'!$A$121</f>
        <v>239209.26654478681</v>
      </c>
      <c r="X29" s="21">
        <f>W29*'Reopening Assumptions'!$A$121</f>
        <v>238013.22021206288</v>
      </c>
      <c r="Y29" s="21">
        <f>X29*'Reopening Assumptions'!$A$121</f>
        <v>236823.15411100257</v>
      </c>
      <c r="Z29" s="21">
        <f>Y29*'Reopening Assumptions'!$A$121</f>
        <v>235639.03834044756</v>
      </c>
    </row>
    <row r="30" spans="2:26" x14ac:dyDescent="0.3">
      <c r="B30" s="5" t="s">
        <v>25</v>
      </c>
      <c r="C30" s="6">
        <f>'Reopening Assumptions'!C41</f>
        <v>650</v>
      </c>
      <c r="D30" s="118"/>
      <c r="E30" s="31"/>
      <c r="F30" s="23">
        <f t="shared" ref="F30:Z30" si="4">SUM(F31:F42)</f>
        <v>962.68457999999987</v>
      </c>
      <c r="G30" s="23">
        <f t="shared" si="4"/>
        <v>957.87115709999989</v>
      </c>
      <c r="H30" s="23">
        <f t="shared" si="4"/>
        <v>953.0818013144999</v>
      </c>
      <c r="I30" s="23">
        <f t="shared" si="4"/>
        <v>948.31639230792734</v>
      </c>
      <c r="J30" s="23">
        <f t="shared" si="4"/>
        <v>943.57481034638784</v>
      </c>
      <c r="K30" s="23">
        <f t="shared" si="4"/>
        <v>938.85693629465584</v>
      </c>
      <c r="L30" s="23">
        <f t="shared" si="4"/>
        <v>934.16265161318245</v>
      </c>
      <c r="M30" s="23">
        <f t="shared" si="4"/>
        <v>929.49183835511656</v>
      </c>
      <c r="N30" s="23">
        <f t="shared" si="4"/>
        <v>924.84437916334093</v>
      </c>
      <c r="O30" s="23">
        <f t="shared" si="4"/>
        <v>920.22015726752431</v>
      </c>
      <c r="P30" s="23">
        <f t="shared" si="4"/>
        <v>915.61905648118682</v>
      </c>
      <c r="Q30" s="23">
        <f t="shared" si="4"/>
        <v>911.04096119878079</v>
      </c>
      <c r="R30" s="23">
        <f t="shared" si="4"/>
        <v>906.48575639278693</v>
      </c>
      <c r="S30" s="23">
        <f t="shared" si="4"/>
        <v>901.95332761082295</v>
      </c>
      <c r="T30" s="23">
        <f t="shared" si="4"/>
        <v>897.44356097276886</v>
      </c>
      <c r="U30" s="23">
        <f t="shared" si="4"/>
        <v>892.95634316790506</v>
      </c>
      <c r="V30" s="23">
        <f t="shared" si="4"/>
        <v>888.49156145206541</v>
      </c>
      <c r="W30" s="23">
        <f t="shared" si="4"/>
        <v>884.04910364480509</v>
      </c>
      <c r="X30" s="23">
        <f t="shared" si="4"/>
        <v>879.62885812658124</v>
      </c>
      <c r="Y30" s="23">
        <f t="shared" si="4"/>
        <v>875.23071383594834</v>
      </c>
      <c r="Z30" s="23">
        <f t="shared" si="4"/>
        <v>0</v>
      </c>
    </row>
    <row r="31" spans="2:26" x14ac:dyDescent="0.3">
      <c r="B31" s="1" t="s">
        <v>26</v>
      </c>
      <c r="C31" s="10">
        <f>'Reopening Assumptions'!C42</f>
        <v>0</v>
      </c>
      <c r="D31" s="52"/>
      <c r="E31" s="32"/>
      <c r="F31" s="21"/>
      <c r="G31" s="21"/>
      <c r="H31" s="21"/>
      <c r="I31" s="21"/>
      <c r="J31" s="21"/>
      <c r="K31" s="21"/>
      <c r="L31" s="21"/>
      <c r="M31" s="21"/>
      <c r="N31" s="21"/>
      <c r="O31" s="21"/>
      <c r="P31" s="21"/>
      <c r="Q31" s="21"/>
      <c r="R31" s="21"/>
      <c r="S31" s="21"/>
      <c r="T31" s="21"/>
      <c r="U31" s="12"/>
      <c r="V31" s="22"/>
      <c r="W31" s="22"/>
      <c r="X31" s="22"/>
      <c r="Y31" s="22"/>
      <c r="Z31" s="22"/>
    </row>
    <row r="32" spans="2:26" x14ac:dyDescent="0.3">
      <c r="B32" s="9" t="s">
        <v>27</v>
      </c>
      <c r="C32" s="10">
        <f>'Reopening Assumptions'!C43</f>
        <v>0</v>
      </c>
      <c r="D32" s="11">
        <f>'Reopening Assumptions'!D43</f>
        <v>0.16907</v>
      </c>
      <c r="E32" s="32">
        <f>SUM(F32:Z32)</f>
        <v>0</v>
      </c>
      <c r="F32" s="21">
        <f>(C32*D32*8760)/1000</f>
        <v>0</v>
      </c>
      <c r="G32" s="21">
        <f>F32*'Reopening Assumptions'!$A$121</f>
        <v>0</v>
      </c>
      <c r="H32" s="21">
        <f>G32*'Reopening Assumptions'!$A$121</f>
        <v>0</v>
      </c>
      <c r="I32" s="21">
        <f>H32*'Reopening Assumptions'!$A$121</f>
        <v>0</v>
      </c>
      <c r="J32" s="21">
        <f>I32*'Reopening Assumptions'!$A$121</f>
        <v>0</v>
      </c>
      <c r="K32" s="21">
        <f>J32*'Reopening Assumptions'!$A$121</f>
        <v>0</v>
      </c>
      <c r="L32" s="21">
        <f>K32*'Reopening Assumptions'!$A$121</f>
        <v>0</v>
      </c>
      <c r="M32" s="21">
        <f>L32*'Reopening Assumptions'!$A$121</f>
        <v>0</v>
      </c>
      <c r="N32" s="21">
        <f>M32*'Reopening Assumptions'!$A$121</f>
        <v>0</v>
      </c>
      <c r="O32" s="21">
        <f>N32*'Reopening Assumptions'!$A$121</f>
        <v>0</v>
      </c>
      <c r="P32" s="21">
        <f>O32*'Reopening Assumptions'!$A$121</f>
        <v>0</v>
      </c>
      <c r="Q32" s="21">
        <f>P32*'Reopening Assumptions'!$A$121</f>
        <v>0</v>
      </c>
      <c r="R32" s="21">
        <f>Q32*'Reopening Assumptions'!$A$121</f>
        <v>0</v>
      </c>
      <c r="S32" s="21">
        <f>R32*'Reopening Assumptions'!$A$121</f>
        <v>0</v>
      </c>
      <c r="T32" s="21">
        <f>S32*'Reopening Assumptions'!$A$121</f>
        <v>0</v>
      </c>
      <c r="U32" s="21">
        <f>T32*'Reopening Assumptions'!$A$121</f>
        <v>0</v>
      </c>
      <c r="V32" s="21">
        <f>U32*'Reopening Assumptions'!$A$121</f>
        <v>0</v>
      </c>
      <c r="W32" s="21">
        <f>V32*'Reopening Assumptions'!$A$121</f>
        <v>0</v>
      </c>
      <c r="X32" s="21">
        <f>W32*'Reopening Assumptions'!$A$121</f>
        <v>0</v>
      </c>
      <c r="Y32" s="21">
        <f>X32*'Reopening Assumptions'!$A$121</f>
        <v>0</v>
      </c>
      <c r="Z32" s="22"/>
    </row>
    <row r="33" spans="2:26" x14ac:dyDescent="0.3">
      <c r="B33" s="9" t="s">
        <v>19</v>
      </c>
      <c r="C33" s="10">
        <f>'Reopening Assumptions'!C44</f>
        <v>0</v>
      </c>
      <c r="D33" s="11">
        <f>'Reopening Assumptions'!D44</f>
        <v>0.16907</v>
      </c>
      <c r="E33" s="32">
        <f>SUM(F33:Z33)</f>
        <v>0</v>
      </c>
      <c r="F33" s="21">
        <f>(C33*D33*8760)/1000</f>
        <v>0</v>
      </c>
      <c r="G33" s="21">
        <f>F33*'Reopening Assumptions'!$A$121</f>
        <v>0</v>
      </c>
      <c r="H33" s="21">
        <f>G33*'Reopening Assumptions'!$A$121</f>
        <v>0</v>
      </c>
      <c r="I33" s="21">
        <f>H33*'Reopening Assumptions'!$A$121</f>
        <v>0</v>
      </c>
      <c r="J33" s="21">
        <f>I33*'Reopening Assumptions'!$A$121</f>
        <v>0</v>
      </c>
      <c r="K33" s="21">
        <f>J33*'Reopening Assumptions'!$A$121</f>
        <v>0</v>
      </c>
      <c r="L33" s="21">
        <f>K33*'Reopening Assumptions'!$A$121</f>
        <v>0</v>
      </c>
      <c r="M33" s="21">
        <f>L33*'Reopening Assumptions'!$A$121</f>
        <v>0</v>
      </c>
      <c r="N33" s="21">
        <f>M33*'Reopening Assumptions'!$A$121</f>
        <v>0</v>
      </c>
      <c r="O33" s="21">
        <f>N33*'Reopening Assumptions'!$A$121</f>
        <v>0</v>
      </c>
      <c r="P33" s="21">
        <f>O33*'Reopening Assumptions'!$A$121</f>
        <v>0</v>
      </c>
      <c r="Q33" s="21">
        <f>P33*'Reopening Assumptions'!$A$121</f>
        <v>0</v>
      </c>
      <c r="R33" s="21">
        <f>Q33*'Reopening Assumptions'!$A$121</f>
        <v>0</v>
      </c>
      <c r="S33" s="21">
        <f>R33*'Reopening Assumptions'!$A$121</f>
        <v>0</v>
      </c>
      <c r="T33" s="21">
        <f>S33*'Reopening Assumptions'!$A$121</f>
        <v>0</v>
      </c>
      <c r="U33" s="21">
        <f>T33*'Reopening Assumptions'!$A$121</f>
        <v>0</v>
      </c>
      <c r="V33" s="21">
        <f>U33*'Reopening Assumptions'!$A$121</f>
        <v>0</v>
      </c>
      <c r="W33" s="21">
        <f>V33*'Reopening Assumptions'!$A$121</f>
        <v>0</v>
      </c>
      <c r="X33" s="21">
        <f>W33*'Reopening Assumptions'!$A$121</f>
        <v>0</v>
      </c>
      <c r="Y33" s="21">
        <f>X33*'Reopening Assumptions'!$A$121</f>
        <v>0</v>
      </c>
      <c r="Z33" s="22"/>
    </row>
    <row r="34" spans="2:26" x14ac:dyDescent="0.3">
      <c r="B34" s="9" t="s">
        <v>15</v>
      </c>
      <c r="C34" s="10">
        <f>'Reopening Assumptions'!C45</f>
        <v>0</v>
      </c>
      <c r="D34" s="11">
        <f>'Reopening Assumptions'!D45</f>
        <v>0.16907</v>
      </c>
      <c r="E34" s="32">
        <f>SUM(F34:Z34)</f>
        <v>0</v>
      </c>
      <c r="F34" s="21">
        <f>(C34*D34*8760)/1000</f>
        <v>0</v>
      </c>
      <c r="G34" s="21">
        <f>F34*'Reopening Assumptions'!$A$121</f>
        <v>0</v>
      </c>
      <c r="H34" s="21">
        <f>G34*'Reopening Assumptions'!$A$121</f>
        <v>0</v>
      </c>
      <c r="I34" s="21">
        <f>H34*'Reopening Assumptions'!$A$121</f>
        <v>0</v>
      </c>
      <c r="J34" s="21">
        <f>I34*'Reopening Assumptions'!$A$121</f>
        <v>0</v>
      </c>
      <c r="K34" s="21">
        <f>J34*'Reopening Assumptions'!$A$121</f>
        <v>0</v>
      </c>
      <c r="L34" s="21">
        <f>K34*'Reopening Assumptions'!$A$121</f>
        <v>0</v>
      </c>
      <c r="M34" s="21">
        <f>L34*'Reopening Assumptions'!$A$121</f>
        <v>0</v>
      </c>
      <c r="N34" s="21">
        <f>M34*'Reopening Assumptions'!$A$121</f>
        <v>0</v>
      </c>
      <c r="O34" s="21">
        <f>N34*'Reopening Assumptions'!$A$121</f>
        <v>0</v>
      </c>
      <c r="P34" s="21">
        <f>O34*'Reopening Assumptions'!$A$121</f>
        <v>0</v>
      </c>
      <c r="Q34" s="21">
        <f>P34*'Reopening Assumptions'!$A$121</f>
        <v>0</v>
      </c>
      <c r="R34" s="21">
        <f>Q34*'Reopening Assumptions'!$A$121</f>
        <v>0</v>
      </c>
      <c r="S34" s="21">
        <f>R34*'Reopening Assumptions'!$A$121</f>
        <v>0</v>
      </c>
      <c r="T34" s="21">
        <f>S34*'Reopening Assumptions'!$A$121</f>
        <v>0</v>
      </c>
      <c r="U34" s="21">
        <f>T34*'Reopening Assumptions'!$A$121</f>
        <v>0</v>
      </c>
      <c r="V34" s="21">
        <f>U34*'Reopening Assumptions'!$A$121</f>
        <v>0</v>
      </c>
      <c r="W34" s="21">
        <f>V34*'Reopening Assumptions'!$A$121</f>
        <v>0</v>
      </c>
      <c r="X34" s="21">
        <f>W34*'Reopening Assumptions'!$A$121</f>
        <v>0</v>
      </c>
      <c r="Y34" s="21">
        <f>X34*'Reopening Assumptions'!$A$121</f>
        <v>0</v>
      </c>
      <c r="Z34" s="22"/>
    </row>
    <row r="35" spans="2:26" x14ac:dyDescent="0.3">
      <c r="B35" s="9" t="s">
        <v>16</v>
      </c>
      <c r="C35" s="10">
        <f>'Reopening Assumptions'!C46</f>
        <v>0</v>
      </c>
      <c r="D35" s="11">
        <f>'Reopening Assumptions'!D46</f>
        <v>0.16907</v>
      </c>
      <c r="E35" s="32">
        <f>SUM(F35:Z35)</f>
        <v>0</v>
      </c>
      <c r="F35" s="21">
        <f>(C35*D35*8760)/1000</f>
        <v>0</v>
      </c>
      <c r="G35" s="21">
        <f>F35*'Reopening Assumptions'!$A$121</f>
        <v>0</v>
      </c>
      <c r="H35" s="21">
        <f>G35*'Reopening Assumptions'!$A$121</f>
        <v>0</v>
      </c>
      <c r="I35" s="21">
        <f>H35*'Reopening Assumptions'!$A$121</f>
        <v>0</v>
      </c>
      <c r="J35" s="21">
        <f>I35*'Reopening Assumptions'!$A$121</f>
        <v>0</v>
      </c>
      <c r="K35" s="21">
        <f>J35*'Reopening Assumptions'!$A$121</f>
        <v>0</v>
      </c>
      <c r="L35" s="21">
        <f>K35*'Reopening Assumptions'!$A$121</f>
        <v>0</v>
      </c>
      <c r="M35" s="21">
        <f>L35*'Reopening Assumptions'!$A$121</f>
        <v>0</v>
      </c>
      <c r="N35" s="21">
        <f>M35*'Reopening Assumptions'!$A$121</f>
        <v>0</v>
      </c>
      <c r="O35" s="21">
        <f>N35*'Reopening Assumptions'!$A$121</f>
        <v>0</v>
      </c>
      <c r="P35" s="21">
        <f>O35*'Reopening Assumptions'!$A$121</f>
        <v>0</v>
      </c>
      <c r="Q35" s="21">
        <f>P35*'Reopening Assumptions'!$A$121</f>
        <v>0</v>
      </c>
      <c r="R35" s="21">
        <f>Q35*'Reopening Assumptions'!$A$121</f>
        <v>0</v>
      </c>
      <c r="S35" s="21">
        <f>R35*'Reopening Assumptions'!$A$121</f>
        <v>0</v>
      </c>
      <c r="T35" s="21">
        <f>S35*'Reopening Assumptions'!$A$121</f>
        <v>0</v>
      </c>
      <c r="U35" s="21">
        <f>T35*'Reopening Assumptions'!$A$121</f>
        <v>0</v>
      </c>
      <c r="V35" s="21">
        <f>U35*'Reopening Assumptions'!$A$121</f>
        <v>0</v>
      </c>
      <c r="W35" s="21">
        <f>V35*'Reopening Assumptions'!$A$121</f>
        <v>0</v>
      </c>
      <c r="X35" s="21">
        <f>W35*'Reopening Assumptions'!$A$121</f>
        <v>0</v>
      </c>
      <c r="Y35" s="21">
        <f>X35*'Reopening Assumptions'!$A$121</f>
        <v>0</v>
      </c>
      <c r="Z35" s="22"/>
    </row>
    <row r="36" spans="2:26" x14ac:dyDescent="0.3">
      <c r="B36" s="9" t="s">
        <v>37</v>
      </c>
      <c r="C36" s="10">
        <f>'Reopening Assumptions'!C47</f>
        <v>0</v>
      </c>
      <c r="D36" s="11">
        <f>'Reopening Assumptions'!D47</f>
        <v>0.16907</v>
      </c>
      <c r="E36" s="32">
        <f>SUM(F36:Z36)</f>
        <v>0</v>
      </c>
      <c r="F36" s="21">
        <f>(C36*D36*8760)/1000</f>
        <v>0</v>
      </c>
      <c r="G36" s="21">
        <f>F36*'Reopening Assumptions'!$A$121</f>
        <v>0</v>
      </c>
      <c r="H36" s="21">
        <f>G36*'Reopening Assumptions'!$A$121</f>
        <v>0</v>
      </c>
      <c r="I36" s="21">
        <f>H36*'Reopening Assumptions'!$A$121</f>
        <v>0</v>
      </c>
      <c r="J36" s="21">
        <f>I36*'Reopening Assumptions'!$A$121</f>
        <v>0</v>
      </c>
      <c r="K36" s="21">
        <f>J36*'Reopening Assumptions'!$A$121</f>
        <v>0</v>
      </c>
      <c r="L36" s="21">
        <f>K36*'Reopening Assumptions'!$A$121</f>
        <v>0</v>
      </c>
      <c r="M36" s="21">
        <f>L36*'Reopening Assumptions'!$A$121</f>
        <v>0</v>
      </c>
      <c r="N36" s="21">
        <f>M36*'Reopening Assumptions'!$A$121</f>
        <v>0</v>
      </c>
      <c r="O36" s="21">
        <f>N36*'Reopening Assumptions'!$A$121</f>
        <v>0</v>
      </c>
      <c r="P36" s="21">
        <f>O36*'Reopening Assumptions'!$A$121</f>
        <v>0</v>
      </c>
      <c r="Q36" s="21">
        <f>P36*'Reopening Assumptions'!$A$121</f>
        <v>0</v>
      </c>
      <c r="R36" s="21">
        <f>Q36*'Reopening Assumptions'!$A$121</f>
        <v>0</v>
      </c>
      <c r="S36" s="21">
        <f>R36*'Reopening Assumptions'!$A$121</f>
        <v>0</v>
      </c>
      <c r="T36" s="21">
        <f>S36*'Reopening Assumptions'!$A$121</f>
        <v>0</v>
      </c>
      <c r="U36" s="21">
        <f>T36*'Reopening Assumptions'!$A$121</f>
        <v>0</v>
      </c>
      <c r="V36" s="21">
        <f>U36*'Reopening Assumptions'!$A$121</f>
        <v>0</v>
      </c>
      <c r="W36" s="21">
        <f>V36*'Reopening Assumptions'!$A$121</f>
        <v>0</v>
      </c>
      <c r="X36" s="21">
        <f>W36*'Reopening Assumptions'!$A$121</f>
        <v>0</v>
      </c>
      <c r="Y36" s="21">
        <f>X36*'Reopening Assumptions'!$A$121</f>
        <v>0</v>
      </c>
      <c r="Z36" s="22"/>
    </row>
    <row r="37" spans="2:26" x14ac:dyDescent="0.3">
      <c r="B37" s="1" t="s">
        <v>28</v>
      </c>
      <c r="C37" s="10">
        <f>'Reopening Assumptions'!C48</f>
        <v>650</v>
      </c>
      <c r="D37" s="52"/>
      <c r="E37" s="32"/>
      <c r="F37" s="21"/>
      <c r="G37" s="21"/>
      <c r="H37" s="21"/>
      <c r="I37" s="21"/>
      <c r="J37" s="21"/>
      <c r="K37" s="21"/>
      <c r="L37" s="21"/>
      <c r="M37" s="21"/>
      <c r="N37" s="21"/>
      <c r="O37" s="21"/>
      <c r="P37" s="21"/>
      <c r="Q37" s="21"/>
      <c r="R37" s="21"/>
      <c r="S37" s="21"/>
      <c r="T37" s="21"/>
      <c r="U37" s="21"/>
      <c r="V37" s="21"/>
      <c r="W37" s="21"/>
      <c r="X37" s="21"/>
      <c r="Y37" s="21"/>
      <c r="Z37" s="22"/>
    </row>
    <row r="38" spans="2:26" x14ac:dyDescent="0.3">
      <c r="B38" s="9" t="s">
        <v>27</v>
      </c>
      <c r="C38" s="10">
        <f>'Reopening Assumptions'!C49</f>
        <v>30.092592592592592</v>
      </c>
      <c r="D38" s="11">
        <f>'Reopening Assumptions'!D49</f>
        <v>0.16907</v>
      </c>
      <c r="E38" s="32">
        <f>SUM(F38:Z38)</f>
        <v>850.27796049288384</v>
      </c>
      <c r="F38" s="21">
        <f>(C38*D38*8760)/1000</f>
        <v>44.568730555555561</v>
      </c>
      <c r="G38" s="21">
        <f>F38*'Reopening Assumptions'!$A$121</f>
        <v>44.345886902777785</v>
      </c>
      <c r="H38" s="21">
        <f>G38*'Reopening Assumptions'!$A$121</f>
        <v>44.124157468263896</v>
      </c>
      <c r="I38" s="21">
        <f>H38*'Reopening Assumptions'!$A$121</f>
        <v>43.903536680922578</v>
      </c>
      <c r="J38" s="21">
        <f>I38*'Reopening Assumptions'!$A$121</f>
        <v>43.684018997517967</v>
      </c>
      <c r="K38" s="21">
        <f>J38*'Reopening Assumptions'!$A$121</f>
        <v>43.465598902530374</v>
      </c>
      <c r="L38" s="21">
        <f>K38*'Reopening Assumptions'!$A$121</f>
        <v>43.248270908017723</v>
      </c>
      <c r="M38" s="21">
        <f>L38*'Reopening Assumptions'!$A$121</f>
        <v>43.032029553477635</v>
      </c>
      <c r="N38" s="21">
        <f>M38*'Reopening Assumptions'!$A$121</f>
        <v>42.81686940571025</v>
      </c>
      <c r="O38" s="21">
        <f>N38*'Reopening Assumptions'!$A$121</f>
        <v>42.602785058681697</v>
      </c>
      <c r="P38" s="21">
        <f>O38*'Reopening Assumptions'!$A$121</f>
        <v>42.389771133388287</v>
      </c>
      <c r="Q38" s="21">
        <f>P38*'Reopening Assumptions'!$A$121</f>
        <v>42.177822277721347</v>
      </c>
      <c r="R38" s="21">
        <f>Q38*'Reopening Assumptions'!$A$121</f>
        <v>41.966933166332737</v>
      </c>
      <c r="S38" s="21">
        <f>R38*'Reopening Assumptions'!$A$121</f>
        <v>41.757098500501073</v>
      </c>
      <c r="T38" s="21">
        <f>S38*'Reopening Assumptions'!$A$121</f>
        <v>41.548313007998566</v>
      </c>
      <c r="U38" s="21">
        <f>T38*'Reopening Assumptions'!$A$121</f>
        <v>41.34057144295857</v>
      </c>
      <c r="V38" s="21">
        <f>U38*'Reopening Assumptions'!$A$121</f>
        <v>41.133868585743777</v>
      </c>
      <c r="W38" s="21">
        <f>V38*'Reopening Assumptions'!$A$121</f>
        <v>40.928199242815055</v>
      </c>
      <c r="X38" s="21">
        <f>W38*'Reopening Assumptions'!$A$121</f>
        <v>40.72355824660098</v>
      </c>
      <c r="Y38" s="21">
        <f>X38*'Reopening Assumptions'!$A$121</f>
        <v>40.519940455367973</v>
      </c>
      <c r="Z38" s="22"/>
    </row>
    <row r="39" spans="2:26" x14ac:dyDescent="0.3">
      <c r="B39" s="9" t="s">
        <v>19</v>
      </c>
      <c r="C39" s="10">
        <f>'Reopening Assumptions'!C50</f>
        <v>36.111111111111107</v>
      </c>
      <c r="D39" s="11">
        <f>'Reopening Assumptions'!D50</f>
        <v>0.16907</v>
      </c>
      <c r="E39" s="32">
        <f>SUM(F39:Z39)</f>
        <v>1020.3335525914605</v>
      </c>
      <c r="F39" s="21">
        <f>(C39*D39*8760)/1000</f>
        <v>53.482476666666663</v>
      </c>
      <c r="G39" s="21">
        <f>F39*'Reopening Assumptions'!$A$121</f>
        <v>53.215064283333327</v>
      </c>
      <c r="H39" s="21">
        <f>G39*'Reopening Assumptions'!$A$121</f>
        <v>52.948988961916662</v>
      </c>
      <c r="I39" s="21">
        <f>H39*'Reopening Assumptions'!$A$121</f>
        <v>52.684244017107076</v>
      </c>
      <c r="J39" s="21">
        <f>I39*'Reopening Assumptions'!$A$121</f>
        <v>52.420822797021543</v>
      </c>
      <c r="K39" s="21">
        <f>J39*'Reopening Assumptions'!$A$121</f>
        <v>52.158718683036433</v>
      </c>
      <c r="L39" s="21">
        <f>K39*'Reopening Assumptions'!$A$121</f>
        <v>51.897925089621253</v>
      </c>
      <c r="M39" s="21">
        <f>L39*'Reopening Assumptions'!$A$121</f>
        <v>51.638435464173149</v>
      </c>
      <c r="N39" s="21">
        <f>M39*'Reopening Assumptions'!$A$121</f>
        <v>51.380243286852284</v>
      </c>
      <c r="O39" s="21">
        <f>N39*'Reopening Assumptions'!$A$121</f>
        <v>51.123342070418026</v>
      </c>
      <c r="P39" s="21">
        <f>O39*'Reopening Assumptions'!$A$121</f>
        <v>50.867725360065933</v>
      </c>
      <c r="Q39" s="21">
        <f>P39*'Reopening Assumptions'!$A$121</f>
        <v>50.6133867332656</v>
      </c>
      <c r="R39" s="21">
        <f>Q39*'Reopening Assumptions'!$A$121</f>
        <v>50.360319799599274</v>
      </c>
      <c r="S39" s="21">
        <f>R39*'Reopening Assumptions'!$A$121</f>
        <v>50.108518200601274</v>
      </c>
      <c r="T39" s="21">
        <f>S39*'Reopening Assumptions'!$A$121</f>
        <v>49.85797560959827</v>
      </c>
      <c r="U39" s="21">
        <f>T39*'Reopening Assumptions'!$A$121</f>
        <v>49.608685731550281</v>
      </c>
      <c r="V39" s="21">
        <f>U39*'Reopening Assumptions'!$A$121</f>
        <v>49.360642302892529</v>
      </c>
      <c r="W39" s="21">
        <f>V39*'Reopening Assumptions'!$A$121</f>
        <v>49.113839091378068</v>
      </c>
      <c r="X39" s="21">
        <f>W39*'Reopening Assumptions'!$A$121</f>
        <v>48.868269895921181</v>
      </c>
      <c r="Y39" s="21">
        <f>X39*'Reopening Assumptions'!$A$121</f>
        <v>48.623928546441576</v>
      </c>
      <c r="Z39" s="22"/>
    </row>
    <row r="40" spans="2:26" x14ac:dyDescent="0.3">
      <c r="B40" s="9" t="s">
        <v>15</v>
      </c>
      <c r="C40" s="10">
        <f>'Reopening Assumptions'!C51</f>
        <v>138.42592592592592</v>
      </c>
      <c r="D40" s="11">
        <f>'Reopening Assumptions'!D51</f>
        <v>0.16907</v>
      </c>
      <c r="E40" s="32">
        <f>SUM(F40:Z40)</f>
        <v>3911.2786182672648</v>
      </c>
      <c r="F40" s="21">
        <f>(C40*D40*8760)/1000</f>
        <v>205.01616055555553</v>
      </c>
      <c r="G40" s="21">
        <f>F40*'Reopening Assumptions'!$A$121</f>
        <v>203.99107975277775</v>
      </c>
      <c r="H40" s="21">
        <f>G40*'Reopening Assumptions'!$A$121</f>
        <v>202.97112435401385</v>
      </c>
      <c r="I40" s="21">
        <f>H40*'Reopening Assumptions'!$A$121</f>
        <v>201.95626873224379</v>
      </c>
      <c r="J40" s="21">
        <f>I40*'Reopening Assumptions'!$A$121</f>
        <v>200.94648738858257</v>
      </c>
      <c r="K40" s="21">
        <f>J40*'Reopening Assumptions'!$A$121</f>
        <v>199.94175495163967</v>
      </c>
      <c r="L40" s="21">
        <f>K40*'Reopening Assumptions'!$A$121</f>
        <v>198.94204617688146</v>
      </c>
      <c r="M40" s="21">
        <f>L40*'Reopening Assumptions'!$A$121</f>
        <v>197.94733594599705</v>
      </c>
      <c r="N40" s="21">
        <f>M40*'Reopening Assumptions'!$A$121</f>
        <v>196.95759926626707</v>
      </c>
      <c r="O40" s="21">
        <f>N40*'Reopening Assumptions'!$A$121</f>
        <v>195.97281126993573</v>
      </c>
      <c r="P40" s="21">
        <f>O40*'Reopening Assumptions'!$A$121</f>
        <v>194.99294721358606</v>
      </c>
      <c r="Q40" s="21">
        <f>P40*'Reopening Assumptions'!$A$121</f>
        <v>194.01798247751813</v>
      </c>
      <c r="R40" s="21">
        <f>Q40*'Reopening Assumptions'!$A$121</f>
        <v>193.04789256513055</v>
      </c>
      <c r="S40" s="21">
        <f>R40*'Reopening Assumptions'!$A$121</f>
        <v>192.0826531023049</v>
      </c>
      <c r="T40" s="21">
        <f>S40*'Reopening Assumptions'!$A$121</f>
        <v>191.12223983679337</v>
      </c>
      <c r="U40" s="21">
        <f>T40*'Reopening Assumptions'!$A$121</f>
        <v>190.16662863760939</v>
      </c>
      <c r="V40" s="21">
        <f>U40*'Reopening Assumptions'!$A$121</f>
        <v>189.21579549442134</v>
      </c>
      <c r="W40" s="21">
        <f>V40*'Reopening Assumptions'!$A$121</f>
        <v>188.26971651694925</v>
      </c>
      <c r="X40" s="21">
        <f>W40*'Reopening Assumptions'!$A$121</f>
        <v>187.32836793436451</v>
      </c>
      <c r="Y40" s="21">
        <f>X40*'Reopening Assumptions'!$A$121</f>
        <v>186.39172609469267</v>
      </c>
      <c r="Z40" s="22"/>
    </row>
    <row r="41" spans="2:26" x14ac:dyDescent="0.3">
      <c r="B41" s="9" t="s">
        <v>16</v>
      </c>
      <c r="C41" s="10">
        <f>'Reopening Assumptions'!C52</f>
        <v>294.90740740740739</v>
      </c>
      <c r="D41" s="11">
        <f>'Reopening Assumptions'!D52</f>
        <v>0.16907</v>
      </c>
      <c r="E41" s="32">
        <f>SUM(F41:Z41)</f>
        <v>8332.7240128302601</v>
      </c>
      <c r="F41" s="21">
        <f>(C41*D41*8760)/1000</f>
        <v>436.7735594444444</v>
      </c>
      <c r="G41" s="21">
        <f>F41*'Reopening Assumptions'!$A$121</f>
        <v>434.5896916472222</v>
      </c>
      <c r="H41" s="21">
        <f>G41*'Reopening Assumptions'!$A$121</f>
        <v>432.41674318898606</v>
      </c>
      <c r="I41" s="21">
        <f>H41*'Reopening Assumptions'!$A$121</f>
        <v>430.2546594730411</v>
      </c>
      <c r="J41" s="21">
        <f>I41*'Reopening Assumptions'!$A$121</f>
        <v>428.10338617567589</v>
      </c>
      <c r="K41" s="21">
        <f>J41*'Reopening Assumptions'!$A$121</f>
        <v>425.9628692447975</v>
      </c>
      <c r="L41" s="21">
        <f>K41*'Reopening Assumptions'!$A$121</f>
        <v>423.83305489857349</v>
      </c>
      <c r="M41" s="21">
        <f>L41*'Reopening Assumptions'!$A$121</f>
        <v>421.71388962408065</v>
      </c>
      <c r="N41" s="21">
        <f>M41*'Reopening Assumptions'!$A$121</f>
        <v>419.60532017596023</v>
      </c>
      <c r="O41" s="21">
        <f>N41*'Reopening Assumptions'!$A$121</f>
        <v>417.50729357508044</v>
      </c>
      <c r="P41" s="21">
        <f>O41*'Reopening Assumptions'!$A$121</f>
        <v>415.41975710720504</v>
      </c>
      <c r="Q41" s="21">
        <f>P41*'Reopening Assumptions'!$A$121</f>
        <v>413.34265832166903</v>
      </c>
      <c r="R41" s="21">
        <f>Q41*'Reopening Assumptions'!$A$121</f>
        <v>411.27594503006071</v>
      </c>
      <c r="S41" s="21">
        <f>R41*'Reopening Assumptions'!$A$121</f>
        <v>409.21956530491042</v>
      </c>
      <c r="T41" s="21">
        <f>S41*'Reopening Assumptions'!$A$121</f>
        <v>407.17346747838587</v>
      </c>
      <c r="U41" s="21">
        <f>T41*'Reopening Assumptions'!$A$121</f>
        <v>405.13760014099392</v>
      </c>
      <c r="V41" s="21">
        <f>U41*'Reopening Assumptions'!$A$121</f>
        <v>403.11191214028895</v>
      </c>
      <c r="W41" s="21">
        <f>V41*'Reopening Assumptions'!$A$121</f>
        <v>401.09635257958752</v>
      </c>
      <c r="X41" s="21">
        <f>W41*'Reopening Assumptions'!$A$121</f>
        <v>399.09087081668957</v>
      </c>
      <c r="Y41" s="21">
        <f>X41*'Reopening Assumptions'!$A$121</f>
        <v>397.09541646260612</v>
      </c>
      <c r="Z41" s="22"/>
    </row>
    <row r="42" spans="2:26" x14ac:dyDescent="0.3">
      <c r="B42" s="9" t="s">
        <v>37</v>
      </c>
      <c r="C42" s="10">
        <f>'Reopening Assumptions'!C53</f>
        <v>150.46296296296296</v>
      </c>
      <c r="D42" s="11">
        <f>'Reopening Assumptions'!D53</f>
        <v>0.16907</v>
      </c>
      <c r="E42" s="32">
        <f>SUM(F42:Z42)</f>
        <v>4251.3898024644177</v>
      </c>
      <c r="F42" s="21">
        <f>(C42*D42*8760)/1000</f>
        <v>222.84365277777778</v>
      </c>
      <c r="G42" s="21">
        <f>F42*'Reopening Assumptions'!$A$121</f>
        <v>221.72943451388889</v>
      </c>
      <c r="H42" s="21">
        <f>G42*'Reopening Assumptions'!$A$121</f>
        <v>220.62078734131944</v>
      </c>
      <c r="I42" s="21">
        <f>H42*'Reopening Assumptions'!$A$121</f>
        <v>219.51768340461285</v>
      </c>
      <c r="J42" s="21">
        <f>I42*'Reopening Assumptions'!$A$121</f>
        <v>218.42009498758978</v>
      </c>
      <c r="K42" s="21">
        <f>J42*'Reopening Assumptions'!$A$121</f>
        <v>217.32799451265183</v>
      </c>
      <c r="L42" s="21">
        <f>K42*'Reopening Assumptions'!$A$121</f>
        <v>216.24135454008857</v>
      </c>
      <c r="M42" s="21">
        <f>L42*'Reopening Assumptions'!$A$121</f>
        <v>215.16014776738811</v>
      </c>
      <c r="N42" s="21">
        <f>M42*'Reopening Assumptions'!$A$121</f>
        <v>214.08434702855118</v>
      </c>
      <c r="O42" s="21">
        <f>N42*'Reopening Assumptions'!$A$121</f>
        <v>213.01392529340842</v>
      </c>
      <c r="P42" s="21">
        <f>O42*'Reopening Assumptions'!$A$121</f>
        <v>211.94885566694137</v>
      </c>
      <c r="Q42" s="21">
        <f>P42*'Reopening Assumptions'!$A$121</f>
        <v>210.88911138860666</v>
      </c>
      <c r="R42" s="21">
        <f>Q42*'Reopening Assumptions'!$A$121</f>
        <v>209.83466583166364</v>
      </c>
      <c r="S42" s="21">
        <f>R42*'Reopening Assumptions'!$A$121</f>
        <v>208.78549250250532</v>
      </c>
      <c r="T42" s="21">
        <f>S42*'Reopening Assumptions'!$A$121</f>
        <v>207.74156503999279</v>
      </c>
      <c r="U42" s="21">
        <f>T42*'Reopening Assumptions'!$A$121</f>
        <v>206.70285721479283</v>
      </c>
      <c r="V42" s="21">
        <f>U42*'Reopening Assumptions'!$A$121</f>
        <v>205.66934292871886</v>
      </c>
      <c r="W42" s="21">
        <f>V42*'Reopening Assumptions'!$A$121</f>
        <v>204.64099621407527</v>
      </c>
      <c r="X42" s="21">
        <f>W42*'Reopening Assumptions'!$A$121</f>
        <v>203.61779123300491</v>
      </c>
      <c r="Y42" s="21">
        <f>X42*'Reopening Assumptions'!$A$121</f>
        <v>202.59970227683988</v>
      </c>
      <c r="Z42" s="22"/>
    </row>
    <row r="43" spans="2:26" x14ac:dyDescent="0.3">
      <c r="B43" s="5" t="s">
        <v>29</v>
      </c>
      <c r="C43" s="6">
        <f>'Reopening Assumptions'!C54</f>
        <v>3000</v>
      </c>
      <c r="D43" s="118"/>
      <c r="E43" s="31"/>
      <c r="F43" s="23">
        <f t="shared" ref="F43:Y43" si="5">SUM(F44:F45)</f>
        <v>0</v>
      </c>
      <c r="G43" s="23">
        <f t="shared" si="5"/>
        <v>4443.1596</v>
      </c>
      <c r="H43" s="23">
        <f t="shared" si="5"/>
        <v>4420.9438019999998</v>
      </c>
      <c r="I43" s="23">
        <f t="shared" si="5"/>
        <v>4398.83908299</v>
      </c>
      <c r="J43" s="23">
        <f t="shared" si="5"/>
        <v>4376.8448875750501</v>
      </c>
      <c r="K43" s="23">
        <f t="shared" si="5"/>
        <v>4354.9606631371744</v>
      </c>
      <c r="L43" s="23">
        <f t="shared" si="5"/>
        <v>4333.1858598214885</v>
      </c>
      <c r="M43" s="23">
        <f t="shared" si="5"/>
        <v>4311.5199305223814</v>
      </c>
      <c r="N43" s="23">
        <f t="shared" si="5"/>
        <v>4289.9623308697692</v>
      </c>
      <c r="O43" s="23">
        <f t="shared" si="5"/>
        <v>4268.5125192154201</v>
      </c>
      <c r="P43" s="23">
        <f t="shared" si="5"/>
        <v>4247.1699566193429</v>
      </c>
      <c r="Q43" s="23">
        <f t="shared" si="5"/>
        <v>4225.9341068362464</v>
      </c>
      <c r="R43" s="23">
        <f t="shared" si="5"/>
        <v>4204.8044363020654</v>
      </c>
      <c r="S43" s="23">
        <f t="shared" si="5"/>
        <v>4183.7804141205552</v>
      </c>
      <c r="T43" s="23">
        <f t="shared" si="5"/>
        <v>4162.8615120499526</v>
      </c>
      <c r="U43" s="23">
        <f t="shared" si="5"/>
        <v>4142.0472044897024</v>
      </c>
      <c r="V43" s="23">
        <f t="shared" si="5"/>
        <v>0</v>
      </c>
      <c r="W43" s="23">
        <f t="shared" si="5"/>
        <v>0</v>
      </c>
      <c r="X43" s="23">
        <f t="shared" si="5"/>
        <v>0</v>
      </c>
      <c r="Y43" s="23">
        <f t="shared" si="5"/>
        <v>0</v>
      </c>
      <c r="Z43" s="1"/>
    </row>
    <row r="44" spans="2:26" x14ac:dyDescent="0.3">
      <c r="B44" s="1" t="s">
        <v>30</v>
      </c>
      <c r="C44" s="10">
        <f>'Reopening Assumptions'!C55</f>
        <v>3000</v>
      </c>
      <c r="D44" s="11">
        <f>'Reopening Assumptions'!D61</f>
        <v>0.16907</v>
      </c>
      <c r="E44" s="32">
        <f>SUM(F44:Z44)</f>
        <v>64364.52630654916</v>
      </c>
      <c r="F44" s="21"/>
      <c r="G44" s="21">
        <f>(C44*D44*8760)/1000</f>
        <v>4443.1596</v>
      </c>
      <c r="H44" s="21">
        <f>G44*'Reopening Assumptions'!$A$121</f>
        <v>4420.9438019999998</v>
      </c>
      <c r="I44" s="21">
        <f>H44*'Reopening Assumptions'!$A$121</f>
        <v>4398.83908299</v>
      </c>
      <c r="J44" s="21">
        <f>I44*'Reopening Assumptions'!$A$121</f>
        <v>4376.8448875750501</v>
      </c>
      <c r="K44" s="21">
        <f>J44*'Reopening Assumptions'!$A$121</f>
        <v>4354.9606631371744</v>
      </c>
      <c r="L44" s="21">
        <f>K44*'Reopening Assumptions'!$A$121</f>
        <v>4333.1858598214885</v>
      </c>
      <c r="M44" s="21">
        <f>L44*'Reopening Assumptions'!$A$121</f>
        <v>4311.5199305223814</v>
      </c>
      <c r="N44" s="21">
        <f>M44*'Reopening Assumptions'!$A$121</f>
        <v>4289.9623308697692</v>
      </c>
      <c r="O44" s="21">
        <f>N44*'Reopening Assumptions'!$A$121</f>
        <v>4268.5125192154201</v>
      </c>
      <c r="P44" s="21">
        <f>O44*'Reopening Assumptions'!$A$121</f>
        <v>4247.1699566193429</v>
      </c>
      <c r="Q44" s="21">
        <f>P44*'Reopening Assumptions'!$A$121</f>
        <v>4225.9341068362464</v>
      </c>
      <c r="R44" s="21">
        <f>Q44*'Reopening Assumptions'!$A$121</f>
        <v>4204.8044363020654</v>
      </c>
      <c r="S44" s="21">
        <f>R44*'Reopening Assumptions'!$A$121</f>
        <v>4183.7804141205552</v>
      </c>
      <c r="T44" s="21">
        <f>S44*'Reopening Assumptions'!$A$121</f>
        <v>4162.8615120499526</v>
      </c>
      <c r="U44" s="21">
        <f>T44*'Reopening Assumptions'!$A$121</f>
        <v>4142.0472044897024</v>
      </c>
      <c r="V44" s="12"/>
      <c r="W44" s="12"/>
      <c r="X44" s="12"/>
      <c r="Y44" s="12"/>
      <c r="Z44" s="12"/>
    </row>
    <row r="45" spans="2:26" x14ac:dyDescent="0.3">
      <c r="B45" s="1" t="s">
        <v>32</v>
      </c>
      <c r="C45" s="10">
        <f>'Reopening Assumptions'!C63</f>
        <v>0</v>
      </c>
      <c r="D45" s="11">
        <f>'Reopening Assumptions'!D69</f>
        <v>0.16907</v>
      </c>
      <c r="E45" s="32">
        <f>SUM(F45:Z45)</f>
        <v>0</v>
      </c>
      <c r="F45" s="21"/>
      <c r="G45" s="21">
        <f>(C45*D45*8760)/1000</f>
        <v>0</v>
      </c>
      <c r="H45" s="21">
        <f>G45*'Reopening Assumptions'!$A$121</f>
        <v>0</v>
      </c>
      <c r="I45" s="21">
        <f>H45*'Reopening Assumptions'!$A$121</f>
        <v>0</v>
      </c>
      <c r="J45" s="21">
        <f>I45*'Reopening Assumptions'!$A$121</f>
        <v>0</v>
      </c>
      <c r="K45" s="21">
        <f>J45*'Reopening Assumptions'!$A$121</f>
        <v>0</v>
      </c>
      <c r="L45" s="21">
        <f>K45*'Reopening Assumptions'!$A$121</f>
        <v>0</v>
      </c>
      <c r="M45" s="21">
        <f>L45*'Reopening Assumptions'!$A$121</f>
        <v>0</v>
      </c>
      <c r="N45" s="21">
        <f>M45*'Reopening Assumptions'!$A$121</f>
        <v>0</v>
      </c>
      <c r="O45" s="21">
        <f>N45*'Reopening Assumptions'!$A$121</f>
        <v>0</v>
      </c>
      <c r="P45" s="21">
        <f>O45*'Reopening Assumptions'!$A$121</f>
        <v>0</v>
      </c>
      <c r="Q45" s="21">
        <f>P45*'Reopening Assumptions'!$A$121</f>
        <v>0</v>
      </c>
      <c r="R45" s="21">
        <f>Q45*'Reopening Assumptions'!$A$121</f>
        <v>0</v>
      </c>
      <c r="S45" s="21">
        <f>R45*'Reopening Assumptions'!$A$121</f>
        <v>0</v>
      </c>
      <c r="T45" s="21">
        <f>S45*'Reopening Assumptions'!$A$121</f>
        <v>0</v>
      </c>
      <c r="U45" s="21">
        <f>T45*'Reopening Assumptions'!$A$121</f>
        <v>0</v>
      </c>
      <c r="V45" s="12"/>
      <c r="W45" s="12"/>
      <c r="X45" s="12"/>
      <c r="Y45" s="12"/>
      <c r="Z45" s="12"/>
    </row>
    <row r="46" spans="2:26" x14ac:dyDescent="0.3">
      <c r="B46" s="13" t="s">
        <v>33</v>
      </c>
      <c r="C46" s="6">
        <f>'Reopening Assumptions'!C71</f>
        <v>0</v>
      </c>
      <c r="D46" s="118"/>
      <c r="E46" s="31"/>
      <c r="F46" s="23">
        <f t="shared" ref="F46:Z46" si="6">SUM(F47:F56)</f>
        <v>0</v>
      </c>
      <c r="G46" s="23">
        <f t="shared" si="6"/>
        <v>0</v>
      </c>
      <c r="H46" s="23">
        <f t="shared" si="6"/>
        <v>0</v>
      </c>
      <c r="I46" s="23">
        <f t="shared" si="6"/>
        <v>0</v>
      </c>
      <c r="J46" s="23">
        <f t="shared" si="6"/>
        <v>0</v>
      </c>
      <c r="K46" s="23">
        <f t="shared" si="6"/>
        <v>0</v>
      </c>
      <c r="L46" s="23">
        <f t="shared" si="6"/>
        <v>0</v>
      </c>
      <c r="M46" s="23">
        <f t="shared" si="6"/>
        <v>0</v>
      </c>
      <c r="N46" s="23">
        <f t="shared" si="6"/>
        <v>0</v>
      </c>
      <c r="O46" s="23">
        <f t="shared" si="6"/>
        <v>0</v>
      </c>
      <c r="P46" s="23">
        <f t="shared" si="6"/>
        <v>0</v>
      </c>
      <c r="Q46" s="23">
        <f t="shared" si="6"/>
        <v>0</v>
      </c>
      <c r="R46" s="23">
        <f t="shared" si="6"/>
        <v>0</v>
      </c>
      <c r="S46" s="23">
        <f t="shared" si="6"/>
        <v>0</v>
      </c>
      <c r="T46" s="23">
        <f t="shared" si="6"/>
        <v>0</v>
      </c>
      <c r="U46" s="23">
        <f t="shared" si="6"/>
        <v>0</v>
      </c>
      <c r="V46" s="23">
        <f t="shared" si="6"/>
        <v>0</v>
      </c>
      <c r="W46" s="23">
        <f t="shared" si="6"/>
        <v>0</v>
      </c>
      <c r="X46" s="23">
        <f t="shared" si="6"/>
        <v>0</v>
      </c>
      <c r="Y46" s="23">
        <f t="shared" si="6"/>
        <v>0</v>
      </c>
      <c r="Z46" s="23">
        <f t="shared" si="6"/>
        <v>0</v>
      </c>
    </row>
    <row r="47" spans="2:26" x14ac:dyDescent="0.3">
      <c r="B47" s="1" t="s">
        <v>34</v>
      </c>
      <c r="C47" s="10">
        <f>'Reopening Assumptions'!C72</f>
        <v>0</v>
      </c>
      <c r="D47" s="52"/>
      <c r="E47" s="31"/>
      <c r="F47" s="20"/>
      <c r="G47" s="20"/>
      <c r="H47" s="20"/>
      <c r="I47" s="20"/>
      <c r="J47" s="20"/>
      <c r="K47" s="20"/>
      <c r="L47" s="20"/>
      <c r="M47" s="20"/>
      <c r="N47" s="20"/>
      <c r="O47" s="20"/>
      <c r="P47" s="20"/>
      <c r="Q47" s="20"/>
      <c r="R47" s="20"/>
      <c r="S47" s="20"/>
      <c r="T47" s="20"/>
      <c r="U47" s="1"/>
      <c r="V47" s="1"/>
      <c r="W47" s="1"/>
      <c r="X47" s="1"/>
      <c r="Y47" s="1"/>
      <c r="Z47" s="1"/>
    </row>
    <row r="48" spans="2:26" x14ac:dyDescent="0.3">
      <c r="B48" s="9" t="s">
        <v>14</v>
      </c>
      <c r="C48" s="10">
        <f>'Reopening Assumptions'!C73</f>
        <v>0</v>
      </c>
      <c r="D48" s="11">
        <f>'Reopening Assumptions'!D73</f>
        <v>0.15196999999999999</v>
      </c>
      <c r="E48" s="32">
        <f>SUM(F48:Z48)</f>
        <v>0</v>
      </c>
      <c r="F48" s="21">
        <f>(C48*D48*8760)/1000</f>
        <v>0</v>
      </c>
      <c r="G48" s="21">
        <f>F48*'Reopening Assumptions'!$A$121</f>
        <v>0</v>
      </c>
      <c r="H48" s="21">
        <f>G48*'Reopening Assumptions'!$A$121</f>
        <v>0</v>
      </c>
      <c r="I48" s="21">
        <f>H48*'Reopening Assumptions'!$A$121</f>
        <v>0</v>
      </c>
      <c r="J48" s="21">
        <f>I48*'Reopening Assumptions'!$A$121</f>
        <v>0</v>
      </c>
      <c r="K48" s="21">
        <f>J48*'Reopening Assumptions'!$A$121</f>
        <v>0</v>
      </c>
      <c r="L48" s="21">
        <f>K48*'Reopening Assumptions'!$A$121</f>
        <v>0</v>
      </c>
      <c r="M48" s="21">
        <f>L48*'Reopening Assumptions'!$A$121</f>
        <v>0</v>
      </c>
      <c r="N48" s="21">
        <f>M48*'Reopening Assumptions'!$A$121</f>
        <v>0</v>
      </c>
      <c r="O48" s="21">
        <f>N48*'Reopening Assumptions'!$A$121</f>
        <v>0</v>
      </c>
      <c r="P48" s="21">
        <f>O48*'Reopening Assumptions'!$A$121</f>
        <v>0</v>
      </c>
      <c r="Q48" s="21">
        <f>P48*'Reopening Assumptions'!$A$121</f>
        <v>0</v>
      </c>
      <c r="R48" s="21">
        <f>Q48*'Reopening Assumptions'!$A$121</f>
        <v>0</v>
      </c>
      <c r="S48" s="21">
        <f>R48*'Reopening Assumptions'!$A$121</f>
        <v>0</v>
      </c>
      <c r="T48" s="21">
        <f>S48*'Reopening Assumptions'!$A$121</f>
        <v>0</v>
      </c>
      <c r="U48" s="12"/>
      <c r="V48" s="12"/>
      <c r="W48" s="12"/>
      <c r="X48" s="12"/>
      <c r="Y48" s="12"/>
      <c r="Z48" s="12"/>
    </row>
    <row r="49" spans="2:26" x14ac:dyDescent="0.3">
      <c r="B49" s="9" t="s">
        <v>15</v>
      </c>
      <c r="C49" s="10">
        <f>'Reopening Assumptions'!C74</f>
        <v>0</v>
      </c>
      <c r="D49" s="11">
        <f>'Reopening Assumptions'!D74</f>
        <v>0.14819000000000002</v>
      </c>
      <c r="E49" s="32">
        <f>SUM(F49:Z49)</f>
        <v>0</v>
      </c>
      <c r="F49" s="21">
        <f>(C49*D49*8760)/1000</f>
        <v>0</v>
      </c>
      <c r="G49" s="21">
        <f>F49*'Reopening Assumptions'!$A$121</f>
        <v>0</v>
      </c>
      <c r="H49" s="21">
        <f>G49*'Reopening Assumptions'!$A$121</f>
        <v>0</v>
      </c>
      <c r="I49" s="21">
        <f>H49*'Reopening Assumptions'!$A$121</f>
        <v>0</v>
      </c>
      <c r="J49" s="21">
        <f>I49*'Reopening Assumptions'!$A$121</f>
        <v>0</v>
      </c>
      <c r="K49" s="21">
        <f>J49*'Reopening Assumptions'!$A$121</f>
        <v>0</v>
      </c>
      <c r="L49" s="21">
        <f>K49*'Reopening Assumptions'!$A$121</f>
        <v>0</v>
      </c>
      <c r="M49" s="21">
        <f>L49*'Reopening Assumptions'!$A$121</f>
        <v>0</v>
      </c>
      <c r="N49" s="21">
        <f>M49*'Reopening Assumptions'!$A$121</f>
        <v>0</v>
      </c>
      <c r="O49" s="21">
        <f>N49*'Reopening Assumptions'!$A$121</f>
        <v>0</v>
      </c>
      <c r="P49" s="21">
        <f>O49*'Reopening Assumptions'!$A$121</f>
        <v>0</v>
      </c>
      <c r="Q49" s="21">
        <f>P49*'Reopening Assumptions'!$A$121</f>
        <v>0</v>
      </c>
      <c r="R49" s="21">
        <f>Q49*'Reopening Assumptions'!$A$121</f>
        <v>0</v>
      </c>
      <c r="S49" s="21">
        <f>R49*'Reopening Assumptions'!$A$121</f>
        <v>0</v>
      </c>
      <c r="T49" s="21">
        <f>S49*'Reopening Assumptions'!$A$121</f>
        <v>0</v>
      </c>
      <c r="U49" s="12"/>
      <c r="V49" s="12"/>
      <c r="W49" s="12"/>
      <c r="X49" s="12"/>
      <c r="Y49" s="12"/>
      <c r="Z49" s="12"/>
    </row>
    <row r="50" spans="2:26" x14ac:dyDescent="0.3">
      <c r="B50" s="9" t="s">
        <v>16</v>
      </c>
      <c r="C50" s="10">
        <f>'Reopening Assumptions'!C75</f>
        <v>0</v>
      </c>
      <c r="D50" s="11">
        <f>'Reopening Assumptions'!D75</f>
        <v>0.15303</v>
      </c>
      <c r="E50" s="32">
        <f>SUM(F50:Z50)</f>
        <v>0</v>
      </c>
      <c r="F50" s="21">
        <f>(C50*D50*8760)/1000</f>
        <v>0</v>
      </c>
      <c r="G50" s="21">
        <f>F50*'Reopening Assumptions'!$A$121</f>
        <v>0</v>
      </c>
      <c r="H50" s="21">
        <f>G50*'Reopening Assumptions'!$A$121</f>
        <v>0</v>
      </c>
      <c r="I50" s="21">
        <f>H50*'Reopening Assumptions'!$A$121</f>
        <v>0</v>
      </c>
      <c r="J50" s="21">
        <f>I50*'Reopening Assumptions'!$A$121</f>
        <v>0</v>
      </c>
      <c r="K50" s="21">
        <f>J50*'Reopening Assumptions'!$A$121</f>
        <v>0</v>
      </c>
      <c r="L50" s="21">
        <f>K50*'Reopening Assumptions'!$A$121</f>
        <v>0</v>
      </c>
      <c r="M50" s="21">
        <f>L50*'Reopening Assumptions'!$A$121</f>
        <v>0</v>
      </c>
      <c r="N50" s="21">
        <f>M50*'Reopening Assumptions'!$A$121</f>
        <v>0</v>
      </c>
      <c r="O50" s="21">
        <f>N50*'Reopening Assumptions'!$A$121</f>
        <v>0</v>
      </c>
      <c r="P50" s="21">
        <f>O50*'Reopening Assumptions'!$A$121</f>
        <v>0</v>
      </c>
      <c r="Q50" s="21">
        <f>P50*'Reopening Assumptions'!$A$121</f>
        <v>0</v>
      </c>
      <c r="R50" s="21">
        <f>Q50*'Reopening Assumptions'!$A$121</f>
        <v>0</v>
      </c>
      <c r="S50" s="21">
        <f>R50*'Reopening Assumptions'!$A$121</f>
        <v>0</v>
      </c>
      <c r="T50" s="21">
        <f>S50*'Reopening Assumptions'!$A$121</f>
        <v>0</v>
      </c>
      <c r="U50" s="12"/>
      <c r="V50" s="12"/>
      <c r="W50" s="12"/>
      <c r="X50" s="12"/>
      <c r="Y50" s="12"/>
      <c r="Z50" s="12"/>
    </row>
    <row r="51" spans="2:26" x14ac:dyDescent="0.3">
      <c r="B51" s="9" t="s">
        <v>35</v>
      </c>
      <c r="C51" s="10">
        <f>'Reopening Assumptions'!C76</f>
        <v>0</v>
      </c>
      <c r="D51" s="11">
        <f>'Reopening Assumptions'!D76</f>
        <v>0.14410999999999999</v>
      </c>
      <c r="E51" s="32">
        <f>SUM(F51:Z51)</f>
        <v>0</v>
      </c>
      <c r="F51" s="21">
        <f>(C51*D51*8760)/1000</f>
        <v>0</v>
      </c>
      <c r="G51" s="21">
        <f>F51*'Reopening Assumptions'!$A$121</f>
        <v>0</v>
      </c>
      <c r="H51" s="21">
        <f>G51*'Reopening Assumptions'!$A$121</f>
        <v>0</v>
      </c>
      <c r="I51" s="21">
        <f>H51*'Reopening Assumptions'!$A$121</f>
        <v>0</v>
      </c>
      <c r="J51" s="21">
        <f>I51*'Reopening Assumptions'!$A$121</f>
        <v>0</v>
      </c>
      <c r="K51" s="21">
        <f>J51*'Reopening Assumptions'!$A$121</f>
        <v>0</v>
      </c>
      <c r="L51" s="21">
        <f>K51*'Reopening Assumptions'!$A$121</f>
        <v>0</v>
      </c>
      <c r="M51" s="21">
        <f>L51*'Reopening Assumptions'!$A$121</f>
        <v>0</v>
      </c>
      <c r="N51" s="21">
        <f>M51*'Reopening Assumptions'!$A$121</f>
        <v>0</v>
      </c>
      <c r="O51" s="21">
        <f>N51*'Reopening Assumptions'!$A$121</f>
        <v>0</v>
      </c>
      <c r="P51" s="21">
        <f>O51*'Reopening Assumptions'!$A$121</f>
        <v>0</v>
      </c>
      <c r="Q51" s="21">
        <f>P51*'Reopening Assumptions'!$A$121</f>
        <v>0</v>
      </c>
      <c r="R51" s="21">
        <f>Q51*'Reopening Assumptions'!$A$121</f>
        <v>0</v>
      </c>
      <c r="S51" s="21">
        <f>R51*'Reopening Assumptions'!$A$121</f>
        <v>0</v>
      </c>
      <c r="T51" s="21">
        <f>S51*'Reopening Assumptions'!$A$121</f>
        <v>0</v>
      </c>
      <c r="U51" s="12"/>
      <c r="V51" s="12"/>
      <c r="W51" s="12"/>
      <c r="X51" s="12"/>
      <c r="Y51" s="12"/>
      <c r="Z51" s="12"/>
    </row>
    <row r="52" spans="2:26" x14ac:dyDescent="0.3">
      <c r="B52" s="1" t="s">
        <v>36</v>
      </c>
      <c r="C52" s="10">
        <f>'Reopening Assumptions'!C77</f>
        <v>0</v>
      </c>
      <c r="D52" s="52"/>
      <c r="E52" s="31"/>
      <c r="F52" s="21"/>
      <c r="G52" s="21"/>
      <c r="H52" s="20"/>
      <c r="I52" s="20"/>
      <c r="J52" s="20"/>
      <c r="K52" s="20"/>
      <c r="L52" s="20"/>
      <c r="M52" s="20"/>
      <c r="N52" s="20"/>
      <c r="O52" s="20"/>
      <c r="P52" s="20"/>
      <c r="Q52" s="20"/>
      <c r="R52" s="20"/>
      <c r="S52" s="20"/>
      <c r="T52" s="20"/>
      <c r="U52" s="1"/>
      <c r="V52" s="1"/>
      <c r="W52" s="1"/>
      <c r="X52" s="1"/>
      <c r="Y52" s="1"/>
      <c r="Z52" s="1"/>
    </row>
    <row r="53" spans="2:26" x14ac:dyDescent="0.3">
      <c r="B53" s="9" t="s">
        <v>19</v>
      </c>
      <c r="C53" s="10">
        <f>'Reopening Assumptions'!C78</f>
        <v>0</v>
      </c>
      <c r="D53" s="11">
        <f>'Reopening Assumptions'!D78</f>
        <v>0.14305999999999999</v>
      </c>
      <c r="E53" s="33">
        <f>SUM(F53:Z53)</f>
        <v>0</v>
      </c>
      <c r="F53" s="21">
        <f>(C53*D53*8760)/1000</f>
        <v>0</v>
      </c>
      <c r="G53" s="21">
        <f>F53*'Reopening Assumptions'!$A$121</f>
        <v>0</v>
      </c>
      <c r="H53" s="21">
        <f>G53*'Reopening Assumptions'!$A$121</f>
        <v>0</v>
      </c>
      <c r="I53" s="21">
        <f>H53*'Reopening Assumptions'!$A$121</f>
        <v>0</v>
      </c>
      <c r="J53" s="21">
        <f>I53*'Reopening Assumptions'!$A$121</f>
        <v>0</v>
      </c>
      <c r="K53" s="21">
        <f>J53*'Reopening Assumptions'!$A$121</f>
        <v>0</v>
      </c>
      <c r="L53" s="21">
        <f>K53*'Reopening Assumptions'!$A$121</f>
        <v>0</v>
      </c>
      <c r="M53" s="21">
        <f>L53*'Reopening Assumptions'!$A$121</f>
        <v>0</v>
      </c>
      <c r="N53" s="21">
        <f>M53*'Reopening Assumptions'!$A$121</f>
        <v>0</v>
      </c>
      <c r="O53" s="21">
        <f>N53*'Reopening Assumptions'!$A$121</f>
        <v>0</v>
      </c>
      <c r="P53" s="21">
        <f>O53*'Reopening Assumptions'!$A$121</f>
        <v>0</v>
      </c>
      <c r="Q53" s="21">
        <f>P53*'Reopening Assumptions'!$A$121</f>
        <v>0</v>
      </c>
      <c r="R53" s="21">
        <f>Q53*'Reopening Assumptions'!$A$121</f>
        <v>0</v>
      </c>
      <c r="S53" s="21">
        <f>R53*'Reopening Assumptions'!$A$121</f>
        <v>0</v>
      </c>
      <c r="T53" s="21">
        <f>S53*'Reopening Assumptions'!$A$121</f>
        <v>0</v>
      </c>
      <c r="U53" s="12"/>
      <c r="V53" s="12"/>
      <c r="W53" s="12"/>
      <c r="X53" s="12"/>
      <c r="Y53" s="12"/>
      <c r="Z53" s="12"/>
    </row>
    <row r="54" spans="2:26" x14ac:dyDescent="0.3">
      <c r="B54" s="9" t="s">
        <v>15</v>
      </c>
      <c r="C54" s="10">
        <f>'Reopening Assumptions'!C79</f>
        <v>0</v>
      </c>
      <c r="D54" s="11">
        <f>'Reopening Assumptions'!D79</f>
        <v>0.14176</v>
      </c>
      <c r="E54" s="33">
        <f>SUM(F54:Z54)</f>
        <v>0</v>
      </c>
      <c r="F54" s="21">
        <f>(C54*D54*8760)/1000</f>
        <v>0</v>
      </c>
      <c r="G54" s="21">
        <f>F54*'Reopening Assumptions'!$A$121</f>
        <v>0</v>
      </c>
      <c r="H54" s="21">
        <f>G54*'Reopening Assumptions'!$A$121</f>
        <v>0</v>
      </c>
      <c r="I54" s="21">
        <f>H54*'Reopening Assumptions'!$A$121</f>
        <v>0</v>
      </c>
      <c r="J54" s="21">
        <f>I54*'Reopening Assumptions'!$A$121</f>
        <v>0</v>
      </c>
      <c r="K54" s="21">
        <f>J54*'Reopening Assumptions'!$A$121</f>
        <v>0</v>
      </c>
      <c r="L54" s="21">
        <f>K54*'Reopening Assumptions'!$A$121</f>
        <v>0</v>
      </c>
      <c r="M54" s="21">
        <f>L54*'Reopening Assumptions'!$A$121</f>
        <v>0</v>
      </c>
      <c r="N54" s="21">
        <f>M54*'Reopening Assumptions'!$A$121</f>
        <v>0</v>
      </c>
      <c r="O54" s="21">
        <f>N54*'Reopening Assumptions'!$A$121</f>
        <v>0</v>
      </c>
      <c r="P54" s="21">
        <f>O54*'Reopening Assumptions'!$A$121</f>
        <v>0</v>
      </c>
      <c r="Q54" s="21">
        <f>P54*'Reopening Assumptions'!$A$121</f>
        <v>0</v>
      </c>
      <c r="R54" s="21">
        <f>Q54*'Reopening Assumptions'!$A$121</f>
        <v>0</v>
      </c>
      <c r="S54" s="21">
        <f>R54*'Reopening Assumptions'!$A$121</f>
        <v>0</v>
      </c>
      <c r="T54" s="21">
        <f>S54*'Reopening Assumptions'!$A$121</f>
        <v>0</v>
      </c>
      <c r="U54" s="12"/>
      <c r="V54" s="12"/>
      <c r="W54" s="12"/>
      <c r="X54" s="12"/>
      <c r="Y54" s="12"/>
      <c r="Z54" s="12"/>
    </row>
    <row r="55" spans="2:26" x14ac:dyDescent="0.3">
      <c r="B55" s="9" t="s">
        <v>16</v>
      </c>
      <c r="C55" s="10">
        <f>'Reopening Assumptions'!C80</f>
        <v>0</v>
      </c>
      <c r="D55" s="11">
        <f>'Reopening Assumptions'!D80</f>
        <v>0.14119000000000001</v>
      </c>
      <c r="E55" s="33">
        <f>SUM(F55:Z55)</f>
        <v>0</v>
      </c>
      <c r="F55" s="21">
        <f>(C55*D55*8760)/1000</f>
        <v>0</v>
      </c>
      <c r="G55" s="21">
        <f>F55*'Reopening Assumptions'!$A$121</f>
        <v>0</v>
      </c>
      <c r="H55" s="21">
        <f>G55*'Reopening Assumptions'!$A$121</f>
        <v>0</v>
      </c>
      <c r="I55" s="21">
        <f>H55*'Reopening Assumptions'!$A$121</f>
        <v>0</v>
      </c>
      <c r="J55" s="21">
        <f>I55*'Reopening Assumptions'!$A$121</f>
        <v>0</v>
      </c>
      <c r="K55" s="21">
        <f>J55*'Reopening Assumptions'!$A$121</f>
        <v>0</v>
      </c>
      <c r="L55" s="21">
        <f>K55*'Reopening Assumptions'!$A$121</f>
        <v>0</v>
      </c>
      <c r="M55" s="21">
        <f>L55*'Reopening Assumptions'!$A$121</f>
        <v>0</v>
      </c>
      <c r="N55" s="21">
        <f>M55*'Reopening Assumptions'!$A$121</f>
        <v>0</v>
      </c>
      <c r="O55" s="21">
        <f>N55*'Reopening Assumptions'!$A$121</f>
        <v>0</v>
      </c>
      <c r="P55" s="21">
        <f>O55*'Reopening Assumptions'!$A$121</f>
        <v>0</v>
      </c>
      <c r="Q55" s="21">
        <f>P55*'Reopening Assumptions'!$A$121</f>
        <v>0</v>
      </c>
      <c r="R55" s="21">
        <f>Q55*'Reopening Assumptions'!$A$121</f>
        <v>0</v>
      </c>
      <c r="S55" s="21">
        <f>R55*'Reopening Assumptions'!$A$121</f>
        <v>0</v>
      </c>
      <c r="T55" s="21">
        <f>S55*'Reopening Assumptions'!$A$121</f>
        <v>0</v>
      </c>
      <c r="U55" s="12"/>
      <c r="V55" s="12"/>
      <c r="W55" s="12"/>
      <c r="X55" s="12"/>
      <c r="Y55" s="12"/>
      <c r="Z55" s="12"/>
    </row>
    <row r="56" spans="2:26" x14ac:dyDescent="0.3">
      <c r="B56" s="9" t="s">
        <v>37</v>
      </c>
      <c r="C56" s="10">
        <f>'Reopening Assumptions'!C81</f>
        <v>0</v>
      </c>
      <c r="D56" s="11">
        <f>'Reopening Assumptions'!D81</f>
        <v>0.1497</v>
      </c>
      <c r="E56" s="34">
        <f>SUM(F56:Z56)</f>
        <v>0</v>
      </c>
      <c r="F56" s="21">
        <f>(C56*D56*8760)/1000</f>
        <v>0</v>
      </c>
      <c r="G56" s="21">
        <f>F56*'Reopening Assumptions'!$A$121</f>
        <v>0</v>
      </c>
      <c r="H56" s="21">
        <f>G56*'Reopening Assumptions'!$A$121</f>
        <v>0</v>
      </c>
      <c r="I56" s="21">
        <f>H56*'Reopening Assumptions'!$A$121</f>
        <v>0</v>
      </c>
      <c r="J56" s="21">
        <f>I56*'Reopening Assumptions'!$A$121</f>
        <v>0</v>
      </c>
      <c r="K56" s="21">
        <f>J56*'Reopening Assumptions'!$A$121</f>
        <v>0</v>
      </c>
      <c r="L56" s="21">
        <f>K56*'Reopening Assumptions'!$A$121</f>
        <v>0</v>
      </c>
      <c r="M56" s="21">
        <f>L56*'Reopening Assumptions'!$A$121</f>
        <v>0</v>
      </c>
      <c r="N56" s="21">
        <f>M56*'Reopening Assumptions'!$A$121</f>
        <v>0</v>
      </c>
      <c r="O56" s="21">
        <f>N56*'Reopening Assumptions'!$A$121</f>
        <v>0</v>
      </c>
      <c r="P56" s="21">
        <f>O56*'Reopening Assumptions'!$A$121</f>
        <v>0</v>
      </c>
      <c r="Q56" s="21">
        <f>P56*'Reopening Assumptions'!$A$121</f>
        <v>0</v>
      </c>
      <c r="R56" s="21">
        <f>Q56*'Reopening Assumptions'!$A$121</f>
        <v>0</v>
      </c>
      <c r="S56" s="21">
        <f>R56*'Reopening Assumptions'!$A$121</f>
        <v>0</v>
      </c>
      <c r="T56" s="21">
        <f>S56*'Reopening Assumptions'!$A$121</f>
        <v>0</v>
      </c>
      <c r="U56" s="12"/>
      <c r="V56" s="12"/>
      <c r="W56" s="12"/>
      <c r="X56" s="12"/>
      <c r="Y56" s="12"/>
      <c r="Z56" s="12"/>
    </row>
    <row r="57" spans="2:26" x14ac:dyDescent="0.3">
      <c r="B57" s="5" t="s">
        <v>40</v>
      </c>
      <c r="C57" s="119"/>
      <c r="D57" s="39"/>
      <c r="E57" s="32">
        <f>'Reopening Assumptions'!$C$84</f>
        <v>460000</v>
      </c>
      <c r="F57" s="12"/>
      <c r="G57" s="21"/>
      <c r="H57" s="9"/>
      <c r="I57" s="21">
        <f>'Reopening Assumptions'!$C$84</f>
        <v>460000</v>
      </c>
      <c r="J57" s="21">
        <f>'Reopening Assumptions'!$C$84</f>
        <v>460000</v>
      </c>
      <c r="K57" s="21">
        <f>'Reopening Assumptions'!$C$84</f>
        <v>460000</v>
      </c>
      <c r="L57" s="21">
        <f>'Reopening Assumptions'!$C$84</f>
        <v>460000</v>
      </c>
      <c r="M57" s="21">
        <f>'Reopening Assumptions'!$C$84</f>
        <v>460000</v>
      </c>
      <c r="N57" s="21">
        <f>'Reopening Assumptions'!$C$84</f>
        <v>460000</v>
      </c>
      <c r="O57" s="21">
        <f>'Reopening Assumptions'!$C$84</f>
        <v>460000</v>
      </c>
      <c r="P57" s="21">
        <f>'Reopening Assumptions'!$C$84</f>
        <v>460000</v>
      </c>
      <c r="Q57" s="21">
        <f>'Reopening Assumptions'!$C$84</f>
        <v>460000</v>
      </c>
      <c r="R57" s="21">
        <f>'Reopening Assumptions'!$C$84</f>
        <v>460000</v>
      </c>
      <c r="S57" s="21">
        <f>'Reopening Assumptions'!$C$84</f>
        <v>460000</v>
      </c>
      <c r="T57" s="21">
        <f>'Reopening Assumptions'!$C$84</f>
        <v>460000</v>
      </c>
      <c r="U57" s="21">
        <f>'Reopening Assumptions'!$C$84</f>
        <v>460000</v>
      </c>
      <c r="V57" s="21">
        <f>'Reopening Assumptions'!$C$84</f>
        <v>460000</v>
      </c>
      <c r="W57" s="21">
        <f>'Reopening Assumptions'!$C$84</f>
        <v>460000</v>
      </c>
      <c r="X57" s="21">
        <f>'Reopening Assumptions'!$C$84</f>
        <v>460000</v>
      </c>
      <c r="Y57" s="21">
        <f>'Reopening Assumptions'!$C$84</f>
        <v>460000</v>
      </c>
      <c r="Z57" s="21">
        <f>'Reopening Assumptions'!$C$84</f>
        <v>460000</v>
      </c>
    </row>
    <row r="58" spans="2:26" x14ac:dyDescent="0.3">
      <c r="B58" s="5" t="s">
        <v>41</v>
      </c>
      <c r="C58" s="119"/>
      <c r="D58" s="39"/>
      <c r="E58" s="32">
        <f>'Reopening Assumptions'!$C$85</f>
        <v>948091</v>
      </c>
      <c r="F58" s="9"/>
      <c r="G58" s="21"/>
      <c r="H58" s="9"/>
      <c r="I58" s="21">
        <f>'Reopening Assumptions'!$C$85</f>
        <v>948091</v>
      </c>
      <c r="J58" s="21">
        <f>I58*'Reopening Assumptions'!$A$124</f>
        <v>943350.54500000004</v>
      </c>
      <c r="K58" s="21">
        <f>J58*'Reopening Assumptions'!$A$124</f>
        <v>938633.79227500001</v>
      </c>
      <c r="L58" s="21">
        <f>K58*'Reopening Assumptions'!$A$124</f>
        <v>933940.62331362499</v>
      </c>
      <c r="M58" s="21">
        <f>L58*'Reopening Assumptions'!$A$124</f>
        <v>929270.92019705684</v>
      </c>
      <c r="N58" s="21">
        <f>M58*'Reopening Assumptions'!$A$124</f>
        <v>924624.56559607154</v>
      </c>
      <c r="O58" s="21">
        <f>N58*'Reopening Assumptions'!$A$124</f>
        <v>920001.44276809122</v>
      </c>
      <c r="P58" s="21">
        <f>O58*'Reopening Assumptions'!$A$124</f>
        <v>915401.43555425073</v>
      </c>
      <c r="Q58" s="21">
        <f>P58*'Reopening Assumptions'!$A$124</f>
        <v>910824.42837647942</v>
      </c>
      <c r="R58" s="21">
        <f>Q58*'Reopening Assumptions'!$A$124</f>
        <v>906270.306234597</v>
      </c>
      <c r="S58" s="21">
        <f>R58*'Reopening Assumptions'!$A$124</f>
        <v>901738.95470342401</v>
      </c>
      <c r="T58" s="21">
        <f>S58*'Reopening Assumptions'!$A$124</f>
        <v>897230.25992990693</v>
      </c>
      <c r="U58" s="21">
        <f>T58*'Reopening Assumptions'!$A$124</f>
        <v>892744.10863025743</v>
      </c>
      <c r="V58" s="21">
        <f>U58*'Reopening Assumptions'!$A$124</f>
        <v>888280.38808710617</v>
      </c>
      <c r="W58" s="21">
        <f>V58*'Reopening Assumptions'!$A$124</f>
        <v>883838.98614667065</v>
      </c>
      <c r="X58" s="21">
        <f>W58*'Reopening Assumptions'!$A$124</f>
        <v>879419.79121593724</v>
      </c>
      <c r="Y58" s="21">
        <f>X58*'Reopening Assumptions'!$A$124</f>
        <v>875022.69225985755</v>
      </c>
      <c r="Z58" s="21">
        <f>Y58*'Reopening Assumptions'!$A$124</f>
        <v>870647.57879855821</v>
      </c>
    </row>
    <row r="59" spans="2:26" x14ac:dyDescent="0.3">
      <c r="B59" s="5" t="s">
        <v>42</v>
      </c>
      <c r="C59" s="119"/>
      <c r="D59" s="39"/>
      <c r="E59" s="32">
        <f>'Reopening Assumptions'!$C$86</f>
        <v>8493</v>
      </c>
      <c r="F59" s="9"/>
      <c r="G59" s="21"/>
      <c r="H59" s="9"/>
      <c r="I59" s="21">
        <f>'Reopening Assumptions'!$C$86</f>
        <v>8493</v>
      </c>
      <c r="J59" s="21">
        <f>I59*'Reopening Assumptions'!$A$124</f>
        <v>8450.5349999999999</v>
      </c>
      <c r="K59" s="21">
        <f>J59*'Reopening Assumptions'!$A$124</f>
        <v>8408.2823250000001</v>
      </c>
      <c r="L59" s="21">
        <f>K59*'Reopening Assumptions'!$A$124</f>
        <v>8366.2409133750007</v>
      </c>
      <c r="M59" s="21">
        <f>L59*'Reopening Assumptions'!$A$124</f>
        <v>8324.4097088081253</v>
      </c>
      <c r="N59" s="21">
        <f>M59*'Reopening Assumptions'!$A$124</f>
        <v>8282.7876602640845</v>
      </c>
      <c r="O59" s="21">
        <f>N59*'Reopening Assumptions'!$A$124</f>
        <v>8241.3737219627637</v>
      </c>
      <c r="P59" s="21">
        <f>O59*'Reopening Assumptions'!$A$124</f>
        <v>8200.1668533529501</v>
      </c>
      <c r="Q59" s="21">
        <f>P59*'Reopening Assumptions'!$A$124</f>
        <v>8159.1660190861849</v>
      </c>
      <c r="R59" s="21">
        <f>Q59*'Reopening Assumptions'!$A$124</f>
        <v>8118.3701889907543</v>
      </c>
      <c r="S59" s="21">
        <f>R59*'Reopening Assumptions'!$A$124</f>
        <v>8077.7783380458004</v>
      </c>
      <c r="T59" s="21">
        <f>S59*'Reopening Assumptions'!$A$124</f>
        <v>8037.3894463555716</v>
      </c>
      <c r="U59" s="21">
        <f>T59*'Reopening Assumptions'!$A$124</f>
        <v>7997.202499123794</v>
      </c>
      <c r="V59" s="21">
        <f>U59*'Reopening Assumptions'!$A$124</f>
        <v>7957.2164866281746</v>
      </c>
      <c r="W59" s="21">
        <f>V59*'Reopening Assumptions'!$A$124</f>
        <v>7917.4304041950336</v>
      </c>
      <c r="X59" s="21">
        <f>W59*'Reopening Assumptions'!$A$124</f>
        <v>7877.8432521740588</v>
      </c>
      <c r="Y59" s="21">
        <f>X59*'Reopening Assumptions'!$A$124</f>
        <v>7838.4540359131888</v>
      </c>
      <c r="Z59" s="21">
        <f>Y59*'Reopening Assumptions'!$A$124</f>
        <v>7799.2617657336232</v>
      </c>
    </row>
    <row r="61" spans="2:26" x14ac:dyDescent="0.3">
      <c r="B61" s="63" t="s">
        <v>247</v>
      </c>
    </row>
    <row r="62" spans="2:26" x14ac:dyDescent="0.3">
      <c r="B62" s="9"/>
    </row>
    <row r="63" spans="2:26" ht="15.6" x14ac:dyDescent="0.3">
      <c r="B63" s="1"/>
      <c r="C63" s="2" t="s">
        <v>244</v>
      </c>
      <c r="D63" s="2" t="s">
        <v>248</v>
      </c>
      <c r="E63" s="2" t="s">
        <v>123</v>
      </c>
      <c r="F63" s="2" t="s">
        <v>47</v>
      </c>
      <c r="G63" s="2" t="s">
        <v>48</v>
      </c>
      <c r="H63" s="2" t="s">
        <v>49</v>
      </c>
      <c r="I63" s="2" t="s">
        <v>50</v>
      </c>
      <c r="J63" s="2" t="s">
        <v>51</v>
      </c>
      <c r="K63" s="2" t="s">
        <v>52</v>
      </c>
      <c r="L63" s="2" t="s">
        <v>53</v>
      </c>
      <c r="M63" s="2" t="s">
        <v>54</v>
      </c>
      <c r="N63" s="2" t="s">
        <v>55</v>
      </c>
      <c r="O63" s="2" t="s">
        <v>56</v>
      </c>
      <c r="P63" s="2" t="s">
        <v>57</v>
      </c>
      <c r="Q63" s="2" t="s">
        <v>58</v>
      </c>
      <c r="R63" s="2" t="s">
        <v>59</v>
      </c>
      <c r="S63" s="2" t="s">
        <v>60</v>
      </c>
      <c r="T63" s="2" t="s">
        <v>61</v>
      </c>
      <c r="U63" s="2" t="s">
        <v>62</v>
      </c>
      <c r="V63" s="2" t="s">
        <v>63</v>
      </c>
      <c r="W63" s="2" t="s">
        <v>64</v>
      </c>
      <c r="X63" s="2" t="s">
        <v>65</v>
      </c>
      <c r="Y63" s="2" t="s">
        <v>66</v>
      </c>
      <c r="Z63" s="2" t="s">
        <v>67</v>
      </c>
    </row>
    <row r="64" spans="2:26" ht="15.6" x14ac:dyDescent="0.3">
      <c r="B64" s="29" t="s">
        <v>246</v>
      </c>
      <c r="C64" s="2"/>
      <c r="D64" s="2"/>
      <c r="E64" s="15">
        <f>SUM(E67:E117)</f>
        <v>651523855.64991128</v>
      </c>
      <c r="F64" s="72"/>
      <c r="G64" s="2"/>
      <c r="H64" s="2"/>
      <c r="I64" s="2"/>
      <c r="J64" s="2"/>
      <c r="K64" s="2"/>
      <c r="L64" s="2"/>
      <c r="M64" s="2"/>
      <c r="N64" s="2"/>
      <c r="O64" s="2"/>
      <c r="P64" s="2"/>
      <c r="Q64" s="2"/>
      <c r="R64" s="2"/>
      <c r="S64" s="2"/>
      <c r="T64" s="2"/>
      <c r="U64" s="2"/>
      <c r="V64" s="2"/>
      <c r="W64" s="2"/>
      <c r="X64" s="2"/>
      <c r="Y64" s="2"/>
      <c r="Z64" s="2"/>
    </row>
    <row r="65" spans="2:26" x14ac:dyDescent="0.3">
      <c r="B65" s="3" t="s">
        <v>4</v>
      </c>
      <c r="C65" s="37">
        <f>C67+C74+C85+C88+C101+C104</f>
        <v>517160</v>
      </c>
      <c r="D65" s="4"/>
      <c r="E65" s="15">
        <f>SUM(F65:Z65)</f>
        <v>651523855.64991117</v>
      </c>
      <c r="F65" s="15">
        <f t="shared" ref="F65:Z65" si="7">F69+F70+F72+F73+F76+F77+F78+F79+F81+F82+F83+F84+H115+H116+H117+F86+F87+F90+F91+F92+F93+F94+F96+F97+F98+F99+F100+F102+F103+F106+F107+F108+F109+F111+F112+F113+F114</f>
        <v>150287241.57700735</v>
      </c>
      <c r="G65" s="15">
        <f t="shared" si="7"/>
        <v>34062072.644041948</v>
      </c>
      <c r="H65" s="15">
        <f t="shared" si="7"/>
        <v>33914405.114653021</v>
      </c>
      <c r="I65" s="15">
        <f t="shared" si="7"/>
        <v>33801616.020861797</v>
      </c>
      <c r="J65" s="15">
        <f t="shared" si="7"/>
        <v>33689390.872539535</v>
      </c>
      <c r="K65" s="15">
        <f t="shared" si="7"/>
        <v>33577726.849958867</v>
      </c>
      <c r="L65" s="15">
        <f t="shared" si="7"/>
        <v>33466621.147491127</v>
      </c>
      <c r="M65" s="15">
        <f t="shared" si="7"/>
        <v>22582782.773070082</v>
      </c>
      <c r="N65" s="15">
        <f t="shared" si="7"/>
        <v>21889487.194041863</v>
      </c>
      <c r="O65" s="15">
        <f t="shared" si="7"/>
        <v>21780039.758071654</v>
      </c>
      <c r="P65" s="15">
        <f t="shared" si="7"/>
        <v>21671139.559281293</v>
      </c>
      <c r="Q65" s="15">
        <f t="shared" si="7"/>
        <v>21562783.861484889</v>
      </c>
      <c r="R65" s="15">
        <f t="shared" si="7"/>
        <v>21454969.942177467</v>
      </c>
      <c r="S65" s="15">
        <f t="shared" si="7"/>
        <v>21347695.092466578</v>
      </c>
      <c r="T65" s="15">
        <f t="shared" si="7"/>
        <v>21240956.617004242</v>
      </c>
      <c r="U65" s="15">
        <f t="shared" si="7"/>
        <v>21134751.833919227</v>
      </c>
      <c r="V65" s="15">
        <f t="shared" si="7"/>
        <v>21029078.074749626</v>
      </c>
      <c r="W65" s="15">
        <f t="shared" si="7"/>
        <v>20923932.684375882</v>
      </c>
      <c r="X65" s="15">
        <f t="shared" si="7"/>
        <v>20819313.020953998</v>
      </c>
      <c r="Y65" s="15">
        <f t="shared" si="7"/>
        <v>20715216.455849227</v>
      </c>
      <c r="Z65" s="15">
        <f t="shared" si="7"/>
        <v>20572634.555911593</v>
      </c>
    </row>
    <row r="66" spans="2:26" x14ac:dyDescent="0.3">
      <c r="B66" s="3" t="s">
        <v>5</v>
      </c>
      <c r="C66" s="37">
        <f>C69+C70+C72+C73+C76+C77+C78+C79+C81+C82+C83+C84+C86+C87+C90+C91+C92+C93+C94+C96+C97+C98+C99+C100+C102+C103+C106+C107+C108+C109+C111+C112+C113+C114</f>
        <v>469859.89284931525</v>
      </c>
      <c r="D66" s="25"/>
      <c r="E66" s="24">
        <f t="shared" ref="E66:Z66" si="8">E67+E74+E85+E88+E101+E104</f>
        <v>651523855.64991128</v>
      </c>
      <c r="F66" s="24">
        <f t="shared" si="8"/>
        <v>150287241.57700732</v>
      </c>
      <c r="G66" s="24">
        <f t="shared" si="8"/>
        <v>34062072.644041948</v>
      </c>
      <c r="H66" s="24">
        <f t="shared" si="8"/>
        <v>33914405.114653029</v>
      </c>
      <c r="I66" s="24">
        <f t="shared" si="8"/>
        <v>33801616.020861797</v>
      </c>
      <c r="J66" s="24">
        <f t="shared" si="8"/>
        <v>33689390.872539528</v>
      </c>
      <c r="K66" s="24">
        <f t="shared" si="8"/>
        <v>33577726.849958874</v>
      </c>
      <c r="L66" s="24">
        <f t="shared" si="8"/>
        <v>33466621.14749112</v>
      </c>
      <c r="M66" s="24">
        <f t="shared" si="8"/>
        <v>22582782.773070082</v>
      </c>
      <c r="N66" s="24">
        <f t="shared" si="8"/>
        <v>21889487.194041863</v>
      </c>
      <c r="O66" s="24">
        <f t="shared" si="8"/>
        <v>21780039.758071654</v>
      </c>
      <c r="P66" s="24">
        <f t="shared" si="8"/>
        <v>21671139.559281297</v>
      </c>
      <c r="Q66" s="24">
        <f t="shared" si="8"/>
        <v>21562783.861484893</v>
      </c>
      <c r="R66" s="24">
        <f t="shared" si="8"/>
        <v>21454969.942177463</v>
      </c>
      <c r="S66" s="24">
        <f t="shared" si="8"/>
        <v>21347695.092466578</v>
      </c>
      <c r="T66" s="24">
        <f t="shared" si="8"/>
        <v>21240956.617004246</v>
      </c>
      <c r="U66" s="24">
        <f t="shared" si="8"/>
        <v>21134751.833919227</v>
      </c>
      <c r="V66" s="24">
        <f t="shared" si="8"/>
        <v>21029078.074749626</v>
      </c>
      <c r="W66" s="24">
        <f t="shared" si="8"/>
        <v>20923932.684375878</v>
      </c>
      <c r="X66" s="24">
        <f t="shared" si="8"/>
        <v>20819313.020953998</v>
      </c>
      <c r="Y66" s="24">
        <f t="shared" si="8"/>
        <v>20715216.45584923</v>
      </c>
      <c r="Z66" s="24">
        <f t="shared" si="8"/>
        <v>20572634.555911593</v>
      </c>
    </row>
    <row r="67" spans="2:26" x14ac:dyDescent="0.3">
      <c r="B67" s="5" t="s">
        <v>6</v>
      </c>
      <c r="C67" s="6">
        <f>'Reopening Assumptions'!C6</f>
        <v>116650</v>
      </c>
      <c r="D67" s="7"/>
      <c r="E67" s="24">
        <f>SUM(F67:AA67)</f>
        <v>138837111.63146961</v>
      </c>
      <c r="F67" s="68">
        <f t="shared" ref="F67:Z67" si="9">F69+F70+F72+F73</f>
        <v>138837111.63146961</v>
      </c>
      <c r="G67" s="68">
        <f t="shared" si="9"/>
        <v>0</v>
      </c>
      <c r="H67" s="68">
        <f t="shared" si="9"/>
        <v>0</v>
      </c>
      <c r="I67" s="68">
        <f t="shared" si="9"/>
        <v>0</v>
      </c>
      <c r="J67" s="68">
        <f t="shared" si="9"/>
        <v>0</v>
      </c>
      <c r="K67" s="68">
        <f t="shared" si="9"/>
        <v>0</v>
      </c>
      <c r="L67" s="68">
        <f t="shared" si="9"/>
        <v>0</v>
      </c>
      <c r="M67" s="68">
        <f t="shared" si="9"/>
        <v>0</v>
      </c>
      <c r="N67" s="68">
        <f t="shared" si="9"/>
        <v>0</v>
      </c>
      <c r="O67" s="68">
        <f t="shared" si="9"/>
        <v>0</v>
      </c>
      <c r="P67" s="68">
        <f t="shared" si="9"/>
        <v>0</v>
      </c>
      <c r="Q67" s="68">
        <f t="shared" si="9"/>
        <v>0</v>
      </c>
      <c r="R67" s="68">
        <f t="shared" si="9"/>
        <v>0</v>
      </c>
      <c r="S67" s="68">
        <f t="shared" si="9"/>
        <v>0</v>
      </c>
      <c r="T67" s="68">
        <f t="shared" si="9"/>
        <v>0</v>
      </c>
      <c r="U67" s="68">
        <f t="shared" si="9"/>
        <v>0</v>
      </c>
      <c r="V67" s="68">
        <f t="shared" si="9"/>
        <v>0</v>
      </c>
      <c r="W67" s="68">
        <f t="shared" si="9"/>
        <v>0</v>
      </c>
      <c r="X67" s="68">
        <f t="shared" si="9"/>
        <v>0</v>
      </c>
      <c r="Y67" s="68">
        <f t="shared" si="9"/>
        <v>0</v>
      </c>
      <c r="Z67" s="68">
        <f t="shared" si="9"/>
        <v>0</v>
      </c>
    </row>
    <row r="68" spans="2:26" x14ac:dyDescent="0.3">
      <c r="B68" s="1" t="s">
        <v>7</v>
      </c>
      <c r="C68" s="36">
        <f>'Reopening Assumptions'!C7</f>
        <v>32330</v>
      </c>
      <c r="D68" s="16"/>
      <c r="E68" s="9"/>
      <c r="F68" s="65"/>
      <c r="G68" s="16"/>
      <c r="H68" s="16"/>
      <c r="I68" s="16"/>
      <c r="J68" s="16"/>
      <c r="K68" s="16"/>
      <c r="L68" s="16"/>
      <c r="M68" s="16"/>
      <c r="N68" s="16"/>
      <c r="O68" s="16"/>
      <c r="P68" s="16"/>
      <c r="Q68" s="16"/>
      <c r="R68" s="16"/>
      <c r="S68" s="16"/>
      <c r="T68" s="16"/>
      <c r="U68" s="16"/>
      <c r="V68" s="16"/>
      <c r="W68" s="16"/>
      <c r="X68" s="16"/>
      <c r="Y68" s="16"/>
      <c r="Z68" s="16"/>
    </row>
    <row r="69" spans="2:26" x14ac:dyDescent="0.3">
      <c r="B69" s="9" t="s">
        <v>8</v>
      </c>
      <c r="C69" s="10">
        <f>'Reopening Assumptions'!C8</f>
        <v>12285.4</v>
      </c>
      <c r="D69" s="18">
        <f>'Reopening Assumptions'!E8</f>
        <v>75.290000000000006</v>
      </c>
      <c r="E69" s="9"/>
      <c r="F69" s="69">
        <f>'Reopening Activities'!E11*'Reopening Activities'!D69</f>
        <v>17470487.738940373</v>
      </c>
      <c r="G69" s="17"/>
      <c r="H69" s="17"/>
      <c r="I69" s="17"/>
      <c r="J69" s="17"/>
      <c r="K69" s="17"/>
      <c r="L69" s="17"/>
      <c r="M69" s="17"/>
      <c r="N69" s="17"/>
      <c r="O69" s="17"/>
      <c r="P69" s="17"/>
      <c r="Q69" s="17"/>
      <c r="R69" s="17"/>
      <c r="S69" s="17"/>
      <c r="T69" s="17"/>
      <c r="U69" s="17"/>
      <c r="V69" s="17"/>
      <c r="W69" s="17">
        <f>'Reopening Activities'!V11*$D69</f>
        <v>0</v>
      </c>
      <c r="X69" s="17">
        <f>'Reopening Activities'!W11*$D69</f>
        <v>0</v>
      </c>
      <c r="Y69" s="17">
        <f>'Reopening Activities'!X11*$D69</f>
        <v>0</v>
      </c>
      <c r="Z69" s="17">
        <f>'Reopening Activities'!Y11*$D69</f>
        <v>0</v>
      </c>
    </row>
    <row r="70" spans="2:26" x14ac:dyDescent="0.3">
      <c r="B70" s="9" t="s">
        <v>9</v>
      </c>
      <c r="C70" s="10">
        <f>'Reopening Assumptions'!C9</f>
        <v>20044.599999999999</v>
      </c>
      <c r="D70" s="18">
        <f>'Reopening Assumptions'!E9</f>
        <v>75.290000000000006</v>
      </c>
      <c r="E70" s="9"/>
      <c r="F70" s="69">
        <f>'Reopening Activities'!E12*'Reopening Activities'!D70</f>
        <v>28975596.770092934</v>
      </c>
      <c r="G70" s="17"/>
      <c r="H70" s="17"/>
      <c r="I70" s="17"/>
      <c r="J70" s="17"/>
      <c r="K70" s="17"/>
      <c r="L70" s="17"/>
      <c r="M70" s="17"/>
      <c r="N70" s="17"/>
      <c r="O70" s="17"/>
      <c r="P70" s="17"/>
      <c r="Q70" s="17"/>
      <c r="R70" s="17"/>
      <c r="S70" s="17"/>
      <c r="T70" s="17"/>
      <c r="U70" s="17"/>
      <c r="V70" s="17"/>
      <c r="W70" s="17">
        <f>'Reopening Activities'!V12*$D70</f>
        <v>0</v>
      </c>
      <c r="X70" s="17">
        <f>'Reopening Activities'!W12*$D70</f>
        <v>0</v>
      </c>
      <c r="Y70" s="17">
        <f>'Reopening Activities'!X12*$D70</f>
        <v>0</v>
      </c>
      <c r="Z70" s="17">
        <f>'Reopening Activities'!Y12*$D70</f>
        <v>0</v>
      </c>
    </row>
    <row r="71" spans="2:26" x14ac:dyDescent="0.3">
      <c r="B71" s="1" t="s">
        <v>10</v>
      </c>
      <c r="C71" s="36">
        <f>'Reopening Assumptions'!C10</f>
        <v>84320</v>
      </c>
      <c r="D71" s="14"/>
      <c r="E71" s="9"/>
      <c r="F71" s="69"/>
      <c r="G71" s="16"/>
      <c r="H71" s="16"/>
      <c r="I71" s="16"/>
      <c r="J71" s="16"/>
      <c r="K71" s="16"/>
      <c r="L71" s="16"/>
      <c r="M71" s="16"/>
      <c r="N71" s="16"/>
      <c r="O71" s="16"/>
      <c r="P71" s="16"/>
      <c r="Q71" s="16"/>
      <c r="R71" s="16"/>
      <c r="S71" s="16"/>
      <c r="T71" s="16"/>
      <c r="U71" s="16"/>
      <c r="V71" s="16"/>
      <c r="W71" s="16"/>
      <c r="X71" s="16"/>
      <c r="Y71" s="16"/>
      <c r="Z71" s="16"/>
    </row>
    <row r="72" spans="2:26" x14ac:dyDescent="0.3">
      <c r="B72" s="9" t="s">
        <v>11</v>
      </c>
      <c r="C72" s="10">
        <f>'Reopening Assumptions'!C11</f>
        <v>32041.600000000002</v>
      </c>
      <c r="D72" s="18">
        <f>'Reopening Assumptions'!E11</f>
        <v>64.56</v>
      </c>
      <c r="E72" s="9"/>
      <c r="F72" s="69">
        <f>'Reopening Activities'!E14*'Reopening Activities'!D72</f>
        <v>35346209.234106287</v>
      </c>
      <c r="G72" s="17"/>
      <c r="H72" s="17"/>
      <c r="I72" s="17"/>
      <c r="J72" s="17"/>
      <c r="K72" s="17"/>
      <c r="L72" s="17"/>
      <c r="M72" s="17"/>
      <c r="N72" s="17"/>
      <c r="O72" s="17"/>
      <c r="P72" s="17"/>
      <c r="Q72" s="17"/>
      <c r="R72" s="17"/>
      <c r="S72" s="17"/>
      <c r="T72" s="17"/>
      <c r="U72" s="17"/>
      <c r="V72" s="17"/>
      <c r="W72" s="17">
        <f>'Reopening Activities'!V14*$D72</f>
        <v>0</v>
      </c>
      <c r="X72" s="17">
        <f>'Reopening Activities'!W14*$D72</f>
        <v>0</v>
      </c>
      <c r="Y72" s="17">
        <f>'Reopening Activities'!X14*$D72</f>
        <v>0</v>
      </c>
      <c r="Z72" s="17">
        <f>'Reopening Activities'!Y14*$D72</f>
        <v>0</v>
      </c>
    </row>
    <row r="73" spans="2:26" x14ac:dyDescent="0.3">
      <c r="B73" s="9" t="s">
        <v>9</v>
      </c>
      <c r="C73" s="10">
        <f>'Reopening Assumptions'!C12</f>
        <v>52278.400000000001</v>
      </c>
      <c r="D73" s="18">
        <f>'Reopening Assumptions'!E12</f>
        <v>64.56</v>
      </c>
      <c r="E73" s="9"/>
      <c r="F73" s="69">
        <f>'Reopening Activities'!E15*'Reopening Activities'!D73</f>
        <v>57044817.888330013</v>
      </c>
      <c r="G73" s="17"/>
      <c r="H73" s="17"/>
      <c r="I73" s="17"/>
      <c r="J73" s="17"/>
      <c r="K73" s="17"/>
      <c r="L73" s="17"/>
      <c r="M73" s="17"/>
      <c r="N73" s="17"/>
      <c r="O73" s="17"/>
      <c r="P73" s="17"/>
      <c r="Q73" s="17"/>
      <c r="R73" s="17"/>
      <c r="S73" s="17"/>
      <c r="T73" s="17"/>
      <c r="U73" s="17"/>
      <c r="V73" s="17"/>
      <c r="W73" s="17">
        <f>'Reopening Activities'!V15*$D73</f>
        <v>0</v>
      </c>
      <c r="X73" s="17">
        <f>'Reopening Activities'!W15*$D73</f>
        <v>0</v>
      </c>
      <c r="Y73" s="17">
        <f>'Reopening Activities'!X15*$D73</f>
        <v>0</v>
      </c>
      <c r="Z73" s="17">
        <f>'Reopening Activities'!Y15*$D73</f>
        <v>0</v>
      </c>
    </row>
    <row r="74" spans="2:26" x14ac:dyDescent="0.3">
      <c r="B74" s="5" t="s">
        <v>12</v>
      </c>
      <c r="C74" s="6">
        <f>'Reopening Assumptions'!C13</f>
        <v>146860</v>
      </c>
      <c r="D74" s="7"/>
      <c r="E74" s="24">
        <f>SUM(F74:AA74)</f>
        <v>76046740.238580883</v>
      </c>
      <c r="F74" s="40">
        <f t="shared" ref="F74:Z74" si="10">SUM(F76:F84)</f>
        <v>11407011.035787132</v>
      </c>
      <c r="G74" s="40">
        <f t="shared" si="10"/>
        <v>10773288.200465625</v>
      </c>
      <c r="H74" s="40">
        <f t="shared" si="10"/>
        <v>10773288.200465625</v>
      </c>
      <c r="I74" s="40">
        <f t="shared" si="10"/>
        <v>10773288.200465625</v>
      </c>
      <c r="J74" s="40">
        <f t="shared" si="10"/>
        <v>10773288.200465625</v>
      </c>
      <c r="K74" s="40">
        <f t="shared" si="10"/>
        <v>10773288.200465625</v>
      </c>
      <c r="L74" s="40">
        <f t="shared" si="10"/>
        <v>10773288.200465625</v>
      </c>
      <c r="M74" s="40">
        <f t="shared" si="10"/>
        <v>0</v>
      </c>
      <c r="N74" s="40">
        <f t="shared" si="10"/>
        <v>0</v>
      </c>
      <c r="O74" s="40">
        <f t="shared" si="10"/>
        <v>0</v>
      </c>
      <c r="P74" s="40">
        <f t="shared" si="10"/>
        <v>0</v>
      </c>
      <c r="Q74" s="40">
        <f t="shared" si="10"/>
        <v>0</v>
      </c>
      <c r="R74" s="40">
        <f t="shared" si="10"/>
        <v>0</v>
      </c>
      <c r="S74" s="40">
        <f t="shared" si="10"/>
        <v>0</v>
      </c>
      <c r="T74" s="40">
        <f t="shared" si="10"/>
        <v>0</v>
      </c>
      <c r="U74" s="40">
        <f t="shared" si="10"/>
        <v>0</v>
      </c>
      <c r="V74" s="40">
        <f t="shared" si="10"/>
        <v>0</v>
      </c>
      <c r="W74" s="40">
        <f t="shared" si="10"/>
        <v>0</v>
      </c>
      <c r="X74" s="40">
        <f t="shared" si="10"/>
        <v>0</v>
      </c>
      <c r="Y74" s="40">
        <f t="shared" si="10"/>
        <v>0</v>
      </c>
      <c r="Z74" s="40">
        <f t="shared" si="10"/>
        <v>0</v>
      </c>
    </row>
    <row r="75" spans="2:26" x14ac:dyDescent="0.3">
      <c r="B75" s="1" t="s">
        <v>13</v>
      </c>
      <c r="C75" s="36">
        <f>'Reopening Assumptions'!C14</f>
        <v>42900</v>
      </c>
      <c r="D75" s="14">
        <f>'Reopening Assumptions'!E14</f>
        <v>0</v>
      </c>
      <c r="E75" s="9"/>
      <c r="F75" s="16"/>
      <c r="G75" s="16"/>
      <c r="H75" s="16"/>
      <c r="I75" s="16"/>
      <c r="J75" s="16"/>
      <c r="K75" s="16"/>
      <c r="L75" s="16"/>
      <c r="M75" s="16"/>
      <c r="N75" s="16"/>
      <c r="O75" s="16"/>
      <c r="P75" s="16"/>
      <c r="Q75" s="16"/>
      <c r="R75" s="16"/>
      <c r="S75" s="16"/>
      <c r="T75" s="16"/>
      <c r="U75" s="16"/>
      <c r="V75" s="16"/>
      <c r="W75" s="16"/>
      <c r="X75" s="16"/>
      <c r="Y75" s="16"/>
      <c r="Z75" s="16"/>
    </row>
    <row r="76" spans="2:26" x14ac:dyDescent="0.3">
      <c r="B76" s="9" t="s">
        <v>14</v>
      </c>
      <c r="C76" s="10">
        <f>'Reopening Assumptions'!C15</f>
        <v>3543.1049117031271</v>
      </c>
      <c r="D76" s="18">
        <f>'Reopening Assumptions'!E15</f>
        <v>57.82</v>
      </c>
      <c r="E76" s="9"/>
      <c r="F76" s="17">
        <f>('Reopening Activities'!E18*'Reopening Activities'!D76)*0.15</f>
        <v>592611.38662981405</v>
      </c>
      <c r="G76" s="17">
        <f>(('Reopening Activities'!E18*D76)-F76)/6</f>
        <v>559688.53181704658</v>
      </c>
      <c r="H76" s="17">
        <f t="shared" ref="H76:L79" si="11">G76</f>
        <v>559688.53181704658</v>
      </c>
      <c r="I76" s="17">
        <f t="shared" si="11"/>
        <v>559688.53181704658</v>
      </c>
      <c r="J76" s="17">
        <f t="shared" si="11"/>
        <v>559688.53181704658</v>
      </c>
      <c r="K76" s="17">
        <f t="shared" si="11"/>
        <v>559688.53181704658</v>
      </c>
      <c r="L76" s="17">
        <f t="shared" si="11"/>
        <v>559688.53181704658</v>
      </c>
      <c r="M76" s="17"/>
      <c r="N76" s="17"/>
      <c r="O76" s="17"/>
      <c r="P76" s="17"/>
      <c r="Q76" s="17"/>
      <c r="R76" s="17"/>
      <c r="S76" s="17"/>
      <c r="T76" s="17"/>
      <c r="U76" s="17"/>
      <c r="V76" s="17"/>
      <c r="W76" s="17">
        <f>'Reopening Activities'!V18*$D76</f>
        <v>0</v>
      </c>
      <c r="X76" s="17">
        <f>'Reopening Activities'!W18*$D76</f>
        <v>0</v>
      </c>
      <c r="Y76" s="17">
        <f>'Reopening Activities'!X18*$D76</f>
        <v>0</v>
      </c>
      <c r="Z76" s="17">
        <f>'Reopening Activities'!Y18*$D76</f>
        <v>0</v>
      </c>
    </row>
    <row r="77" spans="2:26" x14ac:dyDescent="0.3">
      <c r="B77" s="9" t="s">
        <v>15</v>
      </c>
      <c r="C77" s="10">
        <f>'Reopening Assumptions'!C16</f>
        <v>2736.8796011054123</v>
      </c>
      <c r="D77" s="18">
        <f>'Reopening Assumptions'!E16</f>
        <v>47.03</v>
      </c>
      <c r="E77" s="9"/>
      <c r="F77" s="17">
        <f>('Reopening Activities'!E19*'Reopening Activities'!D77)*0.15</f>
        <v>363077.71910927357</v>
      </c>
      <c r="G77" s="17">
        <f>(('Reopening Activities'!E19*D77)-F77)/6</f>
        <v>342906.73471431393</v>
      </c>
      <c r="H77" s="17">
        <f t="shared" si="11"/>
        <v>342906.73471431393</v>
      </c>
      <c r="I77" s="17">
        <f t="shared" si="11"/>
        <v>342906.73471431393</v>
      </c>
      <c r="J77" s="17">
        <f t="shared" si="11"/>
        <v>342906.73471431393</v>
      </c>
      <c r="K77" s="17">
        <f t="shared" si="11"/>
        <v>342906.73471431393</v>
      </c>
      <c r="L77" s="17">
        <f t="shared" si="11"/>
        <v>342906.73471431393</v>
      </c>
      <c r="M77" s="17"/>
      <c r="N77" s="17"/>
      <c r="O77" s="17"/>
      <c r="P77" s="17"/>
      <c r="Q77" s="17"/>
      <c r="R77" s="17"/>
      <c r="S77" s="17"/>
      <c r="T77" s="17"/>
      <c r="U77" s="17"/>
      <c r="V77" s="17"/>
      <c r="W77" s="17">
        <f>'Reopening Activities'!V19*$D77</f>
        <v>0</v>
      </c>
      <c r="X77" s="17">
        <f>'Reopening Activities'!W19*$D77</f>
        <v>0</v>
      </c>
      <c r="Y77" s="17">
        <f>'Reopening Activities'!X19*$D77</f>
        <v>0</v>
      </c>
      <c r="Z77" s="17">
        <f>'Reopening Activities'!Y19*$D77</f>
        <v>0</v>
      </c>
    </row>
    <row r="78" spans="2:26" x14ac:dyDescent="0.3">
      <c r="B78" s="9" t="s">
        <v>16</v>
      </c>
      <c r="C78" s="10">
        <f>'Reopening Assumptions'!C17</f>
        <v>6353.1604219163637</v>
      </c>
      <c r="D78" s="18">
        <f>'Reopening Assumptions'!E17</f>
        <v>41.48</v>
      </c>
      <c r="E78" s="9"/>
      <c r="F78" s="17">
        <f>('Reopening Activities'!E20*'Reopening Activities'!D78)*0.15</f>
        <v>767635.72252033919</v>
      </c>
      <c r="G78" s="17">
        <f>(('Reopening Activities'!E20*D78)-F78)/6</f>
        <v>724989.29349143151</v>
      </c>
      <c r="H78" s="17">
        <f t="shared" si="11"/>
        <v>724989.29349143151</v>
      </c>
      <c r="I78" s="17">
        <f t="shared" si="11"/>
        <v>724989.29349143151</v>
      </c>
      <c r="J78" s="17">
        <f t="shared" si="11"/>
        <v>724989.29349143151</v>
      </c>
      <c r="K78" s="17">
        <f t="shared" si="11"/>
        <v>724989.29349143151</v>
      </c>
      <c r="L78" s="17">
        <f t="shared" si="11"/>
        <v>724989.29349143151</v>
      </c>
      <c r="M78" s="17"/>
      <c r="N78" s="17"/>
      <c r="O78" s="17"/>
      <c r="P78" s="17"/>
      <c r="Q78" s="17"/>
      <c r="R78" s="17"/>
      <c r="S78" s="17"/>
      <c r="T78" s="17"/>
      <c r="U78" s="17"/>
      <c r="V78" s="17"/>
      <c r="W78" s="17">
        <f>'Reopening Activities'!V20*$D78</f>
        <v>0</v>
      </c>
      <c r="X78" s="17">
        <f>'Reopening Activities'!W20*$D78</f>
        <v>0</v>
      </c>
      <c r="Y78" s="17">
        <f>'Reopening Activities'!X20*$D78</f>
        <v>0</v>
      </c>
      <c r="Z78" s="17">
        <f>'Reopening Activities'!Y20*$D78</f>
        <v>0</v>
      </c>
    </row>
    <row r="79" spans="2:26" x14ac:dyDescent="0.3">
      <c r="B79" s="9" t="s">
        <v>35</v>
      </c>
      <c r="C79" s="10">
        <f>'Reopening Assumptions'!C18</f>
        <v>30266.76758660312</v>
      </c>
      <c r="D79" s="18">
        <f>'Reopening Assumptions'!E18</f>
        <v>38.33</v>
      </c>
      <c r="E79" s="9"/>
      <c r="F79" s="17">
        <f>('Reopening Activities'!E21*'Reopening Activities'!D79)*0.15</f>
        <v>3182357.8116143295</v>
      </c>
      <c r="G79" s="17">
        <f>(('Reopening Activities'!E21*D79)-F79)/6</f>
        <v>3005560.1554135331</v>
      </c>
      <c r="H79" s="17">
        <f t="shared" si="11"/>
        <v>3005560.1554135331</v>
      </c>
      <c r="I79" s="17">
        <f t="shared" si="11"/>
        <v>3005560.1554135331</v>
      </c>
      <c r="J79" s="17">
        <f t="shared" si="11"/>
        <v>3005560.1554135331</v>
      </c>
      <c r="K79" s="17">
        <f t="shared" si="11"/>
        <v>3005560.1554135331</v>
      </c>
      <c r="L79" s="17">
        <f t="shared" si="11"/>
        <v>3005560.1554135331</v>
      </c>
      <c r="M79" s="17"/>
      <c r="N79" s="17"/>
      <c r="O79" s="17"/>
      <c r="P79" s="17"/>
      <c r="Q79" s="17"/>
      <c r="R79" s="17"/>
      <c r="S79" s="17"/>
      <c r="T79" s="17"/>
      <c r="U79" s="17"/>
      <c r="V79" s="17"/>
      <c r="W79" s="17">
        <f>'Reopening Activities'!V21*$D79</f>
        <v>0</v>
      </c>
      <c r="X79" s="17">
        <f>'Reopening Activities'!W21*$D79</f>
        <v>0</v>
      </c>
      <c r="Y79" s="17">
        <f>'Reopening Activities'!X21*$D79</f>
        <v>0</v>
      </c>
      <c r="Z79" s="17">
        <f>'Reopening Activities'!Y21*$D79</f>
        <v>0</v>
      </c>
    </row>
    <row r="80" spans="2:26" x14ac:dyDescent="0.3">
      <c r="B80" s="1" t="s">
        <v>18</v>
      </c>
      <c r="C80" s="36">
        <f>'Reopening Assumptions'!C19</f>
        <v>56660</v>
      </c>
      <c r="D80" s="14"/>
      <c r="E80" s="9"/>
      <c r="F80" s="16"/>
      <c r="G80" s="16"/>
      <c r="H80" s="16"/>
      <c r="I80" s="16"/>
      <c r="J80" s="16"/>
      <c r="K80" s="16"/>
      <c r="L80" s="16"/>
      <c r="M80" s="16"/>
      <c r="N80" s="16"/>
      <c r="O80" s="16"/>
      <c r="P80" s="16"/>
      <c r="Q80" s="16"/>
      <c r="R80" s="16"/>
      <c r="S80" s="16"/>
      <c r="T80" s="16"/>
      <c r="U80" s="16"/>
      <c r="V80" s="16"/>
      <c r="W80" s="16"/>
      <c r="X80" s="16"/>
      <c r="Y80" s="16"/>
      <c r="Z80" s="16"/>
    </row>
    <row r="81" spans="2:26" x14ac:dyDescent="0.3">
      <c r="B81" s="9" t="s">
        <v>19</v>
      </c>
      <c r="C81" s="10">
        <f>'Reopening Assumptions'!C20</f>
        <v>2142.7739898910991</v>
      </c>
      <c r="D81" s="18">
        <f>'Reopening Assumptions'!E20</f>
        <v>58.84</v>
      </c>
      <c r="E81" s="9"/>
      <c r="F81" s="17">
        <f>('Reopening Activities'!E23*'Reopening Activities'!D81)*0.15</f>
        <v>343334.36887215829</v>
      </c>
      <c r="G81" s="17">
        <f>(('Reopening Activities'!E23*D81)-F81)/6</f>
        <v>324260.23726814956</v>
      </c>
      <c r="H81" s="17">
        <f t="shared" ref="H81:L84" si="12">G81</f>
        <v>324260.23726814956</v>
      </c>
      <c r="I81" s="17">
        <f t="shared" si="12"/>
        <v>324260.23726814956</v>
      </c>
      <c r="J81" s="17">
        <f t="shared" si="12"/>
        <v>324260.23726814956</v>
      </c>
      <c r="K81" s="17">
        <f t="shared" si="12"/>
        <v>324260.23726814956</v>
      </c>
      <c r="L81" s="17">
        <f t="shared" si="12"/>
        <v>324260.23726814956</v>
      </c>
      <c r="M81" s="17"/>
      <c r="N81" s="17"/>
      <c r="O81" s="17"/>
      <c r="P81" s="17"/>
      <c r="Q81" s="17"/>
      <c r="R81" s="17"/>
      <c r="S81" s="17"/>
      <c r="T81" s="17"/>
      <c r="U81" s="17"/>
      <c r="V81" s="17"/>
      <c r="W81" s="17">
        <f>'Reopening Activities'!V23*$D81</f>
        <v>0</v>
      </c>
      <c r="X81" s="17">
        <f>'Reopening Activities'!W23*$D81</f>
        <v>0</v>
      </c>
      <c r="Y81" s="17">
        <f>'Reopening Activities'!X23*$D81</f>
        <v>0</v>
      </c>
      <c r="Z81" s="17">
        <f>'Reopening Activities'!Y23*$D81</f>
        <v>0</v>
      </c>
    </row>
    <row r="82" spans="2:26" x14ac:dyDescent="0.3">
      <c r="B82" s="9" t="s">
        <v>15</v>
      </c>
      <c r="C82" s="10">
        <f>'Reopening Assumptions'!C21</f>
        <v>1668.5801223095068</v>
      </c>
      <c r="D82" s="18">
        <f>'Reopening Assumptions'!E21</f>
        <v>48.06</v>
      </c>
      <c r="E82" s="9"/>
      <c r="F82" s="17">
        <f>('Reopening Activities'!E24*'Reopening Activities'!D82)*0.15</f>
        <v>216388.69393760464</v>
      </c>
      <c r="G82" s="17">
        <f>(('Reopening Activities'!E24*D82)-F82)/6</f>
        <v>204367.09982995995</v>
      </c>
      <c r="H82" s="17">
        <f t="shared" si="12"/>
        <v>204367.09982995995</v>
      </c>
      <c r="I82" s="17">
        <f t="shared" si="12"/>
        <v>204367.09982995995</v>
      </c>
      <c r="J82" s="17">
        <f t="shared" si="12"/>
        <v>204367.09982995995</v>
      </c>
      <c r="K82" s="17">
        <f t="shared" si="12"/>
        <v>204367.09982995995</v>
      </c>
      <c r="L82" s="17">
        <f t="shared" si="12"/>
        <v>204367.09982995995</v>
      </c>
      <c r="M82" s="17"/>
      <c r="N82" s="17"/>
      <c r="O82" s="17"/>
      <c r="P82" s="17"/>
      <c r="Q82" s="17"/>
      <c r="R82" s="17"/>
      <c r="S82" s="17"/>
      <c r="T82" s="17"/>
      <c r="U82" s="17"/>
      <c r="V82" s="17"/>
      <c r="W82" s="17">
        <f>'Reopening Activities'!V24*$D82</f>
        <v>0</v>
      </c>
      <c r="X82" s="17">
        <f>'Reopening Activities'!W24*$D82</f>
        <v>0</v>
      </c>
      <c r="Y82" s="17">
        <f>'Reopening Activities'!X24*$D82</f>
        <v>0</v>
      </c>
      <c r="Z82" s="17">
        <f>'Reopening Activities'!Y24*$D82</f>
        <v>0</v>
      </c>
    </row>
    <row r="83" spans="2:26" x14ac:dyDescent="0.3">
      <c r="B83" s="9" t="s">
        <v>16</v>
      </c>
      <c r="C83" s="10">
        <f>'Reopening Assumptions'!C22</f>
        <v>6184.3890114483747</v>
      </c>
      <c r="D83" s="18">
        <f>'Reopening Assumptions'!E22</f>
        <v>42.51</v>
      </c>
      <c r="E83" s="9"/>
      <c r="F83" s="17">
        <f>('Reopening Activities'!E25*'Reopening Activities'!D83)*0.15</f>
        <v>706548.32652694825</v>
      </c>
      <c r="G83" s="17">
        <f>(('Reopening Activities'!E25*D83)-F83)/6</f>
        <v>667295.64171989553</v>
      </c>
      <c r="H83" s="17">
        <f t="shared" si="12"/>
        <v>667295.64171989553</v>
      </c>
      <c r="I83" s="17">
        <f t="shared" si="12"/>
        <v>667295.64171989553</v>
      </c>
      <c r="J83" s="17">
        <f t="shared" si="12"/>
        <v>667295.64171989553</v>
      </c>
      <c r="K83" s="17">
        <f t="shared" si="12"/>
        <v>667295.64171989553</v>
      </c>
      <c r="L83" s="17">
        <f t="shared" si="12"/>
        <v>667295.64171989553</v>
      </c>
      <c r="M83" s="17"/>
      <c r="N83" s="17"/>
      <c r="O83" s="17"/>
      <c r="P83" s="17"/>
      <c r="Q83" s="17"/>
      <c r="R83" s="17"/>
      <c r="S83" s="17"/>
      <c r="T83" s="17"/>
      <c r="U83" s="17"/>
      <c r="V83" s="17"/>
      <c r="W83" s="17">
        <f>'Reopening Activities'!V25*$D83</f>
        <v>0</v>
      </c>
      <c r="X83" s="17">
        <f>'Reopening Activities'!W25*$D83</f>
        <v>0</v>
      </c>
      <c r="Y83" s="17">
        <f>'Reopening Activities'!X25*$D83</f>
        <v>0</v>
      </c>
      <c r="Z83" s="17">
        <f>'Reopening Activities'!Y25*$D83</f>
        <v>0</v>
      </c>
    </row>
    <row r="84" spans="2:26" x14ac:dyDescent="0.3">
      <c r="B84" s="9" t="s">
        <v>37</v>
      </c>
      <c r="C84" s="10">
        <f>'Reopening Assumptions'!C23</f>
        <v>46664.237204338257</v>
      </c>
      <c r="D84" s="18">
        <f>'Reopening Assumptions'!E23</f>
        <v>39.369999999999997</v>
      </c>
      <c r="E84" s="9"/>
      <c r="F84" s="17">
        <f>('Reopening Activities'!E26*'Reopening Activities'!D84)*0.15</f>
        <v>5235057.0065766647</v>
      </c>
      <c r="G84" s="17">
        <f>(('Reopening Activities'!E26*D84)-F84)/6</f>
        <v>4944220.5062112948</v>
      </c>
      <c r="H84" s="17">
        <f t="shared" si="12"/>
        <v>4944220.5062112948</v>
      </c>
      <c r="I84" s="17">
        <f t="shared" si="12"/>
        <v>4944220.5062112948</v>
      </c>
      <c r="J84" s="17">
        <f t="shared" si="12"/>
        <v>4944220.5062112948</v>
      </c>
      <c r="K84" s="17">
        <f t="shared" si="12"/>
        <v>4944220.5062112948</v>
      </c>
      <c r="L84" s="17">
        <f t="shared" si="12"/>
        <v>4944220.5062112948</v>
      </c>
      <c r="M84" s="17"/>
      <c r="N84" s="17"/>
      <c r="O84" s="17"/>
      <c r="P84" s="17"/>
      <c r="Q84" s="17"/>
      <c r="R84" s="17"/>
      <c r="S84" s="17"/>
      <c r="T84" s="17"/>
      <c r="U84" s="17"/>
      <c r="V84" s="17"/>
      <c r="W84" s="17">
        <f>'Reopening Activities'!V26*$D84</f>
        <v>0</v>
      </c>
      <c r="X84" s="17">
        <f>'Reopening Activities'!W26*$D84</f>
        <v>0</v>
      </c>
      <c r="Y84" s="17">
        <f>'Reopening Activities'!X26*$D84</f>
        <v>0</v>
      </c>
      <c r="Z84" s="17">
        <f>'Reopening Activities'!Y26*$D84</f>
        <v>0</v>
      </c>
    </row>
    <row r="85" spans="2:26" x14ac:dyDescent="0.3">
      <c r="B85" s="5" t="s">
        <v>249</v>
      </c>
      <c r="C85" s="6">
        <f>'Reopening Assumptions'!C24</f>
        <v>250000</v>
      </c>
      <c r="D85" s="7"/>
      <c r="E85" s="40">
        <f>SUM(F85:Z85)</f>
        <v>431699986.61359274</v>
      </c>
      <c r="F85" s="40">
        <f t="shared" ref="F85:Z85" si="13">SUM(F86:F87)</f>
        <v>0</v>
      </c>
      <c r="G85" s="40">
        <f t="shared" si="13"/>
        <v>22628271.316199999</v>
      </c>
      <c r="H85" s="40">
        <f t="shared" si="13"/>
        <v>22515129.959619001</v>
      </c>
      <c r="I85" s="40">
        <f t="shared" si="13"/>
        <v>22402554.309820905</v>
      </c>
      <c r="J85" s="40">
        <f t="shared" si="13"/>
        <v>22290541.5382718</v>
      </c>
      <c r="K85" s="40">
        <f t="shared" si="13"/>
        <v>22179088.830580443</v>
      </c>
      <c r="L85" s="40">
        <f t="shared" si="13"/>
        <v>22068193.386427537</v>
      </c>
      <c r="M85" s="40">
        <f t="shared" si="13"/>
        <v>21957852.4194954</v>
      </c>
      <c r="N85" s="40">
        <f t="shared" si="13"/>
        <v>21848063.157397922</v>
      </c>
      <c r="O85" s="40">
        <f t="shared" si="13"/>
        <v>21738822.841610931</v>
      </c>
      <c r="P85" s="40">
        <f t="shared" si="13"/>
        <v>21630128.727402877</v>
      </c>
      <c r="Q85" s="40">
        <f t="shared" si="13"/>
        <v>21521978.083765864</v>
      </c>
      <c r="R85" s="40">
        <f t="shared" si="13"/>
        <v>21414368.193347033</v>
      </c>
      <c r="S85" s="40">
        <f t="shared" si="13"/>
        <v>21307296.352380298</v>
      </c>
      <c r="T85" s="40">
        <f t="shared" si="13"/>
        <v>21200759.870618396</v>
      </c>
      <c r="U85" s="40">
        <f t="shared" si="13"/>
        <v>21094756.071265306</v>
      </c>
      <c r="V85" s="40">
        <f t="shared" si="13"/>
        <v>20989282.290908977</v>
      </c>
      <c r="W85" s="40">
        <f t="shared" si="13"/>
        <v>20884335.879454434</v>
      </c>
      <c r="X85" s="40">
        <f t="shared" si="13"/>
        <v>20779914.20005716</v>
      </c>
      <c r="Y85" s="40">
        <f t="shared" si="13"/>
        <v>20676014.629056875</v>
      </c>
      <c r="Z85" s="40">
        <f t="shared" si="13"/>
        <v>20572634.555911593</v>
      </c>
    </row>
    <row r="86" spans="2:26" x14ac:dyDescent="0.3">
      <c r="B86" s="1" t="s">
        <v>22</v>
      </c>
      <c r="C86" s="36">
        <f>'Reopening Assumptions'!C25</f>
        <v>75000</v>
      </c>
      <c r="D86" s="18">
        <f>'Reopening Assumptions'!E31</f>
        <v>63.97</v>
      </c>
      <c r="E86" s="9"/>
      <c r="F86" s="66"/>
      <c r="G86" s="17">
        <f>'Reopening Activities'!G28*$D86</f>
        <v>7105722.9903000006</v>
      </c>
      <c r="H86" s="17">
        <f>'Reopening Activities'!H28*$D86</f>
        <v>7070194.3753485</v>
      </c>
      <c r="I86" s="17">
        <f>'Reopening Activities'!I28*$D86</f>
        <v>7034843.4034717577</v>
      </c>
      <c r="J86" s="17">
        <f>'Reopening Activities'!J28*$D86</f>
        <v>6999669.1864543986</v>
      </c>
      <c r="K86" s="17">
        <f>'Reopening Activities'!K28*$D86</f>
        <v>6964670.8405221272</v>
      </c>
      <c r="L86" s="17">
        <f>'Reopening Activities'!L28*$D86</f>
        <v>6929847.4863195168</v>
      </c>
      <c r="M86" s="17">
        <f>'Reopening Activities'!M28*$D86</f>
        <v>6895198.2488879189</v>
      </c>
      <c r="N86" s="17">
        <f>'Reopening Activities'!N28*$D86</f>
        <v>6860722.2576434789</v>
      </c>
      <c r="O86" s="17">
        <f>'Reopening Activities'!O28*$D86</f>
        <v>6826418.646355262</v>
      </c>
      <c r="P86" s="17">
        <f>'Reopening Activities'!P28*$D86</f>
        <v>6792286.5531234853</v>
      </c>
      <c r="Q86" s="17">
        <f>'Reopening Activities'!Q28*$D86</f>
        <v>6758325.1203578673</v>
      </c>
      <c r="R86" s="17">
        <f>'Reopening Activities'!R28*$D86</f>
        <v>6724533.4947560783</v>
      </c>
      <c r="S86" s="17">
        <f>'Reopening Activities'!S28*$D86</f>
        <v>6690910.8272822984</v>
      </c>
      <c r="T86" s="17">
        <f>'Reopening Activities'!T28*$D86</f>
        <v>6657456.2731458871</v>
      </c>
      <c r="U86" s="17">
        <f>'Reopening Activities'!U28*$D86</f>
        <v>6624168.9917801581</v>
      </c>
      <c r="V86" s="17">
        <f>'Reopening Activities'!V28*$D86</f>
        <v>6591048.1468212567</v>
      </c>
      <c r="W86" s="17">
        <f>'Reopening Activities'!W28*$D86</f>
        <v>6558092.9060871508</v>
      </c>
      <c r="X86" s="17">
        <f>'Reopening Activities'!X28*$D86</f>
        <v>6525302.4415567154</v>
      </c>
      <c r="Y86" s="17">
        <f>'Reopening Activities'!Y28*$D86</f>
        <v>6492675.9293489316</v>
      </c>
      <c r="Z86" s="17">
        <f>'Reopening Activities'!Z28*$D86</f>
        <v>6460212.5497021861</v>
      </c>
    </row>
    <row r="87" spans="2:26" x14ac:dyDescent="0.3">
      <c r="B87" s="1" t="s">
        <v>24</v>
      </c>
      <c r="C87" s="36">
        <f>'Reopening Assumptions'!C33</f>
        <v>175000</v>
      </c>
      <c r="D87" s="18">
        <f>'Reopening Assumptions'!E39</f>
        <v>59.89</v>
      </c>
      <c r="E87" s="9"/>
      <c r="F87" s="66"/>
      <c r="G87" s="17">
        <f>'Reopening Activities'!G29*$D87</f>
        <v>15522548.3259</v>
      </c>
      <c r="H87" s="17">
        <f>'Reopening Activities'!H29*$D87</f>
        <v>15444935.5842705</v>
      </c>
      <c r="I87" s="17">
        <f>'Reopening Activities'!I29*$D87</f>
        <v>15367710.906349147</v>
      </c>
      <c r="J87" s="17">
        <f>'Reopening Activities'!J29*$D87</f>
        <v>15290872.351817401</v>
      </c>
      <c r="K87" s="17">
        <f>'Reopening Activities'!K29*$D87</f>
        <v>15214417.990058314</v>
      </c>
      <c r="L87" s="17">
        <f>'Reopening Activities'!L29*$D87</f>
        <v>15138345.900108021</v>
      </c>
      <c r="M87" s="17">
        <f>'Reopening Activities'!M29*$D87</f>
        <v>15062654.170607481</v>
      </c>
      <c r="N87" s="17">
        <f>'Reopening Activities'!N29*$D87</f>
        <v>14987340.899754442</v>
      </c>
      <c r="O87" s="17">
        <f>'Reopening Activities'!O29*$D87</f>
        <v>14912404.195255671</v>
      </c>
      <c r="P87" s="17">
        <f>'Reopening Activities'!P29*$D87</f>
        <v>14837842.174279392</v>
      </c>
      <c r="Q87" s="17">
        <f>'Reopening Activities'!Q29*$D87</f>
        <v>14763652.963407995</v>
      </c>
      <c r="R87" s="17">
        <f>'Reopening Activities'!R29*$D87</f>
        <v>14689834.698590955</v>
      </c>
      <c r="S87" s="17">
        <f>'Reopening Activities'!S29*$D87</f>
        <v>14616385.525098002</v>
      </c>
      <c r="T87" s="17">
        <f>'Reopening Activities'!T29*$D87</f>
        <v>14543303.597472509</v>
      </c>
      <c r="U87" s="17">
        <f>'Reopening Activities'!U29*$D87</f>
        <v>14470587.079485148</v>
      </c>
      <c r="V87" s="17">
        <f>'Reopening Activities'!V29*$D87</f>
        <v>14398234.144087721</v>
      </c>
      <c r="W87" s="17">
        <f>'Reopening Activities'!W29*$D87</f>
        <v>14326242.973367281</v>
      </c>
      <c r="X87" s="17">
        <f>'Reopening Activities'!X29*$D87</f>
        <v>14254611.758500446</v>
      </c>
      <c r="Y87" s="17">
        <f>'Reopening Activities'!Y29*$D87</f>
        <v>14183338.699707944</v>
      </c>
      <c r="Z87" s="17">
        <f>'Reopening Activities'!Z29*$D87</f>
        <v>14112422.006209405</v>
      </c>
    </row>
    <row r="88" spans="2:26" x14ac:dyDescent="0.3">
      <c r="B88" s="5" t="s">
        <v>25</v>
      </c>
      <c r="C88" s="6">
        <f>'Reopening Assumptions'!C41</f>
        <v>650</v>
      </c>
      <c r="D88" s="7"/>
      <c r="E88" s="24">
        <f>SUM(F88:AA88)</f>
        <v>822618.4184380502</v>
      </c>
      <c r="F88" s="40">
        <f t="shared" ref="F88:Z88" si="14">SUM(F89:F100)</f>
        <v>43118.909750583334</v>
      </c>
      <c r="G88" s="40">
        <f t="shared" si="14"/>
        <v>42903.315201830417</v>
      </c>
      <c r="H88" s="40">
        <f t="shared" si="14"/>
        <v>42688.798625821262</v>
      </c>
      <c r="I88" s="40">
        <f t="shared" si="14"/>
        <v>42475.354632692164</v>
      </c>
      <c r="J88" s="40">
        <f t="shared" si="14"/>
        <v>42262.977859528699</v>
      </c>
      <c r="K88" s="40">
        <f t="shared" si="14"/>
        <v>42051.662970231046</v>
      </c>
      <c r="L88" s="40">
        <f t="shared" si="14"/>
        <v>41841.404655379891</v>
      </c>
      <c r="M88" s="40">
        <f t="shared" si="14"/>
        <v>41632.197632102994</v>
      </c>
      <c r="N88" s="40">
        <f t="shared" si="14"/>
        <v>41424.036643942476</v>
      </c>
      <c r="O88" s="40">
        <f t="shared" si="14"/>
        <v>41216.916460722772</v>
      </c>
      <c r="P88" s="40">
        <f t="shared" si="14"/>
        <v>41010.831878419158</v>
      </c>
      <c r="Q88" s="40">
        <f t="shared" si="14"/>
        <v>40805.777719027057</v>
      </c>
      <c r="R88" s="40">
        <f t="shared" si="14"/>
        <v>40601.748830431927</v>
      </c>
      <c r="S88" s="40">
        <f t="shared" si="14"/>
        <v>40398.740086279766</v>
      </c>
      <c r="T88" s="40">
        <f t="shared" si="14"/>
        <v>40196.746385848368</v>
      </c>
      <c r="U88" s="40">
        <f t="shared" si="14"/>
        <v>39995.762653919126</v>
      </c>
      <c r="V88" s="40">
        <f t="shared" si="14"/>
        <v>39795.783840649528</v>
      </c>
      <c r="W88" s="40">
        <f t="shared" si="14"/>
        <v>39596.804921446281</v>
      </c>
      <c r="X88" s="40">
        <f t="shared" si="14"/>
        <v>39398.820896839046</v>
      </c>
      <c r="Y88" s="40">
        <f t="shared" si="14"/>
        <v>39201.826792354856</v>
      </c>
      <c r="Z88" s="40">
        <f t="shared" si="14"/>
        <v>0</v>
      </c>
    </row>
    <row r="89" spans="2:26" x14ac:dyDescent="0.3">
      <c r="B89" s="1" t="s">
        <v>26</v>
      </c>
      <c r="C89" s="36">
        <f>'Reopening Assumptions'!C42</f>
        <v>0</v>
      </c>
      <c r="D89" s="1"/>
      <c r="E89" s="9"/>
      <c r="F89" s="17"/>
      <c r="G89" s="17"/>
      <c r="H89" s="17"/>
      <c r="I89" s="17"/>
      <c r="J89" s="17"/>
      <c r="K89" s="17"/>
      <c r="L89" s="17"/>
      <c r="M89" s="17"/>
      <c r="N89" s="17"/>
      <c r="O89" s="17"/>
      <c r="P89" s="17"/>
      <c r="Q89" s="17"/>
      <c r="R89" s="17"/>
      <c r="S89" s="17"/>
      <c r="T89" s="17"/>
      <c r="U89" s="17"/>
      <c r="V89" s="17"/>
      <c r="W89" s="17"/>
      <c r="X89" s="17"/>
      <c r="Y89" s="17"/>
    </row>
    <row r="90" spans="2:26" x14ac:dyDescent="0.3">
      <c r="B90" s="9" t="s">
        <v>27</v>
      </c>
      <c r="C90" s="10">
        <f>'Reopening Assumptions'!C43</f>
        <v>0</v>
      </c>
      <c r="D90" s="18">
        <f>'Reopening Assumptions'!E43</f>
        <v>69.63</v>
      </c>
      <c r="E90" s="9"/>
      <c r="F90" s="17">
        <f>'Reopening Activities'!F32*$D90</f>
        <v>0</v>
      </c>
      <c r="G90" s="17">
        <f>'Reopening Activities'!G32*$D90</f>
        <v>0</v>
      </c>
      <c r="H90" s="17">
        <f>'Reopening Activities'!H32*$D90</f>
        <v>0</v>
      </c>
      <c r="I90" s="17">
        <f>'Reopening Activities'!I32*$D90</f>
        <v>0</v>
      </c>
      <c r="J90" s="17">
        <f>'Reopening Activities'!J32*$D90</f>
        <v>0</v>
      </c>
      <c r="K90" s="17">
        <f>'Reopening Activities'!K32*$D90</f>
        <v>0</v>
      </c>
      <c r="L90" s="17">
        <f>'Reopening Activities'!L32*$D90</f>
        <v>0</v>
      </c>
      <c r="M90" s="17">
        <f>'Reopening Activities'!M32*$D90</f>
        <v>0</v>
      </c>
      <c r="N90" s="17">
        <f>'Reopening Activities'!N32*$D90</f>
        <v>0</v>
      </c>
      <c r="O90" s="17">
        <f>'Reopening Activities'!O32*$D90</f>
        <v>0</v>
      </c>
      <c r="P90" s="17">
        <f>'Reopening Activities'!P32*$D90</f>
        <v>0</v>
      </c>
      <c r="Q90" s="17">
        <f>'Reopening Activities'!Q32*$D90</f>
        <v>0</v>
      </c>
      <c r="R90" s="17">
        <f>'Reopening Activities'!R32*$D90</f>
        <v>0</v>
      </c>
      <c r="S90" s="17">
        <f>'Reopening Activities'!S32*$D90</f>
        <v>0</v>
      </c>
      <c r="T90" s="17">
        <f>'Reopening Activities'!T32*$D90</f>
        <v>0</v>
      </c>
      <c r="U90" s="17">
        <f>'Reopening Activities'!U32*$D90</f>
        <v>0</v>
      </c>
      <c r="V90" s="17">
        <f>'Reopening Activities'!V32*$D90</f>
        <v>0</v>
      </c>
      <c r="W90" s="17">
        <f>'Reopening Activities'!W32*$D90</f>
        <v>0</v>
      </c>
      <c r="X90" s="17">
        <f>'Reopening Activities'!X32*$D90</f>
        <v>0</v>
      </c>
      <c r="Y90" s="17">
        <f>'Reopening Activities'!Y32*$D90</f>
        <v>0</v>
      </c>
      <c r="Z90" s="17">
        <f>'Reopening Activities'!Z32*$D90</f>
        <v>0</v>
      </c>
    </row>
    <row r="91" spans="2:26" x14ac:dyDescent="0.3">
      <c r="B91" s="9" t="s">
        <v>19</v>
      </c>
      <c r="C91" s="10">
        <f>'Reopening Assumptions'!C44</f>
        <v>0</v>
      </c>
      <c r="D91" s="18">
        <f>'Reopening Assumptions'!E44</f>
        <v>56.99</v>
      </c>
      <c r="E91" s="9"/>
      <c r="F91" s="17">
        <f>'Reopening Activities'!F33*$D91</f>
        <v>0</v>
      </c>
      <c r="G91" s="17">
        <f>'Reopening Activities'!G33*$D91</f>
        <v>0</v>
      </c>
      <c r="H91" s="17">
        <f>'Reopening Activities'!H33*$D91</f>
        <v>0</v>
      </c>
      <c r="I91" s="17">
        <f>'Reopening Activities'!I33*$D91</f>
        <v>0</v>
      </c>
      <c r="J91" s="17">
        <f>'Reopening Activities'!J33*$D91</f>
        <v>0</v>
      </c>
      <c r="K91" s="17">
        <f>'Reopening Activities'!K33*$D91</f>
        <v>0</v>
      </c>
      <c r="L91" s="17">
        <f>'Reopening Activities'!L33*$D91</f>
        <v>0</v>
      </c>
      <c r="M91" s="17">
        <f>'Reopening Activities'!M33*$D91</f>
        <v>0</v>
      </c>
      <c r="N91" s="17">
        <f>'Reopening Activities'!N33*$D91</f>
        <v>0</v>
      </c>
      <c r="O91" s="17">
        <f>'Reopening Activities'!O33*$D91</f>
        <v>0</v>
      </c>
      <c r="P91" s="17">
        <f>'Reopening Activities'!P33*$D91</f>
        <v>0</v>
      </c>
      <c r="Q91" s="17">
        <f>'Reopening Activities'!Q33*$D91</f>
        <v>0</v>
      </c>
      <c r="R91" s="17">
        <f>'Reopening Activities'!R33*$D91</f>
        <v>0</v>
      </c>
      <c r="S91" s="17">
        <f>'Reopening Activities'!S33*$D91</f>
        <v>0</v>
      </c>
      <c r="T91" s="17">
        <f>'Reopening Activities'!T33*$D91</f>
        <v>0</v>
      </c>
      <c r="U91" s="17">
        <f>'Reopening Activities'!U33*$D91</f>
        <v>0</v>
      </c>
      <c r="V91" s="17">
        <f>'Reopening Activities'!V33*$D91</f>
        <v>0</v>
      </c>
      <c r="W91" s="17">
        <f>'Reopening Activities'!W33*$D91</f>
        <v>0</v>
      </c>
      <c r="X91" s="17">
        <f>'Reopening Activities'!X33*$D91</f>
        <v>0</v>
      </c>
      <c r="Y91" s="17">
        <f>'Reopening Activities'!Y33*$D91</f>
        <v>0</v>
      </c>
      <c r="Z91" s="17">
        <f>'Reopening Activities'!Z33*$D91</f>
        <v>0</v>
      </c>
    </row>
    <row r="92" spans="2:26" x14ac:dyDescent="0.3">
      <c r="B92" s="9" t="s">
        <v>15</v>
      </c>
      <c r="C92" s="10">
        <f>'Reopening Assumptions'!C45</f>
        <v>0</v>
      </c>
      <c r="D92" s="18">
        <f>'Reopening Assumptions'!E45</f>
        <v>46.48</v>
      </c>
      <c r="E92" s="9"/>
      <c r="F92" s="17">
        <f>'Reopening Activities'!F34*$D92</f>
        <v>0</v>
      </c>
      <c r="G92" s="17">
        <f>'Reopening Activities'!G34*$D92</f>
        <v>0</v>
      </c>
      <c r="H92" s="17">
        <f>'Reopening Activities'!H34*$D92</f>
        <v>0</v>
      </c>
      <c r="I92" s="17">
        <f>'Reopening Activities'!I34*$D92</f>
        <v>0</v>
      </c>
      <c r="J92" s="17">
        <f>'Reopening Activities'!J34*$D92</f>
        <v>0</v>
      </c>
      <c r="K92" s="17">
        <f>'Reopening Activities'!K34*$D92</f>
        <v>0</v>
      </c>
      <c r="L92" s="17">
        <f>'Reopening Activities'!L34*$D92</f>
        <v>0</v>
      </c>
      <c r="M92" s="17">
        <f>'Reopening Activities'!M34*$D92</f>
        <v>0</v>
      </c>
      <c r="N92" s="17">
        <f>'Reopening Activities'!N34*$D92</f>
        <v>0</v>
      </c>
      <c r="O92" s="17">
        <f>'Reopening Activities'!O34*$D92</f>
        <v>0</v>
      </c>
      <c r="P92" s="17">
        <f>'Reopening Activities'!P34*$D92</f>
        <v>0</v>
      </c>
      <c r="Q92" s="17">
        <f>'Reopening Activities'!Q34*$D92</f>
        <v>0</v>
      </c>
      <c r="R92" s="17">
        <f>'Reopening Activities'!R34*$D92</f>
        <v>0</v>
      </c>
      <c r="S92" s="17">
        <f>'Reopening Activities'!S34*$D92</f>
        <v>0</v>
      </c>
      <c r="T92" s="17">
        <f>'Reopening Activities'!T34*$D92</f>
        <v>0</v>
      </c>
      <c r="U92" s="17">
        <f>'Reopening Activities'!U34*$D92</f>
        <v>0</v>
      </c>
      <c r="V92" s="17">
        <f>'Reopening Activities'!V34*$D92</f>
        <v>0</v>
      </c>
      <c r="W92" s="17">
        <f>'Reopening Activities'!W34*$D92</f>
        <v>0</v>
      </c>
      <c r="X92" s="17">
        <f>'Reopening Activities'!X34*$D92</f>
        <v>0</v>
      </c>
      <c r="Y92" s="17">
        <f>'Reopening Activities'!Y34*$D92</f>
        <v>0</v>
      </c>
      <c r="Z92" s="17">
        <f>'Reopening Activities'!Z34*$D92</f>
        <v>0</v>
      </c>
    </row>
    <row r="93" spans="2:26" x14ac:dyDescent="0.3">
      <c r="B93" s="9" t="s">
        <v>16</v>
      </c>
      <c r="C93" s="10">
        <f>'Reopening Assumptions'!C46</f>
        <v>0</v>
      </c>
      <c r="D93" s="18">
        <f>'Reopening Assumptions'!E46</f>
        <v>41.45</v>
      </c>
      <c r="E93" s="9"/>
      <c r="F93" s="17">
        <f>'Reopening Activities'!F35*$D93</f>
        <v>0</v>
      </c>
      <c r="G93" s="17">
        <f>'Reopening Activities'!G35*$D93</f>
        <v>0</v>
      </c>
      <c r="H93" s="17">
        <f>'Reopening Activities'!H35*$D93</f>
        <v>0</v>
      </c>
      <c r="I93" s="17">
        <f>'Reopening Activities'!I35*$D93</f>
        <v>0</v>
      </c>
      <c r="J93" s="17">
        <f>'Reopening Activities'!J35*$D93</f>
        <v>0</v>
      </c>
      <c r="K93" s="17">
        <f>'Reopening Activities'!K35*$D93</f>
        <v>0</v>
      </c>
      <c r="L93" s="17">
        <f>'Reopening Activities'!L35*$D93</f>
        <v>0</v>
      </c>
      <c r="M93" s="17">
        <f>'Reopening Activities'!M35*$D93</f>
        <v>0</v>
      </c>
      <c r="N93" s="17">
        <f>'Reopening Activities'!N35*$D93</f>
        <v>0</v>
      </c>
      <c r="O93" s="17">
        <f>'Reopening Activities'!O35*$D93</f>
        <v>0</v>
      </c>
      <c r="P93" s="17">
        <f>'Reopening Activities'!P35*$D93</f>
        <v>0</v>
      </c>
      <c r="Q93" s="17">
        <f>'Reopening Activities'!Q35*$D93</f>
        <v>0</v>
      </c>
      <c r="R93" s="17">
        <f>'Reopening Activities'!R35*$D93</f>
        <v>0</v>
      </c>
      <c r="S93" s="17">
        <f>'Reopening Activities'!S35*$D93</f>
        <v>0</v>
      </c>
      <c r="T93" s="17">
        <f>'Reopening Activities'!T35*$D93</f>
        <v>0</v>
      </c>
      <c r="U93" s="17">
        <f>'Reopening Activities'!U35*$D93</f>
        <v>0</v>
      </c>
      <c r="V93" s="17">
        <f>'Reopening Activities'!V35*$D93</f>
        <v>0</v>
      </c>
      <c r="W93" s="17">
        <f>'Reopening Activities'!W35*$D93</f>
        <v>0</v>
      </c>
      <c r="X93" s="17">
        <f>'Reopening Activities'!X35*$D93</f>
        <v>0</v>
      </c>
      <c r="Y93" s="17">
        <f>'Reopening Activities'!Y35*$D93</f>
        <v>0</v>
      </c>
      <c r="Z93" s="17">
        <f>'Reopening Activities'!Z35*$D93</f>
        <v>0</v>
      </c>
    </row>
    <row r="94" spans="2:26" x14ac:dyDescent="0.3">
      <c r="B94" s="9" t="s">
        <v>37</v>
      </c>
      <c r="C94" s="10">
        <f>'Reopening Assumptions'!C47</f>
        <v>0</v>
      </c>
      <c r="D94" s="18">
        <f>'Reopening Assumptions'!E47</f>
        <v>38.42</v>
      </c>
      <c r="E94" s="9"/>
      <c r="F94" s="17">
        <f>'Reopening Activities'!F36*$D94</f>
        <v>0</v>
      </c>
      <c r="G94" s="17">
        <f>'Reopening Activities'!G36*$D94</f>
        <v>0</v>
      </c>
      <c r="H94" s="17">
        <f>'Reopening Activities'!H36*$D94</f>
        <v>0</v>
      </c>
      <c r="I94" s="17">
        <f>'Reopening Activities'!I36*$D94</f>
        <v>0</v>
      </c>
      <c r="J94" s="17">
        <f>'Reopening Activities'!J36*$D94</f>
        <v>0</v>
      </c>
      <c r="K94" s="17">
        <f>'Reopening Activities'!K36*$D94</f>
        <v>0</v>
      </c>
      <c r="L94" s="17">
        <f>'Reopening Activities'!L36*$D94</f>
        <v>0</v>
      </c>
      <c r="M94" s="17">
        <f>'Reopening Activities'!M36*$D94</f>
        <v>0</v>
      </c>
      <c r="N94" s="17">
        <f>'Reopening Activities'!N36*$D94</f>
        <v>0</v>
      </c>
      <c r="O94" s="17">
        <f>'Reopening Activities'!O36*$D94</f>
        <v>0</v>
      </c>
      <c r="P94" s="17">
        <f>'Reopening Activities'!P36*$D94</f>
        <v>0</v>
      </c>
      <c r="Q94" s="17">
        <f>'Reopening Activities'!Q36*$D94</f>
        <v>0</v>
      </c>
      <c r="R94" s="17">
        <f>'Reopening Activities'!R36*$D94</f>
        <v>0</v>
      </c>
      <c r="S94" s="17">
        <f>'Reopening Activities'!S36*$D94</f>
        <v>0</v>
      </c>
      <c r="T94" s="17">
        <f>'Reopening Activities'!T36*$D94</f>
        <v>0</v>
      </c>
      <c r="U94" s="17">
        <f>'Reopening Activities'!U36*$D94</f>
        <v>0</v>
      </c>
      <c r="V94" s="17">
        <f>'Reopening Activities'!V36*$D94</f>
        <v>0</v>
      </c>
      <c r="W94" s="17">
        <f>'Reopening Activities'!W36*$D94</f>
        <v>0</v>
      </c>
      <c r="X94" s="17">
        <f>'Reopening Activities'!X36*$D94</f>
        <v>0</v>
      </c>
      <c r="Y94" s="17">
        <f>'Reopening Activities'!Y36*$D94</f>
        <v>0</v>
      </c>
      <c r="Z94" s="17">
        <f>'Reopening Activities'!Z36*$D94</f>
        <v>0</v>
      </c>
    </row>
    <row r="95" spans="2:26" x14ac:dyDescent="0.3">
      <c r="B95" s="1" t="s">
        <v>28</v>
      </c>
      <c r="C95" s="36">
        <f>'Reopening Assumptions'!C48</f>
        <v>650</v>
      </c>
      <c r="D95" s="1"/>
      <c r="E95" s="9"/>
      <c r="F95" s="17"/>
      <c r="G95" s="17"/>
      <c r="H95" s="17"/>
      <c r="I95" s="17"/>
      <c r="J95" s="17"/>
      <c r="K95" s="17"/>
      <c r="L95" s="17"/>
      <c r="M95" s="17"/>
      <c r="N95" s="17"/>
      <c r="O95" s="17"/>
      <c r="P95" s="17"/>
      <c r="Q95" s="17"/>
      <c r="R95" s="17"/>
      <c r="S95" s="17"/>
      <c r="T95" s="17"/>
      <c r="U95" s="17"/>
      <c r="V95" s="17"/>
      <c r="W95" s="17"/>
      <c r="X95" s="17"/>
      <c r="Y95" s="17"/>
      <c r="Z95" s="9"/>
    </row>
    <row r="96" spans="2:26" x14ac:dyDescent="0.3">
      <c r="B96" s="9" t="s">
        <v>27</v>
      </c>
      <c r="C96" s="10">
        <f>'Reopening Assumptions'!C49</f>
        <v>30.092592592592592</v>
      </c>
      <c r="D96" s="18">
        <f>'Reopening Assumptions'!E49</f>
        <v>64.790000000000006</v>
      </c>
      <c r="E96" s="9"/>
      <c r="F96" s="17">
        <f>'Reopening Activities'!F38*$D96</f>
        <v>2887.6080526944452</v>
      </c>
      <c r="G96" s="17">
        <f>'Reopening Activities'!G38*$D96</f>
        <v>2873.1700124309727</v>
      </c>
      <c r="H96" s="17">
        <f>'Reopening Activities'!H38*$D96</f>
        <v>2858.8041623688182</v>
      </c>
      <c r="I96" s="17">
        <f>'Reopening Activities'!I38*$D96</f>
        <v>2844.5101415569743</v>
      </c>
      <c r="J96" s="17">
        <f>'Reopening Activities'!J38*$D96</f>
        <v>2830.2875908491892</v>
      </c>
      <c r="K96" s="17">
        <f>'Reopening Activities'!K38*$D96</f>
        <v>2816.1361528949433</v>
      </c>
      <c r="L96" s="17">
        <f>'Reopening Activities'!L38*$D96</f>
        <v>2802.0554721304684</v>
      </c>
      <c r="M96" s="17">
        <f>'Reopening Activities'!M38*$D96</f>
        <v>2788.0451947698161</v>
      </c>
      <c r="N96" s="17">
        <f>'Reopening Activities'!N38*$D96</f>
        <v>2774.1049687959676</v>
      </c>
      <c r="O96" s="17">
        <f>'Reopening Activities'!O38*$D96</f>
        <v>2760.2344439519875</v>
      </c>
      <c r="P96" s="17">
        <f>'Reopening Activities'!P38*$D96</f>
        <v>2746.4332717322272</v>
      </c>
      <c r="Q96" s="17">
        <f>'Reopening Activities'!Q38*$D96</f>
        <v>2732.7011053735664</v>
      </c>
      <c r="R96" s="17">
        <f>'Reopening Activities'!R38*$D96</f>
        <v>2719.0375998466984</v>
      </c>
      <c r="S96" s="17">
        <f>'Reopening Activities'!S38*$D96</f>
        <v>2705.4424118474649</v>
      </c>
      <c r="T96" s="17">
        <f>'Reopening Activities'!T38*$D96</f>
        <v>2691.9151997882273</v>
      </c>
      <c r="U96" s="17">
        <f>'Reopening Activities'!U38*$D96</f>
        <v>2678.4556237892862</v>
      </c>
      <c r="V96" s="17">
        <f>'Reopening Activities'!V38*$D96</f>
        <v>2665.0633456703395</v>
      </c>
      <c r="W96" s="17">
        <f>'Reopening Activities'!W38*$D96</f>
        <v>2651.7380289419875</v>
      </c>
      <c r="X96" s="17">
        <f>'Reopening Activities'!X38*$D96</f>
        <v>2638.4793387972777</v>
      </c>
      <c r="Y96" s="17">
        <f>'Reopening Activities'!Y38*$D96</f>
        <v>2625.286942103291</v>
      </c>
      <c r="Z96" s="17">
        <f>'Reopening Activities'!Z38*$D96</f>
        <v>0</v>
      </c>
    </row>
    <row r="97" spans="2:26" x14ac:dyDescent="0.3">
      <c r="B97" s="9" t="s">
        <v>19</v>
      </c>
      <c r="C97" s="10">
        <f>'Reopening Assumptions'!C50</f>
        <v>36.111111111111107</v>
      </c>
      <c r="D97" s="18">
        <f>'Reopening Assumptions'!E50</f>
        <v>58.05</v>
      </c>
      <c r="E97" s="9"/>
      <c r="F97" s="17">
        <f>'Reopening Activities'!F39*$D97</f>
        <v>3104.6577704999995</v>
      </c>
      <c r="G97" s="17">
        <f>'Reopening Activities'!G39*$D97</f>
        <v>3089.1344816474993</v>
      </c>
      <c r="H97" s="17">
        <f>'Reopening Activities'!H39*$D97</f>
        <v>3073.6888092392619</v>
      </c>
      <c r="I97" s="17">
        <f>'Reopening Activities'!I39*$D97</f>
        <v>3058.3203651930658</v>
      </c>
      <c r="J97" s="17">
        <f>'Reopening Activities'!J39*$D97</f>
        <v>3043.0287633671005</v>
      </c>
      <c r="K97" s="17">
        <f>'Reopening Activities'!K39*$D97</f>
        <v>3027.8136195502648</v>
      </c>
      <c r="L97" s="17">
        <f>'Reopening Activities'!L39*$D97</f>
        <v>3012.6745514525137</v>
      </c>
      <c r="M97" s="17">
        <f>'Reopening Activities'!M39*$D97</f>
        <v>2997.6111786952511</v>
      </c>
      <c r="N97" s="17">
        <f>'Reopening Activities'!N39*$D97</f>
        <v>2982.623122801775</v>
      </c>
      <c r="O97" s="17">
        <f>'Reopening Activities'!O39*$D97</f>
        <v>2967.7100071877662</v>
      </c>
      <c r="P97" s="17">
        <f>'Reopening Activities'!P39*$D97</f>
        <v>2952.8714571518271</v>
      </c>
      <c r="Q97" s="17">
        <f>'Reopening Activities'!Q39*$D97</f>
        <v>2938.107099866068</v>
      </c>
      <c r="R97" s="17">
        <f>'Reopening Activities'!R39*$D97</f>
        <v>2923.4165643667379</v>
      </c>
      <c r="S97" s="17">
        <f>'Reopening Activities'!S39*$D97</f>
        <v>2908.7994815449038</v>
      </c>
      <c r="T97" s="17">
        <f>'Reopening Activities'!T39*$D97</f>
        <v>2894.2554841371793</v>
      </c>
      <c r="U97" s="17">
        <f>'Reopening Activities'!U39*$D97</f>
        <v>2879.7842067164938</v>
      </c>
      <c r="V97" s="17">
        <f>'Reopening Activities'!V39*$D97</f>
        <v>2865.3852856829112</v>
      </c>
      <c r="W97" s="17">
        <f>'Reopening Activities'!W39*$D97</f>
        <v>2851.0583592544967</v>
      </c>
      <c r="X97" s="17">
        <f>'Reopening Activities'!X39*$D97</f>
        <v>2836.8030674582242</v>
      </c>
      <c r="Y97" s="17">
        <f>'Reopening Activities'!Y39*$D97</f>
        <v>2822.6190521209332</v>
      </c>
      <c r="Z97" s="17">
        <f>'Reopening Activities'!Z39*$D97</f>
        <v>0</v>
      </c>
    </row>
    <row r="98" spans="2:26" x14ac:dyDescent="0.3">
      <c r="B98" s="9" t="s">
        <v>15</v>
      </c>
      <c r="C98" s="10">
        <f>'Reopening Assumptions'!C51</f>
        <v>138.42592592592592</v>
      </c>
      <c r="D98" s="18">
        <f>'Reopening Assumptions'!E51</f>
        <v>47.56</v>
      </c>
      <c r="E98" s="9"/>
      <c r="F98" s="17">
        <f>'Reopening Activities'!F40*$D98</f>
        <v>9750.5685960222218</v>
      </c>
      <c r="G98" s="17">
        <f>'Reopening Activities'!G40*$D98</f>
        <v>9701.8157530421104</v>
      </c>
      <c r="H98" s="17">
        <f>'Reopening Activities'!H40*$D98</f>
        <v>9653.3066742768988</v>
      </c>
      <c r="I98" s="17">
        <f>'Reopening Activities'!I40*$D98</f>
        <v>9605.0401409055157</v>
      </c>
      <c r="J98" s="17">
        <f>'Reopening Activities'!J40*$D98</f>
        <v>9557.0149402009865</v>
      </c>
      <c r="K98" s="17">
        <f>'Reopening Activities'!K40*$D98</f>
        <v>9509.2298654999831</v>
      </c>
      <c r="L98" s="17">
        <f>'Reopening Activities'!L40*$D98</f>
        <v>9461.6837161724834</v>
      </c>
      <c r="M98" s="17">
        <f>'Reopening Activities'!M40*$D98</f>
        <v>9414.3752975916195</v>
      </c>
      <c r="N98" s="17">
        <f>'Reopening Activities'!N40*$D98</f>
        <v>9367.3034211036629</v>
      </c>
      <c r="O98" s="17">
        <f>'Reopening Activities'!O40*$D98</f>
        <v>9320.4669039981436</v>
      </c>
      <c r="P98" s="17">
        <f>'Reopening Activities'!P40*$D98</f>
        <v>9273.8645694781535</v>
      </c>
      <c r="Q98" s="17">
        <f>'Reopening Activities'!Q40*$D98</f>
        <v>9227.4952466307623</v>
      </c>
      <c r="R98" s="17">
        <f>'Reopening Activities'!R40*$D98</f>
        <v>9181.3577703976098</v>
      </c>
      <c r="S98" s="17">
        <f>'Reopening Activities'!S40*$D98</f>
        <v>9135.4509815456222</v>
      </c>
      <c r="T98" s="17">
        <f>'Reopening Activities'!T40*$D98</f>
        <v>9089.7737266378936</v>
      </c>
      <c r="U98" s="17">
        <f>'Reopening Activities'!U40*$D98</f>
        <v>9044.3248580047039</v>
      </c>
      <c r="V98" s="17">
        <f>'Reopening Activities'!V40*$D98</f>
        <v>8999.1032337146789</v>
      </c>
      <c r="W98" s="17">
        <f>'Reopening Activities'!W40*$D98</f>
        <v>8954.1077175461069</v>
      </c>
      <c r="X98" s="17">
        <f>'Reopening Activities'!X40*$D98</f>
        <v>8909.3371789583762</v>
      </c>
      <c r="Y98" s="17">
        <f>'Reopening Activities'!Y40*$D98</f>
        <v>8864.7904930635832</v>
      </c>
      <c r="Z98" s="17">
        <f>'Reopening Activities'!Z40*$D98</f>
        <v>0</v>
      </c>
    </row>
    <row r="99" spans="2:26" x14ac:dyDescent="0.3">
      <c r="B99" s="9" t="s">
        <v>16</v>
      </c>
      <c r="C99" s="10">
        <f>'Reopening Assumptions'!C52</f>
        <v>294.90740740740739</v>
      </c>
      <c r="D99" s="18">
        <f>'Reopening Assumptions'!E52</f>
        <v>42.53</v>
      </c>
      <c r="E99" s="9"/>
      <c r="F99" s="17">
        <f>'Reopening Activities'!F41*$D99</f>
        <v>18575.979483172221</v>
      </c>
      <c r="G99" s="17">
        <f>'Reopening Activities'!G41*$D99</f>
        <v>18483.099585756361</v>
      </c>
      <c r="H99" s="17">
        <f>'Reopening Activities'!H41*$D99</f>
        <v>18390.684087827576</v>
      </c>
      <c r="I99" s="17">
        <f>'Reopening Activities'!I41*$D99</f>
        <v>18298.730667388438</v>
      </c>
      <c r="J99" s="17">
        <f>'Reopening Activities'!J41*$D99</f>
        <v>18207.237014051498</v>
      </c>
      <c r="K99" s="17">
        <f>'Reopening Activities'!K41*$D99</f>
        <v>18116.200828981237</v>
      </c>
      <c r="L99" s="17">
        <f>'Reopening Activities'!L41*$D99</f>
        <v>18025.619824836333</v>
      </c>
      <c r="M99" s="17">
        <f>'Reopening Activities'!M41*$D99</f>
        <v>17935.491725712149</v>
      </c>
      <c r="N99" s="17">
        <f>'Reopening Activities'!N41*$D99</f>
        <v>17845.814267083588</v>
      </c>
      <c r="O99" s="17">
        <f>'Reopening Activities'!O41*$D99</f>
        <v>17756.585195748172</v>
      </c>
      <c r="P99" s="17">
        <f>'Reopening Activities'!P41*$D99</f>
        <v>17667.802269769432</v>
      </c>
      <c r="Q99" s="17">
        <f>'Reopening Activities'!Q41*$D99</f>
        <v>17579.463258420583</v>
      </c>
      <c r="R99" s="17">
        <f>'Reopening Activities'!R41*$D99</f>
        <v>17491.565942128484</v>
      </c>
      <c r="S99" s="17">
        <f>'Reopening Activities'!S41*$D99</f>
        <v>17404.108112417842</v>
      </c>
      <c r="T99" s="17">
        <f>'Reopening Activities'!T41*$D99</f>
        <v>17317.087571855751</v>
      </c>
      <c r="U99" s="17">
        <f>'Reopening Activities'!U41*$D99</f>
        <v>17230.502133996473</v>
      </c>
      <c r="V99" s="17">
        <f>'Reopening Activities'!V41*$D99</f>
        <v>17144.349623326489</v>
      </c>
      <c r="W99" s="17">
        <f>'Reopening Activities'!W41*$D99</f>
        <v>17058.627875209859</v>
      </c>
      <c r="X99" s="17">
        <f>'Reopening Activities'!X41*$D99</f>
        <v>16973.334735833807</v>
      </c>
      <c r="Y99" s="17">
        <f>'Reopening Activities'!Y41*$D99</f>
        <v>16888.468062154639</v>
      </c>
      <c r="Z99" s="17">
        <f>'Reopening Activities'!Z41*$D99</f>
        <v>0</v>
      </c>
    </row>
    <row r="100" spans="2:26" x14ac:dyDescent="0.3">
      <c r="B100" s="9" t="s">
        <v>37</v>
      </c>
      <c r="C100" s="10">
        <f>'Reopening Assumptions'!C53</f>
        <v>150.46296296296296</v>
      </c>
      <c r="D100" s="18">
        <f>'Reopening Assumptions'!E53</f>
        <v>39.49</v>
      </c>
      <c r="E100" s="9"/>
      <c r="F100" s="17">
        <f>'Reopening Activities'!F42*$D100</f>
        <v>8800.0958481944454</v>
      </c>
      <c r="G100" s="17">
        <f>'Reopening Activities'!G42*$D100</f>
        <v>8756.0953689534726</v>
      </c>
      <c r="H100" s="17">
        <f>'Reopening Activities'!H42*$D100</f>
        <v>8712.314892108705</v>
      </c>
      <c r="I100" s="17">
        <f>'Reopening Activities'!I42*$D100</f>
        <v>8668.7533176481629</v>
      </c>
      <c r="J100" s="17">
        <f>'Reopening Activities'!J42*$D100</f>
        <v>8625.40955105992</v>
      </c>
      <c r="K100" s="17">
        <f>'Reopening Activities'!K42*$D100</f>
        <v>8582.2825033046211</v>
      </c>
      <c r="L100" s="17">
        <f>'Reopening Activities'!L42*$D100</f>
        <v>8539.3710907880977</v>
      </c>
      <c r="M100" s="17">
        <f>'Reopening Activities'!M42*$D100</f>
        <v>8496.674235334156</v>
      </c>
      <c r="N100" s="17">
        <f>'Reopening Activities'!N42*$D100</f>
        <v>8454.1908641574864</v>
      </c>
      <c r="O100" s="17">
        <f>'Reopening Activities'!O42*$D100</f>
        <v>8411.9199098366989</v>
      </c>
      <c r="P100" s="17">
        <f>'Reopening Activities'!P42*$D100</f>
        <v>8369.8603102875149</v>
      </c>
      <c r="Q100" s="17">
        <f>'Reopening Activities'!Q42*$D100</f>
        <v>8328.0110087360772</v>
      </c>
      <c r="R100" s="17">
        <f>'Reopening Activities'!R42*$D100</f>
        <v>8286.370953692398</v>
      </c>
      <c r="S100" s="17">
        <f>'Reopening Activities'!S42*$D100</f>
        <v>8244.9390989239364</v>
      </c>
      <c r="T100" s="17">
        <f>'Reopening Activities'!T42*$D100</f>
        <v>8203.714403429316</v>
      </c>
      <c r="U100" s="17">
        <f>'Reopening Activities'!U42*$D100</f>
        <v>8162.6958314121694</v>
      </c>
      <c r="V100" s="17">
        <f>'Reopening Activities'!V42*$D100</f>
        <v>8121.8823522551083</v>
      </c>
      <c r="W100" s="17">
        <f>'Reopening Activities'!W42*$D100</f>
        <v>8081.2729404938327</v>
      </c>
      <c r="X100" s="17">
        <f>'Reopening Activities'!X42*$D100</f>
        <v>8040.8665757913641</v>
      </c>
      <c r="Y100" s="17">
        <f>'Reopening Activities'!Y42*$D100</f>
        <v>8000.6622429124072</v>
      </c>
      <c r="Z100" s="17">
        <f>'Reopening Activities'!Z42*$D100</f>
        <v>0</v>
      </c>
    </row>
    <row r="101" spans="2:26" x14ac:dyDescent="0.3">
      <c r="B101" s="5" t="s">
        <v>29</v>
      </c>
      <c r="C101" s="6">
        <f>'Reopening Assumptions'!C54</f>
        <v>3000</v>
      </c>
      <c r="D101" s="7"/>
      <c r="E101" s="24">
        <f>SUM(G101:AA101)</f>
        <v>4117398.7478299486</v>
      </c>
      <c r="F101" s="64"/>
      <c r="G101" s="40">
        <f t="shared" ref="G101:Z101" si="15">SUM(G102:G103)</f>
        <v>617609.8121744924</v>
      </c>
      <c r="H101" s="40">
        <f t="shared" si="15"/>
        <v>583298.15594257612</v>
      </c>
      <c r="I101" s="40">
        <f t="shared" si="15"/>
        <v>583298.15594257612</v>
      </c>
      <c r="J101" s="40">
        <f t="shared" si="15"/>
        <v>583298.15594257612</v>
      </c>
      <c r="K101" s="40">
        <f t="shared" si="15"/>
        <v>583298.15594257612</v>
      </c>
      <c r="L101" s="40">
        <f t="shared" si="15"/>
        <v>583298.15594257612</v>
      </c>
      <c r="M101" s="40">
        <f t="shared" si="15"/>
        <v>583298.15594257612</v>
      </c>
      <c r="N101" s="40">
        <f t="shared" si="15"/>
        <v>0</v>
      </c>
      <c r="O101" s="40">
        <f t="shared" si="15"/>
        <v>0</v>
      </c>
      <c r="P101" s="40">
        <f t="shared" si="15"/>
        <v>0</v>
      </c>
      <c r="Q101" s="40">
        <f t="shared" si="15"/>
        <v>0</v>
      </c>
      <c r="R101" s="40">
        <f t="shared" si="15"/>
        <v>0</v>
      </c>
      <c r="S101" s="40">
        <f t="shared" si="15"/>
        <v>0</v>
      </c>
      <c r="T101" s="40">
        <f t="shared" si="15"/>
        <v>0</v>
      </c>
      <c r="U101" s="40">
        <f t="shared" si="15"/>
        <v>0</v>
      </c>
      <c r="V101" s="40">
        <f t="shared" si="15"/>
        <v>0</v>
      </c>
      <c r="W101" s="40">
        <f t="shared" si="15"/>
        <v>0</v>
      </c>
      <c r="X101" s="40">
        <f t="shared" si="15"/>
        <v>0</v>
      </c>
      <c r="Y101" s="40">
        <f t="shared" si="15"/>
        <v>0</v>
      </c>
      <c r="Z101" s="40">
        <f t="shared" si="15"/>
        <v>0</v>
      </c>
    </row>
    <row r="102" spans="2:26" x14ac:dyDescent="0.3">
      <c r="B102" s="1" t="s">
        <v>30</v>
      </c>
      <c r="C102" s="36">
        <f>'Reopening Assumptions'!C55</f>
        <v>3000</v>
      </c>
      <c r="D102" s="18">
        <f>'Reopening Assumptions'!E61</f>
        <v>63.97</v>
      </c>
      <c r="E102" s="9"/>
      <c r="F102" s="66"/>
      <c r="G102" s="17">
        <f>('Reopening Activities'!E44*'Reopening Activities'!D102)*0.15</f>
        <v>617609.8121744924</v>
      </c>
      <c r="H102" s="17">
        <f>(('Reopening Activities'!E44*D102)-G102)/6</f>
        <v>583298.15594257612</v>
      </c>
      <c r="I102" s="17">
        <f t="shared" ref="I102:M103" si="16">H102</f>
        <v>583298.15594257612</v>
      </c>
      <c r="J102" s="17">
        <f t="shared" si="16"/>
        <v>583298.15594257612</v>
      </c>
      <c r="K102" s="17">
        <f t="shared" si="16"/>
        <v>583298.15594257612</v>
      </c>
      <c r="L102" s="17">
        <f t="shared" si="16"/>
        <v>583298.15594257612</v>
      </c>
      <c r="M102" s="17">
        <f t="shared" si="16"/>
        <v>583298.15594257612</v>
      </c>
      <c r="O102" s="17"/>
      <c r="P102" s="17"/>
      <c r="Q102" s="17"/>
      <c r="R102" s="17"/>
      <c r="S102" s="17"/>
      <c r="T102" s="17"/>
      <c r="U102" s="17"/>
      <c r="V102" s="17"/>
      <c r="W102" s="17">
        <f>'Reopening Activities'!V44*$D102</f>
        <v>0</v>
      </c>
      <c r="X102" s="17">
        <f>'Reopening Activities'!W44*$D102</f>
        <v>0</v>
      </c>
      <c r="Y102" s="17">
        <f>'Reopening Activities'!X44*$D102</f>
        <v>0</v>
      </c>
      <c r="Z102" s="17">
        <f>'Reopening Activities'!Y44*$D102</f>
        <v>0</v>
      </c>
    </row>
    <row r="103" spans="2:26" x14ac:dyDescent="0.3">
      <c r="B103" s="1" t="s">
        <v>32</v>
      </c>
      <c r="C103" s="36">
        <f>'Reopening Assumptions'!C63</f>
        <v>0</v>
      </c>
      <c r="D103" s="18">
        <f>'Reopening Assumptions'!E69</f>
        <v>59.89</v>
      </c>
      <c r="E103" s="9"/>
      <c r="F103" s="66"/>
      <c r="G103" s="17">
        <f>('Reopening Activities'!E45*'Reopening Activities'!D103)*0.15</f>
        <v>0</v>
      </c>
      <c r="H103" s="17">
        <f>(('Reopening Activities'!E45*D103)-G103)/6</f>
        <v>0</v>
      </c>
      <c r="I103" s="17">
        <f t="shared" si="16"/>
        <v>0</v>
      </c>
      <c r="J103" s="17">
        <f t="shared" si="16"/>
        <v>0</v>
      </c>
      <c r="K103" s="17">
        <f t="shared" si="16"/>
        <v>0</v>
      </c>
      <c r="L103" s="17">
        <f t="shared" si="16"/>
        <v>0</v>
      </c>
      <c r="M103" s="17">
        <f t="shared" si="16"/>
        <v>0</v>
      </c>
      <c r="O103" s="17"/>
      <c r="P103" s="17"/>
      <c r="Q103" s="17"/>
      <c r="R103" s="17"/>
      <c r="S103" s="17"/>
      <c r="T103" s="17"/>
      <c r="U103" s="17"/>
      <c r="V103" s="17"/>
      <c r="W103" s="17">
        <f>'Reopening Activities'!V45*$D103</f>
        <v>0</v>
      </c>
      <c r="X103" s="17">
        <f>'Reopening Activities'!W45*$D103</f>
        <v>0</v>
      </c>
      <c r="Y103" s="17">
        <f>'Reopening Activities'!X45*$D103</f>
        <v>0</v>
      </c>
      <c r="Z103" s="17">
        <f>'Reopening Activities'!Y45*$D103</f>
        <v>0</v>
      </c>
    </row>
    <row r="104" spans="2:26" x14ac:dyDescent="0.3">
      <c r="B104" s="13" t="s">
        <v>33</v>
      </c>
      <c r="C104" s="6">
        <f>'Reopening Assumptions'!C71</f>
        <v>0</v>
      </c>
      <c r="D104" s="7"/>
      <c r="E104" s="24">
        <f>SUM(F104:AA104)</f>
        <v>0</v>
      </c>
      <c r="F104" s="73">
        <f t="shared" ref="F104:Z104" si="17">SUM(F106:F114)</f>
        <v>0</v>
      </c>
      <c r="G104" s="73">
        <f t="shared" si="17"/>
        <v>0</v>
      </c>
      <c r="H104" s="73">
        <f t="shared" si="17"/>
        <v>0</v>
      </c>
      <c r="I104" s="73">
        <f t="shared" si="17"/>
        <v>0</v>
      </c>
      <c r="J104" s="73">
        <f t="shared" si="17"/>
        <v>0</v>
      </c>
      <c r="K104" s="73">
        <f t="shared" si="17"/>
        <v>0</v>
      </c>
      <c r="L104" s="73">
        <f t="shared" si="17"/>
        <v>0</v>
      </c>
      <c r="M104" s="73">
        <f t="shared" si="17"/>
        <v>0</v>
      </c>
      <c r="N104" s="73">
        <f t="shared" si="17"/>
        <v>0</v>
      </c>
      <c r="O104" s="73">
        <f t="shared" si="17"/>
        <v>0</v>
      </c>
      <c r="P104" s="73">
        <f t="shared" si="17"/>
        <v>0</v>
      </c>
      <c r="Q104" s="73">
        <f t="shared" si="17"/>
        <v>0</v>
      </c>
      <c r="R104" s="73">
        <f t="shared" si="17"/>
        <v>0</v>
      </c>
      <c r="S104" s="73">
        <f t="shared" si="17"/>
        <v>0</v>
      </c>
      <c r="T104" s="73">
        <f t="shared" si="17"/>
        <v>0</v>
      </c>
      <c r="U104" s="73">
        <f t="shared" si="17"/>
        <v>0</v>
      </c>
      <c r="V104" s="73">
        <f t="shared" si="17"/>
        <v>0</v>
      </c>
      <c r="W104" s="73">
        <f t="shared" si="17"/>
        <v>0</v>
      </c>
      <c r="X104" s="73">
        <f t="shared" si="17"/>
        <v>0</v>
      </c>
      <c r="Y104" s="73">
        <f t="shared" si="17"/>
        <v>0</v>
      </c>
      <c r="Z104" s="73">
        <f t="shared" si="17"/>
        <v>0</v>
      </c>
    </row>
    <row r="105" spans="2:26" x14ac:dyDescent="0.3">
      <c r="B105" s="1" t="s">
        <v>34</v>
      </c>
      <c r="C105" s="36">
        <f>'Reopening Assumptions'!C72</f>
        <v>0</v>
      </c>
      <c r="D105" s="14"/>
      <c r="E105" s="9"/>
      <c r="F105" s="16"/>
      <c r="G105" s="16"/>
      <c r="H105" s="16"/>
      <c r="I105" s="16"/>
      <c r="J105" s="16"/>
      <c r="K105" s="16"/>
      <c r="L105" s="16"/>
      <c r="M105" s="16"/>
      <c r="N105" s="16"/>
      <c r="O105" s="16"/>
      <c r="P105" s="16"/>
      <c r="Q105" s="16"/>
      <c r="R105" s="16"/>
      <c r="S105" s="16"/>
      <c r="T105" s="16"/>
      <c r="U105" s="16"/>
      <c r="V105" s="16"/>
      <c r="W105" s="16"/>
      <c r="X105" s="16"/>
      <c r="Y105" s="16"/>
      <c r="Z105" s="16"/>
    </row>
    <row r="106" spans="2:26" x14ac:dyDescent="0.3">
      <c r="B106" s="9" t="s">
        <v>14</v>
      </c>
      <c r="C106" s="10">
        <f>'Reopening Assumptions'!C73</f>
        <v>0</v>
      </c>
      <c r="D106" s="18">
        <f>'Reopening Assumptions'!E73</f>
        <v>57.82</v>
      </c>
      <c r="E106" s="9"/>
      <c r="F106" s="17">
        <f>('Reopening Activities'!E48*'Reopening Activities'!D106)*0.15</f>
        <v>0</v>
      </c>
      <c r="G106" s="17">
        <f>(('Reopening Activities'!E48*D106)-F106)/6</f>
        <v>0</v>
      </c>
      <c r="H106" s="17">
        <f t="shared" ref="H106:L109" si="18">G106</f>
        <v>0</v>
      </c>
      <c r="I106" s="17">
        <f t="shared" si="18"/>
        <v>0</v>
      </c>
      <c r="J106" s="17">
        <f t="shared" si="18"/>
        <v>0</v>
      </c>
      <c r="K106" s="17">
        <f t="shared" si="18"/>
        <v>0</v>
      </c>
      <c r="L106" s="17">
        <f t="shared" si="18"/>
        <v>0</v>
      </c>
      <c r="M106" s="17">
        <v>0</v>
      </c>
      <c r="N106" s="17">
        <v>0</v>
      </c>
      <c r="O106" s="17">
        <v>0</v>
      </c>
      <c r="P106" s="17">
        <v>0</v>
      </c>
      <c r="Q106" s="17">
        <v>0</v>
      </c>
      <c r="R106" s="17">
        <v>0</v>
      </c>
      <c r="S106" s="17">
        <v>0</v>
      </c>
      <c r="T106" s="17">
        <v>0</v>
      </c>
      <c r="U106" s="17">
        <v>0</v>
      </c>
      <c r="V106" s="17">
        <f>'Reopening Activities'!U48*$D106</f>
        <v>0</v>
      </c>
      <c r="W106" s="17">
        <f>'Reopening Activities'!V48*$D106</f>
        <v>0</v>
      </c>
      <c r="X106" s="17">
        <f>'Reopening Activities'!W48*$D106</f>
        <v>0</v>
      </c>
      <c r="Y106" s="17">
        <f>'Reopening Activities'!X48*$D106</f>
        <v>0</v>
      </c>
      <c r="Z106" s="17">
        <f>'Reopening Activities'!Y48*$D106</f>
        <v>0</v>
      </c>
    </row>
    <row r="107" spans="2:26" x14ac:dyDescent="0.3">
      <c r="B107" s="9" t="s">
        <v>15</v>
      </c>
      <c r="C107" s="10">
        <f>'Reopening Assumptions'!C74</f>
        <v>0</v>
      </c>
      <c r="D107" s="18">
        <f>'Reopening Assumptions'!E74</f>
        <v>47.03</v>
      </c>
      <c r="E107" s="9"/>
      <c r="F107" s="17">
        <f>('Reopening Activities'!E49*'Reopening Activities'!D107)*0.15</f>
        <v>0</v>
      </c>
      <c r="G107" s="17">
        <f>(('Reopening Activities'!E49*D107)-F107)/6</f>
        <v>0</v>
      </c>
      <c r="H107" s="17">
        <f t="shared" si="18"/>
        <v>0</v>
      </c>
      <c r="I107" s="17">
        <f t="shared" si="18"/>
        <v>0</v>
      </c>
      <c r="J107" s="17">
        <f t="shared" si="18"/>
        <v>0</v>
      </c>
      <c r="K107" s="17">
        <f t="shared" si="18"/>
        <v>0</v>
      </c>
      <c r="L107" s="17">
        <f t="shared" si="18"/>
        <v>0</v>
      </c>
      <c r="M107" s="17">
        <v>0</v>
      </c>
      <c r="N107" s="17">
        <v>0</v>
      </c>
      <c r="O107" s="17">
        <v>0</v>
      </c>
      <c r="P107" s="17">
        <v>0</v>
      </c>
      <c r="Q107" s="17">
        <v>0</v>
      </c>
      <c r="R107" s="17">
        <v>0</v>
      </c>
      <c r="S107" s="17">
        <v>0</v>
      </c>
      <c r="T107" s="17">
        <v>0</v>
      </c>
      <c r="U107" s="17">
        <v>0</v>
      </c>
      <c r="V107" s="17">
        <f>'Reopening Activities'!U49*$D107</f>
        <v>0</v>
      </c>
      <c r="W107" s="17">
        <f>'Reopening Activities'!V49*$D107</f>
        <v>0</v>
      </c>
      <c r="X107" s="17">
        <f>'Reopening Activities'!W49*$D107</f>
        <v>0</v>
      </c>
      <c r="Y107" s="17">
        <f>'Reopening Activities'!X49*$D107</f>
        <v>0</v>
      </c>
      <c r="Z107" s="17">
        <f>'Reopening Activities'!Y49*$D107</f>
        <v>0</v>
      </c>
    </row>
    <row r="108" spans="2:26" x14ac:dyDescent="0.3">
      <c r="B108" s="9" t="s">
        <v>16</v>
      </c>
      <c r="C108" s="10">
        <f>'Reopening Assumptions'!C75</f>
        <v>0</v>
      </c>
      <c r="D108" s="18">
        <f>'Reopening Assumptions'!E75</f>
        <v>41.48</v>
      </c>
      <c r="E108" s="9"/>
      <c r="F108" s="17">
        <f>('Reopening Activities'!E50*'Reopening Activities'!D108)*0.15</f>
        <v>0</v>
      </c>
      <c r="G108" s="17">
        <f>(('Reopening Activities'!E50*D108)-F108)/6</f>
        <v>0</v>
      </c>
      <c r="H108" s="17">
        <f t="shared" si="18"/>
        <v>0</v>
      </c>
      <c r="I108" s="17">
        <f t="shared" si="18"/>
        <v>0</v>
      </c>
      <c r="J108" s="17">
        <f t="shared" si="18"/>
        <v>0</v>
      </c>
      <c r="K108" s="17">
        <f t="shared" si="18"/>
        <v>0</v>
      </c>
      <c r="L108" s="17">
        <f t="shared" si="18"/>
        <v>0</v>
      </c>
      <c r="M108" s="17">
        <v>0</v>
      </c>
      <c r="N108" s="17">
        <v>0</v>
      </c>
      <c r="O108" s="17">
        <v>0</v>
      </c>
      <c r="P108" s="17">
        <v>0</v>
      </c>
      <c r="Q108" s="17">
        <v>0</v>
      </c>
      <c r="R108" s="17">
        <v>0</v>
      </c>
      <c r="S108" s="17">
        <v>0</v>
      </c>
      <c r="T108" s="17">
        <v>0</v>
      </c>
      <c r="U108" s="17">
        <v>0</v>
      </c>
      <c r="V108" s="17">
        <f>'Reopening Activities'!U50*$D108</f>
        <v>0</v>
      </c>
      <c r="W108" s="17">
        <f>'Reopening Activities'!V50*$D108</f>
        <v>0</v>
      </c>
      <c r="X108" s="17">
        <f>'Reopening Activities'!W50*$D108</f>
        <v>0</v>
      </c>
      <c r="Y108" s="17">
        <f>'Reopening Activities'!X50*$D108</f>
        <v>0</v>
      </c>
      <c r="Z108" s="17">
        <f>'Reopening Activities'!Y50*$D108</f>
        <v>0</v>
      </c>
    </row>
    <row r="109" spans="2:26" x14ac:dyDescent="0.3">
      <c r="B109" s="9" t="s">
        <v>35</v>
      </c>
      <c r="C109" s="10">
        <f>'Reopening Assumptions'!C76</f>
        <v>0</v>
      </c>
      <c r="D109" s="18">
        <f>'Reopening Assumptions'!E76</f>
        <v>38.33</v>
      </c>
      <c r="E109" s="9"/>
      <c r="F109" s="17">
        <f>('Reopening Activities'!E51*'Reopening Activities'!D109)*0.15</f>
        <v>0</v>
      </c>
      <c r="G109" s="17">
        <f>(('Reopening Activities'!E51*D109)-F109)/6</f>
        <v>0</v>
      </c>
      <c r="H109" s="17">
        <f t="shared" si="18"/>
        <v>0</v>
      </c>
      <c r="I109" s="17">
        <f t="shared" si="18"/>
        <v>0</v>
      </c>
      <c r="J109" s="17">
        <f t="shared" si="18"/>
        <v>0</v>
      </c>
      <c r="K109" s="17">
        <f t="shared" si="18"/>
        <v>0</v>
      </c>
      <c r="L109" s="17">
        <f t="shared" si="18"/>
        <v>0</v>
      </c>
      <c r="M109" s="17">
        <v>0</v>
      </c>
      <c r="N109" s="17">
        <v>0</v>
      </c>
      <c r="O109" s="17">
        <v>0</v>
      </c>
      <c r="P109" s="17">
        <v>0</v>
      </c>
      <c r="Q109" s="17">
        <v>0</v>
      </c>
      <c r="R109" s="17">
        <v>0</v>
      </c>
      <c r="S109" s="17">
        <v>0</v>
      </c>
      <c r="T109" s="17">
        <v>0</v>
      </c>
      <c r="U109" s="17">
        <v>0</v>
      </c>
      <c r="V109" s="17">
        <f>'Reopening Activities'!U51*$D109</f>
        <v>0</v>
      </c>
      <c r="W109" s="17">
        <f>'Reopening Activities'!V51*$D109</f>
        <v>0</v>
      </c>
      <c r="X109" s="17">
        <f>'Reopening Activities'!W51*$D109</f>
        <v>0</v>
      </c>
      <c r="Y109" s="17">
        <f>'Reopening Activities'!X51*$D109</f>
        <v>0</v>
      </c>
      <c r="Z109" s="17">
        <f>'Reopening Activities'!Y51*$D109</f>
        <v>0</v>
      </c>
    </row>
    <row r="110" spans="2:26" x14ac:dyDescent="0.3">
      <c r="B110" s="1" t="s">
        <v>36</v>
      </c>
      <c r="C110" s="36">
        <f>'Reopening Assumptions'!C77</f>
        <v>0</v>
      </c>
      <c r="D110" s="14"/>
      <c r="E110" s="9"/>
      <c r="F110" s="16"/>
      <c r="G110" s="16"/>
      <c r="H110" s="16"/>
      <c r="I110" s="16"/>
      <c r="J110" s="16"/>
      <c r="K110" s="16"/>
      <c r="L110" s="16"/>
      <c r="M110" s="16"/>
      <c r="N110" s="16"/>
      <c r="O110" s="16"/>
      <c r="P110" s="16"/>
      <c r="Q110" s="16"/>
      <c r="R110" s="16"/>
      <c r="S110" s="16"/>
      <c r="T110" s="16"/>
      <c r="U110" s="16"/>
      <c r="V110" s="16"/>
      <c r="W110" s="16"/>
      <c r="X110" s="16"/>
      <c r="Y110" s="16"/>
      <c r="Z110" s="16"/>
    </row>
    <row r="111" spans="2:26" x14ac:dyDescent="0.3">
      <c r="B111" s="9" t="s">
        <v>19</v>
      </c>
      <c r="C111" s="10">
        <f>'Reopening Assumptions'!C78</f>
        <v>0</v>
      </c>
      <c r="D111" s="18">
        <f>'Reopening Assumptions'!E78</f>
        <v>58.84</v>
      </c>
      <c r="E111" s="9"/>
      <c r="F111" s="17">
        <f>('Reopening Activities'!E53*'Reopening Activities'!D111)*0.15</f>
        <v>0</v>
      </c>
      <c r="G111" s="17">
        <f>(('Reopening Activities'!E53*D111)-F111)/6</f>
        <v>0</v>
      </c>
      <c r="H111" s="17">
        <f t="shared" ref="H111:L114" si="19">G111</f>
        <v>0</v>
      </c>
      <c r="I111" s="17">
        <f t="shared" si="19"/>
        <v>0</v>
      </c>
      <c r="J111" s="17">
        <f t="shared" si="19"/>
        <v>0</v>
      </c>
      <c r="K111" s="17">
        <f t="shared" si="19"/>
        <v>0</v>
      </c>
      <c r="L111" s="17">
        <f t="shared" si="19"/>
        <v>0</v>
      </c>
      <c r="M111" s="17">
        <v>0</v>
      </c>
      <c r="N111" s="17">
        <v>0</v>
      </c>
      <c r="O111" s="17">
        <v>0</v>
      </c>
      <c r="P111" s="17">
        <v>0</v>
      </c>
      <c r="Q111" s="17">
        <v>0</v>
      </c>
      <c r="R111" s="17">
        <v>0</v>
      </c>
      <c r="S111" s="17">
        <v>0</v>
      </c>
      <c r="T111" s="17">
        <v>0</v>
      </c>
      <c r="U111" s="17">
        <v>0</v>
      </c>
      <c r="V111" s="17">
        <f>'Reopening Activities'!U53*$D111</f>
        <v>0</v>
      </c>
      <c r="W111" s="17">
        <f>'Reopening Activities'!V53*$D111</f>
        <v>0</v>
      </c>
      <c r="X111" s="17">
        <f>'Reopening Activities'!W53*$D111</f>
        <v>0</v>
      </c>
      <c r="Y111" s="17">
        <f>'Reopening Activities'!X53*$D111</f>
        <v>0</v>
      </c>
      <c r="Z111" s="17">
        <f>'Reopening Activities'!Y53*$D111</f>
        <v>0</v>
      </c>
    </row>
    <row r="112" spans="2:26" x14ac:dyDescent="0.3">
      <c r="B112" s="9" t="s">
        <v>15</v>
      </c>
      <c r="C112" s="10">
        <f>'Reopening Assumptions'!C79</f>
        <v>0</v>
      </c>
      <c r="D112" s="18">
        <f>'Reopening Assumptions'!E79</f>
        <v>48.06</v>
      </c>
      <c r="E112" s="9"/>
      <c r="F112" s="17">
        <f>('Reopening Activities'!E54*'Reopening Activities'!D112)*0.15</f>
        <v>0</v>
      </c>
      <c r="G112" s="17">
        <f>(('Reopening Activities'!E54*D112)-F112)/6</f>
        <v>0</v>
      </c>
      <c r="H112" s="17">
        <f t="shared" si="19"/>
        <v>0</v>
      </c>
      <c r="I112" s="17">
        <f t="shared" si="19"/>
        <v>0</v>
      </c>
      <c r="J112" s="17">
        <f t="shared" si="19"/>
        <v>0</v>
      </c>
      <c r="K112" s="17">
        <f t="shared" si="19"/>
        <v>0</v>
      </c>
      <c r="L112" s="17">
        <f t="shared" si="19"/>
        <v>0</v>
      </c>
      <c r="M112" s="17">
        <v>0</v>
      </c>
      <c r="N112" s="17">
        <v>0</v>
      </c>
      <c r="O112" s="17">
        <v>0</v>
      </c>
      <c r="P112" s="17">
        <v>0</v>
      </c>
      <c r="Q112" s="17">
        <v>0</v>
      </c>
      <c r="R112" s="17">
        <v>0</v>
      </c>
      <c r="S112" s="17">
        <v>0</v>
      </c>
      <c r="T112" s="17">
        <v>0</v>
      </c>
      <c r="U112" s="17">
        <v>0</v>
      </c>
      <c r="V112" s="17">
        <f>'Reopening Activities'!U54*$D112</f>
        <v>0</v>
      </c>
      <c r="W112" s="17">
        <f>'Reopening Activities'!V54*$D112</f>
        <v>0</v>
      </c>
      <c r="X112" s="17">
        <f>'Reopening Activities'!W54*$D112</f>
        <v>0</v>
      </c>
      <c r="Y112" s="17">
        <f>'Reopening Activities'!X54*$D112</f>
        <v>0</v>
      </c>
      <c r="Z112" s="17">
        <f>'Reopening Activities'!Y54*$D112</f>
        <v>0</v>
      </c>
    </row>
    <row r="113" spans="2:26" x14ac:dyDescent="0.3">
      <c r="B113" s="9" t="s">
        <v>16</v>
      </c>
      <c r="C113" s="10">
        <f>'Reopening Assumptions'!C80</f>
        <v>0</v>
      </c>
      <c r="D113" s="18">
        <f>'Reopening Assumptions'!E80</f>
        <v>42.51</v>
      </c>
      <c r="E113" s="9"/>
      <c r="F113" s="17">
        <f>('Reopening Activities'!E55*'Reopening Activities'!D113)*0.15</f>
        <v>0</v>
      </c>
      <c r="G113" s="17">
        <f>(('Reopening Activities'!E55*D113)-F113)/6</f>
        <v>0</v>
      </c>
      <c r="H113" s="17">
        <f t="shared" si="19"/>
        <v>0</v>
      </c>
      <c r="I113" s="17">
        <f t="shared" si="19"/>
        <v>0</v>
      </c>
      <c r="J113" s="17">
        <f t="shared" si="19"/>
        <v>0</v>
      </c>
      <c r="K113" s="17">
        <f t="shared" si="19"/>
        <v>0</v>
      </c>
      <c r="L113" s="17">
        <f t="shared" si="19"/>
        <v>0</v>
      </c>
      <c r="M113" s="17">
        <v>0</v>
      </c>
      <c r="N113" s="17">
        <v>0</v>
      </c>
      <c r="O113" s="17">
        <v>0</v>
      </c>
      <c r="P113" s="17">
        <v>0</v>
      </c>
      <c r="Q113" s="17">
        <v>0</v>
      </c>
      <c r="R113" s="17">
        <v>0</v>
      </c>
      <c r="S113" s="17">
        <v>0</v>
      </c>
      <c r="T113" s="17">
        <v>0</v>
      </c>
      <c r="U113" s="17">
        <v>0</v>
      </c>
      <c r="V113" s="17">
        <f>'Reopening Activities'!U55*$D113</f>
        <v>0</v>
      </c>
      <c r="W113" s="17">
        <f>'Reopening Activities'!V55*$D113</f>
        <v>0</v>
      </c>
      <c r="X113" s="17">
        <f>'Reopening Activities'!W55*$D113</f>
        <v>0</v>
      </c>
      <c r="Y113" s="17">
        <f>'Reopening Activities'!X55*$D113</f>
        <v>0</v>
      </c>
      <c r="Z113" s="17">
        <f>'Reopening Activities'!Y55*$D113</f>
        <v>0</v>
      </c>
    </row>
    <row r="114" spans="2:26" x14ac:dyDescent="0.3">
      <c r="B114" s="9" t="s">
        <v>37</v>
      </c>
      <c r="C114" s="10">
        <f>'Reopening Assumptions'!C81</f>
        <v>0</v>
      </c>
      <c r="D114" s="18">
        <f>'Reopening Assumptions'!E81</f>
        <v>39.369999999999997</v>
      </c>
      <c r="E114" s="9"/>
      <c r="F114" s="17">
        <f>('Reopening Activities'!E56*'Reopening Activities'!D114)*0.15</f>
        <v>0</v>
      </c>
      <c r="G114" s="17">
        <f>(('Reopening Activities'!E56*D114)-F114)/6</f>
        <v>0</v>
      </c>
      <c r="H114" s="17">
        <f t="shared" si="19"/>
        <v>0</v>
      </c>
      <c r="I114" s="17">
        <f t="shared" si="19"/>
        <v>0</v>
      </c>
      <c r="J114" s="17">
        <f t="shared" si="19"/>
        <v>0</v>
      </c>
      <c r="K114" s="17">
        <f t="shared" si="19"/>
        <v>0</v>
      </c>
      <c r="L114" s="17">
        <f t="shared" si="19"/>
        <v>0</v>
      </c>
      <c r="M114" s="17">
        <v>0</v>
      </c>
      <c r="N114" s="17">
        <v>0</v>
      </c>
      <c r="O114" s="17">
        <v>0</v>
      </c>
      <c r="P114" s="17">
        <v>0</v>
      </c>
      <c r="Q114" s="17">
        <v>0</v>
      </c>
      <c r="R114" s="17">
        <v>0</v>
      </c>
      <c r="S114" s="17">
        <v>0</v>
      </c>
      <c r="T114" s="17">
        <v>0</v>
      </c>
      <c r="U114" s="17">
        <v>0</v>
      </c>
      <c r="V114" s="17">
        <f>'Reopening Activities'!U56*$D114</f>
        <v>0</v>
      </c>
      <c r="W114" s="17">
        <f>'Reopening Activities'!V56*$D114</f>
        <v>0</v>
      </c>
      <c r="X114" s="17">
        <f>'Reopening Activities'!W56*$D114</f>
        <v>0</v>
      </c>
      <c r="Y114" s="17">
        <f>'Reopening Activities'!X56*$D114</f>
        <v>0</v>
      </c>
      <c r="Z114" s="17">
        <f>'Reopening Activities'!Y56*$D114</f>
        <v>0</v>
      </c>
    </row>
    <row r="115" spans="2:26" x14ac:dyDescent="0.3">
      <c r="B115" s="5" t="s">
        <v>40</v>
      </c>
      <c r="C115" s="6">
        <f>'Reopening Assumptions'!C84</f>
        <v>460000</v>
      </c>
      <c r="D115" s="39">
        <f>'Reopening Assumptions'!E84</f>
        <v>0</v>
      </c>
      <c r="E115" s="24">
        <f>SUM(G115:AA115)</f>
        <v>0</v>
      </c>
      <c r="F115" s="40">
        <v>0</v>
      </c>
      <c r="G115" s="40">
        <v>0</v>
      </c>
      <c r="H115" s="40">
        <v>0</v>
      </c>
      <c r="I115" s="40">
        <f>I57*'Reopening Assumptions'!E84</f>
        <v>0</v>
      </c>
      <c r="J115" s="40">
        <f>J57*'Reopening Assumptions'!F84</f>
        <v>0</v>
      </c>
      <c r="K115" s="40">
        <f>K57*'Reopening Assumptions'!G84</f>
        <v>0</v>
      </c>
      <c r="L115" s="40">
        <f>L57*'Reopening Assumptions'!H84</f>
        <v>0</v>
      </c>
      <c r="M115" s="40">
        <f>M57*'Reopening Assumptions'!I84</f>
        <v>0</v>
      </c>
      <c r="N115" s="40">
        <f>N57*'Reopening Assumptions'!J84</f>
        <v>0</v>
      </c>
      <c r="O115" s="40">
        <f>O57*'Reopening Assumptions'!K84</f>
        <v>0</v>
      </c>
      <c r="P115" s="40">
        <f>P57*'Reopening Assumptions'!L84</f>
        <v>0</v>
      </c>
      <c r="Q115" s="40">
        <f>Q57*'Reopening Assumptions'!M84</f>
        <v>0</v>
      </c>
      <c r="R115" s="40">
        <f>R57*'Reopening Assumptions'!N84</f>
        <v>0</v>
      </c>
      <c r="S115" s="40">
        <f>S57*'Reopening Assumptions'!O84</f>
        <v>0</v>
      </c>
      <c r="T115" s="40">
        <f>T57*'Reopening Assumptions'!P84</f>
        <v>0</v>
      </c>
      <c r="U115" s="40">
        <f>U57*'Reopening Assumptions'!Q84</f>
        <v>0</v>
      </c>
      <c r="V115" s="40">
        <f>V57*'Reopening Assumptions'!R84</f>
        <v>0</v>
      </c>
      <c r="W115" s="40">
        <f>W57*'Reopening Assumptions'!S84</f>
        <v>0</v>
      </c>
      <c r="X115" s="40">
        <f>X57*'Reopening Assumptions'!T84</f>
        <v>0</v>
      </c>
      <c r="Y115" s="40">
        <f>Y57*'Reopening Assumptions'!U84</f>
        <v>0</v>
      </c>
      <c r="Z115" s="40">
        <f>Z57*'Reopening Assumptions'!V84</f>
        <v>0</v>
      </c>
    </row>
    <row r="116" spans="2:26" x14ac:dyDescent="0.3">
      <c r="B116" s="5" t="s">
        <v>41</v>
      </c>
      <c r="C116" s="6">
        <f>'Reopening Assumptions'!C85</f>
        <v>948091</v>
      </c>
      <c r="D116" s="39">
        <f>'Reopening Assumptions'!E85</f>
        <v>0</v>
      </c>
      <c r="E116" s="24">
        <f>SUM(G116:AA116)</f>
        <v>0</v>
      </c>
      <c r="F116" s="40">
        <v>0</v>
      </c>
      <c r="G116" s="40">
        <v>0</v>
      </c>
      <c r="H116" s="40">
        <v>0</v>
      </c>
      <c r="I116" s="40">
        <f>I58*'Reopening Assumptions'!E85</f>
        <v>0</v>
      </c>
      <c r="J116" s="40">
        <f>J58*'Reopening Assumptions'!F85</f>
        <v>0</v>
      </c>
      <c r="K116" s="40">
        <f>K58*'Reopening Assumptions'!G85</f>
        <v>0</v>
      </c>
      <c r="L116" s="40">
        <f>L58*'Reopening Assumptions'!H85</f>
        <v>0</v>
      </c>
      <c r="M116" s="40">
        <f>M58*'Reopening Assumptions'!I85</f>
        <v>0</v>
      </c>
      <c r="N116" s="40">
        <f>N58*'Reopening Assumptions'!J85</f>
        <v>0</v>
      </c>
      <c r="O116" s="40">
        <f>O58*'Reopening Assumptions'!K85</f>
        <v>0</v>
      </c>
      <c r="P116" s="40">
        <f>P58*'Reopening Assumptions'!L85</f>
        <v>0</v>
      </c>
      <c r="Q116" s="40">
        <f>Q58*'Reopening Assumptions'!M85</f>
        <v>0</v>
      </c>
      <c r="R116" s="40">
        <f>R58*'Reopening Assumptions'!N85</f>
        <v>0</v>
      </c>
      <c r="S116" s="40">
        <f>S58*'Reopening Assumptions'!O85</f>
        <v>0</v>
      </c>
      <c r="T116" s="40">
        <f>T58*'Reopening Assumptions'!P85</f>
        <v>0</v>
      </c>
      <c r="U116" s="40">
        <f>U58*'Reopening Assumptions'!Q85</f>
        <v>0</v>
      </c>
      <c r="V116" s="40">
        <f>V58*'Reopening Assumptions'!R85</f>
        <v>0</v>
      </c>
      <c r="W116" s="40">
        <f>W58*'Reopening Assumptions'!S85</f>
        <v>0</v>
      </c>
      <c r="X116" s="40">
        <f>X58*'Reopening Assumptions'!T85</f>
        <v>0</v>
      </c>
      <c r="Y116" s="40">
        <f>Y58*'Reopening Assumptions'!U85</f>
        <v>0</v>
      </c>
      <c r="Z116" s="40">
        <f>Z58*'Reopening Assumptions'!V85</f>
        <v>0</v>
      </c>
    </row>
    <row r="117" spans="2:26" x14ac:dyDescent="0.3">
      <c r="B117" s="5" t="s">
        <v>42</v>
      </c>
      <c r="C117" s="6">
        <f>'Reopening Assumptions'!C86</f>
        <v>8493</v>
      </c>
      <c r="D117" s="39">
        <f>'Reopening Assumptions'!E86</f>
        <v>0</v>
      </c>
      <c r="E117" s="24">
        <f>SUM(G117:AA117)</f>
        <v>0</v>
      </c>
      <c r="F117" s="40">
        <v>0</v>
      </c>
      <c r="G117" s="40">
        <v>0</v>
      </c>
      <c r="H117" s="40">
        <v>0</v>
      </c>
      <c r="I117" s="40">
        <f>I59*'Reopening Assumptions'!E86</f>
        <v>0</v>
      </c>
      <c r="J117" s="40">
        <f>J59*'Reopening Assumptions'!F86</f>
        <v>0</v>
      </c>
      <c r="K117" s="40">
        <f>K59*'Reopening Assumptions'!G86</f>
        <v>0</v>
      </c>
      <c r="L117" s="40">
        <f>L59*'Reopening Assumptions'!H86</f>
        <v>0</v>
      </c>
      <c r="M117" s="40">
        <f>M59*'Reopening Assumptions'!I86</f>
        <v>0</v>
      </c>
      <c r="N117" s="40">
        <f>N59*'Reopening Assumptions'!J86</f>
        <v>0</v>
      </c>
      <c r="O117" s="40">
        <f>O59*'Reopening Assumptions'!K86</f>
        <v>0</v>
      </c>
      <c r="P117" s="40">
        <f>P59*'Reopening Assumptions'!L86</f>
        <v>0</v>
      </c>
      <c r="Q117" s="40">
        <f>Q59*'Reopening Assumptions'!M86</f>
        <v>0</v>
      </c>
      <c r="R117" s="40">
        <f>R59*'Reopening Assumptions'!N86</f>
        <v>0</v>
      </c>
      <c r="S117" s="40">
        <f>S59*'Reopening Assumptions'!O86</f>
        <v>0</v>
      </c>
      <c r="T117" s="40">
        <f>T59*'Reopening Assumptions'!P86</f>
        <v>0</v>
      </c>
      <c r="U117" s="40">
        <f>U59*'Reopening Assumptions'!Q86</f>
        <v>0</v>
      </c>
      <c r="V117" s="40">
        <f>V59*'Reopening Assumptions'!R86</f>
        <v>0</v>
      </c>
      <c r="W117" s="40">
        <f>W59*'Reopening Assumptions'!S86</f>
        <v>0</v>
      </c>
      <c r="X117" s="40">
        <f>X59*'Reopening Assumptions'!T86</f>
        <v>0</v>
      </c>
      <c r="Y117" s="40">
        <f>Y59*'Reopening Assumptions'!U86</f>
        <v>0</v>
      </c>
      <c r="Z117" s="40">
        <f>Z59*'Reopening Assumptions'!V86</f>
        <v>0</v>
      </c>
    </row>
    <row r="118" spans="2:26" x14ac:dyDescent="0.3">
      <c r="B118" s="9"/>
      <c r="C118" s="10"/>
      <c r="D118" s="9"/>
      <c r="E118" s="9"/>
      <c r="F118" s="67"/>
      <c r="G118" s="9"/>
      <c r="H118" s="9"/>
      <c r="I118" s="9"/>
      <c r="J118" s="9"/>
      <c r="K118" s="9"/>
      <c r="L118" s="9"/>
      <c r="M118" s="9"/>
      <c r="N118" s="9"/>
      <c r="O118" s="9"/>
      <c r="P118" s="9"/>
      <c r="Q118" s="9"/>
      <c r="R118" s="9"/>
      <c r="S118" s="9"/>
      <c r="T118" s="9"/>
      <c r="U118" s="9"/>
      <c r="V118" s="9"/>
      <c r="W118" s="9"/>
      <c r="X118" s="9"/>
      <c r="Y118" s="9"/>
      <c r="Z118" s="9"/>
    </row>
    <row r="119" spans="2:26" x14ac:dyDescent="0.3">
      <c r="B119" s="9"/>
      <c r="C119" s="9"/>
      <c r="D119" s="9"/>
      <c r="E119" s="9"/>
      <c r="F119" s="67"/>
      <c r="G119" s="9"/>
      <c r="H119" s="9"/>
      <c r="I119" s="9"/>
      <c r="J119" s="9"/>
      <c r="K119" s="9"/>
      <c r="L119" s="9"/>
      <c r="M119" s="9"/>
      <c r="N119" s="9"/>
      <c r="O119" s="9"/>
      <c r="P119" s="9"/>
      <c r="Q119" s="9"/>
      <c r="R119" s="9"/>
      <c r="S119" s="9"/>
      <c r="T119" s="9"/>
      <c r="U119" s="9"/>
      <c r="V119" s="9"/>
      <c r="W119" s="9"/>
      <c r="X119" s="9"/>
      <c r="Y119" s="9"/>
      <c r="Z119" s="9"/>
    </row>
  </sheetData>
  <phoneticPr fontId="5" type="noConversion"/>
  <printOptions horizontalCentered="1" verticalCentered="1"/>
  <pageMargins left="0.7" right="0.7" top="0.75" bottom="0.75" header="0.3" footer="0.3"/>
  <pageSetup scale="28" orientation="landscape" r:id="rId1"/>
  <headerFooter>
    <oddHeader>&amp;A</oddHeader>
  </headerFooter>
  <rowBreaks count="1" manualBreakCount="1">
    <brk id="6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C6EDC-E475-44AC-9EBD-4ED03C7B1534}">
  <dimension ref="A3:Y108"/>
  <sheetViews>
    <sheetView zoomScaleNormal="100" workbookViewId="0"/>
  </sheetViews>
  <sheetFormatPr defaultRowHeight="14.4" x14ac:dyDescent="0.3"/>
  <cols>
    <col min="1" max="1" width="32.44140625" bestFit="1" customWidth="1"/>
    <col min="2" max="2" width="26.21875" bestFit="1" customWidth="1"/>
    <col min="3" max="3" width="15.21875" bestFit="1" customWidth="1"/>
    <col min="4" max="4" width="25.21875" bestFit="1" customWidth="1"/>
    <col min="5" max="5" width="15.21875" customWidth="1"/>
    <col min="6" max="6" width="15.44140625" bestFit="1" customWidth="1"/>
    <col min="7" max="7" width="7" bestFit="1" customWidth="1"/>
    <col min="8" max="9" width="9.21875" bestFit="1" customWidth="1"/>
    <col min="10" max="12" width="7" bestFit="1" customWidth="1"/>
  </cols>
  <sheetData>
    <row r="3" spans="1:11" ht="46.8" x14ac:dyDescent="0.3">
      <c r="A3" s="9"/>
      <c r="B3" s="74" t="s">
        <v>70</v>
      </c>
      <c r="C3" s="74" t="s">
        <v>71</v>
      </c>
      <c r="D3" s="74" t="s">
        <v>72</v>
      </c>
      <c r="E3" s="74" t="s">
        <v>73</v>
      </c>
      <c r="F3" s="74" t="s">
        <v>74</v>
      </c>
      <c r="G3" s="74"/>
      <c r="H3" s="74" t="s">
        <v>75</v>
      </c>
      <c r="I3" s="74" t="s">
        <v>76</v>
      </c>
    </row>
    <row r="4" spans="1:11" x14ac:dyDescent="0.3">
      <c r="A4" s="3" t="s">
        <v>77</v>
      </c>
      <c r="B4" s="95">
        <f>C5</f>
        <v>808350</v>
      </c>
      <c r="C4" s="78">
        <f>C6+C13+C26+C43+C58+C75+C90+C91+C92</f>
        <v>1801157</v>
      </c>
      <c r="D4" s="95">
        <v>667000</v>
      </c>
      <c r="E4" s="78">
        <f>E6+E13+E26+E43+E58+E75+E90+E91+E92</f>
        <v>5304193</v>
      </c>
      <c r="F4" s="47"/>
      <c r="G4" s="47"/>
      <c r="H4" s="47"/>
      <c r="I4" s="47"/>
    </row>
    <row r="5" spans="1:11" x14ac:dyDescent="0.3">
      <c r="A5" s="5" t="s">
        <v>5</v>
      </c>
      <c r="B5" s="5"/>
      <c r="C5" s="94">
        <f>C6+C13+C26+C43+C58+C75</f>
        <v>808350</v>
      </c>
      <c r="D5" s="5"/>
      <c r="E5" s="94">
        <f>E6+E13+E26+E43+E58+E75</f>
        <v>667000</v>
      </c>
      <c r="F5" s="47"/>
      <c r="G5" s="47"/>
      <c r="H5" s="47"/>
      <c r="I5" s="47"/>
    </row>
    <row r="6" spans="1:11" x14ac:dyDescent="0.3">
      <c r="A6" s="5" t="s">
        <v>6</v>
      </c>
      <c r="B6" s="199"/>
      <c r="C6" s="81">
        <v>134000</v>
      </c>
      <c r="D6" s="199">
        <v>0.2</v>
      </c>
      <c r="E6" s="89">
        <f>D4*D6</f>
        <v>133400</v>
      </c>
      <c r="F6" s="6"/>
      <c r="G6" s="7"/>
      <c r="H6" s="7"/>
      <c r="I6" s="7"/>
    </row>
    <row r="7" spans="1:11" x14ac:dyDescent="0.3">
      <c r="A7" s="1" t="s">
        <v>7</v>
      </c>
      <c r="B7" s="200"/>
      <c r="C7" s="81">
        <v>45100</v>
      </c>
      <c r="D7" s="200"/>
      <c r="E7" s="81">
        <f>E6*0.3</f>
        <v>40020</v>
      </c>
      <c r="F7" s="46"/>
      <c r="G7" s="16"/>
      <c r="H7" s="16"/>
      <c r="I7" s="16"/>
    </row>
    <row r="8" spans="1:11" x14ac:dyDescent="0.3">
      <c r="A8" s="9" t="s">
        <v>8</v>
      </c>
      <c r="B8" s="200">
        <v>0.38</v>
      </c>
      <c r="C8" s="81">
        <f>$C$7*$B$8</f>
        <v>17138</v>
      </c>
      <c r="D8" s="200">
        <v>0.38</v>
      </c>
      <c r="E8" s="81">
        <f>$E$7*$D$8</f>
        <v>15207.6</v>
      </c>
      <c r="F8" s="49">
        <v>0.14884</v>
      </c>
      <c r="G8" s="50"/>
      <c r="H8" s="50">
        <v>78.510000000000005</v>
      </c>
      <c r="I8" s="50">
        <f>H8*$B$102</f>
        <v>69.088800000000006</v>
      </c>
    </row>
    <row r="9" spans="1:11" x14ac:dyDescent="0.3">
      <c r="A9" s="9" t="s">
        <v>9</v>
      </c>
      <c r="B9" s="200">
        <v>0.62</v>
      </c>
      <c r="C9" s="81">
        <f>$C$7*$B$9</f>
        <v>27962</v>
      </c>
      <c r="D9" s="200">
        <v>0.62</v>
      </c>
      <c r="E9" s="81">
        <f>$E$7*$D$9</f>
        <v>24812.400000000001</v>
      </c>
      <c r="F9" s="49">
        <v>0.15130000000000002</v>
      </c>
      <c r="G9" s="50"/>
      <c r="H9" s="50">
        <v>66.39</v>
      </c>
      <c r="I9" s="50">
        <f>H9*$B$102</f>
        <v>58.423200000000001</v>
      </c>
    </row>
    <row r="10" spans="1:11" x14ac:dyDescent="0.3">
      <c r="A10" s="1" t="s">
        <v>10</v>
      </c>
      <c r="B10" s="200"/>
      <c r="C10" s="81">
        <v>105500</v>
      </c>
      <c r="D10" s="200"/>
      <c r="E10" s="81">
        <f>E6*0.7</f>
        <v>93380</v>
      </c>
      <c r="F10" s="46"/>
      <c r="G10" s="14"/>
      <c r="H10" s="14"/>
      <c r="I10" s="14"/>
    </row>
    <row r="11" spans="1:11" x14ac:dyDescent="0.3">
      <c r="A11" s="9" t="s">
        <v>11</v>
      </c>
      <c r="B11" s="200">
        <v>0.38</v>
      </c>
      <c r="C11" s="81">
        <f>$C$10*B11</f>
        <v>40090</v>
      </c>
      <c r="D11" s="200">
        <v>0.38</v>
      </c>
      <c r="E11" s="81">
        <f>$E$10*D11</f>
        <v>35484.400000000001</v>
      </c>
      <c r="F11" s="49">
        <v>0.13464999999999999</v>
      </c>
      <c r="G11" s="50"/>
      <c r="H11" s="50">
        <v>82.28</v>
      </c>
      <c r="I11" s="50">
        <f>H11*$B$102</f>
        <v>72.406400000000005</v>
      </c>
      <c r="K11" s="202"/>
    </row>
    <row r="12" spans="1:11" x14ac:dyDescent="0.3">
      <c r="A12" s="9" t="s">
        <v>9</v>
      </c>
      <c r="B12" s="200">
        <v>0.62</v>
      </c>
      <c r="C12" s="81">
        <f>$C$10*B12</f>
        <v>65410</v>
      </c>
      <c r="D12" s="200">
        <v>0.62</v>
      </c>
      <c r="E12" s="81">
        <f>$E$10*D12</f>
        <v>57895.6</v>
      </c>
      <c r="F12" s="49">
        <v>0.13319</v>
      </c>
      <c r="G12" s="50"/>
      <c r="H12" s="50">
        <v>71.89</v>
      </c>
      <c r="I12" s="50">
        <f>H12*$B$102</f>
        <v>63.263199999999998</v>
      </c>
    </row>
    <row r="13" spans="1:11" x14ac:dyDescent="0.3">
      <c r="A13" s="5" t="s">
        <v>12</v>
      </c>
      <c r="B13" s="199"/>
      <c r="C13" s="81">
        <v>134000</v>
      </c>
      <c r="D13" s="199">
        <v>0.2</v>
      </c>
      <c r="E13" s="89">
        <f>D4*D13</f>
        <v>133400</v>
      </c>
      <c r="F13" s="6"/>
      <c r="G13" s="7"/>
      <c r="H13" s="7"/>
      <c r="I13" s="7"/>
    </row>
    <row r="14" spans="1:11" x14ac:dyDescent="0.3">
      <c r="A14" s="1" t="s">
        <v>13</v>
      </c>
      <c r="B14" s="200"/>
      <c r="C14" s="81">
        <v>40000</v>
      </c>
      <c r="D14" s="200"/>
      <c r="E14" s="81">
        <f>E13*0.3</f>
        <v>40020</v>
      </c>
      <c r="F14" s="46"/>
      <c r="G14" s="14"/>
      <c r="H14" s="14"/>
      <c r="I14" s="14"/>
    </row>
    <row r="15" spans="1:11" x14ac:dyDescent="0.3">
      <c r="A15" s="9" t="s">
        <v>14</v>
      </c>
      <c r="B15" s="200">
        <v>8.2589858081657974E-2</v>
      </c>
      <c r="C15" s="81">
        <f>$C$14*B15</f>
        <v>3303.594323266319</v>
      </c>
      <c r="D15" s="200">
        <v>8.2589858081657974E-2</v>
      </c>
      <c r="E15" s="81">
        <f>$E$14*D15</f>
        <v>3305.2461204279521</v>
      </c>
      <c r="F15" s="49">
        <v>0.15196999999999999</v>
      </c>
      <c r="G15" s="50"/>
      <c r="H15" s="50">
        <v>57.94</v>
      </c>
      <c r="I15" s="50">
        <f>H15*$B$102</f>
        <v>50.987200000000001</v>
      </c>
    </row>
    <row r="16" spans="1:11" x14ac:dyDescent="0.3">
      <c r="A16" s="9" t="s">
        <v>15</v>
      </c>
      <c r="B16" s="200">
        <v>6.3796727298494463E-2</v>
      </c>
      <c r="C16" s="81">
        <f>$C$14*B16</f>
        <v>2551.8690919397786</v>
      </c>
      <c r="D16" s="200">
        <v>6.3796727298494463E-2</v>
      </c>
      <c r="E16" s="81">
        <f>$E$14*D16</f>
        <v>2553.1450264857485</v>
      </c>
      <c r="F16" s="49">
        <v>0.14819000000000002</v>
      </c>
      <c r="G16" s="50"/>
      <c r="H16" s="50">
        <v>58.85</v>
      </c>
      <c r="I16" s="50">
        <f>H16*$B$102</f>
        <v>51.788000000000004</v>
      </c>
    </row>
    <row r="17" spans="1:11" x14ac:dyDescent="0.3">
      <c r="A17" s="9" t="s">
        <v>16</v>
      </c>
      <c r="B17" s="200">
        <v>0.14809231752718796</v>
      </c>
      <c r="C17" s="81">
        <f>$C$14*B17</f>
        <v>5923.6927010875188</v>
      </c>
      <c r="D17" s="200">
        <v>0.14809231752718796</v>
      </c>
      <c r="E17" s="81">
        <f>$E$14*D17</f>
        <v>5926.6545474380619</v>
      </c>
      <c r="F17" s="49">
        <v>0.15303</v>
      </c>
      <c r="G17" s="50"/>
      <c r="H17" s="50">
        <v>52.35</v>
      </c>
      <c r="I17" s="50">
        <f>H17*$B$102</f>
        <v>46.068000000000005</v>
      </c>
    </row>
    <row r="18" spans="1:11" x14ac:dyDescent="0.3">
      <c r="A18" s="9" t="s">
        <v>17</v>
      </c>
      <c r="B18" s="200">
        <v>0.7055190579627767</v>
      </c>
      <c r="C18" s="81">
        <f>$C$14*B18</f>
        <v>28220.762318511068</v>
      </c>
      <c r="D18" s="200">
        <v>0.7055190579627767</v>
      </c>
      <c r="E18" s="81">
        <f>$E$14*D18</f>
        <v>28234.872699670323</v>
      </c>
      <c r="F18" s="49">
        <v>0.14410999999999999</v>
      </c>
      <c r="G18" s="50"/>
      <c r="H18" s="50">
        <v>50.42</v>
      </c>
      <c r="I18" s="50">
        <f>H18*$B$102</f>
        <v>44.369599999999998</v>
      </c>
    </row>
    <row r="19" spans="1:11" x14ac:dyDescent="0.3">
      <c r="A19" s="9" t="s">
        <v>78</v>
      </c>
      <c r="B19" s="200">
        <v>0</v>
      </c>
      <c r="C19" s="81">
        <f>$C$14*B19</f>
        <v>0</v>
      </c>
      <c r="D19" s="200">
        <v>0</v>
      </c>
      <c r="E19" s="81">
        <f>$E$14*D19</f>
        <v>0</v>
      </c>
      <c r="F19" s="49">
        <v>0.14410999999999999</v>
      </c>
      <c r="G19" s="50"/>
      <c r="H19" s="50">
        <v>40.9</v>
      </c>
      <c r="I19" s="50">
        <f>H19*$B$102</f>
        <v>35.991999999999997</v>
      </c>
    </row>
    <row r="20" spans="1:11" x14ac:dyDescent="0.3">
      <c r="A20" s="1" t="s">
        <v>18</v>
      </c>
      <c r="B20" s="200"/>
      <c r="C20" s="81">
        <v>141300</v>
      </c>
      <c r="D20" s="200"/>
      <c r="E20" s="81">
        <f>E13*0.7</f>
        <v>93380</v>
      </c>
      <c r="F20" s="46"/>
      <c r="G20" s="14"/>
      <c r="H20" s="14"/>
      <c r="I20" s="14"/>
    </row>
    <row r="21" spans="1:11" x14ac:dyDescent="0.3">
      <c r="A21" s="9" t="s">
        <v>19</v>
      </c>
      <c r="B21" s="200">
        <v>3.7818107834294019E-2</v>
      </c>
      <c r="C21" s="81">
        <f>$C$20*B21</f>
        <v>5343.698636985745</v>
      </c>
      <c r="D21" s="200">
        <v>3.7818107834294019E-2</v>
      </c>
      <c r="E21" s="81">
        <f>$E$20*D21</f>
        <v>3531.4549095663756</v>
      </c>
      <c r="F21" s="49">
        <v>0.14305999999999999</v>
      </c>
      <c r="G21" s="50"/>
      <c r="H21" s="50">
        <v>62.23</v>
      </c>
      <c r="I21" s="50">
        <f>H21*$B$102</f>
        <v>54.7624</v>
      </c>
      <c r="K21" s="202"/>
    </row>
    <row r="22" spans="1:11" x14ac:dyDescent="0.3">
      <c r="A22" s="9" t="s">
        <v>15</v>
      </c>
      <c r="B22" s="200">
        <v>2.9448996157951057E-2</v>
      </c>
      <c r="C22" s="81">
        <f>$C$20*B22</f>
        <v>4161.1431571184839</v>
      </c>
      <c r="D22" s="200">
        <v>2.9448996157951057E-2</v>
      </c>
      <c r="E22" s="81">
        <f>$E$20*D22</f>
        <v>2749.9472612294699</v>
      </c>
      <c r="F22" s="49">
        <v>0.14176</v>
      </c>
      <c r="G22" s="50"/>
      <c r="H22" s="50">
        <v>59.02</v>
      </c>
      <c r="I22" s="50">
        <f>H22*$B$102</f>
        <v>51.937600000000003</v>
      </c>
    </row>
    <row r="23" spans="1:11" x14ac:dyDescent="0.3">
      <c r="A23" s="9" t="s">
        <v>16</v>
      </c>
      <c r="B23" s="200">
        <v>0.1091491177452943</v>
      </c>
      <c r="C23" s="81">
        <f>$C$20*B23</f>
        <v>15422.770337410086</v>
      </c>
      <c r="D23" s="200">
        <v>0.1091491177452943</v>
      </c>
      <c r="E23" s="81">
        <f>$E$20*D23</f>
        <v>10192.344615055583</v>
      </c>
      <c r="F23" s="49">
        <v>0.14119000000000001</v>
      </c>
      <c r="G23" s="50"/>
      <c r="H23" s="50">
        <v>53.11</v>
      </c>
      <c r="I23" s="50">
        <f>H23*$B$102</f>
        <v>46.736800000000002</v>
      </c>
    </row>
    <row r="24" spans="1:11" x14ac:dyDescent="0.3">
      <c r="A24" s="9" t="s">
        <v>37</v>
      </c>
      <c r="B24" s="200">
        <v>0.82358343106844789</v>
      </c>
      <c r="C24" s="81">
        <f>$C$20*B24</f>
        <v>116372.33880997168</v>
      </c>
      <c r="D24" s="200">
        <v>0.82358343106844789</v>
      </c>
      <c r="E24" s="81">
        <f>$E$20*D24</f>
        <v>76906.220793171669</v>
      </c>
      <c r="F24" s="49">
        <v>0.1497</v>
      </c>
      <c r="G24" s="50"/>
      <c r="H24" s="50">
        <v>47.63</v>
      </c>
      <c r="I24" s="50">
        <f>H24*$B$102</f>
        <v>41.914400000000001</v>
      </c>
    </row>
    <row r="25" spans="1:11" x14ac:dyDescent="0.3">
      <c r="A25" s="9" t="s">
        <v>79</v>
      </c>
      <c r="B25" s="200">
        <v>0</v>
      </c>
      <c r="C25" s="81">
        <f>$C$20*B25</f>
        <v>0</v>
      </c>
      <c r="D25" s="200">
        <v>0</v>
      </c>
      <c r="E25" s="81">
        <f>$E$20*D25</f>
        <v>0</v>
      </c>
      <c r="F25" s="49">
        <v>0.1497</v>
      </c>
      <c r="G25" s="50"/>
      <c r="H25" s="50">
        <v>33.31</v>
      </c>
      <c r="I25" s="50">
        <f>H25*$B$102</f>
        <v>29.312800000000003</v>
      </c>
    </row>
    <row r="26" spans="1:11" x14ac:dyDescent="0.3">
      <c r="A26" s="5" t="s">
        <v>21</v>
      </c>
      <c r="B26" s="199"/>
      <c r="C26" s="81">
        <v>160000</v>
      </c>
      <c r="D26" s="199">
        <v>0.3</v>
      </c>
      <c r="E26" s="89">
        <f>D4*D26</f>
        <v>200100</v>
      </c>
      <c r="F26" s="6"/>
      <c r="G26" s="7"/>
      <c r="H26" s="7"/>
      <c r="I26" s="7"/>
    </row>
    <row r="27" spans="1:11" x14ac:dyDescent="0.3">
      <c r="A27" s="1" t="s">
        <v>22</v>
      </c>
      <c r="B27" s="200">
        <v>0.3</v>
      </c>
      <c r="C27" s="81">
        <f>C26*0.3</f>
        <v>48000</v>
      </c>
      <c r="D27" s="200">
        <v>0.3</v>
      </c>
      <c r="E27" s="81">
        <f>E26*0.3</f>
        <v>60030</v>
      </c>
      <c r="F27" s="49">
        <v>0.16907</v>
      </c>
      <c r="G27" s="50"/>
      <c r="H27" s="50"/>
      <c r="I27" s="50">
        <f>H27*$B$102</f>
        <v>0</v>
      </c>
    </row>
    <row r="28" spans="1:11" x14ac:dyDescent="0.3">
      <c r="A28" s="75" t="s">
        <v>8</v>
      </c>
      <c r="B28" s="200">
        <v>0</v>
      </c>
      <c r="C28" s="81">
        <v>0</v>
      </c>
      <c r="D28" s="200">
        <v>0</v>
      </c>
      <c r="E28" s="81">
        <v>0</v>
      </c>
      <c r="F28" s="49">
        <v>0.16907</v>
      </c>
      <c r="G28" s="50"/>
      <c r="H28" s="50"/>
      <c r="I28" s="50"/>
    </row>
    <row r="29" spans="1:11" x14ac:dyDescent="0.3">
      <c r="A29" s="9" t="s">
        <v>9</v>
      </c>
      <c r="B29" s="200">
        <v>0</v>
      </c>
      <c r="C29" s="81">
        <v>0</v>
      </c>
      <c r="D29" s="200">
        <v>0</v>
      </c>
      <c r="E29" s="81">
        <v>0</v>
      </c>
      <c r="F29" s="49">
        <v>0.16907</v>
      </c>
      <c r="G29" s="50"/>
      <c r="H29" s="50">
        <v>56.23</v>
      </c>
      <c r="I29" s="50">
        <f t="shared" ref="I29:I34" si="0">H29*$B$102</f>
        <v>49.482399999999998</v>
      </c>
    </row>
    <row r="30" spans="1:11" x14ac:dyDescent="0.3">
      <c r="A30" s="75" t="s">
        <v>19</v>
      </c>
      <c r="B30" s="200">
        <v>0</v>
      </c>
      <c r="C30" s="81">
        <v>0</v>
      </c>
      <c r="D30" s="200">
        <v>0</v>
      </c>
      <c r="E30" s="81">
        <v>0</v>
      </c>
      <c r="F30" s="49">
        <v>0.16907</v>
      </c>
      <c r="G30" s="50"/>
      <c r="H30" s="50">
        <v>59.19</v>
      </c>
      <c r="I30" s="50">
        <f t="shared" si="0"/>
        <v>52.087199999999996</v>
      </c>
    </row>
    <row r="31" spans="1:11" x14ac:dyDescent="0.3">
      <c r="A31" s="75" t="s">
        <v>15</v>
      </c>
      <c r="B31" s="200">
        <v>0</v>
      </c>
      <c r="C31" s="81">
        <v>0</v>
      </c>
      <c r="D31" s="200">
        <v>0</v>
      </c>
      <c r="E31" s="81">
        <v>0</v>
      </c>
      <c r="F31" s="49">
        <v>0.16907</v>
      </c>
      <c r="G31" s="50"/>
      <c r="H31" s="50">
        <v>60.85</v>
      </c>
      <c r="I31" s="50">
        <f t="shared" si="0"/>
        <v>53.548000000000002</v>
      </c>
    </row>
    <row r="32" spans="1:11" x14ac:dyDescent="0.3">
      <c r="A32" s="75" t="s">
        <v>16</v>
      </c>
      <c r="B32" s="200">
        <v>0</v>
      </c>
      <c r="C32" s="81">
        <v>0</v>
      </c>
      <c r="D32" s="200">
        <v>0</v>
      </c>
      <c r="E32" s="81">
        <v>0</v>
      </c>
      <c r="F32" s="49">
        <v>0.16907</v>
      </c>
      <c r="G32" s="50"/>
      <c r="H32" s="50">
        <v>57.22</v>
      </c>
      <c r="I32" s="50">
        <f t="shared" si="0"/>
        <v>50.3536</v>
      </c>
    </row>
    <row r="33" spans="1:13" x14ac:dyDescent="0.3">
      <c r="A33" s="75" t="s">
        <v>20</v>
      </c>
      <c r="B33" s="200">
        <v>1</v>
      </c>
      <c r="C33" s="81">
        <v>60030</v>
      </c>
      <c r="D33" s="200">
        <v>1</v>
      </c>
      <c r="E33" s="81">
        <v>60030</v>
      </c>
      <c r="F33" s="49">
        <v>0.16907</v>
      </c>
      <c r="G33" s="50"/>
      <c r="H33" s="50">
        <v>51.32</v>
      </c>
      <c r="I33" s="50">
        <f t="shared" si="0"/>
        <v>45.1616</v>
      </c>
    </row>
    <row r="34" spans="1:13" x14ac:dyDescent="0.3">
      <c r="A34" s="75" t="s">
        <v>23</v>
      </c>
      <c r="B34" s="200">
        <v>0</v>
      </c>
      <c r="C34" s="81">
        <v>0</v>
      </c>
      <c r="D34" s="200">
        <v>0</v>
      </c>
      <c r="E34" s="81">
        <v>0</v>
      </c>
      <c r="F34" s="49">
        <v>0.16907</v>
      </c>
      <c r="G34" s="50"/>
      <c r="H34" s="50">
        <v>45.5</v>
      </c>
      <c r="I34" s="50">
        <f t="shared" si="0"/>
        <v>40.04</v>
      </c>
    </row>
    <row r="35" spans="1:13" x14ac:dyDescent="0.3">
      <c r="A35" s="1" t="s">
        <v>24</v>
      </c>
      <c r="B35" s="200">
        <v>0.7</v>
      </c>
      <c r="C35" s="81">
        <f>C26*0.7</f>
        <v>112000</v>
      </c>
      <c r="D35" s="200">
        <v>0.7</v>
      </c>
      <c r="E35" s="81">
        <f>E26*0.7</f>
        <v>140070</v>
      </c>
      <c r="F35" s="49">
        <v>0.16907</v>
      </c>
      <c r="G35" s="50"/>
      <c r="H35" s="50"/>
      <c r="I35" s="50"/>
    </row>
    <row r="36" spans="1:13" x14ac:dyDescent="0.3">
      <c r="A36" s="75" t="s">
        <v>8</v>
      </c>
      <c r="B36" s="200">
        <v>0</v>
      </c>
      <c r="C36" s="81">
        <v>0</v>
      </c>
      <c r="D36" s="200">
        <v>0</v>
      </c>
      <c r="E36" s="81">
        <v>0</v>
      </c>
      <c r="F36" s="49">
        <v>0.16907</v>
      </c>
      <c r="G36" s="50"/>
      <c r="H36" s="50"/>
      <c r="I36" s="50"/>
    </row>
    <row r="37" spans="1:13" x14ac:dyDescent="0.3">
      <c r="A37" s="9" t="s">
        <v>9</v>
      </c>
      <c r="B37" s="200">
        <v>0</v>
      </c>
      <c r="C37" s="81">
        <v>0</v>
      </c>
      <c r="D37" s="200">
        <v>0</v>
      </c>
      <c r="E37" s="81">
        <v>0</v>
      </c>
      <c r="F37" s="49">
        <v>0.16907</v>
      </c>
      <c r="G37" s="50"/>
      <c r="H37" s="50">
        <v>61.54</v>
      </c>
      <c r="I37" s="50">
        <f t="shared" ref="I37:I42" si="1">H37*$B$102</f>
        <v>54.155200000000001</v>
      </c>
    </row>
    <row r="38" spans="1:13" x14ac:dyDescent="0.3">
      <c r="A38" s="75" t="s">
        <v>19</v>
      </c>
      <c r="B38" s="200">
        <v>0</v>
      </c>
      <c r="C38" s="81">
        <v>0</v>
      </c>
      <c r="D38" s="200">
        <v>0</v>
      </c>
      <c r="E38" s="81">
        <v>0</v>
      </c>
      <c r="F38" s="49">
        <v>0.16907</v>
      </c>
      <c r="G38" s="50"/>
      <c r="H38" s="50">
        <v>64.39</v>
      </c>
      <c r="I38" s="50">
        <f t="shared" si="1"/>
        <v>56.663200000000003</v>
      </c>
    </row>
    <row r="39" spans="1:13" x14ac:dyDescent="0.3">
      <c r="A39" s="75" t="s">
        <v>15</v>
      </c>
      <c r="B39" s="200">
        <v>0</v>
      </c>
      <c r="C39" s="81">
        <v>0</v>
      </c>
      <c r="D39" s="200">
        <v>0</v>
      </c>
      <c r="E39" s="81">
        <v>0</v>
      </c>
      <c r="F39" s="49">
        <v>0.16907</v>
      </c>
      <c r="G39" s="50"/>
      <c r="H39" s="50">
        <v>65.23</v>
      </c>
      <c r="I39" s="50">
        <f t="shared" si="1"/>
        <v>57.402400000000007</v>
      </c>
    </row>
    <row r="40" spans="1:13" x14ac:dyDescent="0.3">
      <c r="A40" s="75" t="s">
        <v>16</v>
      </c>
      <c r="B40" s="200">
        <v>0</v>
      </c>
      <c r="C40" s="81">
        <v>0</v>
      </c>
      <c r="D40" s="200">
        <v>0</v>
      </c>
      <c r="E40" s="81">
        <v>0</v>
      </c>
      <c r="F40" s="49">
        <v>0.16907</v>
      </c>
      <c r="G40" s="50"/>
      <c r="H40" s="50">
        <v>62.09</v>
      </c>
      <c r="I40" s="50">
        <f t="shared" si="1"/>
        <v>54.639200000000002</v>
      </c>
    </row>
    <row r="41" spans="1:13" x14ac:dyDescent="0.3">
      <c r="A41" s="75" t="s">
        <v>20</v>
      </c>
      <c r="B41" s="200">
        <v>1</v>
      </c>
      <c r="C41" s="81">
        <v>140070</v>
      </c>
      <c r="D41" s="200">
        <v>1</v>
      </c>
      <c r="E41" s="81">
        <v>140070</v>
      </c>
      <c r="F41" s="49">
        <v>0.16907</v>
      </c>
      <c r="G41" s="50"/>
      <c r="H41" s="50">
        <v>55.5</v>
      </c>
      <c r="I41" s="50">
        <f t="shared" si="1"/>
        <v>48.84</v>
      </c>
    </row>
    <row r="42" spans="1:13" x14ac:dyDescent="0.3">
      <c r="A42" s="75" t="s">
        <v>23</v>
      </c>
      <c r="B42" s="200">
        <v>0</v>
      </c>
      <c r="C42" s="81">
        <v>0</v>
      </c>
      <c r="D42" s="200">
        <v>0</v>
      </c>
      <c r="E42" s="81">
        <v>0</v>
      </c>
      <c r="F42" s="49">
        <v>0.16907</v>
      </c>
      <c r="G42" s="50"/>
      <c r="H42" s="50">
        <v>47.78</v>
      </c>
      <c r="I42" s="50">
        <f t="shared" si="1"/>
        <v>42.046399999999998</v>
      </c>
    </row>
    <row r="43" spans="1:13" x14ac:dyDescent="0.3">
      <c r="A43" s="5" t="s">
        <v>25</v>
      </c>
      <c r="B43" s="199"/>
      <c r="C43" s="81">
        <v>199350</v>
      </c>
      <c r="D43" s="199">
        <v>0.15</v>
      </c>
      <c r="E43" s="89">
        <f>D4*D43</f>
        <v>100050</v>
      </c>
      <c r="F43" s="6"/>
      <c r="G43" s="7"/>
      <c r="H43" s="7"/>
      <c r="I43" s="7"/>
    </row>
    <row r="44" spans="1:13" x14ac:dyDescent="0.3">
      <c r="A44" s="1" t="s">
        <v>26</v>
      </c>
      <c r="B44" s="200"/>
      <c r="C44" s="81">
        <v>80000</v>
      </c>
      <c r="D44" s="200"/>
      <c r="E44" s="81">
        <f>E43*0.3</f>
        <v>30015</v>
      </c>
      <c r="F44" s="52"/>
      <c r="G44" s="1"/>
      <c r="H44" s="14"/>
      <c r="I44" s="14"/>
      <c r="L44" s="202"/>
    </row>
    <row r="45" spans="1:13" x14ac:dyDescent="0.3">
      <c r="A45" s="9" t="s">
        <v>27</v>
      </c>
      <c r="B45" s="200">
        <v>4.6296296296296294E-2</v>
      </c>
      <c r="C45" s="81">
        <v>3703.7037037037035</v>
      </c>
      <c r="D45" s="200">
        <v>4.6296296296296294E-2</v>
      </c>
      <c r="E45" s="81">
        <f t="shared" ref="E45:E50" si="2">$E$44*D45</f>
        <v>1389.5833333333333</v>
      </c>
      <c r="F45" s="49">
        <v>0.16907</v>
      </c>
      <c r="G45" s="50"/>
      <c r="H45" s="50">
        <v>74.95</v>
      </c>
      <c r="I45" s="50">
        <f t="shared" ref="I45:I50" si="3">H45*$B$102</f>
        <v>65.956000000000003</v>
      </c>
    </row>
    <row r="46" spans="1:13" x14ac:dyDescent="0.3">
      <c r="A46" s="9" t="s">
        <v>19</v>
      </c>
      <c r="B46" s="200">
        <v>5.5555555555555552E-2</v>
      </c>
      <c r="C46" s="81">
        <v>4444.4444444444443</v>
      </c>
      <c r="D46" s="200">
        <v>5.5555555555555552E-2</v>
      </c>
      <c r="E46" s="81">
        <f t="shared" si="2"/>
        <v>1667.5</v>
      </c>
      <c r="F46" s="49">
        <v>0.16907</v>
      </c>
      <c r="G46" s="50"/>
      <c r="H46" s="50">
        <v>65.569999999999993</v>
      </c>
      <c r="I46" s="50">
        <f t="shared" si="3"/>
        <v>57.701599999999992</v>
      </c>
    </row>
    <row r="47" spans="1:13" x14ac:dyDescent="0.3">
      <c r="A47" s="9" t="s">
        <v>15</v>
      </c>
      <c r="B47" s="200">
        <v>0.21296296296296297</v>
      </c>
      <c r="C47" s="81">
        <v>17037.037037037036</v>
      </c>
      <c r="D47" s="200">
        <v>0.21296296296296297</v>
      </c>
      <c r="E47" s="81">
        <f t="shared" si="2"/>
        <v>6392.083333333333</v>
      </c>
      <c r="F47" s="49">
        <v>0.16907</v>
      </c>
      <c r="G47" s="50"/>
      <c r="H47" s="50">
        <v>66.400000000000006</v>
      </c>
      <c r="I47" s="50">
        <f t="shared" si="3"/>
        <v>58.432000000000002</v>
      </c>
      <c r="M47" s="202"/>
    </row>
    <row r="48" spans="1:13" x14ac:dyDescent="0.3">
      <c r="A48" s="9" t="s">
        <v>16</v>
      </c>
      <c r="B48" s="200">
        <v>0.45370370370370372</v>
      </c>
      <c r="C48" s="81">
        <v>36296.296296296299</v>
      </c>
      <c r="D48" s="200">
        <v>0.45370370370370372</v>
      </c>
      <c r="E48" s="81">
        <f t="shared" si="2"/>
        <v>13617.916666666668</v>
      </c>
      <c r="F48" s="49">
        <v>0.16907</v>
      </c>
      <c r="G48" s="50"/>
      <c r="H48" s="50">
        <v>58.94</v>
      </c>
      <c r="I48" s="50">
        <f t="shared" si="3"/>
        <v>51.867199999999997</v>
      </c>
    </row>
    <row r="49" spans="1:9" x14ac:dyDescent="0.3">
      <c r="A49" s="9" t="s">
        <v>20</v>
      </c>
      <c r="B49" s="200">
        <v>0.23148148148148148</v>
      </c>
      <c r="C49" s="81">
        <v>18518.518518518518</v>
      </c>
      <c r="D49" s="200">
        <v>0.23148148148148148</v>
      </c>
      <c r="E49" s="81">
        <f t="shared" si="2"/>
        <v>6947.916666666667</v>
      </c>
      <c r="F49" s="49">
        <v>0.16907</v>
      </c>
      <c r="G49" s="50"/>
      <c r="H49" s="50">
        <v>56.73</v>
      </c>
      <c r="I49" s="50">
        <f t="shared" si="3"/>
        <v>49.922399999999996</v>
      </c>
    </row>
    <row r="50" spans="1:9" x14ac:dyDescent="0.3">
      <c r="A50" s="9" t="s">
        <v>79</v>
      </c>
      <c r="B50" s="200">
        <v>0</v>
      </c>
      <c r="C50" s="81">
        <v>0</v>
      </c>
      <c r="D50" s="200">
        <v>0</v>
      </c>
      <c r="E50" s="81">
        <f t="shared" si="2"/>
        <v>0</v>
      </c>
      <c r="F50" s="49">
        <v>0.16907</v>
      </c>
      <c r="G50" s="50"/>
      <c r="H50" s="50">
        <v>45.72</v>
      </c>
      <c r="I50" s="50">
        <f t="shared" si="3"/>
        <v>40.233600000000003</v>
      </c>
    </row>
    <row r="51" spans="1:9" x14ac:dyDescent="0.3">
      <c r="A51" s="1" t="s">
        <v>28</v>
      </c>
      <c r="B51" s="201"/>
      <c r="C51" s="81">
        <v>119350</v>
      </c>
      <c r="D51" s="201"/>
      <c r="E51" s="81">
        <f>E43*0.7</f>
        <v>70035</v>
      </c>
      <c r="F51" s="29"/>
      <c r="G51" s="29"/>
      <c r="H51" s="14"/>
      <c r="I51" s="14"/>
    </row>
    <row r="52" spans="1:9" x14ac:dyDescent="0.3">
      <c r="A52" s="9" t="s">
        <v>27</v>
      </c>
      <c r="B52" s="200">
        <v>4.6296296296296294E-2</v>
      </c>
      <c r="C52" s="81">
        <v>5525.4629629629626</v>
      </c>
      <c r="D52" s="200">
        <v>4.6296296296296294E-2</v>
      </c>
      <c r="E52" s="81">
        <f t="shared" ref="E52:E57" si="4">$E$51*D52</f>
        <v>3242.3611111111109</v>
      </c>
      <c r="F52" s="49">
        <v>0.16907</v>
      </c>
      <c r="G52" s="50"/>
      <c r="H52" s="50">
        <v>81.16</v>
      </c>
      <c r="I52" s="50">
        <f t="shared" ref="I52:I57" si="5">H52*$B$102</f>
        <v>71.4208</v>
      </c>
    </row>
    <row r="53" spans="1:9" x14ac:dyDescent="0.3">
      <c r="A53" s="9" t="s">
        <v>19</v>
      </c>
      <c r="B53" s="200">
        <v>5.5555555555555552E-2</v>
      </c>
      <c r="C53" s="81">
        <v>6630.5555555555547</v>
      </c>
      <c r="D53" s="200">
        <v>5.5555555555555552E-2</v>
      </c>
      <c r="E53" s="81">
        <f t="shared" si="4"/>
        <v>3890.833333333333</v>
      </c>
      <c r="F53" s="49">
        <v>0.16907</v>
      </c>
      <c r="G53" s="50"/>
      <c r="H53" s="50">
        <v>70.42</v>
      </c>
      <c r="I53" s="50">
        <f t="shared" si="5"/>
        <v>61.9696</v>
      </c>
    </row>
    <row r="54" spans="1:9" x14ac:dyDescent="0.3">
      <c r="A54" s="9" t="s">
        <v>15</v>
      </c>
      <c r="B54" s="200">
        <v>0.21296296296296297</v>
      </c>
      <c r="C54" s="81">
        <v>25417.129629629631</v>
      </c>
      <c r="D54" s="200">
        <v>0.21296296296296297</v>
      </c>
      <c r="E54" s="81">
        <f t="shared" si="4"/>
        <v>14914.861111111111</v>
      </c>
      <c r="F54" s="49">
        <v>0.16907</v>
      </c>
      <c r="G54" s="50"/>
      <c r="H54" s="50">
        <v>66.59</v>
      </c>
      <c r="I54" s="50">
        <f t="shared" si="5"/>
        <v>58.599200000000003</v>
      </c>
    </row>
    <row r="55" spans="1:9" x14ac:dyDescent="0.3">
      <c r="A55" s="9" t="s">
        <v>16</v>
      </c>
      <c r="B55" s="200">
        <v>0.45370370370370372</v>
      </c>
      <c r="C55" s="81">
        <v>54149.537037037036</v>
      </c>
      <c r="D55" s="200">
        <v>0.45370370370370372</v>
      </c>
      <c r="E55" s="81">
        <f t="shared" si="4"/>
        <v>31775.138888888891</v>
      </c>
      <c r="F55" s="49">
        <v>0.16907</v>
      </c>
      <c r="G55" s="50"/>
      <c r="H55" s="50">
        <v>59.81</v>
      </c>
      <c r="I55" s="50">
        <f t="shared" si="5"/>
        <v>52.632800000000003</v>
      </c>
    </row>
    <row r="56" spans="1:9" x14ac:dyDescent="0.3">
      <c r="A56" s="9" t="s">
        <v>20</v>
      </c>
      <c r="B56" s="200">
        <v>0.23148148148148148</v>
      </c>
      <c r="C56" s="81">
        <v>27627.314814814814</v>
      </c>
      <c r="D56" s="200">
        <v>0.23148148148148148</v>
      </c>
      <c r="E56" s="81">
        <f t="shared" si="4"/>
        <v>16211.805555555555</v>
      </c>
      <c r="F56" s="49">
        <v>0.16907</v>
      </c>
      <c r="G56" s="50"/>
      <c r="H56" s="50">
        <v>53.59</v>
      </c>
      <c r="I56" s="50">
        <f t="shared" si="5"/>
        <v>47.159200000000006</v>
      </c>
    </row>
    <row r="57" spans="1:9" x14ac:dyDescent="0.3">
      <c r="A57" s="9" t="s">
        <v>79</v>
      </c>
      <c r="B57" s="200">
        <v>0</v>
      </c>
      <c r="C57" s="81">
        <v>0</v>
      </c>
      <c r="D57" s="200">
        <v>0</v>
      </c>
      <c r="E57" s="81">
        <f t="shared" si="4"/>
        <v>0</v>
      </c>
      <c r="F57" s="49">
        <v>0.16907</v>
      </c>
      <c r="G57" s="50"/>
      <c r="H57" s="50">
        <v>37.229999999999997</v>
      </c>
      <c r="I57" s="50">
        <f t="shared" si="5"/>
        <v>32.7624</v>
      </c>
    </row>
    <row r="58" spans="1:9" x14ac:dyDescent="0.3">
      <c r="A58" s="5" t="s">
        <v>29</v>
      </c>
      <c r="B58" s="199"/>
      <c r="C58" s="81">
        <v>40000</v>
      </c>
      <c r="D58" s="199">
        <v>0.05</v>
      </c>
      <c r="E58" s="89">
        <f>D4*D58</f>
        <v>33350</v>
      </c>
      <c r="F58" s="5"/>
      <c r="G58" s="5"/>
      <c r="H58" s="7"/>
      <c r="I58" s="7"/>
    </row>
    <row r="59" spans="1:9" x14ac:dyDescent="0.3">
      <c r="A59" s="1" t="s">
        <v>30</v>
      </c>
      <c r="B59" s="200">
        <v>0.3</v>
      </c>
      <c r="C59" s="81">
        <v>10000</v>
      </c>
      <c r="D59" s="200">
        <v>0.3</v>
      </c>
      <c r="E59" s="81">
        <f>E58*0.3</f>
        <v>10005</v>
      </c>
      <c r="F59" s="49">
        <v>0.16907</v>
      </c>
      <c r="G59" s="50"/>
      <c r="H59" s="50"/>
      <c r="I59" s="50">
        <f>H59*$B$102</f>
        <v>0</v>
      </c>
    </row>
    <row r="60" spans="1:9" x14ac:dyDescent="0.3">
      <c r="A60" s="75" t="s">
        <v>8</v>
      </c>
      <c r="B60" s="200">
        <v>0</v>
      </c>
      <c r="C60" s="81">
        <v>0</v>
      </c>
      <c r="D60" s="200">
        <v>0</v>
      </c>
      <c r="E60" s="200">
        <v>0</v>
      </c>
      <c r="F60" s="49">
        <v>0.16907</v>
      </c>
      <c r="G60" s="50"/>
      <c r="H60" s="50"/>
      <c r="I60" s="50"/>
    </row>
    <row r="61" spans="1:9" x14ac:dyDescent="0.3">
      <c r="A61" s="9" t="s">
        <v>9</v>
      </c>
      <c r="B61" s="200">
        <v>0</v>
      </c>
      <c r="C61" s="81">
        <v>0</v>
      </c>
      <c r="D61" s="200">
        <v>0</v>
      </c>
      <c r="E61" s="200">
        <v>0</v>
      </c>
      <c r="F61" s="49">
        <v>0.16907</v>
      </c>
      <c r="G61" s="50"/>
      <c r="H61" s="50">
        <v>71.599999999999994</v>
      </c>
      <c r="I61" s="50">
        <f t="shared" ref="I61:I66" si="6">H61*$B$102</f>
        <v>63.007999999999996</v>
      </c>
    </row>
    <row r="62" spans="1:9" x14ac:dyDescent="0.3">
      <c r="A62" s="75" t="s">
        <v>19</v>
      </c>
      <c r="B62" s="200">
        <v>0</v>
      </c>
      <c r="C62" s="81">
        <v>0</v>
      </c>
      <c r="D62" s="200">
        <v>0</v>
      </c>
      <c r="E62" s="200">
        <v>0</v>
      </c>
      <c r="F62" s="49">
        <v>0.16907</v>
      </c>
      <c r="G62" s="50"/>
      <c r="H62" s="50">
        <v>75.34</v>
      </c>
      <c r="I62" s="50">
        <f t="shared" si="6"/>
        <v>66.299199999999999</v>
      </c>
    </row>
    <row r="63" spans="1:9" x14ac:dyDescent="0.3">
      <c r="A63" s="75" t="s">
        <v>15</v>
      </c>
      <c r="B63" s="200">
        <v>0</v>
      </c>
      <c r="C63" s="81">
        <v>0</v>
      </c>
      <c r="D63" s="200">
        <v>0</v>
      </c>
      <c r="E63" s="200">
        <v>0</v>
      </c>
      <c r="F63" s="49">
        <v>0.16907</v>
      </c>
      <c r="G63" s="50"/>
      <c r="H63" s="50">
        <v>77.27</v>
      </c>
      <c r="I63" s="50">
        <f t="shared" si="6"/>
        <v>67.997599999999991</v>
      </c>
    </row>
    <row r="64" spans="1:9" x14ac:dyDescent="0.3">
      <c r="A64" s="75" t="s">
        <v>16</v>
      </c>
      <c r="B64" s="200">
        <v>0</v>
      </c>
      <c r="C64" s="81">
        <v>0</v>
      </c>
      <c r="D64" s="200">
        <v>0</v>
      </c>
      <c r="E64" s="200">
        <v>0</v>
      </c>
      <c r="F64" s="49">
        <v>0.16907</v>
      </c>
      <c r="G64" s="50"/>
      <c r="H64" s="50">
        <v>72.47</v>
      </c>
      <c r="I64" s="50">
        <f t="shared" si="6"/>
        <v>63.773600000000002</v>
      </c>
    </row>
    <row r="65" spans="1:9" x14ac:dyDescent="0.3">
      <c r="A65" s="75" t="s">
        <v>20</v>
      </c>
      <c r="B65" s="200">
        <v>1</v>
      </c>
      <c r="C65" s="81">
        <v>10000</v>
      </c>
      <c r="D65" s="200">
        <v>1</v>
      </c>
      <c r="E65" s="81">
        <v>10005</v>
      </c>
      <c r="F65" s="49">
        <v>0.16907</v>
      </c>
      <c r="G65" s="50"/>
      <c r="H65" s="50">
        <v>64.760000000000005</v>
      </c>
      <c r="I65" s="50">
        <f t="shared" si="6"/>
        <v>56.988800000000005</v>
      </c>
    </row>
    <row r="66" spans="1:9" x14ac:dyDescent="0.3">
      <c r="A66" s="75" t="s">
        <v>23</v>
      </c>
      <c r="B66" s="200">
        <v>0</v>
      </c>
      <c r="C66" s="81">
        <v>0</v>
      </c>
      <c r="D66" s="200">
        <v>0</v>
      </c>
      <c r="E66" s="81">
        <v>0</v>
      </c>
      <c r="F66" s="49">
        <v>0.16907</v>
      </c>
      <c r="G66" s="50"/>
      <c r="H66" s="50">
        <v>56.85</v>
      </c>
      <c r="I66" s="50">
        <f t="shared" si="6"/>
        <v>50.027999999999999</v>
      </c>
    </row>
    <row r="67" spans="1:9" x14ac:dyDescent="0.3">
      <c r="A67" s="1" t="s">
        <v>32</v>
      </c>
      <c r="B67" s="200">
        <v>0.7</v>
      </c>
      <c r="C67" s="81">
        <v>30000</v>
      </c>
      <c r="D67" s="200">
        <v>0.7</v>
      </c>
      <c r="E67" s="81">
        <f>E58*0.7</f>
        <v>23345</v>
      </c>
      <c r="F67" s="49">
        <v>0.16907</v>
      </c>
      <c r="G67" s="50"/>
      <c r="H67" s="50"/>
      <c r="I67" s="50"/>
    </row>
    <row r="68" spans="1:9" x14ac:dyDescent="0.3">
      <c r="A68" s="75" t="s">
        <v>8</v>
      </c>
      <c r="B68" s="200">
        <v>0</v>
      </c>
      <c r="C68" s="81">
        <v>0</v>
      </c>
      <c r="D68" s="200">
        <v>0</v>
      </c>
      <c r="E68" s="200">
        <v>0</v>
      </c>
      <c r="F68" s="49">
        <v>0.16907</v>
      </c>
      <c r="G68" s="50"/>
      <c r="H68" s="50"/>
      <c r="I68" s="50"/>
    </row>
    <row r="69" spans="1:9" x14ac:dyDescent="0.3">
      <c r="A69" s="9" t="s">
        <v>9</v>
      </c>
      <c r="B69" s="200">
        <v>0</v>
      </c>
      <c r="C69" s="81">
        <v>0</v>
      </c>
      <c r="D69" s="200">
        <v>0</v>
      </c>
      <c r="E69" s="200">
        <v>0</v>
      </c>
      <c r="F69" s="49">
        <v>0.16907</v>
      </c>
      <c r="G69" s="50"/>
      <c r="H69" s="50">
        <v>78.27</v>
      </c>
      <c r="I69" s="50">
        <f t="shared" ref="I69:I74" si="7">H69*$B$102</f>
        <v>68.877600000000001</v>
      </c>
    </row>
    <row r="70" spans="1:9" x14ac:dyDescent="0.3">
      <c r="A70" s="75" t="s">
        <v>19</v>
      </c>
      <c r="B70" s="200">
        <v>0</v>
      </c>
      <c r="C70" s="81">
        <v>0</v>
      </c>
      <c r="D70" s="200">
        <v>0</v>
      </c>
      <c r="E70" s="200">
        <v>0</v>
      </c>
      <c r="F70" s="49">
        <v>0.16907</v>
      </c>
      <c r="G70" s="50"/>
      <c r="H70" s="50">
        <v>82.16</v>
      </c>
      <c r="I70" s="50">
        <f t="shared" si="7"/>
        <v>72.300799999999995</v>
      </c>
    </row>
    <row r="71" spans="1:9" x14ac:dyDescent="0.3">
      <c r="A71" s="75" t="s">
        <v>15</v>
      </c>
      <c r="B71" s="200">
        <v>0</v>
      </c>
      <c r="C71" s="81">
        <v>0</v>
      </c>
      <c r="D71" s="200">
        <v>0</v>
      </c>
      <c r="E71" s="200">
        <v>0</v>
      </c>
      <c r="F71" s="49">
        <v>0.16907</v>
      </c>
      <c r="G71" s="50"/>
      <c r="H71" s="50">
        <v>83.42</v>
      </c>
      <c r="I71" s="50">
        <f t="shared" si="7"/>
        <v>73.409599999999998</v>
      </c>
    </row>
    <row r="72" spans="1:9" x14ac:dyDescent="0.3">
      <c r="A72" s="75" t="s">
        <v>16</v>
      </c>
      <c r="B72" s="200">
        <v>0</v>
      </c>
      <c r="C72" s="81">
        <v>0</v>
      </c>
      <c r="D72" s="200">
        <v>0</v>
      </c>
      <c r="E72" s="200">
        <v>0</v>
      </c>
      <c r="F72" s="49">
        <v>0.16907</v>
      </c>
      <c r="G72" s="50"/>
      <c r="H72" s="50">
        <v>79.19</v>
      </c>
      <c r="I72" s="50">
        <f t="shared" si="7"/>
        <v>69.687200000000004</v>
      </c>
    </row>
    <row r="73" spans="1:9" x14ac:dyDescent="0.3">
      <c r="A73" s="75" t="s">
        <v>20</v>
      </c>
      <c r="B73" s="200">
        <v>1</v>
      </c>
      <c r="C73" s="81">
        <v>30000</v>
      </c>
      <c r="D73" s="200">
        <v>1</v>
      </c>
      <c r="E73" s="81">
        <v>23345</v>
      </c>
      <c r="F73" s="49">
        <v>0.16907</v>
      </c>
      <c r="G73" s="50"/>
      <c r="H73" s="50">
        <v>70.12</v>
      </c>
      <c r="I73" s="50">
        <f t="shared" si="7"/>
        <v>61.705600000000004</v>
      </c>
    </row>
    <row r="74" spans="1:9" x14ac:dyDescent="0.3">
      <c r="A74" s="75" t="s">
        <v>23</v>
      </c>
      <c r="B74" s="200">
        <v>0</v>
      </c>
      <c r="C74" s="81">
        <v>0</v>
      </c>
      <c r="D74" s="200">
        <v>0</v>
      </c>
      <c r="E74" s="81">
        <v>0</v>
      </c>
      <c r="F74" s="49">
        <v>0.16907</v>
      </c>
      <c r="G74" s="50"/>
      <c r="H74" s="50">
        <v>59.44</v>
      </c>
      <c r="I74" s="50">
        <f t="shared" si="7"/>
        <v>52.307200000000002</v>
      </c>
    </row>
    <row r="75" spans="1:9" x14ac:dyDescent="0.3">
      <c r="A75" s="13" t="s">
        <v>33</v>
      </c>
      <c r="B75" s="199">
        <v>0.1</v>
      </c>
      <c r="C75" s="81">
        <f>C76+C82</f>
        <v>141000</v>
      </c>
      <c r="D75" s="199">
        <v>0.1</v>
      </c>
      <c r="E75" s="89">
        <f>D4*D75</f>
        <v>66700</v>
      </c>
      <c r="F75" s="5"/>
      <c r="G75" s="5"/>
      <c r="H75" s="5"/>
      <c r="I75" s="5"/>
    </row>
    <row r="76" spans="1:9" x14ac:dyDescent="0.3">
      <c r="A76" s="1" t="s">
        <v>34</v>
      </c>
      <c r="B76" s="200"/>
      <c r="C76" s="81">
        <v>42500</v>
      </c>
      <c r="D76" s="200"/>
      <c r="E76" s="81">
        <f>E75*0.3</f>
        <v>20010</v>
      </c>
      <c r="F76" s="46"/>
      <c r="G76" s="14"/>
      <c r="H76" s="14"/>
      <c r="I76" s="14"/>
    </row>
    <row r="77" spans="1:9" x14ac:dyDescent="0.3">
      <c r="A77" s="9" t="s">
        <v>14</v>
      </c>
      <c r="B77" s="200">
        <v>8.2589858081657974E-2</v>
      </c>
      <c r="C77" s="81">
        <f>$C$76*B77</f>
        <v>3510.0689684704639</v>
      </c>
      <c r="D77" s="200">
        <v>8.2589858081657974E-2</v>
      </c>
      <c r="E77" s="81">
        <f>$E$76*D77</f>
        <v>1652.623060213976</v>
      </c>
      <c r="F77" s="49">
        <v>0.15196999999999999</v>
      </c>
      <c r="G77" s="50"/>
      <c r="H77" s="50">
        <v>57.94</v>
      </c>
      <c r="I77" s="50">
        <f>H77*$B$102</f>
        <v>50.987200000000001</v>
      </c>
    </row>
    <row r="78" spans="1:9" x14ac:dyDescent="0.3">
      <c r="A78" s="9" t="s">
        <v>15</v>
      </c>
      <c r="B78" s="200">
        <v>6.3796727298494463E-2</v>
      </c>
      <c r="C78" s="81">
        <f>$C$76*B78</f>
        <v>2711.3609101860147</v>
      </c>
      <c r="D78" s="200">
        <v>6.3796727298494463E-2</v>
      </c>
      <c r="E78" s="81">
        <f>$E$76*D78</f>
        <v>1276.5725132428743</v>
      </c>
      <c r="F78" s="49">
        <v>0.14819000000000002</v>
      </c>
      <c r="G78" s="50"/>
      <c r="H78" s="50">
        <v>58.85</v>
      </c>
      <c r="I78" s="50">
        <f>H78*$B$102</f>
        <v>51.788000000000004</v>
      </c>
    </row>
    <row r="79" spans="1:9" x14ac:dyDescent="0.3">
      <c r="A79" s="9" t="s">
        <v>16</v>
      </c>
      <c r="B79" s="200">
        <v>0.14809231752718796</v>
      </c>
      <c r="C79" s="81">
        <f>$C$76*B79</f>
        <v>6293.923494905488</v>
      </c>
      <c r="D79" s="200">
        <v>0.14809231752718796</v>
      </c>
      <c r="E79" s="81">
        <f>$E$76*D79</f>
        <v>2963.3272737190309</v>
      </c>
      <c r="F79" s="49">
        <v>0.15303</v>
      </c>
      <c r="G79" s="50"/>
      <c r="H79" s="50">
        <v>52.35</v>
      </c>
      <c r="I79" s="50">
        <f>H79*$B$102</f>
        <v>46.068000000000005</v>
      </c>
    </row>
    <row r="80" spans="1:9" x14ac:dyDescent="0.3">
      <c r="A80" s="9" t="s">
        <v>17</v>
      </c>
      <c r="B80" s="200">
        <v>0.7055190579627767</v>
      </c>
      <c r="C80" s="81">
        <f>$C$76*B80</f>
        <v>29984.559963418011</v>
      </c>
      <c r="D80" s="200">
        <v>0.7055190579627767</v>
      </c>
      <c r="E80" s="81">
        <f>$E$76*D80</f>
        <v>14117.436349835161</v>
      </c>
      <c r="F80" s="49">
        <v>0.14410999999999999</v>
      </c>
      <c r="G80" s="50"/>
      <c r="H80" s="50">
        <v>50.42</v>
      </c>
      <c r="I80" s="50">
        <f>H80*$B$102</f>
        <v>44.369599999999998</v>
      </c>
    </row>
    <row r="81" spans="1:25" x14ac:dyDescent="0.3">
      <c r="A81" s="9" t="s">
        <v>79</v>
      </c>
      <c r="B81" s="200">
        <v>0</v>
      </c>
      <c r="C81" s="81"/>
      <c r="D81" s="200"/>
      <c r="E81" s="81">
        <f>$E$76*D81</f>
        <v>0</v>
      </c>
      <c r="F81" s="49">
        <v>0.14410999999999999</v>
      </c>
      <c r="G81" s="50"/>
      <c r="H81" s="50">
        <v>40.9</v>
      </c>
      <c r="I81" s="50">
        <f>H81*$B$102</f>
        <v>35.991999999999997</v>
      </c>
    </row>
    <row r="82" spans="1:25" x14ac:dyDescent="0.3">
      <c r="A82" s="1" t="s">
        <v>36</v>
      </c>
      <c r="B82" s="200"/>
      <c r="C82" s="81">
        <v>98500</v>
      </c>
      <c r="D82" s="200"/>
      <c r="E82" s="81">
        <f>E75*0.7</f>
        <v>46690</v>
      </c>
      <c r="F82" s="46"/>
      <c r="G82" s="14"/>
      <c r="H82" s="14"/>
      <c r="I82" s="14"/>
    </row>
    <row r="83" spans="1:25" x14ac:dyDescent="0.3">
      <c r="A83" s="9" t="s">
        <v>19</v>
      </c>
      <c r="B83" s="200">
        <v>3.7818107834294019E-2</v>
      </c>
      <c r="C83" s="81">
        <f>$C$82*B83</f>
        <v>3725.0836216779608</v>
      </c>
      <c r="D83" s="200">
        <v>3.7818107834294019E-2</v>
      </c>
      <c r="E83" s="81">
        <f>$E$82*D83</f>
        <v>1765.7274547831878</v>
      </c>
      <c r="F83" s="49">
        <v>0.14305999999999999</v>
      </c>
      <c r="G83" s="50"/>
      <c r="H83" s="50">
        <v>62.23</v>
      </c>
      <c r="I83" s="50">
        <f>H83*$B$102</f>
        <v>54.7624</v>
      </c>
      <c r="L83" s="202"/>
    </row>
    <row r="84" spans="1:25" x14ac:dyDescent="0.3">
      <c r="A84" s="9" t="s">
        <v>15</v>
      </c>
      <c r="B84" s="200">
        <v>2.9448996157951057E-2</v>
      </c>
      <c r="C84" s="81">
        <f>$C$82*B84</f>
        <v>2900.7261215581789</v>
      </c>
      <c r="D84" s="200">
        <v>2.9448996157951057E-2</v>
      </c>
      <c r="E84" s="81">
        <f>$E$82*D84</f>
        <v>1374.9736306147349</v>
      </c>
      <c r="F84" s="49">
        <v>0.14176</v>
      </c>
      <c r="G84" s="50"/>
      <c r="H84" s="50">
        <v>59.02</v>
      </c>
      <c r="I84" s="50">
        <f>H84*$B$102</f>
        <v>51.937600000000003</v>
      </c>
    </row>
    <row r="85" spans="1:25" x14ac:dyDescent="0.3">
      <c r="A85" s="9" t="s">
        <v>16</v>
      </c>
      <c r="B85" s="200">
        <v>0.1091491177452943</v>
      </c>
      <c r="C85" s="81">
        <f>$C$82*B85</f>
        <v>10751.188097911489</v>
      </c>
      <c r="D85" s="200">
        <v>0.1091491177452943</v>
      </c>
      <c r="E85" s="81">
        <f>$E$82*D85</f>
        <v>5096.1723075277914</v>
      </c>
      <c r="F85" s="49">
        <v>0.14119000000000001</v>
      </c>
      <c r="G85" s="50"/>
      <c r="H85" s="50">
        <v>53.11</v>
      </c>
      <c r="I85" s="50">
        <f>H85*$B$102</f>
        <v>46.736800000000002</v>
      </c>
    </row>
    <row r="86" spans="1:25" x14ac:dyDescent="0.3">
      <c r="A86" s="9" t="s">
        <v>20</v>
      </c>
      <c r="B86" s="200">
        <v>0.82358343106844789</v>
      </c>
      <c r="C86" s="81">
        <f>$C$82*B86</f>
        <v>81122.967960242124</v>
      </c>
      <c r="D86" s="200">
        <v>0.82358343106844789</v>
      </c>
      <c r="E86" s="81">
        <f>$E$82*D86</f>
        <v>38453.110396585835</v>
      </c>
      <c r="F86" s="49">
        <v>0.1497</v>
      </c>
      <c r="G86" s="50"/>
      <c r="H86" s="50">
        <v>47.63</v>
      </c>
      <c r="I86" s="50">
        <f>H86*$B$102</f>
        <v>41.914400000000001</v>
      </c>
    </row>
    <row r="87" spans="1:25" x14ac:dyDescent="0.3">
      <c r="A87" s="9" t="s">
        <v>79</v>
      </c>
      <c r="B87" s="200">
        <v>0</v>
      </c>
      <c r="C87" s="81"/>
      <c r="D87" s="200">
        <v>0</v>
      </c>
      <c r="E87" s="81">
        <f>$E$82*D87</f>
        <v>0</v>
      </c>
      <c r="F87" s="49">
        <v>0.1497</v>
      </c>
      <c r="G87" s="50"/>
      <c r="H87" s="50">
        <v>33.31</v>
      </c>
      <c r="I87" s="50">
        <f>H87*$B$102</f>
        <v>29.312800000000003</v>
      </c>
    </row>
    <row r="89" spans="1:25" x14ac:dyDescent="0.3">
      <c r="A89" s="29" t="s">
        <v>80</v>
      </c>
      <c r="B89" s="195"/>
      <c r="C89" s="196" t="s">
        <v>38</v>
      </c>
      <c r="D89" s="197"/>
      <c r="E89" s="196" t="s">
        <v>38</v>
      </c>
      <c r="F89" s="29"/>
      <c r="G89" s="308" t="s">
        <v>39</v>
      </c>
      <c r="H89" s="309"/>
      <c r="I89" s="310"/>
    </row>
    <row r="90" spans="1:25" x14ac:dyDescent="0.3">
      <c r="A90" s="5" t="s">
        <v>40</v>
      </c>
      <c r="B90" s="5"/>
      <c r="C90" s="80">
        <v>0</v>
      </c>
      <c r="D90" s="5"/>
      <c r="E90" s="80">
        <v>3500000</v>
      </c>
      <c r="F90" s="5"/>
      <c r="G90" s="51"/>
      <c r="H90" s="51">
        <f>H94-H93</f>
        <v>52.63</v>
      </c>
      <c r="I90" s="51">
        <f>I94-I93</f>
        <v>52.63</v>
      </c>
      <c r="J90" s="51">
        <f t="shared" ref="J90:Y90" si="8">J94-J93</f>
        <v>52.63</v>
      </c>
      <c r="K90" s="51">
        <f t="shared" si="8"/>
        <v>52.63</v>
      </c>
      <c r="L90" s="51">
        <f t="shared" si="8"/>
        <v>52.63</v>
      </c>
      <c r="M90" s="51">
        <f t="shared" si="8"/>
        <v>52.63</v>
      </c>
      <c r="N90" s="51">
        <f t="shared" si="8"/>
        <v>52.63</v>
      </c>
      <c r="O90" s="51">
        <f t="shared" si="8"/>
        <v>52.63</v>
      </c>
      <c r="P90" s="51">
        <f t="shared" si="8"/>
        <v>52.63</v>
      </c>
      <c r="Q90" s="51">
        <f t="shared" si="8"/>
        <v>52.63</v>
      </c>
      <c r="R90" s="51">
        <f t="shared" si="8"/>
        <v>52.63</v>
      </c>
      <c r="S90" s="51">
        <f t="shared" si="8"/>
        <v>52.63</v>
      </c>
      <c r="T90" s="51">
        <f t="shared" si="8"/>
        <v>52.63</v>
      </c>
      <c r="U90" s="51">
        <f t="shared" si="8"/>
        <v>52.63</v>
      </c>
      <c r="V90" s="51">
        <f t="shared" si="8"/>
        <v>52.63</v>
      </c>
      <c r="W90" s="51">
        <f t="shared" si="8"/>
        <v>52.63</v>
      </c>
      <c r="X90" s="51">
        <f t="shared" si="8"/>
        <v>52.63</v>
      </c>
      <c r="Y90" s="51">
        <f t="shared" si="8"/>
        <v>52.63</v>
      </c>
    </row>
    <row r="91" spans="1:25" x14ac:dyDescent="0.3">
      <c r="A91" s="5" t="s">
        <v>41</v>
      </c>
      <c r="B91" s="5"/>
      <c r="C91" s="80">
        <v>943430</v>
      </c>
      <c r="D91" s="5"/>
      <c r="E91" s="80">
        <v>1056570</v>
      </c>
      <c r="F91" s="5"/>
      <c r="G91" s="51"/>
      <c r="H91" s="51">
        <f>H95-H93</f>
        <v>71.62</v>
      </c>
      <c r="I91" s="51">
        <f>I95-I93</f>
        <v>71.62</v>
      </c>
      <c r="J91" s="51">
        <f t="shared" ref="J91:Y91" si="9">J95-J93</f>
        <v>71.62</v>
      </c>
      <c r="K91" s="51">
        <f t="shared" si="9"/>
        <v>71.62</v>
      </c>
      <c r="L91" s="51">
        <f t="shared" si="9"/>
        <v>71.62</v>
      </c>
      <c r="M91" s="51">
        <f t="shared" si="9"/>
        <v>71.62</v>
      </c>
      <c r="N91" s="51">
        <f t="shared" si="9"/>
        <v>71.62</v>
      </c>
      <c r="O91" s="51">
        <f t="shared" si="9"/>
        <v>71.62</v>
      </c>
      <c r="P91" s="51">
        <f t="shared" si="9"/>
        <v>71.62</v>
      </c>
      <c r="Q91" s="51">
        <f t="shared" si="9"/>
        <v>71.62</v>
      </c>
      <c r="R91" s="51">
        <f t="shared" si="9"/>
        <v>71.62</v>
      </c>
      <c r="S91" s="51">
        <f t="shared" si="9"/>
        <v>71.62</v>
      </c>
      <c r="T91" s="51">
        <f t="shared" si="9"/>
        <v>71.62</v>
      </c>
      <c r="U91" s="51">
        <f t="shared" si="9"/>
        <v>71.62</v>
      </c>
      <c r="V91" s="51">
        <f t="shared" si="9"/>
        <v>71.62</v>
      </c>
      <c r="W91" s="51">
        <f t="shared" si="9"/>
        <v>71.62</v>
      </c>
      <c r="X91" s="51">
        <f t="shared" si="9"/>
        <v>71.62</v>
      </c>
      <c r="Y91" s="51">
        <f t="shared" si="9"/>
        <v>71.62</v>
      </c>
    </row>
    <row r="92" spans="1:25" x14ac:dyDescent="0.3">
      <c r="A92" s="5" t="s">
        <v>42</v>
      </c>
      <c r="B92" s="5"/>
      <c r="C92" s="80">
        <v>49377</v>
      </c>
      <c r="D92" s="5"/>
      <c r="E92" s="80">
        <v>80623</v>
      </c>
      <c r="F92" s="5"/>
      <c r="G92" s="51"/>
      <c r="H92" s="51">
        <f>H96-H93</f>
        <v>91.19</v>
      </c>
      <c r="I92" s="51">
        <f>I96-I93</f>
        <v>91.19</v>
      </c>
      <c r="J92" s="51">
        <f t="shared" ref="J92:Y92" si="10">J96-J93</f>
        <v>91.19</v>
      </c>
      <c r="K92" s="51">
        <f t="shared" si="10"/>
        <v>91.19</v>
      </c>
      <c r="L92" s="51">
        <f t="shared" si="10"/>
        <v>91.19</v>
      </c>
      <c r="M92" s="51">
        <f t="shared" si="10"/>
        <v>91.19</v>
      </c>
      <c r="N92" s="51">
        <f t="shared" si="10"/>
        <v>91.19</v>
      </c>
      <c r="O92" s="51">
        <f t="shared" si="10"/>
        <v>91.19</v>
      </c>
      <c r="P92" s="51">
        <f t="shared" si="10"/>
        <v>91.19</v>
      </c>
      <c r="Q92" s="51">
        <f t="shared" si="10"/>
        <v>91.19</v>
      </c>
      <c r="R92" s="51">
        <f t="shared" si="10"/>
        <v>91.19</v>
      </c>
      <c r="S92" s="51">
        <f t="shared" si="10"/>
        <v>91.19</v>
      </c>
      <c r="T92" s="51">
        <f t="shared" si="10"/>
        <v>91.19</v>
      </c>
      <c r="U92" s="51">
        <f t="shared" si="10"/>
        <v>91.19</v>
      </c>
      <c r="V92" s="51">
        <f t="shared" si="10"/>
        <v>91.19</v>
      </c>
      <c r="W92" s="51">
        <f t="shared" si="10"/>
        <v>91.19</v>
      </c>
      <c r="X92" s="51">
        <f t="shared" si="10"/>
        <v>91.19</v>
      </c>
      <c r="Y92" s="51">
        <f t="shared" si="10"/>
        <v>91.19</v>
      </c>
    </row>
    <row r="93" spans="1:25" x14ac:dyDescent="0.3">
      <c r="A93" s="5" t="s">
        <v>274</v>
      </c>
      <c r="B93" s="9"/>
      <c r="C93" s="9"/>
      <c r="D93" s="9"/>
      <c r="E93" s="9"/>
      <c r="F93" s="9"/>
      <c r="G93" s="9"/>
      <c r="H93" s="253">
        <f>'Reopening Assumptions'!E87</f>
        <v>0</v>
      </c>
      <c r="I93" s="253">
        <f>H93*$A$108</f>
        <v>0</v>
      </c>
      <c r="J93" s="253">
        <f>I93*$A$108</f>
        <v>0</v>
      </c>
      <c r="K93" s="253">
        <f t="shared" ref="K93:Y93" si="11">J93*$A$108</f>
        <v>0</v>
      </c>
      <c r="L93" s="253">
        <f t="shared" si="11"/>
        <v>0</v>
      </c>
      <c r="M93" s="253">
        <f t="shared" si="11"/>
        <v>0</v>
      </c>
      <c r="N93" s="253">
        <f t="shared" si="11"/>
        <v>0</v>
      </c>
      <c r="O93" s="253">
        <f t="shared" si="11"/>
        <v>0</v>
      </c>
      <c r="P93" s="253">
        <f t="shared" si="11"/>
        <v>0</v>
      </c>
      <c r="Q93" s="253">
        <f t="shared" si="11"/>
        <v>0</v>
      </c>
      <c r="R93" s="253">
        <f t="shared" si="11"/>
        <v>0</v>
      </c>
      <c r="S93" s="253">
        <f t="shared" si="11"/>
        <v>0</v>
      </c>
      <c r="T93" s="253">
        <f t="shared" si="11"/>
        <v>0</v>
      </c>
      <c r="U93" s="253">
        <f t="shared" si="11"/>
        <v>0</v>
      </c>
      <c r="V93" s="253">
        <f t="shared" si="11"/>
        <v>0</v>
      </c>
      <c r="W93" s="253">
        <f t="shared" si="11"/>
        <v>0</v>
      </c>
      <c r="X93" s="253">
        <f t="shared" si="11"/>
        <v>0</v>
      </c>
      <c r="Y93" s="253">
        <f t="shared" si="11"/>
        <v>0</v>
      </c>
    </row>
    <row r="94" spans="1:25" x14ac:dyDescent="0.3">
      <c r="A94" s="5" t="s">
        <v>280</v>
      </c>
      <c r="H94" s="51">
        <v>52.63</v>
      </c>
      <c r="I94" s="51">
        <v>52.63</v>
      </c>
      <c r="J94" s="51">
        <v>52.63</v>
      </c>
      <c r="K94" s="51">
        <v>52.63</v>
      </c>
      <c r="L94" s="51">
        <v>52.63</v>
      </c>
      <c r="M94" s="51">
        <v>52.63</v>
      </c>
      <c r="N94" s="51">
        <v>52.63</v>
      </c>
      <c r="O94" s="51">
        <v>52.63</v>
      </c>
      <c r="P94" s="51">
        <v>52.63</v>
      </c>
      <c r="Q94" s="51">
        <v>52.63</v>
      </c>
      <c r="R94" s="51">
        <v>52.63</v>
      </c>
      <c r="S94" s="51">
        <v>52.63</v>
      </c>
      <c r="T94" s="51">
        <v>52.63</v>
      </c>
      <c r="U94" s="51">
        <v>52.63</v>
      </c>
      <c r="V94" s="51">
        <v>52.63</v>
      </c>
      <c r="W94" s="51">
        <v>52.63</v>
      </c>
      <c r="X94" s="51">
        <v>52.63</v>
      </c>
      <c r="Y94" s="51">
        <v>52.63</v>
      </c>
    </row>
    <row r="95" spans="1:25" x14ac:dyDescent="0.3">
      <c r="A95" s="5" t="s">
        <v>281</v>
      </c>
      <c r="H95" s="51">
        <v>71.62</v>
      </c>
      <c r="I95" s="51">
        <v>71.62</v>
      </c>
      <c r="J95" s="51">
        <v>71.62</v>
      </c>
      <c r="K95" s="51">
        <v>71.62</v>
      </c>
      <c r="L95" s="51">
        <v>71.62</v>
      </c>
      <c r="M95" s="51">
        <v>71.62</v>
      </c>
      <c r="N95" s="51">
        <v>71.62</v>
      </c>
      <c r="O95" s="51">
        <v>71.62</v>
      </c>
      <c r="P95" s="51">
        <v>71.62</v>
      </c>
      <c r="Q95" s="51">
        <v>71.62</v>
      </c>
      <c r="R95" s="51">
        <v>71.62</v>
      </c>
      <c r="S95" s="51">
        <v>71.62</v>
      </c>
      <c r="T95" s="51">
        <v>71.62</v>
      </c>
      <c r="U95" s="51">
        <v>71.62</v>
      </c>
      <c r="V95" s="51">
        <v>71.62</v>
      </c>
      <c r="W95" s="51">
        <v>71.62</v>
      </c>
      <c r="X95" s="51">
        <v>71.62</v>
      </c>
      <c r="Y95" s="51">
        <v>71.62</v>
      </c>
    </row>
    <row r="96" spans="1:25" x14ac:dyDescent="0.3">
      <c r="A96" s="5" t="s">
        <v>282</v>
      </c>
      <c r="H96" s="51">
        <v>91.19</v>
      </c>
      <c r="I96" s="51">
        <v>91.19</v>
      </c>
      <c r="J96" s="51">
        <v>91.19</v>
      </c>
      <c r="K96" s="51">
        <v>91.19</v>
      </c>
      <c r="L96" s="51">
        <v>91.19</v>
      </c>
      <c r="M96" s="51">
        <v>91.19</v>
      </c>
      <c r="N96" s="51">
        <v>91.19</v>
      </c>
      <c r="O96" s="51">
        <v>91.19</v>
      </c>
      <c r="P96" s="51">
        <v>91.19</v>
      </c>
      <c r="Q96" s="51">
        <v>91.19</v>
      </c>
      <c r="R96" s="51">
        <v>91.19</v>
      </c>
      <c r="S96" s="51">
        <v>91.19</v>
      </c>
      <c r="T96" s="51">
        <v>91.19</v>
      </c>
      <c r="U96" s="51">
        <v>91.19</v>
      </c>
      <c r="V96" s="51">
        <v>91.19</v>
      </c>
      <c r="W96" s="51">
        <v>91.19</v>
      </c>
      <c r="X96" s="51">
        <v>91.19</v>
      </c>
      <c r="Y96" s="51">
        <v>91.19</v>
      </c>
    </row>
    <row r="98" spans="1:5" x14ac:dyDescent="0.3">
      <c r="E98" s="202"/>
    </row>
    <row r="99" spans="1:5" x14ac:dyDescent="0.3">
      <c r="E99" s="202"/>
    </row>
    <row r="101" spans="1:5" ht="31.2" x14ac:dyDescent="0.3">
      <c r="A101" s="74" t="s">
        <v>81</v>
      </c>
      <c r="B101" s="74" t="s">
        <v>82</v>
      </c>
      <c r="D101" s="194" t="s">
        <v>68</v>
      </c>
    </row>
    <row r="102" spans="1:5" x14ac:dyDescent="0.3">
      <c r="A102" s="9">
        <v>2022</v>
      </c>
      <c r="B102" s="9">
        <v>0.88</v>
      </c>
      <c r="D102" s="9">
        <v>0.995</v>
      </c>
    </row>
    <row r="104" spans="1:5" ht="28.8" x14ac:dyDescent="0.3">
      <c r="D104" s="181" t="s">
        <v>69</v>
      </c>
    </row>
    <row r="105" spans="1:5" x14ac:dyDescent="0.3">
      <c r="D105" s="9">
        <v>0.995</v>
      </c>
    </row>
    <row r="107" spans="1:5" ht="31.2" x14ac:dyDescent="0.3">
      <c r="A107" s="74" t="s">
        <v>276</v>
      </c>
    </row>
    <row r="108" spans="1:5" x14ac:dyDescent="0.3">
      <c r="A108" s="9">
        <v>1.02</v>
      </c>
    </row>
  </sheetData>
  <mergeCells count="1">
    <mergeCell ref="G89:I89"/>
  </mergeCells>
  <printOptions horizontalCentered="1" verticalCentered="1"/>
  <pageMargins left="0.25" right="0.25" top="0.75" bottom="0.75" header="0.3" footer="0.3"/>
  <pageSetup scale="75" orientation="landscape" r:id="rId1"/>
  <headerFooter>
    <oddHeader>&amp;A</oddHeader>
  </headerFooter>
  <rowBreaks count="3" manualBreakCount="3">
    <brk id="25" max="16383" man="1"/>
    <brk id="57" max="16383" man="1"/>
    <brk id="92"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3795B-2171-46D7-9FB5-6D6B80DC4EE9}">
  <sheetPr>
    <tabColor theme="2"/>
  </sheetPr>
  <dimension ref="A3:Y129"/>
  <sheetViews>
    <sheetView zoomScaleNormal="100" workbookViewId="0"/>
  </sheetViews>
  <sheetFormatPr defaultRowHeight="14.4" x14ac:dyDescent="0.3"/>
  <cols>
    <col min="1" max="1" width="45.109375" bestFit="1" customWidth="1"/>
    <col min="2" max="2" width="11.21875" bestFit="1" customWidth="1"/>
    <col min="3" max="3" width="9.33203125" bestFit="1" customWidth="1"/>
    <col min="4" max="4" width="17.44140625" bestFit="1" customWidth="1"/>
    <col min="5" max="12" width="16.21875" bestFit="1" customWidth="1"/>
    <col min="13" max="14" width="15.77734375" bestFit="1" customWidth="1"/>
    <col min="15" max="22" width="16.21875" bestFit="1" customWidth="1"/>
    <col min="23" max="24" width="15.77734375" bestFit="1" customWidth="1"/>
    <col min="25" max="25" width="16.21875" bestFit="1" customWidth="1"/>
  </cols>
  <sheetData>
    <row r="3" spans="1:25" x14ac:dyDescent="0.3">
      <c r="A3" s="63" t="s">
        <v>243</v>
      </c>
      <c r="B3" s="19"/>
    </row>
    <row r="4" spans="1:25" ht="15.6" x14ac:dyDescent="0.3">
      <c r="A4" s="9"/>
      <c r="B4" s="9"/>
      <c r="C4" s="9"/>
      <c r="D4" s="9"/>
      <c r="E4" s="2" t="s">
        <v>47</v>
      </c>
      <c r="F4" s="2" t="s">
        <v>48</v>
      </c>
      <c r="G4" s="2" t="s">
        <v>49</v>
      </c>
      <c r="H4" s="2" t="s">
        <v>50</v>
      </c>
      <c r="I4" s="2" t="s">
        <v>51</v>
      </c>
      <c r="J4" s="2" t="s">
        <v>52</v>
      </c>
      <c r="K4" s="2" t="s">
        <v>53</v>
      </c>
      <c r="L4" s="2" t="s">
        <v>54</v>
      </c>
      <c r="M4" s="2" t="s">
        <v>55</v>
      </c>
      <c r="N4" s="2" t="s">
        <v>56</v>
      </c>
      <c r="O4" s="2" t="s">
        <v>57</v>
      </c>
      <c r="P4" s="2" t="s">
        <v>58</v>
      </c>
      <c r="Q4" s="2" t="s">
        <v>59</v>
      </c>
      <c r="R4" s="2" t="s">
        <v>60</v>
      </c>
      <c r="S4" s="2" t="s">
        <v>61</v>
      </c>
      <c r="T4" s="2" t="s">
        <v>62</v>
      </c>
      <c r="U4" s="2" t="s">
        <v>63</v>
      </c>
      <c r="V4" s="2" t="s">
        <v>64</v>
      </c>
      <c r="W4" s="2" t="s">
        <v>65</v>
      </c>
      <c r="X4" s="2" t="s">
        <v>66</v>
      </c>
      <c r="Y4" s="2" t="s">
        <v>67</v>
      </c>
    </row>
    <row r="5" spans="1:25" ht="15.6" x14ac:dyDescent="0.3">
      <c r="A5" s="1"/>
      <c r="B5" s="2" t="s">
        <v>244</v>
      </c>
      <c r="C5" s="2" t="s">
        <v>245</v>
      </c>
      <c r="D5" s="2" t="s">
        <v>225</v>
      </c>
      <c r="E5" s="2">
        <v>2022</v>
      </c>
      <c r="F5" s="2">
        <f t="shared" ref="F5:Y5" si="0">E5+1</f>
        <v>2023</v>
      </c>
      <c r="G5" s="2">
        <f t="shared" si="0"/>
        <v>2024</v>
      </c>
      <c r="H5" s="2">
        <f t="shared" si="0"/>
        <v>2025</v>
      </c>
      <c r="I5" s="2">
        <f t="shared" si="0"/>
        <v>2026</v>
      </c>
      <c r="J5" s="2">
        <f t="shared" si="0"/>
        <v>2027</v>
      </c>
      <c r="K5" s="2">
        <f t="shared" si="0"/>
        <v>2028</v>
      </c>
      <c r="L5" s="2">
        <f t="shared" si="0"/>
        <v>2029</v>
      </c>
      <c r="M5" s="2">
        <f t="shared" si="0"/>
        <v>2030</v>
      </c>
      <c r="N5" s="2">
        <f t="shared" si="0"/>
        <v>2031</v>
      </c>
      <c r="O5" s="2">
        <f t="shared" si="0"/>
        <v>2032</v>
      </c>
      <c r="P5" s="2">
        <f t="shared" si="0"/>
        <v>2033</v>
      </c>
      <c r="Q5" s="2">
        <f t="shared" si="0"/>
        <v>2034</v>
      </c>
      <c r="R5" s="2">
        <f t="shared" si="0"/>
        <v>2035</v>
      </c>
      <c r="S5" s="2">
        <f t="shared" si="0"/>
        <v>2036</v>
      </c>
      <c r="T5" s="2">
        <f t="shared" si="0"/>
        <v>2037</v>
      </c>
      <c r="U5" s="2">
        <f t="shared" si="0"/>
        <v>2038</v>
      </c>
      <c r="V5" s="2">
        <f t="shared" si="0"/>
        <v>2039</v>
      </c>
      <c r="W5" s="2">
        <f t="shared" si="0"/>
        <v>2040</v>
      </c>
      <c r="X5" s="2">
        <f t="shared" si="0"/>
        <v>2041</v>
      </c>
      <c r="Y5" s="2">
        <f t="shared" si="0"/>
        <v>2042</v>
      </c>
    </row>
    <row r="6" spans="1:25" x14ac:dyDescent="0.3">
      <c r="A6" s="71" t="s">
        <v>246</v>
      </c>
      <c r="B6" s="4"/>
      <c r="C6" s="47"/>
      <c r="D6" s="4">
        <f>SUM(D9:D65)</f>
        <v>20700166.536372729</v>
      </c>
      <c r="E6" s="20"/>
      <c r="F6" s="20"/>
      <c r="G6" s="20"/>
      <c r="H6" s="20"/>
      <c r="I6" s="20"/>
      <c r="J6" s="20"/>
      <c r="K6" s="20"/>
      <c r="L6" s="20"/>
      <c r="M6" s="20"/>
      <c r="N6" s="20"/>
      <c r="O6" s="20"/>
      <c r="P6" s="20"/>
      <c r="Q6" s="20"/>
      <c r="R6" s="20"/>
      <c r="S6" s="20"/>
      <c r="T6" s="20"/>
      <c r="U6" s="20"/>
      <c r="V6" s="20"/>
      <c r="W6" s="20"/>
      <c r="X6" s="70"/>
      <c r="Y6" s="47"/>
    </row>
    <row r="7" spans="1:25" x14ac:dyDescent="0.3">
      <c r="A7" s="121" t="s">
        <v>5</v>
      </c>
      <c r="B7" s="120">
        <f>B9+B16+B29+B32+B47+B50</f>
        <v>808350</v>
      </c>
      <c r="C7" s="47"/>
      <c r="D7" s="4">
        <f>SUM(E7:Y7)</f>
        <v>19707359.536372729</v>
      </c>
      <c r="E7" s="20">
        <f t="shared" ref="E7:X7" si="1">E11+E12+E14+E15+E18+E19+E20+E21+E24+E25+E26+E27+E30+E31+E34+E35+E36+E37+E38+E41+E42+E43+E44+E45+E40+E48+E49+E52+E53+E54+E55+E58+E59+E60+E61</f>
        <v>895514.93125859927</v>
      </c>
      <c r="F7" s="20">
        <f t="shared" si="1"/>
        <v>1187247.9966023061</v>
      </c>
      <c r="G7" s="20">
        <f t="shared" si="1"/>
        <v>1181311.7566192951</v>
      </c>
      <c r="H7" s="20">
        <f t="shared" si="1"/>
        <v>1175405.1978361986</v>
      </c>
      <c r="I7" s="20">
        <f t="shared" si="1"/>
        <v>1169528.1718470172</v>
      </c>
      <c r="J7" s="20">
        <f t="shared" si="1"/>
        <v>1163680.5309877824</v>
      </c>
      <c r="K7" s="20">
        <f t="shared" si="1"/>
        <v>1157862.1283328435</v>
      </c>
      <c r="L7" s="20">
        <f t="shared" si="1"/>
        <v>1152072.8176911795</v>
      </c>
      <c r="M7" s="20">
        <f t="shared" si="1"/>
        <v>1146312.4536027238</v>
      </c>
      <c r="N7" s="20">
        <f t="shared" si="1"/>
        <v>1140580.8913347097</v>
      </c>
      <c r="O7" s="20">
        <f t="shared" si="1"/>
        <v>1134877.9868780361</v>
      </c>
      <c r="P7" s="20">
        <f t="shared" si="1"/>
        <v>1129203.5969436464</v>
      </c>
      <c r="Q7" s="20">
        <f t="shared" si="1"/>
        <v>1123557.5789589279</v>
      </c>
      <c r="R7" s="20">
        <f t="shared" si="1"/>
        <v>1117939.7910641332</v>
      </c>
      <c r="S7" s="20">
        <f t="shared" si="1"/>
        <v>1112350.0921088126</v>
      </c>
      <c r="T7" s="20">
        <f t="shared" si="1"/>
        <v>549999.32185396249</v>
      </c>
      <c r="U7" s="20">
        <f t="shared" si="1"/>
        <v>492298.16566512937</v>
      </c>
      <c r="V7" s="20">
        <f t="shared" si="1"/>
        <v>489836.67483680364</v>
      </c>
      <c r="W7" s="20">
        <f t="shared" si="1"/>
        <v>487387.49146261968</v>
      </c>
      <c r="X7" s="20">
        <f t="shared" si="1"/>
        <v>484950.55400530662</v>
      </c>
      <c r="Y7" s="70">
        <f>Y11+Y12+Y14+Y15+Y18+Y19+Y20+Y21+Y24+Y25+Y26+Y27+Y30+Y31+Y33+Y40+Y48+Y49+Y52+Y53+Y54+Y55+Y58+Y59+Y60+Y61</f>
        <v>215441.40648269499</v>
      </c>
    </row>
    <row r="8" spans="1:25" x14ac:dyDescent="0.3">
      <c r="A8" s="121" t="s">
        <v>5</v>
      </c>
      <c r="B8" s="120">
        <f>B10+B13+B17+B23+B30+B31+B33+B40+B48+B49+B51+B57</f>
        <v>872250</v>
      </c>
      <c r="C8" s="47"/>
      <c r="D8" s="4">
        <f>SUM(D9:D61)</f>
        <v>19707359.536372729</v>
      </c>
      <c r="E8" s="20">
        <f>E9+E16+E29+E32+E47+E50</f>
        <v>895514.93125859951</v>
      </c>
      <c r="F8" s="20"/>
      <c r="G8" s="20"/>
      <c r="H8" s="20"/>
      <c r="I8" s="20"/>
      <c r="J8" s="20"/>
      <c r="K8" s="20"/>
      <c r="L8" s="20"/>
      <c r="M8" s="20"/>
      <c r="N8" s="20"/>
      <c r="O8" s="20"/>
      <c r="P8" s="20"/>
      <c r="Q8" s="20"/>
      <c r="R8" s="20"/>
      <c r="S8" s="20"/>
      <c r="T8" s="70"/>
      <c r="U8" s="70"/>
      <c r="V8" s="70"/>
      <c r="W8" s="70"/>
      <c r="X8" s="70"/>
      <c r="Y8" s="70"/>
    </row>
    <row r="9" spans="1:25" x14ac:dyDescent="0.3">
      <c r="A9" s="5" t="s">
        <v>6</v>
      </c>
      <c r="B9" s="6">
        <f>'DY 22 &amp; DY 23 Assumptions'!C6</f>
        <v>134000</v>
      </c>
      <c r="C9" s="6"/>
      <c r="D9" s="32"/>
      <c r="E9" s="6">
        <f t="shared" ref="E9:X9" si="2">SUM(E10:E15)</f>
        <v>183009.9510192</v>
      </c>
      <c r="F9" s="6">
        <f t="shared" si="2"/>
        <v>182094.901264104</v>
      </c>
      <c r="G9" s="6">
        <f t="shared" si="2"/>
        <v>181184.42675778345</v>
      </c>
      <c r="H9" s="6">
        <f t="shared" si="2"/>
        <v>180278.50462399455</v>
      </c>
      <c r="I9" s="6">
        <f t="shared" si="2"/>
        <v>179377.11210087457</v>
      </c>
      <c r="J9" s="6">
        <f t="shared" si="2"/>
        <v>178480.2265403702</v>
      </c>
      <c r="K9" s="6">
        <f t="shared" si="2"/>
        <v>177587.82540766837</v>
      </c>
      <c r="L9" s="6">
        <f t="shared" si="2"/>
        <v>176699.88628063002</v>
      </c>
      <c r="M9" s="6">
        <f t="shared" si="2"/>
        <v>175816.3868492269</v>
      </c>
      <c r="N9" s="6">
        <f t="shared" si="2"/>
        <v>174937.30491498075</v>
      </c>
      <c r="O9" s="6">
        <f t="shared" si="2"/>
        <v>174062.61839040584</v>
      </c>
      <c r="P9" s="6">
        <f t="shared" si="2"/>
        <v>173192.30529845384</v>
      </c>
      <c r="Q9" s="6">
        <f t="shared" si="2"/>
        <v>172326.34377196158</v>
      </c>
      <c r="R9" s="6">
        <f t="shared" si="2"/>
        <v>171464.71205310174</v>
      </c>
      <c r="S9" s="6">
        <f t="shared" si="2"/>
        <v>170607.38849283624</v>
      </c>
      <c r="T9" s="6">
        <f t="shared" si="2"/>
        <v>0</v>
      </c>
      <c r="U9" s="6">
        <f t="shared" si="2"/>
        <v>0</v>
      </c>
      <c r="V9" s="6">
        <f t="shared" si="2"/>
        <v>0</v>
      </c>
      <c r="W9" s="6">
        <f t="shared" si="2"/>
        <v>0</v>
      </c>
      <c r="X9" s="6">
        <f t="shared" si="2"/>
        <v>0</v>
      </c>
      <c r="Y9" s="6"/>
    </row>
    <row r="10" spans="1:25" x14ac:dyDescent="0.3">
      <c r="A10" s="1" t="s">
        <v>7</v>
      </c>
      <c r="B10" s="46">
        <f>'DY 22 &amp; DY 23 Assumptions'!C7</f>
        <v>45100</v>
      </c>
      <c r="C10" s="46"/>
      <c r="D10" s="31"/>
      <c r="E10" s="20"/>
      <c r="F10" s="20"/>
      <c r="G10" s="20"/>
      <c r="H10" s="20"/>
      <c r="I10" s="20"/>
      <c r="J10" s="20"/>
      <c r="K10" s="20"/>
      <c r="L10" s="20"/>
      <c r="M10" s="20"/>
      <c r="N10" s="20"/>
      <c r="O10" s="20"/>
      <c r="P10" s="20"/>
      <c r="Q10" s="20"/>
      <c r="R10" s="20"/>
      <c r="S10" s="20"/>
      <c r="T10" s="1"/>
      <c r="U10" s="1"/>
      <c r="V10" s="1"/>
      <c r="W10" s="1"/>
      <c r="X10" s="1"/>
      <c r="Y10" s="1"/>
    </row>
    <row r="11" spans="1:25" x14ac:dyDescent="0.3">
      <c r="A11" s="9" t="s">
        <v>8</v>
      </c>
      <c r="B11" s="6">
        <f>'DY 22 &amp; DY 23 Assumptions'!C8</f>
        <v>17138</v>
      </c>
      <c r="C11" s="11">
        <f>'DY 22 &amp; DY 23 Assumptions'!F8</f>
        <v>0.14884</v>
      </c>
      <c r="D11" s="32">
        <f>SUM(E11:Y11)</f>
        <v>323696.92207194178</v>
      </c>
      <c r="E11" s="21">
        <f>(B11*C11*8760)/1000</f>
        <v>22345.182499199997</v>
      </c>
      <c r="F11" s="21">
        <f>E11*'DY 22 &amp; DY 23 Assumptions'!$D$102</f>
        <v>22233.456586703996</v>
      </c>
      <c r="G11" s="21">
        <f>F11*'DY 22 &amp; DY 23 Assumptions'!$D$102</f>
        <v>22122.289303770478</v>
      </c>
      <c r="H11" s="21">
        <f>G11*'DY 22 &amp; DY 23 Assumptions'!$D$102</f>
        <v>22011.677857251627</v>
      </c>
      <c r="I11" s="21">
        <f>H11*'DY 22 &amp; DY 23 Assumptions'!$D$102</f>
        <v>21901.619467965367</v>
      </c>
      <c r="J11" s="21">
        <f>I11*'DY 22 &amp; DY 23 Assumptions'!$D$102</f>
        <v>21792.111370625542</v>
      </c>
      <c r="K11" s="21">
        <f>J11*'DY 22 &amp; DY 23 Assumptions'!$D$102</f>
        <v>21683.150813772416</v>
      </c>
      <c r="L11" s="21">
        <f>K11*'DY 22 &amp; DY 23 Assumptions'!$D$102</f>
        <v>21574.735059703555</v>
      </c>
      <c r="M11" s="21">
        <f>L11*'DY 22 &amp; DY 23 Assumptions'!$D$102</f>
        <v>21466.861384405038</v>
      </c>
      <c r="N11" s="21">
        <f>M11*'DY 22 &amp; DY 23 Assumptions'!$D$102</f>
        <v>21359.527077483013</v>
      </c>
      <c r="O11" s="21">
        <f>N11*'DY 22 &amp; DY 23 Assumptions'!$D$102</f>
        <v>21252.729442095599</v>
      </c>
      <c r="P11" s="21">
        <f>O11*'DY 22 &amp; DY 23 Assumptions'!$D$102</f>
        <v>21146.46579488512</v>
      </c>
      <c r="Q11" s="21">
        <f>P11*'DY 22 &amp; DY 23 Assumptions'!$D$102</f>
        <v>21040.733465910693</v>
      </c>
      <c r="R11" s="21">
        <f>Q11*'DY 22 &amp; DY 23 Assumptions'!$D$102</f>
        <v>20935.529798581138</v>
      </c>
      <c r="S11" s="21">
        <f>R11*'DY 22 &amp; DY 23 Assumptions'!$D$102</f>
        <v>20830.852149588231</v>
      </c>
      <c r="T11" s="12"/>
      <c r="U11" s="12"/>
      <c r="V11" s="12"/>
      <c r="W11" s="12"/>
      <c r="X11" s="12"/>
      <c r="Y11" s="12"/>
    </row>
    <row r="12" spans="1:25" x14ac:dyDescent="0.3">
      <c r="A12" s="9" t="s">
        <v>9</v>
      </c>
      <c r="B12" s="6">
        <f>'DY 22 &amp; DY 23 Assumptions'!C9</f>
        <v>27962</v>
      </c>
      <c r="C12" s="11">
        <f>'DY 22 &amp; DY 23 Assumptions'!F9</f>
        <v>0.15130000000000002</v>
      </c>
      <c r="D12" s="32">
        <f>SUM(E12:Y12)</f>
        <v>536866.0354439345</v>
      </c>
      <c r="E12" s="21">
        <f>(B12*C12*8760)/1000</f>
        <v>37060.499256000003</v>
      </c>
      <c r="F12" s="21">
        <f>E12*'DY 22 &amp; DY 23 Assumptions'!$D$102</f>
        <v>36875.196759720006</v>
      </c>
      <c r="G12" s="21">
        <f>F12*'DY 22 &amp; DY 23 Assumptions'!$D$102</f>
        <v>36690.820775921406</v>
      </c>
      <c r="H12" s="21">
        <f>G12*'DY 22 &amp; DY 23 Assumptions'!$D$102</f>
        <v>36507.366672041797</v>
      </c>
      <c r="I12" s="21">
        <f>H12*'DY 22 &amp; DY 23 Assumptions'!$D$102</f>
        <v>36324.829838681588</v>
      </c>
      <c r="J12" s="21">
        <f>I12*'DY 22 &amp; DY 23 Assumptions'!$D$102</f>
        <v>36143.205689488183</v>
      </c>
      <c r="K12" s="21">
        <f>J12*'DY 22 &amp; DY 23 Assumptions'!$D$102</f>
        <v>35962.489661040745</v>
      </c>
      <c r="L12" s="21">
        <f>K12*'DY 22 &amp; DY 23 Assumptions'!$D$102</f>
        <v>35782.677212735543</v>
      </c>
      <c r="M12" s="21">
        <f>L12*'DY 22 &amp; DY 23 Assumptions'!$D$102</f>
        <v>35603.763826671864</v>
      </c>
      <c r="N12" s="21">
        <f>M12*'DY 22 &amp; DY 23 Assumptions'!$D$102</f>
        <v>35425.745007538506</v>
      </c>
      <c r="O12" s="21">
        <f>N12*'DY 22 &amp; DY 23 Assumptions'!$D$102</f>
        <v>35248.616282500814</v>
      </c>
      <c r="P12" s="21">
        <f>O12*'DY 22 &amp; DY 23 Assumptions'!$D$102</f>
        <v>35072.37320108831</v>
      </c>
      <c r="Q12" s="21">
        <f>P12*'DY 22 &amp; DY 23 Assumptions'!$D$102</f>
        <v>34897.011335082869</v>
      </c>
      <c r="R12" s="21">
        <f>Q12*'DY 22 &amp; DY 23 Assumptions'!$D$102</f>
        <v>34722.526278407451</v>
      </c>
      <c r="S12" s="21">
        <f>R12*'DY 22 &amp; DY 23 Assumptions'!$D$102</f>
        <v>34548.913647015412</v>
      </c>
      <c r="T12" s="12"/>
      <c r="U12" s="12"/>
      <c r="V12" s="12"/>
      <c r="W12" s="12"/>
      <c r="X12" s="12"/>
      <c r="Y12" s="12"/>
    </row>
    <row r="13" spans="1:25" x14ac:dyDescent="0.3">
      <c r="A13" s="1" t="s">
        <v>10</v>
      </c>
      <c r="B13" s="6">
        <f>'DY 22 &amp; DY 23 Assumptions'!C10</f>
        <v>105500</v>
      </c>
      <c r="C13" s="11"/>
      <c r="D13" s="31"/>
      <c r="E13" s="20"/>
      <c r="F13" s="21"/>
      <c r="G13" s="20"/>
      <c r="H13" s="20"/>
      <c r="I13" s="20"/>
      <c r="J13" s="20"/>
      <c r="K13" s="20"/>
      <c r="L13" s="20"/>
      <c r="M13" s="20"/>
      <c r="N13" s="20"/>
      <c r="O13" s="20"/>
      <c r="P13" s="20"/>
      <c r="Q13" s="20"/>
      <c r="R13" s="20"/>
      <c r="S13" s="20"/>
      <c r="T13" s="1"/>
      <c r="U13" s="1"/>
      <c r="V13" s="1"/>
      <c r="W13" s="1"/>
      <c r="X13" s="1"/>
      <c r="Y13" s="1"/>
    </row>
    <row r="14" spans="1:25" x14ac:dyDescent="0.3">
      <c r="A14" s="9" t="s">
        <v>11</v>
      </c>
      <c r="B14" s="6">
        <f>'DY 22 &amp; DY 23 Assumptions'!C11</f>
        <v>40090</v>
      </c>
      <c r="C14" s="11">
        <f>'DY 22 &amp; DY 23 Assumptions'!F11</f>
        <v>0.13464999999999999</v>
      </c>
      <c r="D14" s="32">
        <f>SUM(E14:Y14)</f>
        <v>685016.73902154854</v>
      </c>
      <c r="E14" s="21">
        <f>(B14*C14*8760)/1000</f>
        <v>47287.518059999995</v>
      </c>
      <c r="F14" s="21">
        <f>E14*'DY 22 &amp; DY 23 Assumptions'!$D$102</f>
        <v>47051.080469699991</v>
      </c>
      <c r="G14" s="21">
        <f>F14*'DY 22 &amp; DY 23 Assumptions'!$D$102</f>
        <v>46815.825067351492</v>
      </c>
      <c r="H14" s="21">
        <f>G14*'DY 22 &amp; DY 23 Assumptions'!$D$102</f>
        <v>46581.745942014735</v>
      </c>
      <c r="I14" s="21">
        <f>H14*'DY 22 &amp; DY 23 Assumptions'!$D$102</f>
        <v>46348.837212304665</v>
      </c>
      <c r="J14" s="21">
        <f>I14*'DY 22 &amp; DY 23 Assumptions'!$D$102</f>
        <v>46117.093026243143</v>
      </c>
      <c r="K14" s="21">
        <f>J14*'DY 22 &amp; DY 23 Assumptions'!$D$102</f>
        <v>45886.507561111925</v>
      </c>
      <c r="L14" s="21">
        <f>K14*'DY 22 &amp; DY 23 Assumptions'!$D$102</f>
        <v>45657.075023306366</v>
      </c>
      <c r="M14" s="21">
        <f>L14*'DY 22 &amp; DY 23 Assumptions'!$D$102</f>
        <v>45428.789648189835</v>
      </c>
      <c r="N14" s="21">
        <f>M14*'DY 22 &amp; DY 23 Assumptions'!$D$102</f>
        <v>45201.645699948887</v>
      </c>
      <c r="O14" s="21">
        <f>N14*'DY 22 &amp; DY 23 Assumptions'!$D$102</f>
        <v>44975.637471449139</v>
      </c>
      <c r="P14" s="21">
        <f>O14*'DY 22 &amp; DY 23 Assumptions'!$D$102</f>
        <v>44750.759284091895</v>
      </c>
      <c r="Q14" s="21">
        <f>P14*'DY 22 &amp; DY 23 Assumptions'!$D$102</f>
        <v>44527.005487671435</v>
      </c>
      <c r="R14" s="21">
        <f>Q14*'DY 22 &amp; DY 23 Assumptions'!$D$102</f>
        <v>44304.370460233076</v>
      </c>
      <c r="S14" s="21">
        <f>R14*'DY 22 &amp; DY 23 Assumptions'!$D$102</f>
        <v>44082.848607931912</v>
      </c>
      <c r="T14" s="12"/>
      <c r="U14" s="12"/>
      <c r="V14" s="12"/>
      <c r="W14" s="12"/>
      <c r="X14" s="12"/>
      <c r="Y14" s="12"/>
    </row>
    <row r="15" spans="1:25" x14ac:dyDescent="0.3">
      <c r="A15" s="9" t="s">
        <v>9</v>
      </c>
      <c r="B15" s="6">
        <f>'DY 22 &amp; DY 23 Assumptions'!C12</f>
        <v>65410</v>
      </c>
      <c r="C15" s="11">
        <f>'DY 22 &amp; DY 23 Assumptions'!F12</f>
        <v>0.13319</v>
      </c>
      <c r="D15" s="32">
        <f>SUM(E15:Y15)</f>
        <v>1105540.1972281674</v>
      </c>
      <c r="E15" s="21">
        <f>(B15*C15*8760)/1000</f>
        <v>76316.751204</v>
      </c>
      <c r="F15" s="21">
        <f>E15*'DY 22 &amp; DY 23 Assumptions'!$D$102</f>
        <v>75935.167447979999</v>
      </c>
      <c r="G15" s="21">
        <f>F15*'DY 22 &amp; DY 23 Assumptions'!$D$102</f>
        <v>75555.491610740093</v>
      </c>
      <c r="H15" s="21">
        <f>G15*'DY 22 &amp; DY 23 Assumptions'!$D$102</f>
        <v>75177.714152686385</v>
      </c>
      <c r="I15" s="21">
        <f>H15*'DY 22 &amp; DY 23 Assumptions'!$D$102</f>
        <v>74801.825581922953</v>
      </c>
      <c r="J15" s="21">
        <f>I15*'DY 22 &amp; DY 23 Assumptions'!$D$102</f>
        <v>74427.816454013344</v>
      </c>
      <c r="K15" s="21">
        <f>J15*'DY 22 &amp; DY 23 Assumptions'!$D$102</f>
        <v>74055.677371743281</v>
      </c>
      <c r="L15" s="21">
        <f>K15*'DY 22 &amp; DY 23 Assumptions'!$D$102</f>
        <v>73685.398984884567</v>
      </c>
      <c r="M15" s="21">
        <f>L15*'DY 22 &amp; DY 23 Assumptions'!$D$102</f>
        <v>73316.971989960148</v>
      </c>
      <c r="N15" s="21">
        <f>M15*'DY 22 &amp; DY 23 Assumptions'!$D$102</f>
        <v>72950.387130010349</v>
      </c>
      <c r="O15" s="21">
        <f>N15*'DY 22 &amp; DY 23 Assumptions'!$D$102</f>
        <v>72585.635194360293</v>
      </c>
      <c r="P15" s="21">
        <f>O15*'DY 22 &amp; DY 23 Assumptions'!$D$102</f>
        <v>72222.707018388493</v>
      </c>
      <c r="Q15" s="21">
        <f>P15*'DY 22 &amp; DY 23 Assumptions'!$D$102</f>
        <v>71861.593483296558</v>
      </c>
      <c r="R15" s="21">
        <f>Q15*'DY 22 &amp; DY 23 Assumptions'!$D$102</f>
        <v>71502.285515880081</v>
      </c>
      <c r="S15" s="21">
        <f>R15*'DY 22 &amp; DY 23 Assumptions'!$D$102</f>
        <v>71144.774088300677</v>
      </c>
      <c r="T15" s="12"/>
      <c r="U15" s="12"/>
      <c r="V15" s="12"/>
      <c r="W15" s="12"/>
      <c r="X15" s="12"/>
      <c r="Y15" s="12"/>
    </row>
    <row r="16" spans="1:25" x14ac:dyDescent="0.3">
      <c r="A16" s="5" t="s">
        <v>12</v>
      </c>
      <c r="B16" s="6">
        <f>'DY 22 &amp; DY 23 Assumptions'!C13</f>
        <v>134000</v>
      </c>
      <c r="C16" s="118"/>
      <c r="D16" s="31"/>
      <c r="E16" s="23">
        <f t="shared" ref="E16:Y16" si="3">SUM(E18:E27)</f>
        <v>234824.40306947764</v>
      </c>
      <c r="F16" s="23">
        <f t="shared" si="3"/>
        <v>233650.28105413029</v>
      </c>
      <c r="G16" s="23">
        <f t="shared" si="3"/>
        <v>232482.02964885964</v>
      </c>
      <c r="H16" s="23">
        <f t="shared" si="3"/>
        <v>231319.61950061534</v>
      </c>
      <c r="I16" s="23">
        <f t="shared" si="3"/>
        <v>230163.02140311227</v>
      </c>
      <c r="J16" s="23">
        <f t="shared" si="3"/>
        <v>229012.2062960967</v>
      </c>
      <c r="K16" s="23">
        <f t="shared" si="3"/>
        <v>227867.14526461624</v>
      </c>
      <c r="L16" s="23">
        <f t="shared" si="3"/>
        <v>226727.80953829316</v>
      </c>
      <c r="M16" s="23">
        <f t="shared" si="3"/>
        <v>225594.17049060171</v>
      </c>
      <c r="N16" s="23">
        <f t="shared" si="3"/>
        <v>224466.19963814871</v>
      </c>
      <c r="O16" s="23">
        <f t="shared" si="3"/>
        <v>223343.86863995797</v>
      </c>
      <c r="P16" s="23">
        <f t="shared" si="3"/>
        <v>222227.14929675817</v>
      </c>
      <c r="Q16" s="23">
        <f t="shared" si="3"/>
        <v>221116.01355027442</v>
      </c>
      <c r="R16" s="23">
        <f t="shared" si="3"/>
        <v>220010.43348252302</v>
      </c>
      <c r="S16" s="23">
        <f t="shared" si="3"/>
        <v>218910.3813151104</v>
      </c>
      <c r="T16" s="23">
        <f t="shared" si="3"/>
        <v>0</v>
      </c>
      <c r="U16" s="23">
        <f t="shared" si="3"/>
        <v>0</v>
      </c>
      <c r="V16" s="23">
        <f t="shared" si="3"/>
        <v>0</v>
      </c>
      <c r="W16" s="23">
        <f t="shared" si="3"/>
        <v>0</v>
      </c>
      <c r="X16" s="23">
        <f t="shared" si="3"/>
        <v>0</v>
      </c>
      <c r="Y16" s="23">
        <f t="shared" si="3"/>
        <v>0</v>
      </c>
    </row>
    <row r="17" spans="1:25" x14ac:dyDescent="0.3">
      <c r="A17" s="1" t="s">
        <v>13</v>
      </c>
      <c r="B17" s="46">
        <f>'DY 22 &amp; DY 23 Assumptions'!C14</f>
        <v>40000</v>
      </c>
      <c r="C17" s="52"/>
      <c r="D17" s="31"/>
      <c r="E17" s="20"/>
      <c r="F17" s="20"/>
      <c r="G17" s="20"/>
      <c r="H17" s="20"/>
      <c r="I17" s="20"/>
      <c r="J17" s="20"/>
      <c r="K17" s="20"/>
      <c r="L17" s="20"/>
      <c r="M17" s="20"/>
      <c r="N17" s="20"/>
      <c r="O17" s="20"/>
      <c r="P17" s="20"/>
      <c r="Q17" s="20"/>
      <c r="R17" s="20"/>
      <c r="S17" s="20"/>
      <c r="T17" s="1"/>
      <c r="U17" s="1"/>
      <c r="V17" s="1"/>
      <c r="W17" s="1"/>
      <c r="X17" s="1"/>
      <c r="Y17" s="1"/>
    </row>
    <row r="18" spans="1:25" x14ac:dyDescent="0.3">
      <c r="A18" s="9" t="s">
        <v>14</v>
      </c>
      <c r="B18" s="6">
        <f>'DY 22 &amp; DY 23 Assumptions'!C15</f>
        <v>3303.594323266319</v>
      </c>
      <c r="C18" s="11">
        <f>'DY 22 &amp; DY 23 Assumptions'!F15</f>
        <v>0.15196999999999999</v>
      </c>
      <c r="D18" s="32">
        <f>SUM(E18:Y18)</f>
        <v>63709.375008076553</v>
      </c>
      <c r="E18" s="21">
        <f>(B18*C18*8760)/1000</f>
        <v>4397.9337287274138</v>
      </c>
      <c r="F18" s="21">
        <f>E18*'DY 22 &amp; DY 23 Assumptions'!$D$102</f>
        <v>4375.944060083777</v>
      </c>
      <c r="G18" s="21">
        <f>F18*'DY 22 &amp; DY 23 Assumptions'!$D$102</f>
        <v>4354.0643397833583</v>
      </c>
      <c r="H18" s="21">
        <f>G18*'DY 22 &amp; DY 23 Assumptions'!$D$102</f>
        <v>4332.2940180844416</v>
      </c>
      <c r="I18" s="21">
        <f>H18*'DY 22 &amp; DY 23 Assumptions'!$D$102</f>
        <v>4310.6325479940197</v>
      </c>
      <c r="J18" s="21">
        <f>I18*'DY 22 &amp; DY 23 Assumptions'!$D$102</f>
        <v>4289.0793852540492</v>
      </c>
      <c r="K18" s="21">
        <f>J18*'DY 22 &amp; DY 23 Assumptions'!$D$102</f>
        <v>4267.6339883277788</v>
      </c>
      <c r="L18" s="21">
        <f>K18*'DY 22 &amp; DY 23 Assumptions'!$D$102</f>
        <v>4246.2958183861401</v>
      </c>
      <c r="M18" s="21">
        <f>L18*'DY 22 &amp; DY 23 Assumptions'!$D$102</f>
        <v>4225.0643392942093</v>
      </c>
      <c r="N18" s="21">
        <f>M18*'DY 22 &amp; DY 23 Assumptions'!$D$102</f>
        <v>4203.9390175977378</v>
      </c>
      <c r="O18" s="21">
        <f>N18*'DY 22 &amp; DY 23 Assumptions'!$D$102</f>
        <v>4182.9193225097488</v>
      </c>
      <c r="P18" s="21">
        <f>O18*'DY 22 &amp; DY 23 Assumptions'!$D$102</f>
        <v>4162.0047258971999</v>
      </c>
      <c r="Q18" s="21">
        <f>P18*'DY 22 &amp; DY 23 Assumptions'!$D$102</f>
        <v>4141.1947022677141</v>
      </c>
      <c r="R18" s="21">
        <f>Q18*'DY 22 &amp; DY 23 Assumptions'!$D$102</f>
        <v>4120.4887287563752</v>
      </c>
      <c r="S18" s="21">
        <f>R18*'DY 22 &amp; DY 23 Assumptions'!$D$102</f>
        <v>4099.8862851125932</v>
      </c>
      <c r="T18" s="12"/>
      <c r="U18" s="12"/>
      <c r="V18" s="12"/>
      <c r="W18" s="12"/>
      <c r="X18" s="12"/>
      <c r="Y18" s="12"/>
    </row>
    <row r="19" spans="1:25" x14ac:dyDescent="0.3">
      <c r="A19" s="9" t="s">
        <v>15</v>
      </c>
      <c r="B19" s="6">
        <f>'DY 22 &amp; DY 23 Assumptions'!C16</f>
        <v>2551.8690919397786</v>
      </c>
      <c r="C19" s="11">
        <f>'DY 22 &amp; DY 23 Assumptions'!F16</f>
        <v>0.14819000000000002</v>
      </c>
      <c r="D19" s="32">
        <f>SUM(E19:Y19)</f>
        <v>47988.376756891426</v>
      </c>
      <c r="E19" s="21">
        <f>(B19*C19*8760)/1000</f>
        <v>3312.6945712347092</v>
      </c>
      <c r="F19" s="21">
        <f>E19*'DY 22 &amp; DY 23 Assumptions'!$D$102</f>
        <v>3296.1310983785356</v>
      </c>
      <c r="G19" s="21">
        <f>F19*'DY 22 &amp; DY 23 Assumptions'!$D$102</f>
        <v>3279.6504428866428</v>
      </c>
      <c r="H19" s="21">
        <f>G19*'DY 22 &amp; DY 23 Assumptions'!$D$102</f>
        <v>3263.2521906722095</v>
      </c>
      <c r="I19" s="21">
        <f>H19*'DY 22 &amp; DY 23 Assumptions'!$D$102</f>
        <v>3246.9359297188485</v>
      </c>
      <c r="J19" s="21">
        <f>I19*'DY 22 &amp; DY 23 Assumptions'!$D$102</f>
        <v>3230.701250070254</v>
      </c>
      <c r="K19" s="21">
        <f>J19*'DY 22 &amp; DY 23 Assumptions'!$D$102</f>
        <v>3214.5477438199027</v>
      </c>
      <c r="L19" s="21">
        <f>K19*'DY 22 &amp; DY 23 Assumptions'!$D$102</f>
        <v>3198.4750051008032</v>
      </c>
      <c r="M19" s="21">
        <f>L19*'DY 22 &amp; DY 23 Assumptions'!$D$102</f>
        <v>3182.4826300752993</v>
      </c>
      <c r="N19" s="21">
        <f>M19*'DY 22 &amp; DY 23 Assumptions'!$D$102</f>
        <v>3166.570216924923</v>
      </c>
      <c r="O19" s="21">
        <f>N19*'DY 22 &amp; DY 23 Assumptions'!$D$102</f>
        <v>3150.7373658402985</v>
      </c>
      <c r="P19" s="21">
        <f>O19*'DY 22 &amp; DY 23 Assumptions'!$D$102</f>
        <v>3134.9836790110971</v>
      </c>
      <c r="Q19" s="21">
        <f>P19*'DY 22 &amp; DY 23 Assumptions'!$D$102</f>
        <v>3119.3087606160416</v>
      </c>
      <c r="R19" s="21">
        <f>Q19*'DY 22 &amp; DY 23 Assumptions'!$D$102</f>
        <v>3103.7122168129613</v>
      </c>
      <c r="S19" s="21">
        <f>R19*'DY 22 &amp; DY 23 Assumptions'!$D$102</f>
        <v>3088.1936557288964</v>
      </c>
      <c r="T19" s="12"/>
      <c r="U19" s="12"/>
      <c r="V19" s="12"/>
      <c r="W19" s="12"/>
      <c r="X19" s="12"/>
      <c r="Y19" s="12"/>
    </row>
    <row r="20" spans="1:25" x14ac:dyDescent="0.3">
      <c r="A20" s="9" t="s">
        <v>16</v>
      </c>
      <c r="B20" s="6">
        <f>'DY 22 &amp; DY 23 Assumptions'!C17</f>
        <v>5923.6927010875188</v>
      </c>
      <c r="C20" s="11">
        <f>'DY 22 &amp; DY 23 Assumptions'!F17</f>
        <v>0.15303</v>
      </c>
      <c r="D20" s="32">
        <f>SUM(E20:Y20)</f>
        <v>115034.4364227303</v>
      </c>
      <c r="E20" s="21">
        <f>(B20*C20*8760)/1000</f>
        <v>7940.9635998554259</v>
      </c>
      <c r="F20" s="21">
        <f>E20*'DY 22 &amp; DY 23 Assumptions'!$D$102</f>
        <v>7901.2587818561487</v>
      </c>
      <c r="G20" s="21">
        <f>F20*'DY 22 &amp; DY 23 Assumptions'!$D$102</f>
        <v>7861.7524879468683</v>
      </c>
      <c r="H20" s="21">
        <f>G20*'DY 22 &amp; DY 23 Assumptions'!$D$102</f>
        <v>7822.4437255071343</v>
      </c>
      <c r="I20" s="21">
        <f>H20*'DY 22 &amp; DY 23 Assumptions'!$D$102</f>
        <v>7783.3315068795982</v>
      </c>
      <c r="J20" s="21">
        <f>I20*'DY 22 &amp; DY 23 Assumptions'!$D$102</f>
        <v>7744.4148493452003</v>
      </c>
      <c r="K20" s="21">
        <f>J20*'DY 22 &amp; DY 23 Assumptions'!$D$102</f>
        <v>7705.6927750984742</v>
      </c>
      <c r="L20" s="21">
        <f>K20*'DY 22 &amp; DY 23 Assumptions'!$D$102</f>
        <v>7667.1643112229822</v>
      </c>
      <c r="M20" s="21">
        <f>L20*'DY 22 &amp; DY 23 Assumptions'!$D$102</f>
        <v>7628.8284896668674</v>
      </c>
      <c r="N20" s="21">
        <f>M20*'DY 22 &amp; DY 23 Assumptions'!$D$102</f>
        <v>7590.6843472185328</v>
      </c>
      <c r="O20" s="21">
        <f>N20*'DY 22 &amp; DY 23 Assumptions'!$D$102</f>
        <v>7552.7309254824404</v>
      </c>
      <c r="P20" s="21">
        <f>O20*'DY 22 &amp; DY 23 Assumptions'!$D$102</f>
        <v>7514.9672708550279</v>
      </c>
      <c r="Q20" s="21">
        <f>P20*'DY 22 &amp; DY 23 Assumptions'!$D$102</f>
        <v>7477.3924345007526</v>
      </c>
      <c r="R20" s="21">
        <f>Q20*'DY 22 &amp; DY 23 Assumptions'!$D$102</f>
        <v>7440.0054723282492</v>
      </c>
      <c r="S20" s="21">
        <f>R20*'DY 22 &amp; DY 23 Assumptions'!$D$102</f>
        <v>7402.8054449666079</v>
      </c>
      <c r="T20" s="12"/>
      <c r="U20" s="12"/>
      <c r="V20" s="12"/>
      <c r="W20" s="12"/>
      <c r="X20" s="12"/>
      <c r="Y20" s="12"/>
    </row>
    <row r="21" spans="1:25" x14ac:dyDescent="0.3">
      <c r="A21" s="9" t="s">
        <v>17</v>
      </c>
      <c r="B21" s="6">
        <f>'DY 22 &amp; DY 23 Assumptions'!C18</f>
        <v>28220.762318511068</v>
      </c>
      <c r="C21" s="11">
        <f>'DY 22 &amp; DY 23 Assumptions'!F18</f>
        <v>0.14410999999999999</v>
      </c>
      <c r="D21" s="32">
        <f>SUM(E21:Y21)</f>
        <v>516085.46669842448</v>
      </c>
      <c r="E21" s="21">
        <f>(B21*C21*8760)/1000</f>
        <v>35625.991945632712</v>
      </c>
      <c r="F21" s="21">
        <f>E21*'DY 22 &amp; DY 23 Assumptions'!$D$102</f>
        <v>35447.86198590455</v>
      </c>
      <c r="G21" s="21">
        <f>F21*'DY 22 &amp; DY 23 Assumptions'!$D$102</f>
        <v>35270.622675975028</v>
      </c>
      <c r="H21" s="21">
        <f>G21*'DY 22 &amp; DY 23 Assumptions'!$D$102</f>
        <v>35094.269562595153</v>
      </c>
      <c r="I21" s="21">
        <f>H21*'DY 22 &amp; DY 23 Assumptions'!$D$102</f>
        <v>34918.798214782175</v>
      </c>
      <c r="J21" s="21">
        <f>I21*'DY 22 &amp; DY 23 Assumptions'!$D$102</f>
        <v>34744.204223708264</v>
      </c>
      <c r="K21" s="21">
        <f>J21*'DY 22 &amp; DY 23 Assumptions'!$D$102</f>
        <v>34570.483202589719</v>
      </c>
      <c r="L21" s="21">
        <f>K21*'DY 22 &amp; DY 23 Assumptions'!$D$102</f>
        <v>34397.630786576774</v>
      </c>
      <c r="M21" s="21">
        <f>L21*'DY 22 &amp; DY 23 Assumptions'!$D$102</f>
        <v>34225.642632643889</v>
      </c>
      <c r="N21" s="21">
        <f>M21*'DY 22 &amp; DY 23 Assumptions'!$D$102</f>
        <v>34054.514419480671</v>
      </c>
      <c r="O21" s="21">
        <f>N21*'DY 22 &amp; DY 23 Assumptions'!$D$102</f>
        <v>33884.241847383266</v>
      </c>
      <c r="P21" s="21">
        <f>O21*'DY 22 &amp; DY 23 Assumptions'!$D$102</f>
        <v>33714.820638146346</v>
      </c>
      <c r="Q21" s="21">
        <f>P21*'DY 22 &amp; DY 23 Assumptions'!$D$102</f>
        <v>33546.246534955615</v>
      </c>
      <c r="R21" s="21">
        <f>Q21*'DY 22 &amp; DY 23 Assumptions'!$D$102</f>
        <v>33378.515302280837</v>
      </c>
      <c r="S21" s="21">
        <f>R21*'DY 22 &amp; DY 23 Assumptions'!$D$102</f>
        <v>33211.622725769434</v>
      </c>
      <c r="T21" s="12"/>
      <c r="U21" s="12"/>
      <c r="V21" s="12"/>
      <c r="W21" s="12"/>
      <c r="X21" s="12"/>
      <c r="Y21" s="12"/>
    </row>
    <row r="22" spans="1:25" x14ac:dyDescent="0.3">
      <c r="A22" s="9" t="s">
        <v>79</v>
      </c>
      <c r="B22" s="6">
        <f>'DY 22 &amp; DY 23 Assumptions'!C19</f>
        <v>0</v>
      </c>
      <c r="C22" s="11">
        <f>'DY 22 &amp; DY 23 Assumptions'!F19</f>
        <v>0.14410999999999999</v>
      </c>
      <c r="D22" s="32"/>
      <c r="E22" s="21"/>
      <c r="F22" s="21"/>
      <c r="G22" s="21"/>
      <c r="H22" s="21"/>
      <c r="I22" s="21"/>
      <c r="J22" s="21"/>
      <c r="K22" s="21"/>
      <c r="L22" s="21"/>
      <c r="M22" s="21"/>
      <c r="N22" s="21"/>
      <c r="O22" s="21"/>
      <c r="P22" s="21"/>
      <c r="Q22" s="21"/>
      <c r="R22" s="21"/>
      <c r="S22" s="21"/>
      <c r="T22" s="12"/>
      <c r="U22" s="12"/>
      <c r="V22" s="12"/>
      <c r="W22" s="12"/>
      <c r="X22" s="12"/>
      <c r="Y22" s="12"/>
    </row>
    <row r="23" spans="1:25" x14ac:dyDescent="0.3">
      <c r="A23" s="1" t="s">
        <v>18</v>
      </c>
      <c r="B23" s="46">
        <f>'DY 22 &amp; DY 23 Assumptions'!C20</f>
        <v>141300</v>
      </c>
      <c r="C23" s="52"/>
      <c r="D23" s="31"/>
      <c r="E23" s="20"/>
      <c r="F23" s="21"/>
      <c r="G23" s="20"/>
      <c r="H23" s="20"/>
      <c r="I23" s="20"/>
      <c r="J23" s="20"/>
      <c r="K23" s="20"/>
      <c r="L23" s="20"/>
      <c r="M23" s="20"/>
      <c r="N23" s="20"/>
      <c r="O23" s="20"/>
      <c r="P23" s="20"/>
      <c r="Q23" s="20"/>
      <c r="R23" s="20"/>
      <c r="S23" s="20"/>
      <c r="T23" s="1"/>
      <c r="U23" s="1"/>
      <c r="V23" s="1"/>
      <c r="W23" s="1"/>
      <c r="X23" s="1"/>
      <c r="Y23" s="1"/>
    </row>
    <row r="24" spans="1:25" x14ac:dyDescent="0.3">
      <c r="A24" s="9" t="s">
        <v>19</v>
      </c>
      <c r="B24" s="6">
        <f>'DY 22 &amp; DY 23 Assumptions'!C21</f>
        <v>5343.698636985745</v>
      </c>
      <c r="C24" s="11">
        <f>'DY 22 &amp; DY 23 Assumptions'!F21</f>
        <v>0.14305999999999999</v>
      </c>
      <c r="D24" s="32">
        <f>SUM(E24:Y24)</f>
        <v>97010.545891462854</v>
      </c>
      <c r="E24" s="21">
        <f>(B24*C24*8760)/1000</f>
        <v>6696.7530565829029</v>
      </c>
      <c r="F24" s="21">
        <f>E24*'DY 22 &amp; DY 23 Assumptions'!$D$102</f>
        <v>6663.2692912999883</v>
      </c>
      <c r="G24" s="21">
        <f>F24*'DY 22 &amp; DY 23 Assumptions'!$D$102</f>
        <v>6629.9529448434887</v>
      </c>
      <c r="H24" s="21">
        <f>G24*'DY 22 &amp; DY 23 Assumptions'!$D$102</f>
        <v>6596.803180119271</v>
      </c>
      <c r="I24" s="21">
        <f>H24*'DY 22 &amp; DY 23 Assumptions'!$D$102</f>
        <v>6563.8191642186748</v>
      </c>
      <c r="J24" s="21">
        <f>I24*'DY 22 &amp; DY 23 Assumptions'!$D$102</f>
        <v>6531.0000683975813</v>
      </c>
      <c r="K24" s="21">
        <f>J24*'DY 22 &amp; DY 23 Assumptions'!$D$102</f>
        <v>6498.3450680555934</v>
      </c>
      <c r="L24" s="21">
        <f>K24*'DY 22 &amp; DY 23 Assumptions'!$D$102</f>
        <v>6465.8533427153152</v>
      </c>
      <c r="M24" s="21">
        <f>L24*'DY 22 &amp; DY 23 Assumptions'!$D$102</f>
        <v>6433.5240760017386</v>
      </c>
      <c r="N24" s="21">
        <f>M24*'DY 22 &amp; DY 23 Assumptions'!$D$102</f>
        <v>6401.3564556217298</v>
      </c>
      <c r="O24" s="21">
        <f>N24*'DY 22 &amp; DY 23 Assumptions'!$D$102</f>
        <v>6369.3496733436214</v>
      </c>
      <c r="P24" s="21">
        <f>O24*'DY 22 &amp; DY 23 Assumptions'!$D$102</f>
        <v>6337.5029249769032</v>
      </c>
      <c r="Q24" s="21">
        <f>P24*'DY 22 &amp; DY 23 Assumptions'!$D$102</f>
        <v>6305.8154103520183</v>
      </c>
      <c r="R24" s="21">
        <f>Q24*'DY 22 &amp; DY 23 Assumptions'!$D$102</f>
        <v>6274.2863333002579</v>
      </c>
      <c r="S24" s="21">
        <f>R24*'DY 22 &amp; DY 23 Assumptions'!$D$102</f>
        <v>6242.9149016337569</v>
      </c>
      <c r="T24" s="12"/>
      <c r="U24" s="12"/>
      <c r="V24" s="12"/>
      <c r="W24" s="12"/>
      <c r="X24" s="12"/>
      <c r="Y24" s="12"/>
    </row>
    <row r="25" spans="1:25" x14ac:dyDescent="0.3">
      <c r="A25" s="9" t="s">
        <v>15</v>
      </c>
      <c r="B25" s="6">
        <f>'DY 22 &amp; DY 23 Assumptions'!C22</f>
        <v>4161.1431571184839</v>
      </c>
      <c r="C25" s="11">
        <f>'DY 22 &amp; DY 23 Assumptions'!F22</f>
        <v>0.14176</v>
      </c>
      <c r="D25" s="32">
        <f>SUM(E25:Y25)</f>
        <v>74855.74409548055</v>
      </c>
      <c r="E25" s="21">
        <f>(B25*C25*8760)/1000</f>
        <v>5167.3808086292984</v>
      </c>
      <c r="F25" s="21">
        <f>E25*'DY 22 &amp; DY 23 Assumptions'!$D$102</f>
        <v>5141.5439045861522</v>
      </c>
      <c r="G25" s="21">
        <f>F25*'DY 22 &amp; DY 23 Assumptions'!$D$102</f>
        <v>5115.8361850632218</v>
      </c>
      <c r="H25" s="21">
        <f>G25*'DY 22 &amp; DY 23 Assumptions'!$D$102</f>
        <v>5090.2570041379058</v>
      </c>
      <c r="I25" s="21">
        <f>H25*'DY 22 &amp; DY 23 Assumptions'!$D$102</f>
        <v>5064.8057191172165</v>
      </c>
      <c r="J25" s="21">
        <f>I25*'DY 22 &amp; DY 23 Assumptions'!$D$102</f>
        <v>5039.4816905216303</v>
      </c>
      <c r="K25" s="21">
        <f>J25*'DY 22 &amp; DY 23 Assumptions'!$D$102</f>
        <v>5014.2842820690221</v>
      </c>
      <c r="L25" s="21">
        <f>K25*'DY 22 &amp; DY 23 Assumptions'!$D$102</f>
        <v>4989.2128606586766</v>
      </c>
      <c r="M25" s="21">
        <f>L25*'DY 22 &amp; DY 23 Assumptions'!$D$102</f>
        <v>4964.2667963553831</v>
      </c>
      <c r="N25" s="21">
        <f>M25*'DY 22 &amp; DY 23 Assumptions'!$D$102</f>
        <v>4939.4454623736065</v>
      </c>
      <c r="O25" s="21">
        <f>N25*'DY 22 &amp; DY 23 Assumptions'!$D$102</f>
        <v>4914.7482350617383</v>
      </c>
      <c r="P25" s="21">
        <f>O25*'DY 22 &amp; DY 23 Assumptions'!$D$102</f>
        <v>4890.1744938864294</v>
      </c>
      <c r="Q25" s="21">
        <f>P25*'DY 22 &amp; DY 23 Assumptions'!$D$102</f>
        <v>4865.723621416997</v>
      </c>
      <c r="R25" s="21">
        <f>Q25*'DY 22 &amp; DY 23 Assumptions'!$D$102</f>
        <v>4841.3950033099118</v>
      </c>
      <c r="S25" s="21">
        <f>R25*'DY 22 &amp; DY 23 Assumptions'!$D$102</f>
        <v>4817.1880282933625</v>
      </c>
      <c r="T25" s="12"/>
      <c r="U25" s="12"/>
      <c r="V25" s="12"/>
      <c r="W25" s="12"/>
      <c r="X25" s="12"/>
      <c r="Y25" s="12"/>
    </row>
    <row r="26" spans="1:25" x14ac:dyDescent="0.3">
      <c r="A26" s="9" t="s">
        <v>16</v>
      </c>
      <c r="B26" s="6">
        <f>'DY 22 &amp; DY 23 Assumptions'!C23</f>
        <v>15422.770337410086</v>
      </c>
      <c r="C26" s="11">
        <f>'DY 22 &amp; DY 23 Assumptions'!F23</f>
        <v>0.14119000000000001</v>
      </c>
      <c r="D26" s="32">
        <f>SUM(E26:Y26)</f>
        <v>276328.1310891842</v>
      </c>
      <c r="E26" s="21">
        <f>(B26*C26*8760)/1000</f>
        <v>19075.258668905026</v>
      </c>
      <c r="F26" s="21">
        <f>E26*'DY 22 &amp; DY 23 Assumptions'!$D$102</f>
        <v>18979.882375560501</v>
      </c>
      <c r="G26" s="21">
        <f>F26*'DY 22 &amp; DY 23 Assumptions'!$D$102</f>
        <v>18884.982963682698</v>
      </c>
      <c r="H26" s="21">
        <f>G26*'DY 22 &amp; DY 23 Assumptions'!$D$102</f>
        <v>18790.558048864285</v>
      </c>
      <c r="I26" s="21">
        <f>H26*'DY 22 &amp; DY 23 Assumptions'!$D$102</f>
        <v>18696.605258619962</v>
      </c>
      <c r="J26" s="21">
        <f>I26*'DY 22 &amp; DY 23 Assumptions'!$D$102</f>
        <v>18603.122232326863</v>
      </c>
      <c r="K26" s="21">
        <f>J26*'DY 22 &amp; DY 23 Assumptions'!$D$102</f>
        <v>18510.106621165229</v>
      </c>
      <c r="L26" s="21">
        <f>K26*'DY 22 &amp; DY 23 Assumptions'!$D$102</f>
        <v>18417.556088059402</v>
      </c>
      <c r="M26" s="21">
        <f>L26*'DY 22 &amp; DY 23 Assumptions'!$D$102</f>
        <v>18325.468307619107</v>
      </c>
      <c r="N26" s="21">
        <f>M26*'DY 22 &amp; DY 23 Assumptions'!$D$102</f>
        <v>18233.84096608101</v>
      </c>
      <c r="O26" s="21">
        <f>N26*'DY 22 &amp; DY 23 Assumptions'!$D$102</f>
        <v>18142.671761250604</v>
      </c>
      <c r="P26" s="21">
        <f>O26*'DY 22 &amp; DY 23 Assumptions'!$D$102</f>
        <v>18051.95840244435</v>
      </c>
      <c r="Q26" s="21">
        <f>P26*'DY 22 &amp; DY 23 Assumptions'!$D$102</f>
        <v>17961.698610432129</v>
      </c>
      <c r="R26" s="21">
        <f>Q26*'DY 22 &amp; DY 23 Assumptions'!$D$102</f>
        <v>17871.890117379968</v>
      </c>
      <c r="S26" s="21">
        <f>R26*'DY 22 &amp; DY 23 Assumptions'!$D$102</f>
        <v>17782.530666793067</v>
      </c>
      <c r="T26" s="12"/>
      <c r="U26" s="12"/>
      <c r="V26" s="12"/>
      <c r="W26" s="12"/>
      <c r="X26" s="12"/>
      <c r="Y26" s="12"/>
    </row>
    <row r="27" spans="1:25" x14ac:dyDescent="0.3">
      <c r="A27" s="9" t="s">
        <v>17</v>
      </c>
      <c r="B27" s="6">
        <f>'DY 22 &amp; DY 23 Assumptions'!C24</f>
        <v>116372.33880997168</v>
      </c>
      <c r="C27" s="11">
        <f>'DY 22 &amp; DY 23 Assumptions'!F24</f>
        <v>0.1497</v>
      </c>
      <c r="D27" s="32">
        <f>SUM(E27:Y27)</f>
        <v>2210702.6562263258</v>
      </c>
      <c r="E27" s="21">
        <f>(B27*C27*8760)/1000</f>
        <v>152607.42668991018</v>
      </c>
      <c r="F27" s="21">
        <f>E27*'DY 22 &amp; DY 23 Assumptions'!$D$102</f>
        <v>151844.38955646064</v>
      </c>
      <c r="G27" s="21">
        <f>F27*'DY 22 &amp; DY 23 Assumptions'!$D$102</f>
        <v>151085.16760867834</v>
      </c>
      <c r="H27" s="21">
        <f>G27*'DY 22 &amp; DY 23 Assumptions'!$D$102</f>
        <v>150329.74177063495</v>
      </c>
      <c r="I27" s="21">
        <f>H27*'DY 22 &amp; DY 23 Assumptions'!$D$102</f>
        <v>149578.09306178178</v>
      </c>
      <c r="J27" s="21">
        <f>I27*'DY 22 &amp; DY 23 Assumptions'!$D$102</f>
        <v>148830.20259647287</v>
      </c>
      <c r="K27" s="21">
        <f>J27*'DY 22 &amp; DY 23 Assumptions'!$D$102</f>
        <v>148086.05158349051</v>
      </c>
      <c r="L27" s="21">
        <f>K27*'DY 22 &amp; DY 23 Assumptions'!$D$102</f>
        <v>147345.62132557307</v>
      </c>
      <c r="M27" s="21">
        <f>L27*'DY 22 &amp; DY 23 Assumptions'!$D$102</f>
        <v>146608.89321894522</v>
      </c>
      <c r="N27" s="21">
        <f>M27*'DY 22 &amp; DY 23 Assumptions'!$D$102</f>
        <v>145875.84875285049</v>
      </c>
      <c r="O27" s="21">
        <f>N27*'DY 22 &amp; DY 23 Assumptions'!$D$102</f>
        <v>145146.46950908625</v>
      </c>
      <c r="P27" s="21">
        <f>O27*'DY 22 &amp; DY 23 Assumptions'!$D$102</f>
        <v>144420.73716154083</v>
      </c>
      <c r="Q27" s="21">
        <f>P27*'DY 22 &amp; DY 23 Assumptions'!$D$102</f>
        <v>143698.63347573314</v>
      </c>
      <c r="R27" s="21">
        <f>Q27*'DY 22 &amp; DY 23 Assumptions'!$D$102</f>
        <v>142980.14030835446</v>
      </c>
      <c r="S27" s="21">
        <f>R27*'DY 22 &amp; DY 23 Assumptions'!$D$102</f>
        <v>142265.23960681268</v>
      </c>
      <c r="T27" s="12"/>
      <c r="U27" s="12"/>
      <c r="V27" s="12"/>
      <c r="W27" s="12"/>
      <c r="X27" s="12"/>
      <c r="Y27" s="12"/>
    </row>
    <row r="28" spans="1:25" x14ac:dyDescent="0.3">
      <c r="A28" s="9" t="s">
        <v>79</v>
      </c>
      <c r="B28" s="6">
        <f>'DY 22 &amp; DY 23 Assumptions'!C25</f>
        <v>0</v>
      </c>
      <c r="C28" s="11">
        <f>'DY 22 &amp; DY 23 Assumptions'!F25</f>
        <v>0.1497</v>
      </c>
      <c r="D28" s="32"/>
      <c r="E28" s="21"/>
      <c r="F28" s="21"/>
      <c r="G28" s="21"/>
      <c r="H28" s="21"/>
      <c r="I28" s="21"/>
      <c r="J28" s="21"/>
      <c r="K28" s="21"/>
      <c r="L28" s="21"/>
      <c r="M28" s="21"/>
      <c r="N28" s="21"/>
      <c r="O28" s="21"/>
      <c r="P28" s="21"/>
      <c r="Q28" s="21"/>
      <c r="R28" s="21"/>
      <c r="S28" s="21"/>
      <c r="T28" s="12"/>
      <c r="U28" s="12"/>
      <c r="V28" s="12"/>
      <c r="W28" s="12"/>
      <c r="X28" s="12"/>
      <c r="Y28" s="12"/>
    </row>
    <row r="29" spans="1:25" x14ac:dyDescent="0.3">
      <c r="A29" s="5" t="s">
        <v>21</v>
      </c>
      <c r="B29" s="6">
        <f>'DY 22 &amp; DY 23 Assumptions'!C26</f>
        <v>160000</v>
      </c>
      <c r="C29" s="118"/>
      <c r="D29" s="31"/>
      <c r="E29" s="23">
        <f t="shared" ref="E29:Y29" si="4">SUM(E30:E31)</f>
        <v>0</v>
      </c>
      <c r="F29" s="23">
        <f t="shared" si="4"/>
        <v>236968.51199999999</v>
      </c>
      <c r="G29" s="23">
        <f t="shared" si="4"/>
        <v>235783.66944</v>
      </c>
      <c r="H29" s="23">
        <f t="shared" si="4"/>
        <v>234604.7510928</v>
      </c>
      <c r="I29" s="23">
        <f t="shared" si="4"/>
        <v>233431.72733733599</v>
      </c>
      <c r="J29" s="23">
        <f t="shared" si="4"/>
        <v>232264.56870064931</v>
      </c>
      <c r="K29" s="23">
        <f t="shared" si="4"/>
        <v>231103.2458571461</v>
      </c>
      <c r="L29" s="23">
        <f t="shared" si="4"/>
        <v>229947.72962786036</v>
      </c>
      <c r="M29" s="23">
        <f t="shared" si="4"/>
        <v>228797.99097972107</v>
      </c>
      <c r="N29" s="23">
        <f t="shared" si="4"/>
        <v>227654.00102482247</v>
      </c>
      <c r="O29" s="23">
        <f t="shared" si="4"/>
        <v>226515.73101969832</v>
      </c>
      <c r="P29" s="23">
        <f t="shared" si="4"/>
        <v>225383.15236459984</v>
      </c>
      <c r="Q29" s="23">
        <f t="shared" si="4"/>
        <v>224256.23660277683</v>
      </c>
      <c r="R29" s="23">
        <f t="shared" si="4"/>
        <v>223134.95541976293</v>
      </c>
      <c r="S29" s="23">
        <f t="shared" si="4"/>
        <v>222019.28064266415</v>
      </c>
      <c r="T29" s="23">
        <f t="shared" si="4"/>
        <v>220909.18423945084</v>
      </c>
      <c r="U29" s="23">
        <f t="shared" si="4"/>
        <v>219804.63831825356</v>
      </c>
      <c r="V29" s="23">
        <f t="shared" si="4"/>
        <v>218705.61512666231</v>
      </c>
      <c r="W29" s="23">
        <f t="shared" si="4"/>
        <v>217612.08705102903</v>
      </c>
      <c r="X29" s="23">
        <f t="shared" si="4"/>
        <v>216524.02661577388</v>
      </c>
      <c r="Y29" s="23">
        <f t="shared" si="4"/>
        <v>215441.40648269499</v>
      </c>
    </row>
    <row r="30" spans="1:25" x14ac:dyDescent="0.3">
      <c r="A30" s="1" t="s">
        <v>22</v>
      </c>
      <c r="B30" s="46">
        <f>'DY 22 &amp; DY 23 Assumptions'!C27</f>
        <v>48000</v>
      </c>
      <c r="C30" s="11">
        <f>'DY 22 &amp; DY 23 Assumptions'!F27</f>
        <v>0.16907</v>
      </c>
      <c r="D30" s="32">
        <f>SUM(E30:Y30)</f>
        <v>1356258.7529831105</v>
      </c>
      <c r="E30" s="21"/>
      <c r="F30" s="21">
        <f>(($B30*$C30)*8760)/1000</f>
        <v>71090.553599999999</v>
      </c>
      <c r="G30" s="21">
        <f>F30*'Reopening Assumptions'!$A$121</f>
        <v>70735.100831999996</v>
      </c>
      <c r="H30" s="21">
        <f>G30*'Reopening Assumptions'!$A$121</f>
        <v>70381.425327839999</v>
      </c>
      <c r="I30" s="21">
        <f>H30*'Reopening Assumptions'!$A$121</f>
        <v>70029.518201200801</v>
      </c>
      <c r="J30" s="21">
        <f>I30*'Reopening Assumptions'!$A$121</f>
        <v>69679.37061019479</v>
      </c>
      <c r="K30" s="21">
        <f>J30*'Reopening Assumptions'!$A$121</f>
        <v>69330.973757143816</v>
      </c>
      <c r="L30" s="21">
        <f>K30*'Reopening Assumptions'!$A$121</f>
        <v>68984.318888358102</v>
      </c>
      <c r="M30" s="21">
        <f>L30*'Reopening Assumptions'!$A$121</f>
        <v>68639.397293916307</v>
      </c>
      <c r="N30" s="21">
        <f>M30*'Reopening Assumptions'!$A$121</f>
        <v>68296.200307446721</v>
      </c>
      <c r="O30" s="21">
        <f>N30*'Reopening Assumptions'!$A$121</f>
        <v>67954.719305909486</v>
      </c>
      <c r="P30" s="21">
        <f>O30*'Reopening Assumptions'!$A$121</f>
        <v>67614.945709379943</v>
      </c>
      <c r="Q30" s="21">
        <f>P30*'Reopening Assumptions'!$A$121</f>
        <v>67276.870980833046</v>
      </c>
      <c r="R30" s="21">
        <f>Q30*'Reopening Assumptions'!$A$121</f>
        <v>66940.486625928883</v>
      </c>
      <c r="S30" s="21">
        <f>R30*'Reopening Assumptions'!$A$121</f>
        <v>66605.784192799241</v>
      </c>
      <c r="T30" s="21">
        <f>S30*'Reopening Assumptions'!$A$121</f>
        <v>66272.755271835238</v>
      </c>
      <c r="U30" s="21">
        <f>T30*'Reopening Assumptions'!$A$121</f>
        <v>65941.391495476055</v>
      </c>
      <c r="V30" s="21">
        <f>U30*'Reopening Assumptions'!$A$121</f>
        <v>65611.684537998677</v>
      </c>
      <c r="W30" s="21">
        <f>V30*'Reopening Assumptions'!$A$121</f>
        <v>65283.626115308682</v>
      </c>
      <c r="X30" s="21">
        <f>W30*'Reopening Assumptions'!$A$121</f>
        <v>64957.207984732137</v>
      </c>
      <c r="Y30" s="21">
        <f>X30*'Reopening Assumptions'!$A$121</f>
        <v>64632.421944808477</v>
      </c>
    </row>
    <row r="31" spans="1:25" x14ac:dyDescent="0.3">
      <c r="A31" s="1" t="s">
        <v>24</v>
      </c>
      <c r="B31" s="46">
        <f>'DY 22 &amp; DY 23 Assumptions'!C35</f>
        <v>112000</v>
      </c>
      <c r="C31" s="11">
        <f>'DY 22 &amp; DY 23 Assumptions'!F35</f>
        <v>0.16907</v>
      </c>
      <c r="D31" s="32">
        <f>SUM(E31:Y31)</f>
        <v>3164603.7569605913</v>
      </c>
      <c r="E31" s="21"/>
      <c r="F31" s="21">
        <f>(($B31*$C31)*8760)/1000</f>
        <v>165877.9584</v>
      </c>
      <c r="G31" s="21">
        <f>F31*'Reopening Assumptions'!$A$121</f>
        <v>165048.568608</v>
      </c>
      <c r="H31" s="21">
        <f>G31*'Reopening Assumptions'!$A$121</f>
        <v>164223.32576496</v>
      </c>
      <c r="I31" s="21">
        <f>H31*'Reopening Assumptions'!$A$121</f>
        <v>163402.20913613521</v>
      </c>
      <c r="J31" s="21">
        <f>I31*'Reopening Assumptions'!$A$121</f>
        <v>162585.19809045453</v>
      </c>
      <c r="K31" s="21">
        <f>J31*'Reopening Assumptions'!$A$121</f>
        <v>161772.27210000227</v>
      </c>
      <c r="L31" s="21">
        <f>K31*'Reopening Assumptions'!$A$121</f>
        <v>160963.41073950226</v>
      </c>
      <c r="M31" s="21">
        <f>L31*'Reopening Assumptions'!$A$121</f>
        <v>160158.59368580475</v>
      </c>
      <c r="N31" s="21">
        <f>M31*'Reopening Assumptions'!$A$121</f>
        <v>159357.80071737574</v>
      </c>
      <c r="O31" s="21">
        <f>N31*'Reopening Assumptions'!$A$121</f>
        <v>158561.01171378884</v>
      </c>
      <c r="P31" s="21">
        <f>O31*'Reopening Assumptions'!$A$121</f>
        <v>157768.2066552199</v>
      </c>
      <c r="Q31" s="21">
        <f>P31*'Reopening Assumptions'!$A$121</f>
        <v>156979.36562194378</v>
      </c>
      <c r="R31" s="21">
        <f>Q31*'Reopening Assumptions'!$A$121</f>
        <v>156194.46879383406</v>
      </c>
      <c r="S31" s="21">
        <f>R31*'Reopening Assumptions'!$A$121</f>
        <v>155413.49644986491</v>
      </c>
      <c r="T31" s="21">
        <f>S31*'Reopening Assumptions'!$A$121</f>
        <v>154636.42896761559</v>
      </c>
      <c r="U31" s="21">
        <f>T31*'Reopening Assumptions'!$A$121</f>
        <v>153863.24682277752</v>
      </c>
      <c r="V31" s="21">
        <f>U31*'Reopening Assumptions'!$A$121</f>
        <v>153093.93058866364</v>
      </c>
      <c r="W31" s="21">
        <f>V31*'Reopening Assumptions'!$A$121</f>
        <v>152328.46093572033</v>
      </c>
      <c r="X31" s="21">
        <f>W31*'Reopening Assumptions'!$A$121</f>
        <v>151566.81863104174</v>
      </c>
      <c r="Y31" s="21">
        <f>X31*'Reopening Assumptions'!$A$121</f>
        <v>150808.98453788651</v>
      </c>
    </row>
    <row r="32" spans="1:25" x14ac:dyDescent="0.3">
      <c r="A32" s="5" t="s">
        <v>25</v>
      </c>
      <c r="B32" s="6">
        <f>'DY 22 &amp; DY 23 Assumptions'!C43</f>
        <v>199350</v>
      </c>
      <c r="C32" s="118"/>
      <c r="D32" s="31"/>
      <c r="E32" s="23">
        <f t="shared" ref="E32:Y32" si="5">SUM(E33:E45)</f>
        <v>295247.95542000001</v>
      </c>
      <c r="F32" s="23">
        <f t="shared" si="5"/>
        <v>293771.71564289997</v>
      </c>
      <c r="G32" s="23">
        <f t="shared" si="5"/>
        <v>292302.85706468544</v>
      </c>
      <c r="H32" s="23">
        <f t="shared" si="5"/>
        <v>290841.34277936205</v>
      </c>
      <c r="I32" s="23">
        <f t="shared" si="5"/>
        <v>289387.13606546522</v>
      </c>
      <c r="J32" s="23">
        <f t="shared" si="5"/>
        <v>287940.20038513793</v>
      </c>
      <c r="K32" s="23">
        <f t="shared" si="5"/>
        <v>286500.49938321218</v>
      </c>
      <c r="L32" s="23">
        <f t="shared" si="5"/>
        <v>285067.99688629614</v>
      </c>
      <c r="M32" s="23">
        <f t="shared" si="5"/>
        <v>283642.65690186468</v>
      </c>
      <c r="N32" s="23">
        <f t="shared" si="5"/>
        <v>282224.44361735537</v>
      </c>
      <c r="O32" s="23">
        <f t="shared" si="5"/>
        <v>280813.32139926858</v>
      </c>
      <c r="P32" s="23">
        <f t="shared" si="5"/>
        <v>279409.25479227223</v>
      </c>
      <c r="Q32" s="23">
        <f t="shared" si="5"/>
        <v>278012.20851831092</v>
      </c>
      <c r="R32" s="23">
        <f t="shared" si="5"/>
        <v>276622.14747571934</v>
      </c>
      <c r="S32" s="23">
        <f t="shared" si="5"/>
        <v>275239.03673834074</v>
      </c>
      <c r="T32" s="23">
        <f t="shared" si="5"/>
        <v>273862.841554649</v>
      </c>
      <c r="U32" s="23">
        <f t="shared" si="5"/>
        <v>272493.52734687581</v>
      </c>
      <c r="V32" s="23">
        <f t="shared" si="5"/>
        <v>271131.05971014139</v>
      </c>
      <c r="W32" s="23">
        <f t="shared" si="5"/>
        <v>269775.40441159066</v>
      </c>
      <c r="X32" s="23">
        <f t="shared" si="5"/>
        <v>268426.52738953271</v>
      </c>
      <c r="Y32" s="23">
        <f t="shared" si="5"/>
        <v>0</v>
      </c>
    </row>
    <row r="33" spans="1:25" x14ac:dyDescent="0.3">
      <c r="A33" s="1" t="s">
        <v>26</v>
      </c>
      <c r="B33" s="46">
        <f>'DY 22 &amp; DY 23 Assumptions'!C44</f>
        <v>80000</v>
      </c>
      <c r="C33" s="52"/>
      <c r="D33" s="32"/>
      <c r="E33" s="21"/>
      <c r="F33" s="21"/>
      <c r="G33" s="21"/>
      <c r="H33" s="21"/>
      <c r="I33" s="21"/>
      <c r="J33" s="21"/>
      <c r="K33" s="21"/>
      <c r="L33" s="21"/>
      <c r="M33" s="21"/>
      <c r="N33" s="21"/>
      <c r="O33" s="21"/>
      <c r="P33" s="21"/>
      <c r="Q33" s="21"/>
      <c r="R33" s="21"/>
      <c r="S33" s="21"/>
      <c r="T33" s="12"/>
      <c r="U33" s="22"/>
      <c r="V33" s="22"/>
      <c r="W33" s="22"/>
      <c r="X33" s="22"/>
      <c r="Y33" s="22"/>
    </row>
    <row r="34" spans="1:25" x14ac:dyDescent="0.3">
      <c r="A34" s="9" t="s">
        <v>27</v>
      </c>
      <c r="B34" s="6">
        <f>'DY 22 &amp; DY 23 Assumptions'!C45</f>
        <v>3703.7037037037035</v>
      </c>
      <c r="C34" s="11">
        <f>'DY 22 &amp; DY 23 Assumptions'!F45</f>
        <v>0.16907</v>
      </c>
      <c r="D34" s="32">
        <f>SUM(E34:Y34)</f>
        <v>104649.59513758567</v>
      </c>
      <c r="E34" s="21">
        <f>(B34*C34*8760)/1000</f>
        <v>5485.3822222222207</v>
      </c>
      <c r="F34" s="21">
        <f>E34*'DY 22 &amp; DY 23 Assumptions'!$D$102</f>
        <v>5457.9553111111099</v>
      </c>
      <c r="G34" s="21">
        <f>F34*'DY 22 &amp; DY 23 Assumptions'!$D$102</f>
        <v>5430.6655345555546</v>
      </c>
      <c r="H34" s="21">
        <f>G34*'DY 22 &amp; DY 23 Assumptions'!$D$102</f>
        <v>5403.5122068827768</v>
      </c>
      <c r="I34" s="21">
        <f>H34*'DY 22 &amp; DY 23 Assumptions'!$D$102</f>
        <v>5376.4946458483628</v>
      </c>
      <c r="J34" s="21">
        <f>I34*'DY 22 &amp; DY 23 Assumptions'!$D$102</f>
        <v>5349.6121726191213</v>
      </c>
      <c r="K34" s="21">
        <f>J34*'DY 22 &amp; DY 23 Assumptions'!$D$102</f>
        <v>5322.8641117560255</v>
      </c>
      <c r="L34" s="21">
        <f>K34*'DY 22 &amp; DY 23 Assumptions'!$D$102</f>
        <v>5296.249791197245</v>
      </c>
      <c r="M34" s="21">
        <f>L34*'DY 22 &amp; DY 23 Assumptions'!$D$102</f>
        <v>5269.7685422412587</v>
      </c>
      <c r="N34" s="21">
        <f>M34*'DY 22 &amp; DY 23 Assumptions'!$D$102</f>
        <v>5243.4196995300526</v>
      </c>
      <c r="O34" s="21">
        <f>N34*'DY 22 &amp; DY 23 Assumptions'!$D$102</f>
        <v>5217.2026010324025</v>
      </c>
      <c r="P34" s="21">
        <f>O34*'DY 22 &amp; DY 23 Assumptions'!$D$102</f>
        <v>5191.1165880272401</v>
      </c>
      <c r="Q34" s="21">
        <f>P34*'DY 22 &amp; DY 23 Assumptions'!$D$102</f>
        <v>5165.1610050871041</v>
      </c>
      <c r="R34" s="21">
        <f>Q34*'DY 22 &amp; DY 23 Assumptions'!$D$102</f>
        <v>5139.3352000616687</v>
      </c>
      <c r="S34" s="21">
        <f>R34*'DY 22 &amp; DY 23 Assumptions'!$D$102</f>
        <v>5113.6385240613599</v>
      </c>
      <c r="T34" s="21">
        <f>S34*'DY 22 &amp; DY 23 Assumptions'!$D$102</f>
        <v>5088.070331441053</v>
      </c>
      <c r="U34" s="21">
        <f>T34*'DY 22 &amp; DY 23 Assumptions'!$D$102</f>
        <v>5062.6299797838474</v>
      </c>
      <c r="V34" s="21">
        <f>U34*'DY 22 &amp; DY 23 Assumptions'!$D$102</f>
        <v>5037.3168298849278</v>
      </c>
      <c r="W34" s="21">
        <f>V34*'DY 22 &amp; DY 23 Assumptions'!$D$102</f>
        <v>5012.1302457355032</v>
      </c>
      <c r="X34" s="21">
        <f>W34*'DY 22 &amp; DY 23 Assumptions'!$D$102</f>
        <v>4987.0695945068255</v>
      </c>
      <c r="Y34" s="22"/>
    </row>
    <row r="35" spans="1:25" x14ac:dyDescent="0.3">
      <c r="A35" s="9" t="s">
        <v>19</v>
      </c>
      <c r="B35" s="6">
        <f>'DY 22 &amp; DY 23 Assumptions'!C46</f>
        <v>4444.4444444444443</v>
      </c>
      <c r="C35" s="11">
        <f>'DY 22 &amp; DY 23 Assumptions'!F46</f>
        <v>0.16907</v>
      </c>
      <c r="D35" s="32">
        <f>SUM(E35:Y35)</f>
        <v>125579.51416510281</v>
      </c>
      <c r="E35" s="21">
        <f>(B35*C35*8760)/1000</f>
        <v>6582.4586666666673</v>
      </c>
      <c r="F35" s="21">
        <f>E35*'DY 22 &amp; DY 23 Assumptions'!$D$102</f>
        <v>6549.5463733333336</v>
      </c>
      <c r="G35" s="21">
        <f>F35*'DY 22 &amp; DY 23 Assumptions'!$D$102</f>
        <v>6516.7986414666666</v>
      </c>
      <c r="H35" s="21">
        <f>G35*'DY 22 &amp; DY 23 Assumptions'!$D$102</f>
        <v>6484.2146482593334</v>
      </c>
      <c r="I35" s="21">
        <f>H35*'DY 22 &amp; DY 23 Assumptions'!$D$102</f>
        <v>6451.7935750180368</v>
      </c>
      <c r="J35" s="21">
        <f>I35*'DY 22 &amp; DY 23 Assumptions'!$D$102</f>
        <v>6419.5346071429467</v>
      </c>
      <c r="K35" s="21">
        <f>J35*'DY 22 &amp; DY 23 Assumptions'!$D$102</f>
        <v>6387.4369341072315</v>
      </c>
      <c r="L35" s="21">
        <f>K35*'DY 22 &amp; DY 23 Assumptions'!$D$102</f>
        <v>6355.4997494366953</v>
      </c>
      <c r="M35" s="21">
        <f>L35*'DY 22 &amp; DY 23 Assumptions'!$D$102</f>
        <v>6323.7222506895114</v>
      </c>
      <c r="N35" s="21">
        <f>M35*'DY 22 &amp; DY 23 Assumptions'!$D$102</f>
        <v>6292.1036394360635</v>
      </c>
      <c r="O35" s="21">
        <f>N35*'DY 22 &amp; DY 23 Assumptions'!$D$102</f>
        <v>6260.6431212388834</v>
      </c>
      <c r="P35" s="21">
        <f>O35*'DY 22 &amp; DY 23 Assumptions'!$D$102</f>
        <v>6229.3399056326889</v>
      </c>
      <c r="Q35" s="21">
        <f>P35*'DY 22 &amp; DY 23 Assumptions'!$D$102</f>
        <v>6198.1932061045254</v>
      </c>
      <c r="R35" s="21">
        <f>Q35*'DY 22 &amp; DY 23 Assumptions'!$D$102</f>
        <v>6167.2022400740025</v>
      </c>
      <c r="S35" s="21">
        <f>R35*'DY 22 &amp; DY 23 Assumptions'!$D$102</f>
        <v>6136.3662288736323</v>
      </c>
      <c r="T35" s="21">
        <f>S35*'DY 22 &amp; DY 23 Assumptions'!$D$102</f>
        <v>6105.6843977292638</v>
      </c>
      <c r="U35" s="21">
        <f>T35*'DY 22 &amp; DY 23 Assumptions'!$D$102</f>
        <v>6075.1559757406176</v>
      </c>
      <c r="V35" s="21">
        <f>U35*'DY 22 &amp; DY 23 Assumptions'!$D$102</f>
        <v>6044.7801958619148</v>
      </c>
      <c r="W35" s="21">
        <f>V35*'DY 22 &amp; DY 23 Assumptions'!$D$102</f>
        <v>6014.5562948826055</v>
      </c>
      <c r="X35" s="21">
        <f>W35*'DY 22 &amp; DY 23 Assumptions'!$D$102</f>
        <v>5984.4835134081923</v>
      </c>
      <c r="Y35" s="22"/>
    </row>
    <row r="36" spans="1:25" x14ac:dyDescent="0.3">
      <c r="A36" s="9" t="s">
        <v>15</v>
      </c>
      <c r="B36" s="6">
        <f>'DY 22 &amp; DY 23 Assumptions'!C47</f>
        <v>17037.037037037036</v>
      </c>
      <c r="C36" s="11">
        <f>'DY 22 &amp; DY 23 Assumptions'!F47</f>
        <v>0.16907</v>
      </c>
      <c r="D36" s="32">
        <f>SUM(E36:Y36)</f>
        <v>481388.13763289404</v>
      </c>
      <c r="E36" s="21">
        <f>(B36*C36*8760)/1000</f>
        <v>25232.758222222219</v>
      </c>
      <c r="F36" s="21">
        <f>E36*'DY 22 &amp; DY 23 Assumptions'!$D$102</f>
        <v>25106.594431111109</v>
      </c>
      <c r="G36" s="21">
        <f>F36*'DY 22 &amp; DY 23 Assumptions'!$D$102</f>
        <v>24981.061458955552</v>
      </c>
      <c r="H36" s="21">
        <f>G36*'DY 22 &amp; DY 23 Assumptions'!$D$102</f>
        <v>24856.156151660773</v>
      </c>
      <c r="I36" s="21">
        <f>H36*'DY 22 &amp; DY 23 Assumptions'!$D$102</f>
        <v>24731.875370902468</v>
      </c>
      <c r="J36" s="21">
        <f>I36*'DY 22 &amp; DY 23 Assumptions'!$D$102</f>
        <v>24608.215994047954</v>
      </c>
      <c r="K36" s="21">
        <f>J36*'DY 22 &amp; DY 23 Assumptions'!$D$102</f>
        <v>24485.174914077714</v>
      </c>
      <c r="L36" s="21">
        <f>K36*'DY 22 &amp; DY 23 Assumptions'!$D$102</f>
        <v>24362.749039507326</v>
      </c>
      <c r="M36" s="21">
        <f>L36*'DY 22 &amp; DY 23 Assumptions'!$D$102</f>
        <v>24240.935294309787</v>
      </c>
      <c r="N36" s="21">
        <f>M36*'DY 22 &amp; DY 23 Assumptions'!$D$102</f>
        <v>24119.730617838239</v>
      </c>
      <c r="O36" s="21">
        <f>N36*'DY 22 &amp; DY 23 Assumptions'!$D$102</f>
        <v>23999.131964749049</v>
      </c>
      <c r="P36" s="21">
        <f>O36*'DY 22 &amp; DY 23 Assumptions'!$D$102</f>
        <v>23879.136304925305</v>
      </c>
      <c r="Q36" s="21">
        <f>P36*'DY 22 &amp; DY 23 Assumptions'!$D$102</f>
        <v>23759.740623400678</v>
      </c>
      <c r="R36" s="21">
        <f>Q36*'DY 22 &amp; DY 23 Assumptions'!$D$102</f>
        <v>23640.941920283673</v>
      </c>
      <c r="S36" s="21">
        <f>R36*'DY 22 &amp; DY 23 Assumptions'!$D$102</f>
        <v>23522.737210682255</v>
      </c>
      <c r="T36" s="21">
        <f>S36*'DY 22 &amp; DY 23 Assumptions'!$D$102</f>
        <v>23405.123524628845</v>
      </c>
      <c r="U36" s="21">
        <f>T36*'DY 22 &amp; DY 23 Assumptions'!$D$102</f>
        <v>23288.0979070057</v>
      </c>
      <c r="V36" s="21">
        <f>U36*'DY 22 &amp; DY 23 Assumptions'!$D$102</f>
        <v>23171.657417470673</v>
      </c>
      <c r="W36" s="21">
        <f>V36*'DY 22 &amp; DY 23 Assumptions'!$D$102</f>
        <v>23055.799130383319</v>
      </c>
      <c r="X36" s="21">
        <f>W36*'DY 22 &amp; DY 23 Assumptions'!$D$102</f>
        <v>22940.520134731403</v>
      </c>
      <c r="Y36" s="22"/>
    </row>
    <row r="37" spans="1:25" x14ac:dyDescent="0.3">
      <c r="A37" s="9" t="s">
        <v>16</v>
      </c>
      <c r="B37" s="6">
        <f>'DY 22 &amp; DY 23 Assumptions'!C48</f>
        <v>36296.296296296299</v>
      </c>
      <c r="C37" s="11">
        <f>'DY 22 &amp; DY 23 Assumptions'!F48</f>
        <v>0.16907</v>
      </c>
      <c r="D37" s="32">
        <f>SUM(E37:Y37)</f>
        <v>1025566.0323483397</v>
      </c>
      <c r="E37" s="21">
        <f>(B37*C37*8760)/1000</f>
        <v>53756.745777777774</v>
      </c>
      <c r="F37" s="21">
        <f>E37*'DY 22 &amp; DY 23 Assumptions'!$D$102</f>
        <v>53487.962048888883</v>
      </c>
      <c r="G37" s="21">
        <f>F37*'DY 22 &amp; DY 23 Assumptions'!$D$102</f>
        <v>53220.522238644437</v>
      </c>
      <c r="H37" s="21">
        <f>G37*'DY 22 &amp; DY 23 Assumptions'!$D$102</f>
        <v>52954.419627451214</v>
      </c>
      <c r="I37" s="21">
        <f>H37*'DY 22 &amp; DY 23 Assumptions'!$D$102</f>
        <v>52689.647529313959</v>
      </c>
      <c r="J37" s="21">
        <f>I37*'DY 22 &amp; DY 23 Assumptions'!$D$102</f>
        <v>52426.199291667392</v>
      </c>
      <c r="K37" s="21">
        <f>J37*'DY 22 &amp; DY 23 Assumptions'!$D$102</f>
        <v>52164.068295209057</v>
      </c>
      <c r="L37" s="21">
        <f>K37*'DY 22 &amp; DY 23 Assumptions'!$D$102</f>
        <v>51903.247953733015</v>
      </c>
      <c r="M37" s="21">
        <f>L37*'DY 22 &amp; DY 23 Assumptions'!$D$102</f>
        <v>51643.731713964349</v>
      </c>
      <c r="N37" s="21">
        <f>M37*'DY 22 &amp; DY 23 Assumptions'!$D$102</f>
        <v>51385.513055394527</v>
      </c>
      <c r="O37" s="21">
        <f>N37*'DY 22 &amp; DY 23 Assumptions'!$D$102</f>
        <v>51128.585490117555</v>
      </c>
      <c r="P37" s="21">
        <f>O37*'DY 22 &amp; DY 23 Assumptions'!$D$102</f>
        <v>50872.942562666969</v>
      </c>
      <c r="Q37" s="21">
        <f>P37*'DY 22 &amp; DY 23 Assumptions'!$D$102</f>
        <v>50618.577849853631</v>
      </c>
      <c r="R37" s="21">
        <f>Q37*'DY 22 &amp; DY 23 Assumptions'!$D$102</f>
        <v>50365.484960604364</v>
      </c>
      <c r="S37" s="21">
        <f>R37*'DY 22 &amp; DY 23 Assumptions'!$D$102</f>
        <v>50113.657535801343</v>
      </c>
      <c r="T37" s="21">
        <f>S37*'DY 22 &amp; DY 23 Assumptions'!$D$102</f>
        <v>49863.089248122335</v>
      </c>
      <c r="U37" s="21">
        <f>T37*'DY 22 &amp; DY 23 Assumptions'!$D$102</f>
        <v>49613.773801881725</v>
      </c>
      <c r="V37" s="21">
        <f>U37*'DY 22 &amp; DY 23 Assumptions'!$D$102</f>
        <v>49365.704932872315</v>
      </c>
      <c r="W37" s="21">
        <f>V37*'DY 22 &amp; DY 23 Assumptions'!$D$102</f>
        <v>49118.876408207951</v>
      </c>
      <c r="X37" s="21">
        <f>W37*'DY 22 &amp; DY 23 Assumptions'!$D$102</f>
        <v>48873.282026166911</v>
      </c>
      <c r="Y37" s="22"/>
    </row>
    <row r="38" spans="1:25" x14ac:dyDescent="0.3">
      <c r="A38" s="9" t="s">
        <v>17</v>
      </c>
      <c r="B38" s="6">
        <f>'DY 22 &amp; DY 23 Assumptions'!C49</f>
        <v>18518.518518518518</v>
      </c>
      <c r="C38" s="11">
        <f>'DY 22 &amp; DY 23 Assumptions'!F49</f>
        <v>0.16907</v>
      </c>
      <c r="D38" s="32">
        <f>SUM(E38:Y38)</f>
        <v>523247.97568792832</v>
      </c>
      <c r="E38" s="21">
        <f>(B38*C38*8760)/1000</f>
        <v>27426.911111111109</v>
      </c>
      <c r="F38" s="21">
        <f>E38*'DY 22 &amp; DY 23 Assumptions'!$D$102</f>
        <v>27289.776555555552</v>
      </c>
      <c r="G38" s="21">
        <f>F38*'DY 22 &amp; DY 23 Assumptions'!$D$102</f>
        <v>27153.327672777774</v>
      </c>
      <c r="H38" s="21">
        <f>G38*'DY 22 &amp; DY 23 Assumptions'!$D$102</f>
        <v>27017.561034413884</v>
      </c>
      <c r="I38" s="21">
        <f>H38*'DY 22 &amp; DY 23 Assumptions'!$D$102</f>
        <v>26882.473229241816</v>
      </c>
      <c r="J38" s="21">
        <f>I38*'DY 22 &amp; DY 23 Assumptions'!$D$102</f>
        <v>26748.060863095605</v>
      </c>
      <c r="K38" s="21">
        <f>J38*'DY 22 &amp; DY 23 Assumptions'!$D$102</f>
        <v>26614.320558780128</v>
      </c>
      <c r="L38" s="21">
        <f>K38*'DY 22 &amp; DY 23 Assumptions'!$D$102</f>
        <v>26481.248955986226</v>
      </c>
      <c r="M38" s="21">
        <f>L38*'DY 22 &amp; DY 23 Assumptions'!$D$102</f>
        <v>26348.842711206296</v>
      </c>
      <c r="N38" s="21">
        <f>M38*'DY 22 &amp; DY 23 Assumptions'!$D$102</f>
        <v>26217.098497650266</v>
      </c>
      <c r="O38" s="21">
        <f>N38*'DY 22 &amp; DY 23 Assumptions'!$D$102</f>
        <v>26086.013005162014</v>
      </c>
      <c r="P38" s="21">
        <f>O38*'DY 22 &amp; DY 23 Assumptions'!$D$102</f>
        <v>25955.582940136203</v>
      </c>
      <c r="Q38" s="21">
        <f>P38*'DY 22 &amp; DY 23 Assumptions'!$D$102</f>
        <v>25825.805025435522</v>
      </c>
      <c r="R38" s="21">
        <f>Q38*'DY 22 &amp; DY 23 Assumptions'!$D$102</f>
        <v>25696.676000308344</v>
      </c>
      <c r="S38" s="21">
        <f>R38*'DY 22 &amp; DY 23 Assumptions'!$D$102</f>
        <v>25568.192620306803</v>
      </c>
      <c r="T38" s="21">
        <f>S38*'DY 22 &amp; DY 23 Assumptions'!$D$102</f>
        <v>25440.351657205269</v>
      </c>
      <c r="U38" s="21">
        <f>T38*'DY 22 &amp; DY 23 Assumptions'!$D$102</f>
        <v>25313.149898919241</v>
      </c>
      <c r="V38" s="21">
        <f>U38*'DY 22 &amp; DY 23 Assumptions'!$D$102</f>
        <v>25186.584149424645</v>
      </c>
      <c r="W38" s="21">
        <f>V38*'DY 22 &amp; DY 23 Assumptions'!$D$102</f>
        <v>25060.651228677521</v>
      </c>
      <c r="X38" s="21">
        <f>W38*'DY 22 &amp; DY 23 Assumptions'!$D$102</f>
        <v>24935.347972534135</v>
      </c>
      <c r="Y38" s="22"/>
    </row>
    <row r="39" spans="1:25" x14ac:dyDescent="0.3">
      <c r="A39" s="9" t="s">
        <v>79</v>
      </c>
      <c r="B39" s="6">
        <f>'DY 22 &amp; DY 23 Assumptions'!C50</f>
        <v>0</v>
      </c>
      <c r="C39" s="11">
        <f>'DY 22 &amp; DY 23 Assumptions'!F50</f>
        <v>0.16907</v>
      </c>
      <c r="D39" s="32"/>
      <c r="E39" s="21"/>
      <c r="F39" s="21"/>
      <c r="G39" s="21"/>
      <c r="H39" s="21"/>
      <c r="I39" s="21"/>
      <c r="J39" s="21"/>
      <c r="K39" s="21"/>
      <c r="L39" s="21"/>
      <c r="M39" s="21"/>
      <c r="N39" s="21"/>
      <c r="O39" s="21"/>
      <c r="P39" s="21"/>
      <c r="Q39" s="21"/>
      <c r="R39" s="21"/>
      <c r="S39" s="21"/>
      <c r="T39" s="21"/>
      <c r="U39" s="21"/>
      <c r="V39" s="21"/>
      <c r="W39" s="21"/>
      <c r="X39" s="21"/>
      <c r="Y39" s="22"/>
    </row>
    <row r="40" spans="1:25" x14ac:dyDescent="0.3">
      <c r="A40" s="1" t="s">
        <v>28</v>
      </c>
      <c r="B40" s="46">
        <f>'DY 22 &amp; DY 23 Assumptions'!C51</f>
        <v>119350</v>
      </c>
      <c r="C40" s="52"/>
      <c r="D40" s="32"/>
      <c r="E40" s="21"/>
      <c r="F40" s="21"/>
      <c r="G40" s="21"/>
      <c r="H40" s="21"/>
      <c r="I40" s="21"/>
      <c r="J40" s="21"/>
      <c r="K40" s="21"/>
      <c r="L40" s="21"/>
      <c r="M40" s="21"/>
      <c r="N40" s="21"/>
      <c r="O40" s="21"/>
      <c r="P40" s="21"/>
      <c r="Q40" s="21"/>
      <c r="R40" s="21"/>
      <c r="S40" s="21"/>
      <c r="T40" s="21"/>
      <c r="U40" s="21"/>
      <c r="V40" s="21"/>
      <c r="W40" s="21"/>
      <c r="X40" s="21"/>
      <c r="Y40" s="22"/>
    </row>
    <row r="41" spans="1:25" x14ac:dyDescent="0.3">
      <c r="A41" s="9" t="s">
        <v>27</v>
      </c>
      <c r="B41" s="6">
        <f>'DY 22 &amp; DY 23 Assumptions'!C52</f>
        <v>5525.4629629629626</v>
      </c>
      <c r="C41" s="11">
        <f>'DY 22 &amp; DY 23 Assumptions'!F52</f>
        <v>0.16907</v>
      </c>
      <c r="D41" s="32">
        <f>SUM(E41:Y41)</f>
        <v>156124.1147458856</v>
      </c>
      <c r="E41" s="21">
        <f>(B41*C41*8760)/1000</f>
        <v>8183.5046027777771</v>
      </c>
      <c r="F41" s="21">
        <f>E41*'DY 22 &amp; DY 23 Assumptions'!$D$102</f>
        <v>8142.5870797638881</v>
      </c>
      <c r="G41" s="21">
        <f>F41*'DY 22 &amp; DY 23 Assumptions'!$D$102</f>
        <v>8101.8741443650688</v>
      </c>
      <c r="H41" s="21">
        <f>G41*'DY 22 &amp; DY 23 Assumptions'!$D$102</f>
        <v>8061.3647736432431</v>
      </c>
      <c r="I41" s="21">
        <f>H41*'DY 22 &amp; DY 23 Assumptions'!$D$102</f>
        <v>8021.0579497750268</v>
      </c>
      <c r="J41" s="21">
        <f>I41*'DY 22 &amp; DY 23 Assumptions'!$D$102</f>
        <v>7980.9526600261515</v>
      </c>
      <c r="K41" s="21">
        <f>J41*'DY 22 &amp; DY 23 Assumptions'!$D$102</f>
        <v>7941.0478967260206</v>
      </c>
      <c r="L41" s="21">
        <f>K41*'DY 22 &amp; DY 23 Assumptions'!$D$102</f>
        <v>7901.3426572423905</v>
      </c>
      <c r="M41" s="21">
        <f>L41*'DY 22 &amp; DY 23 Assumptions'!$D$102</f>
        <v>7861.8359439561782</v>
      </c>
      <c r="N41" s="21">
        <f>M41*'DY 22 &amp; DY 23 Assumptions'!$D$102</f>
        <v>7822.526764236397</v>
      </c>
      <c r="O41" s="21">
        <f>N41*'DY 22 &amp; DY 23 Assumptions'!$D$102</f>
        <v>7783.4141304152154</v>
      </c>
      <c r="P41" s="21">
        <f>O41*'DY 22 &amp; DY 23 Assumptions'!$D$102</f>
        <v>7744.4970597631391</v>
      </c>
      <c r="Q41" s="21">
        <f>P41*'DY 22 &amp; DY 23 Assumptions'!$D$102</f>
        <v>7705.7745744643235</v>
      </c>
      <c r="R41" s="21">
        <f>Q41*'DY 22 &amp; DY 23 Assumptions'!$D$102</f>
        <v>7667.2457015920018</v>
      </c>
      <c r="S41" s="21">
        <f>R41*'DY 22 &amp; DY 23 Assumptions'!$D$102</f>
        <v>7628.9094730840416</v>
      </c>
      <c r="T41" s="21">
        <f>S41*'DY 22 &amp; DY 23 Assumptions'!$D$102</f>
        <v>7590.7649257186213</v>
      </c>
      <c r="U41" s="21">
        <f>T41*'DY 22 &amp; DY 23 Assumptions'!$D$102</f>
        <v>7552.8111010900284</v>
      </c>
      <c r="V41" s="21">
        <f>U41*'DY 22 &amp; DY 23 Assumptions'!$D$102</f>
        <v>7515.047045584578</v>
      </c>
      <c r="W41" s="21">
        <f>V41*'DY 22 &amp; DY 23 Assumptions'!$D$102</f>
        <v>7477.4718103566547</v>
      </c>
      <c r="X41" s="21">
        <f>W41*'DY 22 &amp; DY 23 Assumptions'!$D$102</f>
        <v>7440.0844513048714</v>
      </c>
      <c r="Y41" s="22"/>
    </row>
    <row r="42" spans="1:25" x14ac:dyDescent="0.3">
      <c r="A42" s="9" t="s">
        <v>19</v>
      </c>
      <c r="B42" s="6">
        <f>'DY 22 &amp; DY 23 Assumptions'!C53</f>
        <v>6630.5555555555547</v>
      </c>
      <c r="C42" s="11">
        <f>'DY 22 &amp; DY 23 Assumptions'!F53</f>
        <v>0.16907</v>
      </c>
      <c r="D42" s="32">
        <f>SUM(E42:Y42)</f>
        <v>187348.93769506272</v>
      </c>
      <c r="E42" s="21">
        <f>(B42*C42*8760)/1000</f>
        <v>9820.2055233333322</v>
      </c>
      <c r="F42" s="21">
        <f>E42*'DY 22 &amp; DY 23 Assumptions'!$D$102</f>
        <v>9771.104495716665</v>
      </c>
      <c r="G42" s="21">
        <f>F42*'DY 22 &amp; DY 23 Assumptions'!$D$102</f>
        <v>9722.2489732380818</v>
      </c>
      <c r="H42" s="21">
        <f>G42*'DY 22 &amp; DY 23 Assumptions'!$D$102</f>
        <v>9673.6377283718921</v>
      </c>
      <c r="I42" s="21">
        <f>H42*'DY 22 &amp; DY 23 Assumptions'!$D$102</f>
        <v>9625.2695397300322</v>
      </c>
      <c r="J42" s="21">
        <f>I42*'DY 22 &amp; DY 23 Assumptions'!$D$102</f>
        <v>9577.1431920313826</v>
      </c>
      <c r="K42" s="21">
        <f>J42*'DY 22 &amp; DY 23 Assumptions'!$D$102</f>
        <v>9529.257476071225</v>
      </c>
      <c r="L42" s="21">
        <f>K42*'DY 22 &amp; DY 23 Assumptions'!$D$102</f>
        <v>9481.6111886908693</v>
      </c>
      <c r="M42" s="21">
        <f>L42*'DY 22 &amp; DY 23 Assumptions'!$D$102</f>
        <v>9434.2031327474142</v>
      </c>
      <c r="N42" s="21">
        <f>M42*'DY 22 &amp; DY 23 Assumptions'!$D$102</f>
        <v>9387.0321170836778</v>
      </c>
      <c r="O42" s="21">
        <f>N42*'DY 22 &amp; DY 23 Assumptions'!$D$102</f>
        <v>9340.0969564982588</v>
      </c>
      <c r="P42" s="21">
        <f>O42*'DY 22 &amp; DY 23 Assumptions'!$D$102</f>
        <v>9293.3964717157669</v>
      </c>
      <c r="Q42" s="21">
        <f>P42*'DY 22 &amp; DY 23 Assumptions'!$D$102</f>
        <v>9246.9294893571878</v>
      </c>
      <c r="R42" s="21">
        <f>Q42*'DY 22 &amp; DY 23 Assumptions'!$D$102</f>
        <v>9200.694841910401</v>
      </c>
      <c r="S42" s="21">
        <f>R42*'DY 22 &amp; DY 23 Assumptions'!$D$102</f>
        <v>9154.6913677008488</v>
      </c>
      <c r="T42" s="21">
        <f>S42*'DY 22 &amp; DY 23 Assumptions'!$D$102</f>
        <v>9108.9179108623448</v>
      </c>
      <c r="U42" s="21">
        <f>T42*'DY 22 &amp; DY 23 Assumptions'!$D$102</f>
        <v>9063.3733213080322</v>
      </c>
      <c r="V42" s="21">
        <f>U42*'DY 22 &amp; DY 23 Assumptions'!$D$102</f>
        <v>9018.0564547014928</v>
      </c>
      <c r="W42" s="21">
        <f>V42*'DY 22 &amp; DY 23 Assumptions'!$D$102</f>
        <v>8972.9661724279849</v>
      </c>
      <c r="X42" s="21">
        <f>W42*'DY 22 &amp; DY 23 Assumptions'!$D$102</f>
        <v>8928.1013415658454</v>
      </c>
      <c r="Y42" s="22"/>
    </row>
    <row r="43" spans="1:25" x14ac:dyDescent="0.3">
      <c r="A43" s="9" t="s">
        <v>15</v>
      </c>
      <c r="B43" s="6">
        <f>'DY 22 &amp; DY 23 Assumptions'!C54</f>
        <v>25417.129629629631</v>
      </c>
      <c r="C43" s="11">
        <f>'DY 22 &amp; DY 23 Assumptions'!F54</f>
        <v>0.16907</v>
      </c>
      <c r="D43" s="32">
        <f>SUM(E43:Y43)</f>
        <v>718170.92783107387</v>
      </c>
      <c r="E43" s="21">
        <f>(B43*C43*8760)/1000</f>
        <v>37644.121172777777</v>
      </c>
      <c r="F43" s="21">
        <f>E43*'DY 22 &amp; DY 23 Assumptions'!$D$102</f>
        <v>37455.900566913886</v>
      </c>
      <c r="G43" s="21">
        <f>F43*'DY 22 &amp; DY 23 Assumptions'!$D$102</f>
        <v>37268.621064079314</v>
      </c>
      <c r="H43" s="21">
        <f>G43*'DY 22 &amp; DY 23 Assumptions'!$D$102</f>
        <v>37082.277958758918</v>
      </c>
      <c r="I43" s="21">
        <f>H43*'DY 22 &amp; DY 23 Assumptions'!$D$102</f>
        <v>36896.866568965124</v>
      </c>
      <c r="J43" s="21">
        <f>I43*'DY 22 &amp; DY 23 Assumptions'!$D$102</f>
        <v>36712.382236120298</v>
      </c>
      <c r="K43" s="21">
        <f>J43*'DY 22 &amp; DY 23 Assumptions'!$D$102</f>
        <v>36528.820324939697</v>
      </c>
      <c r="L43" s="21">
        <f>K43*'DY 22 &amp; DY 23 Assumptions'!$D$102</f>
        <v>36346.176223315</v>
      </c>
      <c r="M43" s="21">
        <f>L43*'DY 22 &amp; DY 23 Assumptions'!$D$102</f>
        <v>36164.445342198422</v>
      </c>
      <c r="N43" s="21">
        <f>M43*'DY 22 &amp; DY 23 Assumptions'!$D$102</f>
        <v>35983.623115487426</v>
      </c>
      <c r="O43" s="21">
        <f>N43*'DY 22 &amp; DY 23 Assumptions'!$D$102</f>
        <v>35803.704999909991</v>
      </c>
      <c r="P43" s="21">
        <f>O43*'DY 22 &amp; DY 23 Assumptions'!$D$102</f>
        <v>35624.686474910442</v>
      </c>
      <c r="Q43" s="21">
        <f>P43*'DY 22 &amp; DY 23 Assumptions'!$D$102</f>
        <v>35446.56304253589</v>
      </c>
      <c r="R43" s="21">
        <f>Q43*'DY 22 &amp; DY 23 Assumptions'!$D$102</f>
        <v>35269.330227323211</v>
      </c>
      <c r="S43" s="21">
        <f>R43*'DY 22 &amp; DY 23 Assumptions'!$D$102</f>
        <v>35092.983576186598</v>
      </c>
      <c r="T43" s="21">
        <f>S43*'DY 22 &amp; DY 23 Assumptions'!$D$102</f>
        <v>34917.518658305664</v>
      </c>
      <c r="U43" s="21">
        <f>T43*'DY 22 &amp; DY 23 Assumptions'!$D$102</f>
        <v>34742.931065014134</v>
      </c>
      <c r="V43" s="21">
        <f>U43*'DY 22 &amp; DY 23 Assumptions'!$D$102</f>
        <v>34569.216409689063</v>
      </c>
      <c r="W43" s="21">
        <f>V43*'DY 22 &amp; DY 23 Assumptions'!$D$102</f>
        <v>34396.370327640616</v>
      </c>
      <c r="X43" s="21">
        <f>W43*'DY 22 &amp; DY 23 Assumptions'!$D$102</f>
        <v>34224.388476002416</v>
      </c>
      <c r="Y43" s="22"/>
    </row>
    <row r="44" spans="1:25" x14ac:dyDescent="0.3">
      <c r="A44" s="9" t="s">
        <v>16</v>
      </c>
      <c r="B44" s="6">
        <f>'DY 22 &amp; DY 23 Assumptions'!C55</f>
        <v>54149.537037037036</v>
      </c>
      <c r="C44" s="11">
        <f>'DY 22 &amp; DY 23 Assumptions'!F55</f>
        <v>0.16907</v>
      </c>
      <c r="D44" s="32">
        <f>SUM(E44:Y44)</f>
        <v>1530016.3245096798</v>
      </c>
      <c r="E44" s="21">
        <f>(B44*C44*8760)/1000</f>
        <v>80198.345107222209</v>
      </c>
      <c r="F44" s="21">
        <f>E44*'DY 22 &amp; DY 23 Assumptions'!$D$102</f>
        <v>79797.353381686102</v>
      </c>
      <c r="G44" s="21">
        <f>F44*'DY 22 &amp; DY 23 Assumptions'!$D$102</f>
        <v>79398.366614777668</v>
      </c>
      <c r="H44" s="21">
        <f>G44*'DY 22 &amp; DY 23 Assumptions'!$D$102</f>
        <v>79001.37478170378</v>
      </c>
      <c r="I44" s="21">
        <f>H44*'DY 22 &amp; DY 23 Assumptions'!$D$102</f>
        <v>78606.367907795255</v>
      </c>
      <c r="J44" s="21">
        <f>I44*'DY 22 &amp; DY 23 Assumptions'!$D$102</f>
        <v>78213.336068256278</v>
      </c>
      <c r="K44" s="21">
        <f>J44*'DY 22 &amp; DY 23 Assumptions'!$D$102</f>
        <v>77822.269387915003</v>
      </c>
      <c r="L44" s="21">
        <f>K44*'DY 22 &amp; DY 23 Assumptions'!$D$102</f>
        <v>77433.158040975424</v>
      </c>
      <c r="M44" s="21">
        <f>L44*'DY 22 &amp; DY 23 Assumptions'!$D$102</f>
        <v>77045.992250770549</v>
      </c>
      <c r="N44" s="21">
        <f>M44*'DY 22 &amp; DY 23 Assumptions'!$D$102</f>
        <v>76660.762289516701</v>
      </c>
      <c r="O44" s="21">
        <f>N44*'DY 22 &amp; DY 23 Assumptions'!$D$102</f>
        <v>76277.458478069122</v>
      </c>
      <c r="P44" s="21">
        <f>O44*'DY 22 &amp; DY 23 Assumptions'!$D$102</f>
        <v>75896.071185678782</v>
      </c>
      <c r="Q44" s="21">
        <f>P44*'DY 22 &amp; DY 23 Assumptions'!$D$102</f>
        <v>75516.590829750392</v>
      </c>
      <c r="R44" s="21">
        <f>Q44*'DY 22 &amp; DY 23 Assumptions'!$D$102</f>
        <v>75139.007875601645</v>
      </c>
      <c r="S44" s="21">
        <f>R44*'DY 22 &amp; DY 23 Assumptions'!$D$102</f>
        <v>74763.312836223631</v>
      </c>
      <c r="T44" s="21">
        <f>S44*'DY 22 &amp; DY 23 Assumptions'!$D$102</f>
        <v>74389.49627204251</v>
      </c>
      <c r="U44" s="21">
        <f>T44*'DY 22 &amp; DY 23 Assumptions'!$D$102</f>
        <v>74017.548790682296</v>
      </c>
      <c r="V44" s="21">
        <f>U44*'DY 22 &amp; DY 23 Assumptions'!$D$102</f>
        <v>73647.461046728888</v>
      </c>
      <c r="W44" s="21">
        <f>V44*'DY 22 &amp; DY 23 Assumptions'!$D$102</f>
        <v>73279.22374149524</v>
      </c>
      <c r="X44" s="21">
        <f>W44*'DY 22 &amp; DY 23 Assumptions'!$D$102</f>
        <v>72912.827622787765</v>
      </c>
      <c r="Y44" s="22"/>
    </row>
    <row r="45" spans="1:25" x14ac:dyDescent="0.3">
      <c r="A45" s="9" t="s">
        <v>17</v>
      </c>
      <c r="B45" s="6">
        <f>'DY 22 &amp; DY 23 Assumptions'!C56</f>
        <v>27627.314814814814</v>
      </c>
      <c r="C45" s="11">
        <f>'DY 22 &amp; DY 23 Assumptions'!F56</f>
        <v>0.16907</v>
      </c>
      <c r="D45" s="32">
        <f>SUM(E45:Y45)</f>
        <v>780620.57372942835</v>
      </c>
      <c r="E45" s="21">
        <f>(B45*C45*8760)/1000</f>
        <v>40917.523013888887</v>
      </c>
      <c r="F45" s="21">
        <f>E45*'DY 22 &amp; DY 23 Assumptions'!$D$102</f>
        <v>40712.935398819442</v>
      </c>
      <c r="G45" s="21">
        <f>F45*'DY 22 &amp; DY 23 Assumptions'!$D$102</f>
        <v>40509.370721825348</v>
      </c>
      <c r="H45" s="21">
        <f>G45*'DY 22 &amp; DY 23 Assumptions'!$D$102</f>
        <v>40306.823868216219</v>
      </c>
      <c r="I45" s="21">
        <f>H45*'DY 22 &amp; DY 23 Assumptions'!$D$102</f>
        <v>40105.289748875141</v>
      </c>
      <c r="J45" s="21">
        <f>I45*'DY 22 &amp; DY 23 Assumptions'!$D$102</f>
        <v>39904.763300130762</v>
      </c>
      <c r="K45" s="21">
        <f>J45*'DY 22 &amp; DY 23 Assumptions'!$D$102</f>
        <v>39705.23948363011</v>
      </c>
      <c r="L45" s="21">
        <f>K45*'DY 22 &amp; DY 23 Assumptions'!$D$102</f>
        <v>39506.713286211962</v>
      </c>
      <c r="M45" s="21">
        <f>L45*'DY 22 &amp; DY 23 Assumptions'!$D$102</f>
        <v>39309.179719780899</v>
      </c>
      <c r="N45" s="21">
        <f>M45*'DY 22 &amp; DY 23 Assumptions'!$D$102</f>
        <v>39112.633821181997</v>
      </c>
      <c r="O45" s="21">
        <f>N45*'DY 22 &amp; DY 23 Assumptions'!$D$102</f>
        <v>38917.070652076087</v>
      </c>
      <c r="P45" s="21">
        <f>O45*'DY 22 &amp; DY 23 Assumptions'!$D$102</f>
        <v>38722.485298815707</v>
      </c>
      <c r="Q45" s="21">
        <f>P45*'DY 22 &amp; DY 23 Assumptions'!$D$102</f>
        <v>38528.872872321626</v>
      </c>
      <c r="R45" s="21">
        <f>Q45*'DY 22 &amp; DY 23 Assumptions'!$D$102</f>
        <v>38336.228507960019</v>
      </c>
      <c r="S45" s="21">
        <f>R45*'DY 22 &amp; DY 23 Assumptions'!$D$102</f>
        <v>38144.547365420221</v>
      </c>
      <c r="T45" s="21">
        <f>S45*'DY 22 &amp; DY 23 Assumptions'!$D$102</f>
        <v>37953.824628593124</v>
      </c>
      <c r="U45" s="21">
        <f>T45*'DY 22 &amp; DY 23 Assumptions'!$D$102</f>
        <v>37764.05550545016</v>
      </c>
      <c r="V45" s="21">
        <f>U45*'DY 22 &amp; DY 23 Assumptions'!$D$102</f>
        <v>37575.235227922909</v>
      </c>
      <c r="W45" s="21">
        <f>V45*'DY 22 &amp; DY 23 Assumptions'!$D$102</f>
        <v>37387.359051783293</v>
      </c>
      <c r="X45" s="21">
        <f>W45*'DY 22 &amp; DY 23 Assumptions'!$D$102</f>
        <v>37200.422256524376</v>
      </c>
      <c r="Y45" s="22"/>
    </row>
    <row r="46" spans="1:25" x14ac:dyDescent="0.3">
      <c r="A46" s="9" t="s">
        <v>79</v>
      </c>
      <c r="B46" s="6">
        <f>'DY 22 &amp; DY 23 Assumptions'!C57</f>
        <v>0</v>
      </c>
      <c r="C46" s="11">
        <f>'DY 22 &amp; DY 23 Assumptions'!F57</f>
        <v>0.16907</v>
      </c>
      <c r="D46" s="32"/>
      <c r="E46" s="21"/>
      <c r="F46" s="21"/>
      <c r="G46" s="21"/>
      <c r="H46" s="21"/>
      <c r="I46" s="21"/>
      <c r="J46" s="21"/>
      <c r="K46" s="21"/>
      <c r="L46" s="21"/>
      <c r="M46" s="21"/>
      <c r="N46" s="21"/>
      <c r="O46" s="21"/>
      <c r="P46" s="21"/>
      <c r="Q46" s="21"/>
      <c r="R46" s="21"/>
      <c r="S46" s="21"/>
      <c r="T46" s="21"/>
      <c r="U46" s="21"/>
      <c r="V46" s="21"/>
      <c r="W46" s="21"/>
      <c r="X46" s="21"/>
      <c r="Y46" s="22"/>
    </row>
    <row r="47" spans="1:25" x14ac:dyDescent="0.3">
      <c r="A47" s="5" t="s">
        <v>29</v>
      </c>
      <c r="B47" s="6">
        <f>'DY 22 &amp; DY 23 Assumptions'!C58</f>
        <v>40000</v>
      </c>
      <c r="C47" s="118"/>
      <c r="D47" s="31"/>
      <c r="E47" s="23">
        <f t="shared" ref="E47:X47" si="6">SUM(E48:E49)</f>
        <v>0</v>
      </c>
      <c r="F47" s="23">
        <f t="shared" si="6"/>
        <v>59242.127999999997</v>
      </c>
      <c r="G47" s="23">
        <f t="shared" si="6"/>
        <v>58945.917359999992</v>
      </c>
      <c r="H47" s="23">
        <f t="shared" si="6"/>
        <v>58651.187773199999</v>
      </c>
      <c r="I47" s="23">
        <f t="shared" si="6"/>
        <v>58357.931834333998</v>
      </c>
      <c r="J47" s="23">
        <f t="shared" si="6"/>
        <v>58066.142175162327</v>
      </c>
      <c r="K47" s="23">
        <f t="shared" si="6"/>
        <v>57775.811464286518</v>
      </c>
      <c r="L47" s="23">
        <f t="shared" si="6"/>
        <v>57486.932406965083</v>
      </c>
      <c r="M47" s="23">
        <f t="shared" si="6"/>
        <v>57199.497744930261</v>
      </c>
      <c r="N47" s="23">
        <f t="shared" si="6"/>
        <v>56913.500256205611</v>
      </c>
      <c r="O47" s="23">
        <f t="shared" si="6"/>
        <v>56628.932754924579</v>
      </c>
      <c r="P47" s="23">
        <f t="shared" si="6"/>
        <v>56345.788091149952</v>
      </c>
      <c r="Q47" s="23">
        <f t="shared" si="6"/>
        <v>56064.059150694207</v>
      </c>
      <c r="R47" s="23">
        <f t="shared" si="6"/>
        <v>55783.738854940733</v>
      </c>
      <c r="S47" s="23">
        <f t="shared" si="6"/>
        <v>55504.82016066603</v>
      </c>
      <c r="T47" s="23">
        <f t="shared" si="6"/>
        <v>55227.296059862696</v>
      </c>
      <c r="U47" s="23">
        <f t="shared" si="6"/>
        <v>0</v>
      </c>
      <c r="V47" s="23">
        <f t="shared" si="6"/>
        <v>0</v>
      </c>
      <c r="W47" s="23">
        <f t="shared" si="6"/>
        <v>0</v>
      </c>
      <c r="X47" s="23">
        <f t="shared" si="6"/>
        <v>0</v>
      </c>
      <c r="Y47" s="1"/>
    </row>
    <row r="48" spans="1:25" x14ac:dyDescent="0.3">
      <c r="A48" s="1" t="s">
        <v>30</v>
      </c>
      <c r="B48" s="46">
        <f>'DY 22 &amp; DY 23 Assumptions'!C59</f>
        <v>10000</v>
      </c>
      <c r="C48" s="52">
        <f>'DY 22 &amp; DY 23 Assumptions'!F59</f>
        <v>0.16907</v>
      </c>
      <c r="D48" s="32">
        <f>SUM(E48:Y48)</f>
        <v>214548.42102183049</v>
      </c>
      <c r="E48" s="21"/>
      <c r="F48" s="21">
        <f>(B48*C48*8760)/1000</f>
        <v>14810.531999999999</v>
      </c>
      <c r="G48" s="21">
        <f>F48*'Reopening Assumptions'!$A$121</f>
        <v>14736.47934</v>
      </c>
      <c r="H48" s="21">
        <f>G48*'Reopening Assumptions'!$A$121</f>
        <v>14662.7969433</v>
      </c>
      <c r="I48" s="21">
        <f>H48*'Reopening Assumptions'!$A$121</f>
        <v>14589.4829585835</v>
      </c>
      <c r="J48" s="21">
        <f>I48*'Reopening Assumptions'!$A$121</f>
        <v>14516.535543790582</v>
      </c>
      <c r="K48" s="21">
        <f>J48*'Reopening Assumptions'!$A$121</f>
        <v>14443.95286607163</v>
      </c>
      <c r="L48" s="21">
        <f>K48*'Reopening Assumptions'!$A$121</f>
        <v>14371.733101741271</v>
      </c>
      <c r="M48" s="21">
        <f>L48*'Reopening Assumptions'!$A$121</f>
        <v>14299.874436232565</v>
      </c>
      <c r="N48" s="21">
        <f>M48*'Reopening Assumptions'!$A$121</f>
        <v>14228.375064051403</v>
      </c>
      <c r="O48" s="21">
        <f>N48*'Reopening Assumptions'!$A$121</f>
        <v>14157.233188731145</v>
      </c>
      <c r="P48" s="21">
        <f>O48*'Reopening Assumptions'!$A$121</f>
        <v>14086.447022787488</v>
      </c>
      <c r="Q48" s="21">
        <f>P48*'Reopening Assumptions'!$A$121</f>
        <v>14016.01478767355</v>
      </c>
      <c r="R48" s="21">
        <f>Q48*'Reopening Assumptions'!$A$121</f>
        <v>13945.934713735182</v>
      </c>
      <c r="S48" s="21">
        <f>R48*'Reopening Assumptions'!$A$121</f>
        <v>13876.205040166506</v>
      </c>
      <c r="T48" s="21">
        <f>S48*'Reopening Assumptions'!$A$121</f>
        <v>13806.824014965672</v>
      </c>
      <c r="U48" s="12"/>
      <c r="V48" s="12"/>
      <c r="W48" s="12"/>
      <c r="X48" s="12"/>
      <c r="Y48" s="12"/>
    </row>
    <row r="49" spans="1:25" x14ac:dyDescent="0.3">
      <c r="A49" s="1" t="s">
        <v>32</v>
      </c>
      <c r="B49" s="46">
        <f>'DY 22 &amp; DY 23 Assumptions'!C67</f>
        <v>30000</v>
      </c>
      <c r="C49" s="52">
        <f>'DY 22 &amp; DY 23 Assumptions'!F67</f>
        <v>0.16907</v>
      </c>
      <c r="D49" s="32">
        <f>SUM(E49:Y49)</f>
        <v>643645.26306549145</v>
      </c>
      <c r="E49" s="21"/>
      <c r="F49" s="21">
        <f>(B49*C49*8760)/1000</f>
        <v>44431.595999999998</v>
      </c>
      <c r="G49" s="21">
        <f>F49*'Reopening Assumptions'!$A$121</f>
        <v>44209.438019999994</v>
      </c>
      <c r="H49" s="21">
        <f>G49*'Reopening Assumptions'!$A$121</f>
        <v>43988.390829899996</v>
      </c>
      <c r="I49" s="21">
        <f>H49*'Reopening Assumptions'!$A$121</f>
        <v>43768.448875750495</v>
      </c>
      <c r="J49" s="21">
        <f>I49*'Reopening Assumptions'!$A$121</f>
        <v>43549.606631371746</v>
      </c>
      <c r="K49" s="21">
        <f>J49*'Reopening Assumptions'!$A$121</f>
        <v>43331.858598214887</v>
      </c>
      <c r="L49" s="21">
        <f>K49*'Reopening Assumptions'!$A$121</f>
        <v>43115.19930522381</v>
      </c>
      <c r="M49" s="21">
        <f>L49*'Reopening Assumptions'!$A$121</f>
        <v>42899.623308697694</v>
      </c>
      <c r="N49" s="21">
        <f>M49*'Reopening Assumptions'!$A$121</f>
        <v>42685.125192154206</v>
      </c>
      <c r="O49" s="21">
        <f>N49*'Reopening Assumptions'!$A$121</f>
        <v>42471.699566193434</v>
      </c>
      <c r="P49" s="21">
        <f>O49*'Reopening Assumptions'!$A$121</f>
        <v>42259.341068362468</v>
      </c>
      <c r="Q49" s="21">
        <f>P49*'Reopening Assumptions'!$A$121</f>
        <v>42048.044363020657</v>
      </c>
      <c r="R49" s="21">
        <f>Q49*'Reopening Assumptions'!$A$121</f>
        <v>41837.804141205554</v>
      </c>
      <c r="S49" s="21">
        <f>R49*'Reopening Assumptions'!$A$121</f>
        <v>41628.615120499526</v>
      </c>
      <c r="T49" s="21">
        <f>S49*'Reopening Assumptions'!$A$121</f>
        <v>41420.472044897026</v>
      </c>
      <c r="U49" s="12"/>
      <c r="V49" s="12"/>
      <c r="W49" s="12"/>
      <c r="X49" s="12"/>
      <c r="Y49" s="12"/>
    </row>
    <row r="50" spans="1:25" x14ac:dyDescent="0.3">
      <c r="A50" s="13" t="s">
        <v>33</v>
      </c>
      <c r="B50" s="6">
        <f>'DY 22 &amp; DY 23 Assumptions'!C75</f>
        <v>141000</v>
      </c>
      <c r="C50" s="118"/>
      <c r="D50" s="31"/>
      <c r="E50" s="23">
        <f t="shared" ref="E50:Y50" si="7">SUM(E51:E61)</f>
        <v>182432.62174992182</v>
      </c>
      <c r="F50" s="23">
        <f t="shared" si="7"/>
        <v>181520.45864117221</v>
      </c>
      <c r="G50" s="23">
        <f t="shared" si="7"/>
        <v>180612.85634796636</v>
      </c>
      <c r="H50" s="23">
        <f t="shared" si="7"/>
        <v>179709.79206622654</v>
      </c>
      <c r="I50" s="23">
        <f t="shared" si="7"/>
        <v>178811.24310589541</v>
      </c>
      <c r="J50" s="23">
        <f t="shared" si="7"/>
        <v>177917.18689036591</v>
      </c>
      <c r="K50" s="23">
        <f t="shared" si="7"/>
        <v>177027.60095591407</v>
      </c>
      <c r="L50" s="23">
        <f t="shared" si="7"/>
        <v>176142.46295113451</v>
      </c>
      <c r="M50" s="23">
        <f t="shared" si="7"/>
        <v>175261.75063637883</v>
      </c>
      <c r="N50" s="23">
        <f t="shared" si="7"/>
        <v>174385.44188319694</v>
      </c>
      <c r="O50" s="23">
        <f t="shared" si="7"/>
        <v>173513.51467378094</v>
      </c>
      <c r="P50" s="23">
        <f t="shared" si="7"/>
        <v>172645.94710041204</v>
      </c>
      <c r="Q50" s="23">
        <f t="shared" si="7"/>
        <v>171782.71736491</v>
      </c>
      <c r="R50" s="23">
        <f t="shared" si="7"/>
        <v>170923.80377808545</v>
      </c>
      <c r="S50" s="23">
        <f t="shared" si="7"/>
        <v>170069.18475919502</v>
      </c>
      <c r="T50" s="23">
        <f t="shared" si="7"/>
        <v>0</v>
      </c>
      <c r="U50" s="23">
        <f t="shared" si="7"/>
        <v>0</v>
      </c>
      <c r="V50" s="23">
        <f t="shared" si="7"/>
        <v>0</v>
      </c>
      <c r="W50" s="23">
        <f t="shared" si="7"/>
        <v>0</v>
      </c>
      <c r="X50" s="23">
        <f t="shared" si="7"/>
        <v>0</v>
      </c>
      <c r="Y50" s="23">
        <f t="shared" si="7"/>
        <v>0</v>
      </c>
    </row>
    <row r="51" spans="1:25" x14ac:dyDescent="0.3">
      <c r="A51" s="1" t="s">
        <v>34</v>
      </c>
      <c r="B51" s="46">
        <f>'DY 22 &amp; DY 23 Assumptions'!C76</f>
        <v>42500</v>
      </c>
      <c r="C51" s="52"/>
      <c r="D51" s="31"/>
      <c r="E51" s="20"/>
      <c r="F51" s="20"/>
      <c r="G51" s="20"/>
      <c r="H51" s="20"/>
      <c r="I51" s="20"/>
      <c r="J51" s="20"/>
      <c r="K51" s="20"/>
      <c r="L51" s="20"/>
      <c r="M51" s="20"/>
      <c r="N51" s="20"/>
      <c r="O51" s="20"/>
      <c r="P51" s="20"/>
      <c r="Q51" s="20"/>
      <c r="R51" s="20"/>
      <c r="S51" s="20"/>
      <c r="T51" s="1"/>
      <c r="U51" s="1"/>
      <c r="V51" s="1"/>
      <c r="W51" s="1"/>
      <c r="X51" s="1"/>
      <c r="Y51" s="1"/>
    </row>
    <row r="52" spans="1:25" x14ac:dyDescent="0.3">
      <c r="A52" s="9" t="s">
        <v>14</v>
      </c>
      <c r="B52" s="6">
        <f>'DY 22 &amp; DY 23 Assumptions'!C77</f>
        <v>3510.0689684704639</v>
      </c>
      <c r="C52" s="11">
        <f>'DY 22 &amp; DY 23 Assumptions'!F77</f>
        <v>0.15196999999999999</v>
      </c>
      <c r="D52" s="32">
        <f>SUM(E52:Y52)</f>
        <v>67691.210946081352</v>
      </c>
      <c r="E52" s="21">
        <f>(B52*C52*8760)/1000</f>
        <v>4672.8045867728788</v>
      </c>
      <c r="F52" s="21">
        <f>E52*'DY 22 &amp; DY 23 Assumptions'!$D$102</f>
        <v>4649.4405638390144</v>
      </c>
      <c r="G52" s="21">
        <f>F52*'DY 22 &amp; DY 23 Assumptions'!$D$102</f>
        <v>4626.1933610198193</v>
      </c>
      <c r="H52" s="21">
        <f>G52*'DY 22 &amp; DY 23 Assumptions'!$D$102</f>
        <v>4603.0623942147204</v>
      </c>
      <c r="I52" s="21">
        <f>H52*'DY 22 &amp; DY 23 Assumptions'!$D$102</f>
        <v>4580.0470822436464</v>
      </c>
      <c r="J52" s="21">
        <f>I52*'DY 22 &amp; DY 23 Assumptions'!$D$102</f>
        <v>4557.1468468324283</v>
      </c>
      <c r="K52" s="21">
        <f>J52*'DY 22 &amp; DY 23 Assumptions'!$D$102</f>
        <v>4534.3611125982661</v>
      </c>
      <c r="L52" s="21">
        <f>K52*'DY 22 &amp; DY 23 Assumptions'!$D$102</f>
        <v>4511.6893070352744</v>
      </c>
      <c r="M52" s="21">
        <f>L52*'DY 22 &amp; DY 23 Assumptions'!$D$102</f>
        <v>4489.1308605000977</v>
      </c>
      <c r="N52" s="21">
        <f>M52*'DY 22 &amp; DY 23 Assumptions'!$D$102</f>
        <v>4466.6852061975969</v>
      </c>
      <c r="O52" s="21">
        <f>N52*'DY 22 &amp; DY 23 Assumptions'!$D$102</f>
        <v>4444.3517801666085</v>
      </c>
      <c r="P52" s="21">
        <f>O52*'DY 22 &amp; DY 23 Assumptions'!$D$102</f>
        <v>4422.1300212657752</v>
      </c>
      <c r="Q52" s="21">
        <f>P52*'DY 22 &amp; DY 23 Assumptions'!$D$102</f>
        <v>4400.0193711594466</v>
      </c>
      <c r="R52" s="21">
        <f>Q52*'DY 22 &amp; DY 23 Assumptions'!$D$102</f>
        <v>4378.0192743036496</v>
      </c>
      <c r="S52" s="21">
        <f>R52*'DY 22 &amp; DY 23 Assumptions'!$D$102</f>
        <v>4356.1291779321309</v>
      </c>
      <c r="T52" s="12"/>
      <c r="U52" s="12"/>
      <c r="V52" s="12"/>
      <c r="W52" s="12"/>
      <c r="X52" s="12"/>
      <c r="Y52" s="12"/>
    </row>
    <row r="53" spans="1:25" x14ac:dyDescent="0.3">
      <c r="A53" s="9" t="s">
        <v>15</v>
      </c>
      <c r="B53" s="6">
        <f>'DY 22 &amp; DY 23 Assumptions'!C78</f>
        <v>2711.3609101860147</v>
      </c>
      <c r="C53" s="11">
        <f>'DY 22 &amp; DY 23 Assumptions'!F78</f>
        <v>0.14819000000000002</v>
      </c>
      <c r="D53" s="32">
        <f>SUM(E53:Y53)</f>
        <v>50987.650304197137</v>
      </c>
      <c r="E53" s="21">
        <f>(B53*C53*8760)/1000</f>
        <v>3519.7379819368784</v>
      </c>
      <c r="F53" s="21">
        <f>E53*'DY 22 &amp; DY 23 Assumptions'!$D$102</f>
        <v>3502.1392920271942</v>
      </c>
      <c r="G53" s="21">
        <f>F53*'DY 22 &amp; DY 23 Assumptions'!$D$102</f>
        <v>3484.6285955670583</v>
      </c>
      <c r="H53" s="21">
        <f>G53*'DY 22 &amp; DY 23 Assumptions'!$D$102</f>
        <v>3467.2054525892231</v>
      </c>
      <c r="I53" s="21">
        <f>H53*'DY 22 &amp; DY 23 Assumptions'!$D$102</f>
        <v>3449.869425326277</v>
      </c>
      <c r="J53" s="21">
        <f>I53*'DY 22 &amp; DY 23 Assumptions'!$D$102</f>
        <v>3432.6200781996454</v>
      </c>
      <c r="K53" s="21">
        <f>J53*'DY 22 &amp; DY 23 Assumptions'!$D$102</f>
        <v>3415.456977808647</v>
      </c>
      <c r="L53" s="21">
        <f>K53*'DY 22 &amp; DY 23 Assumptions'!$D$102</f>
        <v>3398.3796929196037</v>
      </c>
      <c r="M53" s="21">
        <f>L53*'DY 22 &amp; DY 23 Assumptions'!$D$102</f>
        <v>3381.3877944550059</v>
      </c>
      <c r="N53" s="21">
        <f>M53*'DY 22 &amp; DY 23 Assumptions'!$D$102</f>
        <v>3364.4808554827309</v>
      </c>
      <c r="O53" s="21">
        <f>N53*'DY 22 &amp; DY 23 Assumptions'!$D$102</f>
        <v>3347.6584512053173</v>
      </c>
      <c r="P53" s="21">
        <f>O53*'DY 22 &amp; DY 23 Assumptions'!$D$102</f>
        <v>3330.9201589492909</v>
      </c>
      <c r="Q53" s="21">
        <f>P53*'DY 22 &amp; DY 23 Assumptions'!$D$102</f>
        <v>3314.2655581545446</v>
      </c>
      <c r="R53" s="21">
        <f>Q53*'DY 22 &amp; DY 23 Assumptions'!$D$102</f>
        <v>3297.694230363772</v>
      </c>
      <c r="S53" s="21">
        <f>R53*'DY 22 &amp; DY 23 Assumptions'!$D$102</f>
        <v>3281.2057592119531</v>
      </c>
      <c r="T53" s="12"/>
      <c r="U53" s="12"/>
      <c r="V53" s="12"/>
      <c r="W53" s="12"/>
      <c r="X53" s="12"/>
      <c r="Y53" s="12"/>
    </row>
    <row r="54" spans="1:25" x14ac:dyDescent="0.3">
      <c r="A54" s="9" t="s">
        <v>16</v>
      </c>
      <c r="B54" s="6">
        <f>'DY 22 &amp; DY 23 Assumptions'!C79</f>
        <v>6293.923494905488</v>
      </c>
      <c r="C54" s="11">
        <f>'DY 22 &amp; DY 23 Assumptions'!F79</f>
        <v>0.15303</v>
      </c>
      <c r="D54" s="32">
        <f>SUM(E54:Y54)</f>
        <v>122224.08869915092</v>
      </c>
      <c r="E54" s="21">
        <f>(B54*C54*8760)/1000</f>
        <v>8437.2738248463884</v>
      </c>
      <c r="F54" s="21">
        <f>E54*'DY 22 &amp; DY 23 Assumptions'!$D$102</f>
        <v>8395.0874557221559</v>
      </c>
      <c r="G54" s="21">
        <f>F54*'DY 22 &amp; DY 23 Assumptions'!$D$102</f>
        <v>8353.1120184435458</v>
      </c>
      <c r="H54" s="21">
        <f>G54*'DY 22 &amp; DY 23 Assumptions'!$D$102</f>
        <v>8311.3464583513287</v>
      </c>
      <c r="I54" s="21">
        <f>H54*'DY 22 &amp; DY 23 Assumptions'!$D$102</f>
        <v>8269.7897260595728</v>
      </c>
      <c r="J54" s="21">
        <f>I54*'DY 22 &amp; DY 23 Assumptions'!$D$102</f>
        <v>8228.440777429274</v>
      </c>
      <c r="K54" s="21">
        <f>J54*'DY 22 &amp; DY 23 Assumptions'!$D$102</f>
        <v>8187.298573542128</v>
      </c>
      <c r="L54" s="21">
        <f>K54*'DY 22 &amp; DY 23 Assumptions'!$D$102</f>
        <v>8146.3620806744175</v>
      </c>
      <c r="M54" s="21">
        <f>L54*'DY 22 &amp; DY 23 Assumptions'!$D$102</f>
        <v>8105.6302702710454</v>
      </c>
      <c r="N54" s="21">
        <f>M54*'DY 22 &amp; DY 23 Assumptions'!$D$102</f>
        <v>8065.1021189196899</v>
      </c>
      <c r="O54" s="21">
        <f>N54*'DY 22 &amp; DY 23 Assumptions'!$D$102</f>
        <v>8024.7766083250917</v>
      </c>
      <c r="P54" s="21">
        <f>O54*'DY 22 &amp; DY 23 Assumptions'!$D$102</f>
        <v>7984.6527252834667</v>
      </c>
      <c r="Q54" s="21">
        <f>P54*'DY 22 &amp; DY 23 Assumptions'!$D$102</f>
        <v>7944.7294616570489</v>
      </c>
      <c r="R54" s="21">
        <f>Q54*'DY 22 &amp; DY 23 Assumptions'!$D$102</f>
        <v>7905.005814348764</v>
      </c>
      <c r="S54" s="21">
        <f>R54*'DY 22 &amp; DY 23 Assumptions'!$D$102</f>
        <v>7865.48078527702</v>
      </c>
      <c r="T54" s="12"/>
      <c r="U54" s="12"/>
      <c r="V54" s="12"/>
      <c r="W54" s="12"/>
      <c r="X54" s="12"/>
      <c r="Y54" s="12"/>
    </row>
    <row r="55" spans="1:25" x14ac:dyDescent="0.3">
      <c r="A55" s="9" t="s">
        <v>17</v>
      </c>
      <c r="B55" s="6">
        <f>'DY 22 &amp; DY 23 Assumptions'!C80</f>
        <v>29984.559963418011</v>
      </c>
      <c r="C55" s="11">
        <f>'DY 22 &amp; DY 23 Assumptions'!F80</f>
        <v>0.14410999999999999</v>
      </c>
      <c r="D55" s="32">
        <f>SUM(E55:Y55)</f>
        <v>548340.8083670761</v>
      </c>
      <c r="E55" s="21">
        <f>(B55*C55*8760)/1000</f>
        <v>37852.616442234765</v>
      </c>
      <c r="F55" s="21">
        <f>E55*'DY 22 &amp; DY 23 Assumptions'!$D$102</f>
        <v>37663.35336002359</v>
      </c>
      <c r="G55" s="21">
        <f>F55*'DY 22 &amp; DY 23 Assumptions'!$D$102</f>
        <v>37475.036593223471</v>
      </c>
      <c r="H55" s="21">
        <f>G55*'DY 22 &amp; DY 23 Assumptions'!$D$102</f>
        <v>37287.661410257351</v>
      </c>
      <c r="I55" s="21">
        <f>H55*'DY 22 &amp; DY 23 Assumptions'!$D$102</f>
        <v>37101.223103206066</v>
      </c>
      <c r="J55" s="21">
        <f>I55*'DY 22 &amp; DY 23 Assumptions'!$D$102</f>
        <v>36915.716987690037</v>
      </c>
      <c r="K55" s="21">
        <f>J55*'DY 22 &amp; DY 23 Assumptions'!$D$102</f>
        <v>36731.138402751589</v>
      </c>
      <c r="L55" s="21">
        <f>K55*'DY 22 &amp; DY 23 Assumptions'!$D$102</f>
        <v>36547.48271073783</v>
      </c>
      <c r="M55" s="21">
        <f>L55*'DY 22 &amp; DY 23 Assumptions'!$D$102</f>
        <v>36364.745297184141</v>
      </c>
      <c r="N55" s="21">
        <f>M55*'DY 22 &amp; DY 23 Assumptions'!$D$102</f>
        <v>36182.921570698221</v>
      </c>
      <c r="O55" s="21">
        <f>N55*'DY 22 &amp; DY 23 Assumptions'!$D$102</f>
        <v>36002.006962844731</v>
      </c>
      <c r="P55" s="21">
        <f>O55*'DY 22 &amp; DY 23 Assumptions'!$D$102</f>
        <v>35821.996928030509</v>
      </c>
      <c r="Q55" s="21">
        <f>P55*'DY 22 &amp; DY 23 Assumptions'!$D$102</f>
        <v>35642.886943390353</v>
      </c>
      <c r="R55" s="21">
        <f>Q55*'DY 22 &amp; DY 23 Assumptions'!$D$102</f>
        <v>35464.6725086734</v>
      </c>
      <c r="S55" s="21">
        <f>R55*'DY 22 &amp; DY 23 Assumptions'!$D$102</f>
        <v>35287.349146130036</v>
      </c>
      <c r="T55" s="12"/>
      <c r="U55" s="12"/>
      <c r="V55" s="12"/>
      <c r="W55" s="12"/>
      <c r="X55" s="12"/>
      <c r="Y55" s="12"/>
    </row>
    <row r="56" spans="1:25" x14ac:dyDescent="0.3">
      <c r="A56" s="9" t="s">
        <v>79</v>
      </c>
      <c r="B56" s="6">
        <f>'DY 22 &amp; DY 23 Assumptions'!C81</f>
        <v>0</v>
      </c>
      <c r="C56" s="11">
        <f>'DY 22 &amp; DY 23 Assumptions'!F81</f>
        <v>0.14410999999999999</v>
      </c>
      <c r="D56" s="32"/>
      <c r="E56" s="21"/>
      <c r="F56" s="21"/>
      <c r="G56" s="21"/>
      <c r="H56" s="21"/>
      <c r="I56" s="21"/>
      <c r="J56" s="21"/>
      <c r="K56" s="21"/>
      <c r="L56" s="21"/>
      <c r="M56" s="21"/>
      <c r="N56" s="21"/>
      <c r="O56" s="21"/>
      <c r="P56" s="21"/>
      <c r="Q56" s="21"/>
      <c r="R56" s="21"/>
      <c r="S56" s="21"/>
      <c r="T56" s="12"/>
      <c r="U56" s="12"/>
      <c r="V56" s="12"/>
      <c r="W56" s="12"/>
      <c r="X56" s="12"/>
      <c r="Y56" s="12"/>
    </row>
    <row r="57" spans="1:25" x14ac:dyDescent="0.3">
      <c r="A57" s="1" t="s">
        <v>36</v>
      </c>
      <c r="B57" s="46">
        <f>'DY 22 &amp; DY 23 Assumptions'!C82</f>
        <v>98500</v>
      </c>
      <c r="C57" s="52"/>
      <c r="D57" s="31"/>
      <c r="E57" s="21"/>
      <c r="F57" s="21"/>
      <c r="G57" s="20"/>
      <c r="H57" s="20"/>
      <c r="I57" s="20"/>
      <c r="J57" s="20"/>
      <c r="K57" s="20"/>
      <c r="L57" s="20"/>
      <c r="M57" s="20"/>
      <c r="N57" s="20"/>
      <c r="O57" s="20"/>
      <c r="P57" s="20"/>
      <c r="Q57" s="20"/>
      <c r="R57" s="20"/>
      <c r="S57" s="20"/>
      <c r="T57" s="1"/>
      <c r="U57" s="1"/>
      <c r="V57" s="1"/>
      <c r="W57" s="1"/>
      <c r="X57" s="1"/>
      <c r="Y57" s="1"/>
    </row>
    <row r="58" spans="1:25" x14ac:dyDescent="0.3">
      <c r="A58" s="9" t="s">
        <v>19</v>
      </c>
      <c r="B58" s="6">
        <f>'DY 22 &amp; DY 23 Assumptions'!C83</f>
        <v>3725.0836216779608</v>
      </c>
      <c r="C58" s="11">
        <f>'DY 22 &amp; DY 23 Assumptions'!F83</f>
        <v>0.14305999999999999</v>
      </c>
      <c r="D58" s="33">
        <f>SUM(E58:Y58)</f>
        <v>67625.893632760708</v>
      </c>
      <c r="E58" s="21">
        <f>(B58*C58*8760)/1000</f>
        <v>4668.2956551551006</v>
      </c>
      <c r="F58" s="21">
        <f>E58*'DY 22 &amp; DY 23 Assumptions'!$D$102</f>
        <v>4644.9541768793251</v>
      </c>
      <c r="G58" s="21">
        <f>F58*'DY 22 &amp; DY 23 Assumptions'!$D$102</f>
        <v>4621.7294059949281</v>
      </c>
      <c r="H58" s="21">
        <f>G58*'DY 22 &amp; DY 23 Assumptions'!$D$102</f>
        <v>4598.6207589649539</v>
      </c>
      <c r="I58" s="21">
        <f>H58*'DY 22 &amp; DY 23 Assumptions'!$D$102</f>
        <v>4575.6276551701294</v>
      </c>
      <c r="J58" s="21">
        <f>I58*'DY 22 &amp; DY 23 Assumptions'!$D$102</f>
        <v>4552.7495168942787</v>
      </c>
      <c r="K58" s="21">
        <f>J58*'DY 22 &amp; DY 23 Assumptions'!$D$102</f>
        <v>4529.9857693098074</v>
      </c>
      <c r="L58" s="21">
        <f>K58*'DY 22 &amp; DY 23 Assumptions'!$D$102</f>
        <v>4507.3358404632581</v>
      </c>
      <c r="M58" s="21">
        <f>L58*'DY 22 &amp; DY 23 Assumptions'!$D$102</f>
        <v>4484.7991612609421</v>
      </c>
      <c r="N58" s="21">
        <f>M58*'DY 22 &amp; DY 23 Assumptions'!$D$102</f>
        <v>4462.3751654546377</v>
      </c>
      <c r="O58" s="21">
        <f>N58*'DY 22 &amp; DY 23 Assumptions'!$D$102</f>
        <v>4440.0632896273646</v>
      </c>
      <c r="P58" s="21">
        <f>O58*'DY 22 &amp; DY 23 Assumptions'!$D$102</f>
        <v>4417.862973179228</v>
      </c>
      <c r="Q58" s="21">
        <f>P58*'DY 22 &amp; DY 23 Assumptions'!$D$102</f>
        <v>4395.7736583133319</v>
      </c>
      <c r="R58" s="21">
        <f>Q58*'DY 22 &amp; DY 23 Assumptions'!$D$102</f>
        <v>4373.794790021765</v>
      </c>
      <c r="S58" s="21">
        <f>R58*'DY 22 &amp; DY 23 Assumptions'!$D$102</f>
        <v>4351.9258160716563</v>
      </c>
      <c r="T58" s="12"/>
      <c r="U58" s="12"/>
      <c r="V58" s="12"/>
      <c r="W58" s="12"/>
      <c r="X58" s="12"/>
      <c r="Y58" s="12"/>
    </row>
    <row r="59" spans="1:25" x14ac:dyDescent="0.3">
      <c r="A59" s="9" t="s">
        <v>15</v>
      </c>
      <c r="B59" s="6">
        <f>'DY 22 &amp; DY 23 Assumptions'!C84</f>
        <v>2900.7261215581789</v>
      </c>
      <c r="C59" s="11">
        <f>'DY 22 &amp; DY 23 Assumptions'!F84</f>
        <v>0.14176</v>
      </c>
      <c r="D59" s="33">
        <f>SUM(E59:Y59)</f>
        <v>52181.817363091533</v>
      </c>
      <c r="E59" s="21">
        <f>(B59*C59*8760)/1000</f>
        <v>3602.1727505306858</v>
      </c>
      <c r="F59" s="21">
        <f>E59*'DY 22 &amp; DY 23 Assumptions'!$D$102</f>
        <v>3584.1618867780326</v>
      </c>
      <c r="G59" s="21">
        <f>F59*'DY 22 &amp; DY 23 Assumptions'!$D$102</f>
        <v>3566.2410773441425</v>
      </c>
      <c r="H59" s="21">
        <f>G59*'DY 22 &amp; DY 23 Assumptions'!$D$102</f>
        <v>3548.4098719574217</v>
      </c>
      <c r="I59" s="21">
        <f>H59*'DY 22 &amp; DY 23 Assumptions'!$D$102</f>
        <v>3530.6678225976348</v>
      </c>
      <c r="J59" s="21">
        <f>I59*'DY 22 &amp; DY 23 Assumptions'!$D$102</f>
        <v>3513.0144834846465</v>
      </c>
      <c r="K59" s="21">
        <f>J59*'DY 22 &amp; DY 23 Assumptions'!$D$102</f>
        <v>3495.4494110672231</v>
      </c>
      <c r="L59" s="21">
        <f>K59*'DY 22 &amp; DY 23 Assumptions'!$D$102</f>
        <v>3477.9721640118869</v>
      </c>
      <c r="M59" s="21">
        <f>L59*'DY 22 &amp; DY 23 Assumptions'!$D$102</f>
        <v>3460.5823031918276</v>
      </c>
      <c r="N59" s="21">
        <f>M59*'DY 22 &amp; DY 23 Assumptions'!$D$102</f>
        <v>3443.2793916758683</v>
      </c>
      <c r="O59" s="21">
        <f>N59*'DY 22 &amp; DY 23 Assumptions'!$D$102</f>
        <v>3426.0629947174889</v>
      </c>
      <c r="P59" s="21">
        <f>O59*'DY 22 &amp; DY 23 Assumptions'!$D$102</f>
        <v>3408.9326797439016</v>
      </c>
      <c r="Q59" s="21">
        <f>P59*'DY 22 &amp; DY 23 Assumptions'!$D$102</f>
        <v>3391.8880163451822</v>
      </c>
      <c r="R59" s="21">
        <f>Q59*'DY 22 &amp; DY 23 Assumptions'!$D$102</f>
        <v>3374.9285762634563</v>
      </c>
      <c r="S59" s="21">
        <f>R59*'DY 22 &amp; DY 23 Assumptions'!$D$102</f>
        <v>3358.0539333821389</v>
      </c>
      <c r="T59" s="12"/>
      <c r="U59" s="12"/>
      <c r="V59" s="12"/>
      <c r="W59" s="12"/>
      <c r="X59" s="12"/>
      <c r="Y59" s="12"/>
    </row>
    <row r="60" spans="1:25" x14ac:dyDescent="0.3">
      <c r="A60" s="9" t="s">
        <v>16</v>
      </c>
      <c r="B60" s="6">
        <f>'DY 22 &amp; DY 23 Assumptions'!C85</f>
        <v>10751.188097911489</v>
      </c>
      <c r="C60" s="11">
        <f>'DY 22 &amp; DY 23 Assumptions'!F85</f>
        <v>0.14119000000000001</v>
      </c>
      <c r="D60" s="33">
        <f>SUM(E60:Y60)</f>
        <v>192627.89039125724</v>
      </c>
      <c r="E60" s="21">
        <f>(B60*C60*8760)/1000</f>
        <v>13297.331768486518</v>
      </c>
      <c r="F60" s="21">
        <f>E60*'DY 22 &amp; DY 23 Assumptions'!$D$102</f>
        <v>13230.845109644086</v>
      </c>
      <c r="G60" s="21">
        <f>F60*'DY 22 &amp; DY 23 Assumptions'!$D$102</f>
        <v>13164.690884095866</v>
      </c>
      <c r="H60" s="21">
        <f>G60*'DY 22 &amp; DY 23 Assumptions'!$D$102</f>
        <v>13098.867429675387</v>
      </c>
      <c r="I60" s="21">
        <f>H60*'DY 22 &amp; DY 23 Assumptions'!$D$102</f>
        <v>13033.37309252701</v>
      </c>
      <c r="J60" s="21">
        <f>I60*'DY 22 &amp; DY 23 Assumptions'!$D$102</f>
        <v>12968.206227064375</v>
      </c>
      <c r="K60" s="21">
        <f>J60*'DY 22 &amp; DY 23 Assumptions'!$D$102</f>
        <v>12903.365195929053</v>
      </c>
      <c r="L60" s="21">
        <f>K60*'DY 22 &amp; DY 23 Assumptions'!$D$102</f>
        <v>12838.848369949408</v>
      </c>
      <c r="M60" s="21">
        <f>L60*'DY 22 &amp; DY 23 Assumptions'!$D$102</f>
        <v>12774.654128099661</v>
      </c>
      <c r="N60" s="21">
        <f>M60*'DY 22 &amp; DY 23 Assumptions'!$D$102</f>
        <v>12710.780857459162</v>
      </c>
      <c r="O60" s="21">
        <f>N60*'DY 22 &amp; DY 23 Assumptions'!$D$102</f>
        <v>12647.226953171867</v>
      </c>
      <c r="P60" s="21">
        <f>O60*'DY 22 &amp; DY 23 Assumptions'!$D$102</f>
        <v>12583.990818406008</v>
      </c>
      <c r="Q60" s="21">
        <f>P60*'DY 22 &amp; DY 23 Assumptions'!$D$102</f>
        <v>12521.070864313977</v>
      </c>
      <c r="R60" s="21">
        <f>Q60*'DY 22 &amp; DY 23 Assumptions'!$D$102</f>
        <v>12458.465509992408</v>
      </c>
      <c r="S60" s="21">
        <f>R60*'DY 22 &amp; DY 23 Assumptions'!$D$102</f>
        <v>12396.173182442446</v>
      </c>
      <c r="T60" s="12"/>
      <c r="U60" s="12"/>
      <c r="V60" s="12"/>
      <c r="W60" s="12"/>
      <c r="X60" s="12"/>
      <c r="Y60" s="12"/>
    </row>
    <row r="61" spans="1:25" x14ac:dyDescent="0.3">
      <c r="A61" s="9" t="s">
        <v>17</v>
      </c>
      <c r="B61" s="6">
        <f>'DY 22 &amp; DY 23 Assumptions'!C86</f>
        <v>81122.967960242124</v>
      </c>
      <c r="C61" s="11">
        <f>'DY 22 &amp; DY 23 Assumptions'!F86</f>
        <v>0.1497</v>
      </c>
      <c r="D61" s="34">
        <f>SUM(E61:Y61)</f>
        <v>1541077.223200941</v>
      </c>
      <c r="E61" s="21">
        <f>(B61*C61*8760)/1000</f>
        <v>106382.38873995862</v>
      </c>
      <c r="F61" s="21">
        <f>E61*'DY 22 &amp; DY 23 Assumptions'!$D$102</f>
        <v>105850.47679625882</v>
      </c>
      <c r="G61" s="21">
        <f>F61*'DY 22 &amp; DY 23 Assumptions'!$D$102</f>
        <v>105321.22441227753</v>
      </c>
      <c r="H61" s="21">
        <f>G61*'DY 22 &amp; DY 23 Assumptions'!$D$102</f>
        <v>104794.61829021614</v>
      </c>
      <c r="I61" s="21">
        <f>H61*'DY 22 &amp; DY 23 Assumptions'!$D$102</f>
        <v>104270.64519876505</v>
      </c>
      <c r="J61" s="21">
        <f>I61*'DY 22 &amp; DY 23 Assumptions'!$D$102</f>
        <v>103749.29197277123</v>
      </c>
      <c r="K61" s="21">
        <f>J61*'DY 22 &amp; DY 23 Assumptions'!$D$102</f>
        <v>103230.54551290737</v>
      </c>
      <c r="L61" s="21">
        <f>K61*'DY 22 &amp; DY 23 Assumptions'!$D$102</f>
        <v>102714.39278534283</v>
      </c>
      <c r="M61" s="21">
        <f>L61*'DY 22 &amp; DY 23 Assumptions'!$D$102</f>
        <v>102200.82082141611</v>
      </c>
      <c r="N61" s="21">
        <f>M61*'DY 22 &amp; DY 23 Assumptions'!$D$102</f>
        <v>101689.81671730903</v>
      </c>
      <c r="O61" s="21">
        <f>N61*'DY 22 &amp; DY 23 Assumptions'!$D$102</f>
        <v>101181.36763372249</v>
      </c>
      <c r="P61" s="21">
        <f>O61*'DY 22 &amp; DY 23 Assumptions'!$D$102</f>
        <v>100675.46079555388</v>
      </c>
      <c r="Q61" s="21">
        <f>P61*'DY 22 &amp; DY 23 Assumptions'!$D$102</f>
        <v>100172.08349157611</v>
      </c>
      <c r="R61" s="21">
        <f>Q61*'DY 22 &amp; DY 23 Assumptions'!$D$102</f>
        <v>99671.223074118228</v>
      </c>
      <c r="S61" s="21">
        <f>R61*'DY 22 &amp; DY 23 Assumptions'!$D$102</f>
        <v>99172.866958747632</v>
      </c>
      <c r="T61" s="12"/>
      <c r="U61" s="12"/>
      <c r="V61" s="12"/>
      <c r="W61" s="12"/>
      <c r="X61" s="12"/>
      <c r="Y61" s="12"/>
    </row>
    <row r="62" spans="1:25" x14ac:dyDescent="0.3">
      <c r="A62" s="9" t="s">
        <v>79</v>
      </c>
      <c r="B62" s="6">
        <f>'DY 22 &amp; DY 23 Assumptions'!C87</f>
        <v>0</v>
      </c>
      <c r="C62" s="11">
        <f>'DY 22 &amp; DY 23 Assumptions'!F87</f>
        <v>0.1497</v>
      </c>
      <c r="D62" s="34"/>
      <c r="E62" s="21"/>
      <c r="F62" s="21"/>
      <c r="G62" s="21"/>
      <c r="H62" s="21"/>
      <c r="I62" s="21"/>
      <c r="J62" s="21"/>
      <c r="K62" s="21"/>
      <c r="L62" s="21"/>
      <c r="M62" s="21"/>
      <c r="N62" s="21"/>
      <c r="O62" s="21"/>
      <c r="P62" s="21"/>
      <c r="Q62" s="21"/>
      <c r="R62" s="21"/>
      <c r="S62" s="21"/>
      <c r="T62" s="12"/>
      <c r="U62" s="12"/>
      <c r="V62" s="12"/>
      <c r="W62" s="12"/>
      <c r="X62" s="12"/>
      <c r="Y62" s="12"/>
    </row>
    <row r="63" spans="1:25" x14ac:dyDescent="0.3">
      <c r="A63" s="5" t="s">
        <v>40</v>
      </c>
      <c r="B63" s="119"/>
      <c r="C63" s="39"/>
      <c r="D63" s="145">
        <f>'DY 22 &amp; DY 23 Assumptions'!C90</f>
        <v>0</v>
      </c>
      <c r="E63" s="146"/>
      <c r="F63" s="147"/>
      <c r="G63" s="148"/>
      <c r="H63" s="147">
        <f>D63</f>
        <v>0</v>
      </c>
      <c r="I63" s="147">
        <f t="shared" ref="I63:Y63" si="8">H63</f>
        <v>0</v>
      </c>
      <c r="J63" s="147">
        <f t="shared" si="8"/>
        <v>0</v>
      </c>
      <c r="K63" s="147">
        <f t="shared" si="8"/>
        <v>0</v>
      </c>
      <c r="L63" s="147">
        <f t="shared" si="8"/>
        <v>0</v>
      </c>
      <c r="M63" s="147">
        <f t="shared" si="8"/>
        <v>0</v>
      </c>
      <c r="N63" s="147">
        <f t="shared" si="8"/>
        <v>0</v>
      </c>
      <c r="O63" s="147">
        <f t="shared" si="8"/>
        <v>0</v>
      </c>
      <c r="P63" s="147">
        <f t="shared" si="8"/>
        <v>0</v>
      </c>
      <c r="Q63" s="147">
        <f t="shared" si="8"/>
        <v>0</v>
      </c>
      <c r="R63" s="147">
        <f t="shared" si="8"/>
        <v>0</v>
      </c>
      <c r="S63" s="147">
        <f t="shared" si="8"/>
        <v>0</v>
      </c>
      <c r="T63" s="147">
        <f t="shared" si="8"/>
        <v>0</v>
      </c>
      <c r="U63" s="147">
        <f t="shared" si="8"/>
        <v>0</v>
      </c>
      <c r="V63" s="147">
        <f t="shared" si="8"/>
        <v>0</v>
      </c>
      <c r="W63" s="147">
        <f t="shared" si="8"/>
        <v>0</v>
      </c>
      <c r="X63" s="147">
        <f t="shared" si="8"/>
        <v>0</v>
      </c>
      <c r="Y63" s="147">
        <f t="shared" si="8"/>
        <v>0</v>
      </c>
    </row>
    <row r="64" spans="1:25" x14ac:dyDescent="0.3">
      <c r="A64" s="5" t="s">
        <v>41</v>
      </c>
      <c r="B64" s="119"/>
      <c r="C64" s="39"/>
      <c r="D64" s="145">
        <f>'DY 22 &amp; DY 23 Assumptions'!C91</f>
        <v>943430</v>
      </c>
      <c r="E64" s="148"/>
      <c r="F64" s="147"/>
      <c r="G64" s="148"/>
      <c r="H64" s="147">
        <f>D64</f>
        <v>943430</v>
      </c>
      <c r="I64" s="147">
        <f>H64*'DY 22 &amp; DY 23 Assumptions'!$D$102</f>
        <v>938712.85</v>
      </c>
      <c r="J64" s="147">
        <f>I64*'DY 22 &amp; DY 23 Assumptions'!$D$102</f>
        <v>934019.28574999992</v>
      </c>
      <c r="K64" s="147">
        <f>J64*'DY 22 &amp; DY 23 Assumptions'!$D$102</f>
        <v>929349.18932124996</v>
      </c>
      <c r="L64" s="147">
        <f>K64*'DY 22 &amp; DY 23 Assumptions'!$D$102</f>
        <v>924702.44337464368</v>
      </c>
      <c r="M64" s="147">
        <f>L64*'DY 22 &amp; DY 23 Assumptions'!$D$102</f>
        <v>920078.93115777045</v>
      </c>
      <c r="N64" s="147">
        <f>M64*'DY 22 &amp; DY 23 Assumptions'!$D$102</f>
        <v>915478.53650198155</v>
      </c>
      <c r="O64" s="147">
        <f>N64*'DY 22 &amp; DY 23 Assumptions'!$D$102</f>
        <v>910901.14381947159</v>
      </c>
      <c r="P64" s="147">
        <f>O64*'DY 22 &amp; DY 23 Assumptions'!$D$102</f>
        <v>906346.63810037426</v>
      </c>
      <c r="Q64" s="147">
        <f>P64*'DY 22 &amp; DY 23 Assumptions'!$D$102</f>
        <v>901814.90490987233</v>
      </c>
      <c r="R64" s="147">
        <f>Q64*'DY 22 &amp; DY 23 Assumptions'!$D$102</f>
        <v>897305.83038532292</v>
      </c>
      <c r="S64" s="147">
        <f>R64*'DY 22 &amp; DY 23 Assumptions'!$D$102</f>
        <v>892819.30123339628</v>
      </c>
      <c r="T64" s="147">
        <f>S64*'DY 22 &amp; DY 23 Assumptions'!$D$102</f>
        <v>888355.20472722931</v>
      </c>
      <c r="U64" s="147">
        <f>T64*'DY 22 &amp; DY 23 Assumptions'!$D$102</f>
        <v>883913.42870359321</v>
      </c>
      <c r="V64" s="147">
        <f>U64*'DY 22 &amp; DY 23 Assumptions'!$D$102</f>
        <v>879493.86156007519</v>
      </c>
      <c r="W64" s="147">
        <f>V64*'DY 22 &amp; DY 23 Assumptions'!$D$102</f>
        <v>875096.39225227479</v>
      </c>
      <c r="X64" s="147">
        <f>W64*'DY 22 &amp; DY 23 Assumptions'!$D$102</f>
        <v>870720.91029101342</v>
      </c>
      <c r="Y64" s="147">
        <f>X64*'DY 22 &amp; DY 23 Assumptions'!$D$102</f>
        <v>866367.3057395583</v>
      </c>
    </row>
    <row r="65" spans="1:25" x14ac:dyDescent="0.3">
      <c r="A65" s="5" t="s">
        <v>42</v>
      </c>
      <c r="B65" s="119"/>
      <c r="C65" s="39"/>
      <c r="D65" s="145">
        <f>'DY 22 &amp; DY 23 Assumptions'!C92</f>
        <v>49377</v>
      </c>
      <c r="E65" s="148"/>
      <c r="F65" s="147"/>
      <c r="G65" s="148"/>
      <c r="H65" s="147">
        <f>D65</f>
        <v>49377</v>
      </c>
      <c r="I65" s="147">
        <f>H65*'DY 22 &amp; DY 23 Assumptions'!$D$102</f>
        <v>49130.114999999998</v>
      </c>
      <c r="J65" s="147">
        <f>I65*'DY 22 &amp; DY 23 Assumptions'!$D$102</f>
        <v>48884.464424999998</v>
      </c>
      <c r="K65" s="147">
        <f>J65*'DY 22 &amp; DY 23 Assumptions'!$D$102</f>
        <v>48640.042102874999</v>
      </c>
      <c r="L65" s="147">
        <f>K65*'DY 22 &amp; DY 23 Assumptions'!$D$102</f>
        <v>48396.841892360622</v>
      </c>
      <c r="M65" s="147">
        <f>L65*'DY 22 &amp; DY 23 Assumptions'!$D$102</f>
        <v>48154.857682898823</v>
      </c>
      <c r="N65" s="147">
        <f>M65*'DY 22 &amp; DY 23 Assumptions'!$D$102</f>
        <v>47914.083394484325</v>
      </c>
      <c r="O65" s="147">
        <f>N65*'DY 22 &amp; DY 23 Assumptions'!$D$102</f>
        <v>47674.512977511906</v>
      </c>
      <c r="P65" s="147">
        <f>O65*'DY 22 &amp; DY 23 Assumptions'!$D$102</f>
        <v>47436.140412624343</v>
      </c>
      <c r="Q65" s="147">
        <f>P65*'DY 22 &amp; DY 23 Assumptions'!$D$102</f>
        <v>47198.959710561219</v>
      </c>
      <c r="R65" s="147">
        <f>Q65*'DY 22 &amp; DY 23 Assumptions'!$D$102</f>
        <v>46962.964912008414</v>
      </c>
      <c r="S65" s="147">
        <f>R65*'DY 22 &amp; DY 23 Assumptions'!$D$102</f>
        <v>46728.150087448375</v>
      </c>
      <c r="T65" s="147">
        <f>S65*'DY 22 &amp; DY 23 Assumptions'!$D$102</f>
        <v>46494.509337011135</v>
      </c>
      <c r="U65" s="147">
        <f>T65*'DY 22 &amp; DY 23 Assumptions'!$D$102</f>
        <v>46262.036790326078</v>
      </c>
      <c r="V65" s="147">
        <f>U65*'DY 22 &amp; DY 23 Assumptions'!$D$102</f>
        <v>46030.726606374446</v>
      </c>
      <c r="W65" s="147">
        <f>V65*'DY 22 &amp; DY 23 Assumptions'!$D$102</f>
        <v>45800.572973342576</v>
      </c>
      <c r="X65" s="147">
        <f>W65*'DY 22 &amp; DY 23 Assumptions'!$D$102</f>
        <v>45571.570108475862</v>
      </c>
      <c r="Y65" s="147">
        <f>X65*'DY 22 &amp; DY 23 Assumptions'!$D$102</f>
        <v>45343.712257933483</v>
      </c>
    </row>
    <row r="67" spans="1:25" x14ac:dyDescent="0.3">
      <c r="A67" s="63" t="s">
        <v>247</v>
      </c>
    </row>
    <row r="68" spans="1:25" x14ac:dyDescent="0.3">
      <c r="A68" s="9"/>
    </row>
    <row r="69" spans="1:25" ht="15.6" x14ac:dyDescent="0.3">
      <c r="A69" s="1"/>
      <c r="B69" s="2" t="s">
        <v>244</v>
      </c>
      <c r="C69" s="2" t="s">
        <v>248</v>
      </c>
      <c r="D69" s="2" t="s">
        <v>123</v>
      </c>
      <c r="E69" s="2" t="s">
        <v>47</v>
      </c>
      <c r="F69" s="2" t="s">
        <v>48</v>
      </c>
      <c r="G69" s="2" t="s">
        <v>49</v>
      </c>
      <c r="H69" s="2" t="s">
        <v>50</v>
      </c>
      <c r="I69" s="2" t="s">
        <v>51</v>
      </c>
      <c r="J69" s="2" t="s">
        <v>52</v>
      </c>
      <c r="K69" s="2" t="s">
        <v>53</v>
      </c>
      <c r="L69" s="2" t="s">
        <v>54</v>
      </c>
      <c r="M69" s="2" t="s">
        <v>55</v>
      </c>
      <c r="N69" s="2" t="s">
        <v>56</v>
      </c>
      <c r="O69" s="2" t="s">
        <v>57</v>
      </c>
      <c r="P69" s="2" t="s">
        <v>58</v>
      </c>
      <c r="Q69" s="2" t="s">
        <v>59</v>
      </c>
      <c r="R69" s="2" t="s">
        <v>60</v>
      </c>
      <c r="S69" s="2" t="s">
        <v>61</v>
      </c>
      <c r="T69" s="2" t="s">
        <v>62</v>
      </c>
      <c r="U69" s="2" t="s">
        <v>63</v>
      </c>
      <c r="V69" s="2" t="s">
        <v>64</v>
      </c>
      <c r="W69" s="2" t="s">
        <v>65</v>
      </c>
      <c r="X69" s="2" t="s">
        <v>66</v>
      </c>
      <c r="Y69" s="2" t="s">
        <v>67</v>
      </c>
    </row>
    <row r="70" spans="1:25" ht="15.6" x14ac:dyDescent="0.3">
      <c r="A70" s="29" t="s">
        <v>246</v>
      </c>
      <c r="B70" s="2"/>
      <c r="C70" s="2"/>
      <c r="D70" s="15">
        <f>SUM(D73:D129)</f>
        <v>2390828033.1792712</v>
      </c>
      <c r="E70" s="72"/>
      <c r="F70" s="2"/>
      <c r="G70" s="2"/>
      <c r="H70" s="2"/>
      <c r="I70" s="2"/>
      <c r="J70" s="2"/>
      <c r="K70" s="2"/>
      <c r="L70" s="2"/>
      <c r="M70" s="2"/>
      <c r="N70" s="2"/>
      <c r="O70" s="2"/>
      <c r="P70" s="2"/>
      <c r="Q70" s="2"/>
      <c r="R70" s="2"/>
      <c r="S70" s="2"/>
      <c r="T70" s="2"/>
      <c r="U70" s="2"/>
      <c r="V70" s="2"/>
      <c r="W70" s="2"/>
      <c r="X70" s="2"/>
      <c r="Y70" s="2"/>
    </row>
    <row r="71" spans="1:25" x14ac:dyDescent="0.3">
      <c r="A71" s="3" t="s">
        <v>4</v>
      </c>
      <c r="B71" s="37">
        <f>B73+B80+B93+B96+B111+B114</f>
        <v>808350</v>
      </c>
      <c r="C71" s="4"/>
      <c r="D71" s="15">
        <f>SUM(E71:Y71)</f>
        <v>2390828033.1792717</v>
      </c>
      <c r="E71" s="15">
        <f t="shared" ref="E71:Y71" si="9">E75+E76+E78+E79+E82+E83+E84+E85+E88+E89+E90+E91+G127+G128+G129+E94+E95+E98+E99+E100+E101+E102+E105+E106+E107+E108+E109+E112+E113+E116+E117+E118+E119+E122+E123+E124+E125</f>
        <v>260121892.07503697</v>
      </c>
      <c r="F71" s="15">
        <f t="shared" si="9"/>
        <v>154407420.20954853</v>
      </c>
      <c r="G71" s="15">
        <f t="shared" si="9"/>
        <v>153400883.7868152</v>
      </c>
      <c r="H71" s="15">
        <f t="shared" si="9"/>
        <v>152888808.61939198</v>
      </c>
      <c r="I71" s="15">
        <f t="shared" si="9"/>
        <v>152379293.82780588</v>
      </c>
      <c r="J71" s="15">
        <f t="shared" si="9"/>
        <v>151872326.61017767</v>
      </c>
      <c r="K71" s="15">
        <f t="shared" si="9"/>
        <v>151367894.22863761</v>
      </c>
      <c r="L71" s="15">
        <f t="shared" si="9"/>
        <v>108242229.93230307</v>
      </c>
      <c r="M71" s="15">
        <f t="shared" si="9"/>
        <v>99380733.03830269</v>
      </c>
      <c r="N71" s="15">
        <f t="shared" si="9"/>
        <v>98883829.373111174</v>
      </c>
      <c r="O71" s="15">
        <f t="shared" si="9"/>
        <v>98389410.226245582</v>
      </c>
      <c r="P71" s="15">
        <f t="shared" si="9"/>
        <v>97897463.175114349</v>
      </c>
      <c r="Q71" s="15">
        <f t="shared" si="9"/>
        <v>97407975.859238774</v>
      </c>
      <c r="R71" s="15">
        <f t="shared" si="9"/>
        <v>96920935.979942575</v>
      </c>
      <c r="S71" s="15">
        <f t="shared" si="9"/>
        <v>96436331.300042883</v>
      </c>
      <c r="T71" s="15">
        <f t="shared" si="9"/>
        <v>95954149.643542677</v>
      </c>
      <c r="U71" s="15">
        <f t="shared" si="9"/>
        <v>95474378.895324975</v>
      </c>
      <c r="V71" s="15">
        <f t="shared" si="9"/>
        <v>94997007.000848338</v>
      </c>
      <c r="W71" s="15">
        <f t="shared" si="9"/>
        <v>94522021.96584411</v>
      </c>
      <c r="X71" s="15">
        <f t="shared" si="9"/>
        <v>28196212.895936087</v>
      </c>
      <c r="Y71" s="15">
        <f t="shared" si="9"/>
        <v>11686834.536060272</v>
      </c>
    </row>
    <row r="72" spans="1:25" x14ac:dyDescent="0.3">
      <c r="A72" s="3" t="s">
        <v>5</v>
      </c>
      <c r="B72" s="37">
        <f>B75+B76+B78+B79+B82+B83+B84+B85+B88+B89+B90+B91+B94+B95+B98+B99+B100+B101+B102+B105+B106+B107+B108+B109+B112+B113+B116+B117+B118+B119+B122+B123+B124+B125</f>
        <v>872249.7485146604</v>
      </c>
      <c r="C72" s="25"/>
      <c r="D72" s="24">
        <f t="shared" ref="D72:Y72" si="10">D73+D80+D93+D96+D111+D114</f>
        <v>1147238779.1950321</v>
      </c>
      <c r="E72" s="24">
        <f t="shared" si="10"/>
        <v>260121892.075037</v>
      </c>
      <c r="F72" s="24">
        <f t="shared" si="10"/>
        <v>82336274.979548514</v>
      </c>
      <c r="G72" s="24">
        <f t="shared" si="10"/>
        <v>81690094.282965213</v>
      </c>
      <c r="H72" s="24">
        <f t="shared" si="10"/>
        <v>81536573.063061237</v>
      </c>
      <c r="I72" s="24">
        <f t="shared" si="10"/>
        <v>81383819.449256748</v>
      </c>
      <c r="J72" s="24">
        <f t="shared" si="10"/>
        <v>81231829.603521317</v>
      </c>
      <c r="K72" s="24">
        <f t="shared" si="10"/>
        <v>81080599.707014561</v>
      </c>
      <c r="L72" s="24">
        <f t="shared" si="10"/>
        <v>38306371.883288093</v>
      </c>
      <c r="M72" s="24">
        <f t="shared" si="10"/>
        <v>29794554.279532798</v>
      </c>
      <c r="N72" s="24">
        <f t="shared" si="10"/>
        <v>29645581.508135132</v>
      </c>
      <c r="O72" s="24">
        <f t="shared" si="10"/>
        <v>29497353.600594461</v>
      </c>
      <c r="P72" s="24">
        <f t="shared" si="10"/>
        <v>29349866.832591489</v>
      </c>
      <c r="Q72" s="24">
        <f t="shared" si="10"/>
        <v>29203117.498428531</v>
      </c>
      <c r="R72" s="24">
        <f t="shared" si="10"/>
        <v>29057101.910936385</v>
      </c>
      <c r="S72" s="24">
        <f t="shared" si="10"/>
        <v>28911816.401381705</v>
      </c>
      <c r="T72" s="24">
        <f t="shared" si="10"/>
        <v>28767257.3193748</v>
      </c>
      <c r="U72" s="24">
        <f t="shared" si="10"/>
        <v>28623421.032777924</v>
      </c>
      <c r="V72" s="24">
        <f t="shared" si="10"/>
        <v>28480303.927614033</v>
      </c>
      <c r="W72" s="24">
        <f t="shared" si="10"/>
        <v>28337902.407975964</v>
      </c>
      <c r="X72" s="24">
        <f t="shared" si="10"/>
        <v>28196212.895936087</v>
      </c>
      <c r="Y72" s="24">
        <f t="shared" si="10"/>
        <v>11686834.536060272</v>
      </c>
    </row>
    <row r="73" spans="1:25" x14ac:dyDescent="0.3">
      <c r="A73" s="5" t="s">
        <v>6</v>
      </c>
      <c r="B73" s="6">
        <f>'DY 22 &amp; DY 23 Assumptions'!C6</f>
        <v>134000</v>
      </c>
      <c r="C73" s="7"/>
      <c r="D73" s="24">
        <f>SUM(E73:Z73)</f>
        <v>196896443.51041692</v>
      </c>
      <c r="E73" s="68">
        <f t="shared" ref="E73:Y73" si="11">E75+E76+E78+E79</f>
        <v>196896443.51041692</v>
      </c>
      <c r="F73" s="68">
        <f t="shared" si="11"/>
        <v>0</v>
      </c>
      <c r="G73" s="68">
        <f t="shared" si="11"/>
        <v>0</v>
      </c>
      <c r="H73" s="68">
        <f t="shared" si="11"/>
        <v>0</v>
      </c>
      <c r="I73" s="68">
        <f t="shared" si="11"/>
        <v>0</v>
      </c>
      <c r="J73" s="68">
        <f t="shared" si="11"/>
        <v>0</v>
      </c>
      <c r="K73" s="68">
        <f t="shared" si="11"/>
        <v>0</v>
      </c>
      <c r="L73" s="68">
        <f t="shared" si="11"/>
        <v>0</v>
      </c>
      <c r="M73" s="68">
        <f t="shared" si="11"/>
        <v>0</v>
      </c>
      <c r="N73" s="68">
        <f t="shared" si="11"/>
        <v>0</v>
      </c>
      <c r="O73" s="68">
        <f t="shared" si="11"/>
        <v>0</v>
      </c>
      <c r="P73" s="68">
        <f t="shared" si="11"/>
        <v>0</v>
      </c>
      <c r="Q73" s="68">
        <f t="shared" si="11"/>
        <v>0</v>
      </c>
      <c r="R73" s="68">
        <f t="shared" si="11"/>
        <v>0</v>
      </c>
      <c r="S73" s="68">
        <f t="shared" si="11"/>
        <v>0</v>
      </c>
      <c r="T73" s="68">
        <f t="shared" si="11"/>
        <v>0</v>
      </c>
      <c r="U73" s="68">
        <f t="shared" si="11"/>
        <v>0</v>
      </c>
      <c r="V73" s="68">
        <f t="shared" si="11"/>
        <v>0</v>
      </c>
      <c r="W73" s="68">
        <f t="shared" si="11"/>
        <v>0</v>
      </c>
      <c r="X73" s="68">
        <f t="shared" si="11"/>
        <v>0</v>
      </c>
      <c r="Y73" s="68">
        <f t="shared" si="11"/>
        <v>0</v>
      </c>
    </row>
    <row r="74" spans="1:25" x14ac:dyDescent="0.3">
      <c r="A74" s="1" t="s">
        <v>7</v>
      </c>
      <c r="B74" s="46">
        <f>'DY 22 &amp; DY 23 Assumptions'!C7</f>
        <v>45100</v>
      </c>
      <c r="C74" s="16"/>
      <c r="D74" s="1"/>
      <c r="E74" s="65"/>
      <c r="F74" s="16"/>
      <c r="G74" s="16"/>
      <c r="H74" s="16"/>
      <c r="I74" s="16"/>
      <c r="J74" s="16"/>
      <c r="K74" s="16"/>
      <c r="L74" s="16"/>
      <c r="M74" s="16"/>
      <c r="N74" s="16"/>
      <c r="O74" s="16"/>
      <c r="P74" s="16"/>
      <c r="Q74" s="16"/>
      <c r="R74" s="16"/>
      <c r="S74" s="16"/>
      <c r="T74" s="16"/>
      <c r="U74" s="16"/>
      <c r="V74" s="16"/>
      <c r="W74" s="16"/>
      <c r="X74" s="16"/>
      <c r="Y74" s="16"/>
    </row>
    <row r="75" spans="1:25" x14ac:dyDescent="0.3">
      <c r="A75" s="9" t="s">
        <v>8</v>
      </c>
      <c r="B75" s="6">
        <f>'DY 22 &amp; DY 23 Assumptions'!C8</f>
        <v>17138</v>
      </c>
      <c r="C75" s="18">
        <f>'DY 22 &amp; DY 23 Assumptions'!H8</f>
        <v>78.510000000000005</v>
      </c>
      <c r="D75" s="9"/>
      <c r="E75" s="69">
        <f>D11*C75</f>
        <v>25413445.351868149</v>
      </c>
      <c r="F75" s="17"/>
      <c r="G75" s="17"/>
      <c r="H75" s="17"/>
      <c r="I75" s="17"/>
      <c r="J75" s="17"/>
      <c r="K75" s="17"/>
      <c r="L75" s="17"/>
      <c r="M75" s="17"/>
      <c r="N75" s="17"/>
      <c r="O75" s="17"/>
      <c r="P75" s="17"/>
      <c r="Q75" s="17"/>
      <c r="R75" s="17"/>
      <c r="S75" s="17"/>
      <c r="T75" s="17"/>
      <c r="U75" s="17"/>
      <c r="V75" s="17">
        <f>'Reopening Activities'!V11*$C75</f>
        <v>0</v>
      </c>
      <c r="W75" s="17">
        <f>'Reopening Activities'!W11*$C75</f>
        <v>0</v>
      </c>
      <c r="X75" s="17">
        <f>'Reopening Activities'!X11*$C75</f>
        <v>0</v>
      </c>
      <c r="Y75" s="17">
        <f>'Reopening Activities'!Y11*$C75</f>
        <v>0</v>
      </c>
    </row>
    <row r="76" spans="1:25" x14ac:dyDescent="0.3">
      <c r="A76" s="9" t="s">
        <v>9</v>
      </c>
      <c r="B76" s="6">
        <f>'DY 22 &amp; DY 23 Assumptions'!C9</f>
        <v>27962</v>
      </c>
      <c r="C76" s="18">
        <f>'DY 22 &amp; DY 23 Assumptions'!H9</f>
        <v>66.39</v>
      </c>
      <c r="D76" s="9"/>
      <c r="E76" s="69">
        <f>D12*C76</f>
        <v>35642536.09312281</v>
      </c>
      <c r="F76" s="17"/>
      <c r="G76" s="17"/>
      <c r="H76" s="17"/>
      <c r="I76" s="17"/>
      <c r="J76" s="17"/>
      <c r="K76" s="17"/>
      <c r="L76" s="17"/>
      <c r="M76" s="17"/>
      <c r="N76" s="17"/>
      <c r="O76" s="17"/>
      <c r="P76" s="17"/>
      <c r="Q76" s="17"/>
      <c r="R76" s="17"/>
      <c r="S76" s="17"/>
      <c r="T76" s="17"/>
      <c r="U76" s="17"/>
      <c r="V76" s="17">
        <f>'Reopening Activities'!V12*$C76</f>
        <v>0</v>
      </c>
      <c r="W76" s="17">
        <f>'Reopening Activities'!W12*$C76</f>
        <v>0</v>
      </c>
      <c r="X76" s="17">
        <f>'Reopening Activities'!X12*$C76</f>
        <v>0</v>
      </c>
      <c r="Y76" s="17">
        <f>'Reopening Activities'!Y12*$C76</f>
        <v>0</v>
      </c>
    </row>
    <row r="77" spans="1:25" x14ac:dyDescent="0.3">
      <c r="A77" s="1" t="s">
        <v>10</v>
      </c>
      <c r="B77" s="46">
        <f>'DY 22 &amp; DY 23 Assumptions'!C10</f>
        <v>105500</v>
      </c>
      <c r="C77" s="14"/>
      <c r="D77" s="1"/>
      <c r="E77" s="123"/>
      <c r="F77" s="16"/>
      <c r="G77" s="16"/>
      <c r="H77" s="16"/>
      <c r="I77" s="16"/>
      <c r="J77" s="16"/>
      <c r="K77" s="16"/>
      <c r="L77" s="16"/>
      <c r="M77" s="16"/>
      <c r="N77" s="16"/>
      <c r="O77" s="16"/>
      <c r="P77" s="16"/>
      <c r="Q77" s="16"/>
      <c r="R77" s="16"/>
      <c r="S77" s="16"/>
      <c r="T77" s="16"/>
      <c r="U77" s="16"/>
      <c r="V77" s="16"/>
      <c r="W77" s="16"/>
      <c r="X77" s="16"/>
      <c r="Y77" s="16"/>
    </row>
    <row r="78" spans="1:25" x14ac:dyDescent="0.3">
      <c r="A78" s="9" t="s">
        <v>11</v>
      </c>
      <c r="B78" s="6">
        <f>'DY 22 &amp; DY 23 Assumptions'!C11</f>
        <v>40090</v>
      </c>
      <c r="C78" s="18">
        <f>'DY 22 &amp; DY 23 Assumptions'!H11</f>
        <v>82.28</v>
      </c>
      <c r="D78" s="9"/>
      <c r="E78" s="69">
        <f>D14*C78</f>
        <v>56363177.286693014</v>
      </c>
      <c r="F78" s="17"/>
      <c r="G78" s="17"/>
      <c r="H78" s="17"/>
      <c r="I78" s="17"/>
      <c r="J78" s="17"/>
      <c r="K78" s="17"/>
      <c r="L78" s="17"/>
      <c r="M78" s="17"/>
      <c r="N78" s="17"/>
      <c r="O78" s="17"/>
      <c r="P78" s="17"/>
      <c r="Q78" s="17"/>
      <c r="R78" s="17"/>
      <c r="S78" s="17"/>
      <c r="T78" s="17"/>
      <c r="U78" s="17"/>
      <c r="V78" s="17">
        <f>'Reopening Activities'!V14*$C78</f>
        <v>0</v>
      </c>
      <c r="W78" s="17">
        <f>'Reopening Activities'!W14*$C78</f>
        <v>0</v>
      </c>
      <c r="X78" s="17">
        <f>'Reopening Activities'!X14*$C78</f>
        <v>0</v>
      </c>
      <c r="Y78" s="17">
        <f>'Reopening Activities'!Y14*$C78</f>
        <v>0</v>
      </c>
    </row>
    <row r="79" spans="1:25" x14ac:dyDescent="0.3">
      <c r="A79" s="9" t="s">
        <v>9</v>
      </c>
      <c r="B79" s="6">
        <f>'DY 22 &amp; DY 23 Assumptions'!C12</f>
        <v>65410</v>
      </c>
      <c r="C79" s="18">
        <f>'DY 22 &amp; DY 23 Assumptions'!H12</f>
        <v>71.89</v>
      </c>
      <c r="D79" s="9"/>
      <c r="E79" s="69">
        <f>D15*C79</f>
        <v>79477284.778732955</v>
      </c>
      <c r="F79" s="17"/>
      <c r="G79" s="17"/>
      <c r="H79" s="17"/>
      <c r="I79" s="17"/>
      <c r="J79" s="17"/>
      <c r="K79" s="17"/>
      <c r="L79" s="17"/>
      <c r="M79" s="17"/>
      <c r="N79" s="17"/>
      <c r="O79" s="17"/>
      <c r="P79" s="17"/>
      <c r="Q79" s="17"/>
      <c r="R79" s="17"/>
      <c r="S79" s="17"/>
      <c r="T79" s="17"/>
      <c r="U79" s="17"/>
      <c r="V79" s="17">
        <f>'Reopening Activities'!V15*$C79</f>
        <v>0</v>
      </c>
      <c r="W79" s="17">
        <f>'Reopening Activities'!W15*$C79</f>
        <v>0</v>
      </c>
      <c r="X79" s="17">
        <f>'Reopening Activities'!X15*$C79</f>
        <v>0</v>
      </c>
      <c r="Y79" s="17">
        <f>'Reopening Activities'!Y15*$C79</f>
        <v>0</v>
      </c>
    </row>
    <row r="80" spans="1:25" x14ac:dyDescent="0.3">
      <c r="A80" s="5" t="s">
        <v>12</v>
      </c>
      <c r="B80" s="6">
        <f>'DY 22 &amp; DY 23 Assumptions'!C13</f>
        <v>134000</v>
      </c>
      <c r="C80" s="18"/>
      <c r="D80" s="24">
        <f>SUM(E80:Z80)</f>
        <v>168985025.98332295</v>
      </c>
      <c r="E80" s="40">
        <f t="shared" ref="E80:Y80" si="12">SUM(E82:E91)</f>
        <v>25347753.897498447</v>
      </c>
      <c r="F80" s="40">
        <f t="shared" si="12"/>
        <v>23939545.347637422</v>
      </c>
      <c r="G80" s="40">
        <f t="shared" si="12"/>
        <v>23939545.347637422</v>
      </c>
      <c r="H80" s="40">
        <f t="shared" si="12"/>
        <v>23939545.347637422</v>
      </c>
      <c r="I80" s="40">
        <f t="shared" si="12"/>
        <v>23939545.347637422</v>
      </c>
      <c r="J80" s="40">
        <f t="shared" si="12"/>
        <v>23939545.347637422</v>
      </c>
      <c r="K80" s="40">
        <f t="shared" si="12"/>
        <v>23939545.347637422</v>
      </c>
      <c r="L80" s="40">
        <f t="shared" si="12"/>
        <v>0</v>
      </c>
      <c r="M80" s="40">
        <f t="shared" si="12"/>
        <v>0</v>
      </c>
      <c r="N80" s="40">
        <f t="shared" si="12"/>
        <v>0</v>
      </c>
      <c r="O80" s="40">
        <f t="shared" si="12"/>
        <v>0</v>
      </c>
      <c r="P80" s="40">
        <f t="shared" si="12"/>
        <v>0</v>
      </c>
      <c r="Q80" s="40">
        <f t="shared" si="12"/>
        <v>0</v>
      </c>
      <c r="R80" s="40">
        <f t="shared" si="12"/>
        <v>0</v>
      </c>
      <c r="S80" s="40">
        <f t="shared" si="12"/>
        <v>0</v>
      </c>
      <c r="T80" s="40">
        <f t="shared" si="12"/>
        <v>0</v>
      </c>
      <c r="U80" s="40">
        <f t="shared" si="12"/>
        <v>0</v>
      </c>
      <c r="V80" s="40">
        <f t="shared" si="12"/>
        <v>0</v>
      </c>
      <c r="W80" s="40">
        <f t="shared" si="12"/>
        <v>0</v>
      </c>
      <c r="X80" s="40">
        <f t="shared" si="12"/>
        <v>0</v>
      </c>
      <c r="Y80" s="40">
        <f t="shared" si="12"/>
        <v>0</v>
      </c>
    </row>
    <row r="81" spans="1:25" x14ac:dyDescent="0.3">
      <c r="A81" s="1" t="s">
        <v>13</v>
      </c>
      <c r="B81" s="46">
        <f>'DY 22 &amp; DY 23 Assumptions'!C14</f>
        <v>40000</v>
      </c>
      <c r="C81" s="14"/>
      <c r="D81" s="1"/>
      <c r="E81" s="16"/>
      <c r="F81" s="16"/>
      <c r="G81" s="16"/>
      <c r="H81" s="16"/>
      <c r="I81" s="16"/>
      <c r="J81" s="16"/>
      <c r="K81" s="16"/>
      <c r="L81" s="16"/>
      <c r="M81" s="16"/>
      <c r="N81" s="16"/>
      <c r="O81" s="16"/>
      <c r="P81" s="16"/>
      <c r="Q81" s="16"/>
      <c r="R81" s="16"/>
      <c r="S81" s="16"/>
      <c r="T81" s="16"/>
      <c r="U81" s="16"/>
      <c r="V81" s="16"/>
      <c r="W81" s="16"/>
      <c r="X81" s="16"/>
      <c r="Y81" s="16"/>
    </row>
    <row r="82" spans="1:25" x14ac:dyDescent="0.3">
      <c r="A82" s="9" t="s">
        <v>14</v>
      </c>
      <c r="B82" s="6">
        <f>'DY 22 &amp; DY 23 Assumptions'!C15</f>
        <v>3303.594323266319</v>
      </c>
      <c r="C82" s="18">
        <f>'DY 22 &amp; DY 23 Assumptions'!H15</f>
        <v>57.94</v>
      </c>
      <c r="D82" s="9"/>
      <c r="E82" s="17">
        <f>(D18*C82)*0.15</f>
        <v>553698.17819519329</v>
      </c>
      <c r="F82" s="17">
        <f>((D18*C82)-E82)/6</f>
        <v>522937.16829546029</v>
      </c>
      <c r="G82" s="17">
        <f t="shared" ref="G82:K85" si="13">F82</f>
        <v>522937.16829546029</v>
      </c>
      <c r="H82" s="17">
        <f t="shared" si="13"/>
        <v>522937.16829546029</v>
      </c>
      <c r="I82" s="17">
        <f t="shared" si="13"/>
        <v>522937.16829546029</v>
      </c>
      <c r="J82" s="17">
        <f t="shared" si="13"/>
        <v>522937.16829546029</v>
      </c>
      <c r="K82" s="17">
        <f t="shared" si="13"/>
        <v>522937.16829546029</v>
      </c>
      <c r="L82" s="17"/>
      <c r="M82" s="17"/>
      <c r="N82" s="17"/>
      <c r="O82" s="17"/>
      <c r="P82" s="17"/>
      <c r="Q82" s="17"/>
      <c r="R82" s="17"/>
      <c r="S82" s="17"/>
      <c r="T82" s="17"/>
      <c r="U82" s="17"/>
      <c r="V82" s="17">
        <f>'Reopening Activities'!V18*$C82</f>
        <v>0</v>
      </c>
      <c r="W82" s="17">
        <f>'Reopening Activities'!W18*$C82</f>
        <v>0</v>
      </c>
      <c r="X82" s="17">
        <f>'Reopening Activities'!X18*$C82</f>
        <v>0</v>
      </c>
      <c r="Y82" s="17">
        <f>'Reopening Activities'!Y18*$C82</f>
        <v>0</v>
      </c>
    </row>
    <row r="83" spans="1:25" x14ac:dyDescent="0.3">
      <c r="A83" s="9" t="s">
        <v>15</v>
      </c>
      <c r="B83" s="6">
        <f>'DY 22 &amp; DY 23 Assumptions'!C16</f>
        <v>2551.8690919397786</v>
      </c>
      <c r="C83" s="18">
        <f>'DY 22 &amp; DY 23 Assumptions'!H16</f>
        <v>58.85</v>
      </c>
      <c r="D83" s="9"/>
      <c r="E83" s="17">
        <f>(D19*C83)*0.15</f>
        <v>423617.39582145907</v>
      </c>
      <c r="F83" s="17">
        <f>((D19*C83)-E83)/6</f>
        <v>400083.09605360025</v>
      </c>
      <c r="G83" s="17">
        <f t="shared" si="13"/>
        <v>400083.09605360025</v>
      </c>
      <c r="H83" s="17">
        <f t="shared" si="13"/>
        <v>400083.09605360025</v>
      </c>
      <c r="I83" s="17">
        <f t="shared" si="13"/>
        <v>400083.09605360025</v>
      </c>
      <c r="J83" s="17">
        <f t="shared" si="13"/>
        <v>400083.09605360025</v>
      </c>
      <c r="K83" s="17">
        <f t="shared" si="13"/>
        <v>400083.09605360025</v>
      </c>
      <c r="L83" s="17"/>
      <c r="M83" s="17"/>
      <c r="N83" s="17"/>
      <c r="O83" s="17"/>
      <c r="P83" s="17"/>
      <c r="Q83" s="17"/>
      <c r="R83" s="17"/>
      <c r="S83" s="17"/>
      <c r="T83" s="17"/>
      <c r="U83" s="17"/>
      <c r="V83" s="17">
        <f>'Reopening Activities'!V19*$C83</f>
        <v>0</v>
      </c>
      <c r="W83" s="17">
        <f>'Reopening Activities'!W19*$C83</f>
        <v>0</v>
      </c>
      <c r="X83" s="17">
        <f>'Reopening Activities'!X19*$C83</f>
        <v>0</v>
      </c>
      <c r="Y83" s="17">
        <f>'Reopening Activities'!Y19*$C83</f>
        <v>0</v>
      </c>
    </row>
    <row r="84" spans="1:25" x14ac:dyDescent="0.3">
      <c r="A84" s="9" t="s">
        <v>16</v>
      </c>
      <c r="B84" s="6">
        <f>'DY 22 &amp; DY 23 Assumptions'!C17</f>
        <v>5923.6927010875188</v>
      </c>
      <c r="C84" s="18">
        <f>'DY 22 &amp; DY 23 Assumptions'!H17</f>
        <v>52.35</v>
      </c>
      <c r="D84" s="9"/>
      <c r="E84" s="17">
        <f>(D20*C84)*0.15</f>
        <v>903307.91200948972</v>
      </c>
      <c r="F84" s="17">
        <f>((D20*C84)-E84)/6</f>
        <v>853124.13912007364</v>
      </c>
      <c r="G84" s="17">
        <f t="shared" si="13"/>
        <v>853124.13912007364</v>
      </c>
      <c r="H84" s="17">
        <f t="shared" si="13"/>
        <v>853124.13912007364</v>
      </c>
      <c r="I84" s="17">
        <f t="shared" si="13"/>
        <v>853124.13912007364</v>
      </c>
      <c r="J84" s="17">
        <f t="shared" si="13"/>
        <v>853124.13912007364</v>
      </c>
      <c r="K84" s="17">
        <f t="shared" si="13"/>
        <v>853124.13912007364</v>
      </c>
      <c r="L84" s="17"/>
      <c r="M84" s="17"/>
      <c r="N84" s="17"/>
      <c r="O84" s="17"/>
      <c r="P84" s="17"/>
      <c r="Q84" s="17"/>
      <c r="R84" s="17"/>
      <c r="S84" s="17"/>
      <c r="T84" s="17"/>
      <c r="U84" s="17"/>
      <c r="V84" s="17">
        <f>'Reopening Activities'!V20*$C84</f>
        <v>0</v>
      </c>
      <c r="W84" s="17">
        <f>'Reopening Activities'!W20*$C84</f>
        <v>0</v>
      </c>
      <c r="X84" s="17">
        <f>'Reopening Activities'!X20*$C84</f>
        <v>0</v>
      </c>
      <c r="Y84" s="17">
        <f>'Reopening Activities'!Y20*$C84</f>
        <v>0</v>
      </c>
    </row>
    <row r="85" spans="1:25" x14ac:dyDescent="0.3">
      <c r="A85" s="9" t="s">
        <v>17</v>
      </c>
      <c r="B85" s="6">
        <f>'DY 22 &amp; DY 23 Assumptions'!C18</f>
        <v>28220.762318511068</v>
      </c>
      <c r="C85" s="18">
        <f>'DY 22 &amp; DY 23 Assumptions'!H18</f>
        <v>50.42</v>
      </c>
      <c r="D85" s="9"/>
      <c r="E85" s="17">
        <f>(D21*C85)*0.15</f>
        <v>3903154.3846401842</v>
      </c>
      <c r="F85" s="17">
        <f>((D21*C85)-E85)/6</f>
        <v>3686312.4743823968</v>
      </c>
      <c r="G85" s="17">
        <f t="shared" si="13"/>
        <v>3686312.4743823968</v>
      </c>
      <c r="H85" s="17">
        <f t="shared" si="13"/>
        <v>3686312.4743823968</v>
      </c>
      <c r="I85" s="17">
        <f t="shared" si="13"/>
        <v>3686312.4743823968</v>
      </c>
      <c r="J85" s="17">
        <f t="shared" si="13"/>
        <v>3686312.4743823968</v>
      </c>
      <c r="K85" s="17">
        <f t="shared" si="13"/>
        <v>3686312.4743823968</v>
      </c>
      <c r="L85" s="17"/>
      <c r="M85" s="17"/>
      <c r="N85" s="17"/>
      <c r="O85" s="17"/>
      <c r="P85" s="17"/>
      <c r="Q85" s="17"/>
      <c r="R85" s="17"/>
      <c r="S85" s="17"/>
      <c r="T85" s="17"/>
      <c r="U85" s="17"/>
      <c r="V85" s="17">
        <f>'Reopening Activities'!V21*$C85</f>
        <v>0</v>
      </c>
      <c r="W85" s="17">
        <f>'Reopening Activities'!W21*$C85</f>
        <v>0</v>
      </c>
      <c r="X85" s="17">
        <f>'Reopening Activities'!X21*$C85</f>
        <v>0</v>
      </c>
      <c r="Y85" s="17">
        <f>'Reopening Activities'!Y21*$C85</f>
        <v>0</v>
      </c>
    </row>
    <row r="86" spans="1:25" x14ac:dyDescent="0.3">
      <c r="A86" s="9" t="s">
        <v>79</v>
      </c>
      <c r="B86" s="6"/>
      <c r="C86" s="18">
        <f>'DY 22 &amp; DY 23 Assumptions'!H19</f>
        <v>40.9</v>
      </c>
      <c r="D86" s="9"/>
      <c r="E86" s="17"/>
      <c r="F86" s="17"/>
      <c r="G86" s="17"/>
      <c r="H86" s="17"/>
      <c r="I86" s="17"/>
      <c r="J86" s="17"/>
      <c r="K86" s="17"/>
      <c r="L86" s="17"/>
      <c r="M86" s="17"/>
      <c r="N86" s="17"/>
      <c r="O86" s="17"/>
      <c r="P86" s="17"/>
      <c r="Q86" s="17"/>
      <c r="R86" s="17"/>
      <c r="S86" s="17"/>
      <c r="T86" s="17"/>
      <c r="U86" s="17"/>
      <c r="V86" s="17"/>
      <c r="W86" s="17"/>
      <c r="X86" s="17"/>
      <c r="Y86" s="17"/>
    </row>
    <row r="87" spans="1:25" x14ac:dyDescent="0.3">
      <c r="A87" s="1" t="s">
        <v>18</v>
      </c>
      <c r="B87" s="46">
        <f>'DY 22 &amp; DY 23 Assumptions'!C20</f>
        <v>141300</v>
      </c>
      <c r="C87" s="14"/>
      <c r="D87" s="1"/>
      <c r="E87" s="17">
        <f>(D23*C87)*0.15</f>
        <v>0</v>
      </c>
      <c r="F87" s="17">
        <f>((D23*C87)-E87)/6</f>
        <v>0</v>
      </c>
      <c r="G87" s="16"/>
      <c r="H87" s="16"/>
      <c r="I87" s="16"/>
      <c r="J87" s="16"/>
      <c r="K87" s="16"/>
      <c r="L87" s="16"/>
      <c r="M87" s="16"/>
      <c r="N87" s="16"/>
      <c r="O87" s="16"/>
      <c r="P87" s="16"/>
      <c r="Q87" s="16"/>
      <c r="R87" s="16"/>
      <c r="S87" s="16"/>
      <c r="T87" s="16"/>
      <c r="U87" s="16"/>
      <c r="V87" s="16"/>
      <c r="W87" s="16"/>
      <c r="X87" s="16"/>
      <c r="Y87" s="16"/>
    </row>
    <row r="88" spans="1:25" x14ac:dyDescent="0.3">
      <c r="A88" s="9" t="s">
        <v>19</v>
      </c>
      <c r="B88" s="6">
        <f>'DY 22 &amp; DY 23 Assumptions'!C21</f>
        <v>5343.698636985745</v>
      </c>
      <c r="C88" s="18">
        <f>'DY 22 &amp; DY 23 Assumptions'!H21</f>
        <v>62.23</v>
      </c>
      <c r="D88" s="9"/>
      <c r="E88" s="17">
        <f>(D24*C88)*0.15</f>
        <v>905544.94062385999</v>
      </c>
      <c r="F88" s="17">
        <f>((D24*C88)-E88)/6</f>
        <v>855236.88836697896</v>
      </c>
      <c r="G88" s="17">
        <f t="shared" ref="G88:K91" si="14">F88</f>
        <v>855236.88836697896</v>
      </c>
      <c r="H88" s="17">
        <f t="shared" si="14"/>
        <v>855236.88836697896</v>
      </c>
      <c r="I88" s="17">
        <f t="shared" si="14"/>
        <v>855236.88836697896</v>
      </c>
      <c r="J88" s="17">
        <f t="shared" si="14"/>
        <v>855236.88836697896</v>
      </c>
      <c r="K88" s="17">
        <f t="shared" si="14"/>
        <v>855236.88836697896</v>
      </c>
      <c r="L88" s="17"/>
      <c r="M88" s="17"/>
      <c r="N88" s="17"/>
      <c r="O88" s="17"/>
      <c r="P88" s="17"/>
      <c r="Q88" s="17"/>
      <c r="R88" s="17"/>
      <c r="S88" s="17"/>
      <c r="T88" s="17"/>
      <c r="U88" s="17"/>
      <c r="V88" s="17">
        <f>'Reopening Activities'!V23*$C88</f>
        <v>0</v>
      </c>
      <c r="W88" s="17">
        <f>'Reopening Activities'!W23*$C88</f>
        <v>0</v>
      </c>
      <c r="X88" s="17">
        <f>'Reopening Activities'!X23*$C88</f>
        <v>0</v>
      </c>
      <c r="Y88" s="17">
        <f>'Reopening Activities'!Y23*$C88</f>
        <v>0</v>
      </c>
    </row>
    <row r="89" spans="1:25" x14ac:dyDescent="0.3">
      <c r="A89" s="9" t="s">
        <v>15</v>
      </c>
      <c r="B89" s="6">
        <f>'DY 22 &amp; DY 23 Assumptions'!C22</f>
        <v>4161.1431571184839</v>
      </c>
      <c r="C89" s="18">
        <f>'DY 22 &amp; DY 23 Assumptions'!H22</f>
        <v>59.02</v>
      </c>
      <c r="D89" s="9"/>
      <c r="E89" s="17">
        <f>(D25*C89)*0.15</f>
        <v>662697.90247728932</v>
      </c>
      <c r="F89" s="17">
        <f>((D25*C89)-E89)/6</f>
        <v>625881.35233966215</v>
      </c>
      <c r="G89" s="17">
        <f t="shared" si="14"/>
        <v>625881.35233966215</v>
      </c>
      <c r="H89" s="17">
        <f t="shared" si="14"/>
        <v>625881.35233966215</v>
      </c>
      <c r="I89" s="17">
        <f t="shared" si="14"/>
        <v>625881.35233966215</v>
      </c>
      <c r="J89" s="17">
        <f t="shared" si="14"/>
        <v>625881.35233966215</v>
      </c>
      <c r="K89" s="17">
        <f t="shared" si="14"/>
        <v>625881.35233966215</v>
      </c>
      <c r="L89" s="17"/>
      <c r="M89" s="17"/>
      <c r="N89" s="17"/>
      <c r="O89" s="17"/>
      <c r="P89" s="17"/>
      <c r="Q89" s="17"/>
      <c r="R89" s="17"/>
      <c r="S89" s="17"/>
      <c r="T89" s="17"/>
      <c r="U89" s="17"/>
      <c r="V89" s="17">
        <f>'Reopening Activities'!V24*$C89</f>
        <v>0</v>
      </c>
      <c r="W89" s="17">
        <f>'Reopening Activities'!W24*$C89</f>
        <v>0</v>
      </c>
      <c r="X89" s="17">
        <f>'Reopening Activities'!X24*$C89</f>
        <v>0</v>
      </c>
      <c r="Y89" s="17">
        <f>'Reopening Activities'!Y24*$C89</f>
        <v>0</v>
      </c>
    </row>
    <row r="90" spans="1:25" x14ac:dyDescent="0.3">
      <c r="A90" s="9" t="s">
        <v>16</v>
      </c>
      <c r="B90" s="6">
        <f>'DY 22 &amp; DY 23 Assumptions'!C23</f>
        <v>15422.770337410086</v>
      </c>
      <c r="C90" s="18">
        <f>'DY 22 &amp; DY 23 Assumptions'!H23</f>
        <v>53.11</v>
      </c>
      <c r="D90" s="9"/>
      <c r="E90" s="17">
        <f>(D26*C90)*0.15</f>
        <v>2201368.056321986</v>
      </c>
      <c r="F90" s="17">
        <f>((D26*C90)-E90)/6</f>
        <v>2079069.8309707644</v>
      </c>
      <c r="G90" s="17">
        <f t="shared" si="14"/>
        <v>2079069.8309707644</v>
      </c>
      <c r="H90" s="17">
        <f t="shared" si="14"/>
        <v>2079069.8309707644</v>
      </c>
      <c r="I90" s="17">
        <f t="shared" si="14"/>
        <v>2079069.8309707644</v>
      </c>
      <c r="J90" s="17">
        <f t="shared" si="14"/>
        <v>2079069.8309707644</v>
      </c>
      <c r="K90" s="17">
        <f t="shared" si="14"/>
        <v>2079069.8309707644</v>
      </c>
      <c r="L90" s="17"/>
      <c r="M90" s="17"/>
      <c r="N90" s="17"/>
      <c r="O90" s="17"/>
      <c r="P90" s="17"/>
      <c r="Q90" s="17"/>
      <c r="R90" s="17"/>
      <c r="S90" s="17"/>
      <c r="T90" s="17"/>
      <c r="U90" s="17"/>
      <c r="V90" s="17">
        <f>'Reopening Activities'!V25*$C90</f>
        <v>0</v>
      </c>
      <c r="W90" s="17">
        <f>'Reopening Activities'!W25*$C90</f>
        <v>0</v>
      </c>
      <c r="X90" s="17">
        <f>'Reopening Activities'!X25*$C90</f>
        <v>0</v>
      </c>
      <c r="Y90" s="17">
        <f>'Reopening Activities'!Y25*$C90</f>
        <v>0</v>
      </c>
    </row>
    <row r="91" spans="1:25" x14ac:dyDescent="0.3">
      <c r="A91" s="9" t="s">
        <v>17</v>
      </c>
      <c r="B91" s="6">
        <f>'DY 22 &amp; DY 23 Assumptions'!C24</f>
        <v>116372.33880997168</v>
      </c>
      <c r="C91" s="18">
        <f>'DY 22 &amp; DY 23 Assumptions'!H24</f>
        <v>47.63</v>
      </c>
      <c r="D91" s="9"/>
      <c r="E91" s="17">
        <f>(D27*C91)*0.15</f>
        <v>15794365.127408985</v>
      </c>
      <c r="F91" s="17">
        <f>((D27*C91)-E91)/6</f>
        <v>14916900.398108488</v>
      </c>
      <c r="G91" s="17">
        <f t="shared" si="14"/>
        <v>14916900.398108488</v>
      </c>
      <c r="H91" s="17">
        <f t="shared" si="14"/>
        <v>14916900.398108488</v>
      </c>
      <c r="I91" s="17">
        <f t="shared" si="14"/>
        <v>14916900.398108488</v>
      </c>
      <c r="J91" s="17">
        <f t="shared" si="14"/>
        <v>14916900.398108488</v>
      </c>
      <c r="K91" s="17">
        <f t="shared" si="14"/>
        <v>14916900.398108488</v>
      </c>
      <c r="L91" s="17"/>
      <c r="M91" s="17"/>
      <c r="N91" s="17"/>
      <c r="O91" s="17"/>
      <c r="P91" s="17"/>
      <c r="Q91" s="17"/>
      <c r="R91" s="17"/>
      <c r="S91" s="17"/>
      <c r="T91" s="17"/>
      <c r="U91" s="17"/>
      <c r="V91" s="17">
        <f>'Reopening Activities'!V26*$C91</f>
        <v>0</v>
      </c>
      <c r="W91" s="17">
        <f>'Reopening Activities'!W26*$C91</f>
        <v>0</v>
      </c>
      <c r="X91" s="17">
        <f>'Reopening Activities'!X26*$C91</f>
        <v>0</v>
      </c>
      <c r="Y91" s="17">
        <f>'Reopening Activities'!Y26*$C91</f>
        <v>0</v>
      </c>
    </row>
    <row r="92" spans="1:25" x14ac:dyDescent="0.3">
      <c r="A92" s="9" t="s">
        <v>79</v>
      </c>
      <c r="B92" s="6">
        <f>'DY 22 &amp; DY 23 Assumptions'!C25</f>
        <v>0</v>
      </c>
      <c r="C92" s="18">
        <f>'DY 22 &amp; DY 23 Assumptions'!H25</f>
        <v>33.31</v>
      </c>
      <c r="D92" s="9"/>
      <c r="E92" s="17"/>
      <c r="F92" s="17"/>
      <c r="G92" s="17"/>
      <c r="H92" s="17"/>
      <c r="I92" s="17"/>
      <c r="J92" s="17"/>
      <c r="K92" s="17"/>
      <c r="L92" s="17"/>
      <c r="M92" s="17"/>
      <c r="N92" s="17"/>
      <c r="O92" s="17"/>
      <c r="P92" s="17"/>
      <c r="Q92" s="17"/>
      <c r="R92" s="17"/>
      <c r="S92" s="17"/>
      <c r="T92" s="17"/>
      <c r="U92" s="17"/>
      <c r="V92" s="17"/>
      <c r="W92" s="17"/>
      <c r="X92" s="17"/>
      <c r="Y92" s="17"/>
    </row>
    <row r="93" spans="1:25" x14ac:dyDescent="0.3">
      <c r="A93" s="5" t="s">
        <v>249</v>
      </c>
      <c r="B93" s="6">
        <f>'DY 22 &amp; DY 23 Assumptions'!C26</f>
        <v>160000</v>
      </c>
      <c r="C93" s="18"/>
      <c r="D93" s="40">
        <f>SUM(E93:Y93)</f>
        <v>245238707.71440607</v>
      </c>
      <c r="E93" s="40">
        <f t="shared" ref="E93:Y93" si="15">SUM(E94:E95)</f>
        <v>0</v>
      </c>
      <c r="F93" s="40">
        <f t="shared" si="15"/>
        <v>12854593.901951998</v>
      </c>
      <c r="G93" s="40">
        <f t="shared" si="15"/>
        <v>12790320.93244224</v>
      </c>
      <c r="H93" s="40">
        <f t="shared" si="15"/>
        <v>12726369.327780029</v>
      </c>
      <c r="I93" s="40">
        <f t="shared" si="15"/>
        <v>12662737.48114113</v>
      </c>
      <c r="J93" s="40">
        <f t="shared" si="15"/>
        <v>12599423.793735424</v>
      </c>
      <c r="K93" s="40">
        <f t="shared" si="15"/>
        <v>12536426.674766747</v>
      </c>
      <c r="L93" s="40">
        <f t="shared" si="15"/>
        <v>12473744.541392913</v>
      </c>
      <c r="M93" s="40">
        <f t="shared" si="15"/>
        <v>12411375.818685949</v>
      </c>
      <c r="N93" s="40">
        <f t="shared" si="15"/>
        <v>12349318.93959252</v>
      </c>
      <c r="O93" s="40">
        <f t="shared" si="15"/>
        <v>12287572.344894556</v>
      </c>
      <c r="P93" s="40">
        <f t="shared" si="15"/>
        <v>12226134.483170083</v>
      </c>
      <c r="Q93" s="40">
        <f t="shared" si="15"/>
        <v>12165003.810754232</v>
      </c>
      <c r="R93" s="40">
        <f t="shared" si="15"/>
        <v>12104178.791700462</v>
      </c>
      <c r="S93" s="40">
        <f t="shared" si="15"/>
        <v>12043657.897741958</v>
      </c>
      <c r="T93" s="40">
        <f t="shared" si="15"/>
        <v>11983439.608253248</v>
      </c>
      <c r="U93" s="40">
        <f t="shared" si="15"/>
        <v>11923522.410211984</v>
      </c>
      <c r="V93" s="40">
        <f t="shared" si="15"/>
        <v>11863904.798160924</v>
      </c>
      <c r="W93" s="40">
        <f t="shared" si="15"/>
        <v>11804585.274170119</v>
      </c>
      <c r="X93" s="40">
        <f t="shared" si="15"/>
        <v>11745562.347799269</v>
      </c>
      <c r="Y93" s="40">
        <f t="shared" si="15"/>
        <v>11686834.536060272</v>
      </c>
    </row>
    <row r="94" spans="1:25" x14ac:dyDescent="0.3">
      <c r="A94" s="1" t="s">
        <v>22</v>
      </c>
      <c r="B94" s="46">
        <f>'DY 22 &amp; DY 23 Assumptions'!C27</f>
        <v>48000</v>
      </c>
      <c r="C94" s="18">
        <f>'DY 22 &amp; DY 23 Assumptions'!H33</f>
        <v>51.32</v>
      </c>
      <c r="D94" s="9"/>
      <c r="E94" s="66"/>
      <c r="F94" s="17">
        <f>'DY 2022 Activities'!F30*$C94</f>
        <v>3648367.2107520001</v>
      </c>
      <c r="G94" s="17">
        <f t="shared" ref="G94:Y94" si="16">G30*$C94</f>
        <v>3630125.3746982398</v>
      </c>
      <c r="H94" s="17">
        <f t="shared" si="16"/>
        <v>3611974.747824749</v>
      </c>
      <c r="I94" s="17">
        <f t="shared" si="16"/>
        <v>3593914.8740856252</v>
      </c>
      <c r="J94" s="17">
        <f t="shared" si="16"/>
        <v>3575945.2997151967</v>
      </c>
      <c r="K94" s="17">
        <f t="shared" si="16"/>
        <v>3558065.5732166208</v>
      </c>
      <c r="L94" s="17">
        <f t="shared" si="16"/>
        <v>3540275.2453505378</v>
      </c>
      <c r="M94" s="17">
        <f t="shared" si="16"/>
        <v>3522573.8691237848</v>
      </c>
      <c r="N94" s="17">
        <f t="shared" si="16"/>
        <v>3504960.9997781659</v>
      </c>
      <c r="O94" s="17">
        <f t="shared" si="16"/>
        <v>3487436.194779275</v>
      </c>
      <c r="P94" s="17">
        <f t="shared" si="16"/>
        <v>3469999.0138053787</v>
      </c>
      <c r="Q94" s="17">
        <f t="shared" si="16"/>
        <v>3452649.0187363517</v>
      </c>
      <c r="R94" s="17">
        <f t="shared" si="16"/>
        <v>3435385.7736426704</v>
      </c>
      <c r="S94" s="17">
        <f t="shared" si="16"/>
        <v>3418208.8447744572</v>
      </c>
      <c r="T94" s="17">
        <f t="shared" si="16"/>
        <v>3401117.8005505842</v>
      </c>
      <c r="U94" s="17">
        <f t="shared" si="16"/>
        <v>3384112.2115478311</v>
      </c>
      <c r="V94" s="17">
        <f t="shared" si="16"/>
        <v>3367191.6504900921</v>
      </c>
      <c r="W94" s="17">
        <f t="shared" si="16"/>
        <v>3350355.6922376417</v>
      </c>
      <c r="X94" s="17">
        <f t="shared" si="16"/>
        <v>3333603.9137764531</v>
      </c>
      <c r="Y94" s="17">
        <f t="shared" si="16"/>
        <v>3316935.8942075712</v>
      </c>
    </row>
    <row r="95" spans="1:25" x14ac:dyDescent="0.3">
      <c r="A95" s="1" t="s">
        <v>24</v>
      </c>
      <c r="B95" s="46">
        <f>'DY 22 &amp; DY 23 Assumptions'!C35</f>
        <v>112000</v>
      </c>
      <c r="C95" s="18">
        <f>'DY 22 &amp; DY 23 Assumptions'!H41</f>
        <v>55.5</v>
      </c>
      <c r="D95" s="9"/>
      <c r="E95" s="66"/>
      <c r="F95" s="17">
        <f>'DY 2022 Activities'!F31*$C95</f>
        <v>9206226.6911999993</v>
      </c>
      <c r="G95" s="17">
        <f t="shared" ref="G95:Y95" si="17">G31*$C95</f>
        <v>9160195.5577440001</v>
      </c>
      <c r="H95" s="17">
        <f t="shared" si="17"/>
        <v>9114394.5799552798</v>
      </c>
      <c r="I95" s="17">
        <f t="shared" si="17"/>
        <v>9068822.6070555039</v>
      </c>
      <c r="J95" s="17">
        <f t="shared" si="17"/>
        <v>9023478.4940202273</v>
      </c>
      <c r="K95" s="17">
        <f t="shared" si="17"/>
        <v>8978361.1015501264</v>
      </c>
      <c r="L95" s="17">
        <f t="shared" si="17"/>
        <v>8933469.2960423753</v>
      </c>
      <c r="M95" s="17">
        <f t="shared" si="17"/>
        <v>8888801.949562164</v>
      </c>
      <c r="N95" s="17">
        <f t="shared" si="17"/>
        <v>8844357.9398143534</v>
      </c>
      <c r="O95" s="17">
        <f t="shared" si="17"/>
        <v>8800136.1501152813</v>
      </c>
      <c r="P95" s="17">
        <f t="shared" si="17"/>
        <v>8756135.4693647046</v>
      </c>
      <c r="Q95" s="17">
        <f t="shared" si="17"/>
        <v>8712354.7920178808</v>
      </c>
      <c r="R95" s="17">
        <f t="shared" si="17"/>
        <v>8668793.0180577915</v>
      </c>
      <c r="S95" s="17">
        <f t="shared" si="17"/>
        <v>8625449.0529675018</v>
      </c>
      <c r="T95" s="17">
        <f t="shared" si="17"/>
        <v>8582321.8077026643</v>
      </c>
      <c r="U95" s="17">
        <f t="shared" si="17"/>
        <v>8539410.198664153</v>
      </c>
      <c r="V95" s="17">
        <f t="shared" si="17"/>
        <v>8496713.1476708315</v>
      </c>
      <c r="W95" s="17">
        <f t="shared" si="17"/>
        <v>8454229.5819324777</v>
      </c>
      <c r="X95" s="17">
        <f t="shared" si="17"/>
        <v>8411958.4340228159</v>
      </c>
      <c r="Y95" s="17">
        <f t="shared" si="17"/>
        <v>8369898.6418527011</v>
      </c>
    </row>
    <row r="96" spans="1:25" x14ac:dyDescent="0.3">
      <c r="A96" s="5" t="s">
        <v>25</v>
      </c>
      <c r="B96" s="6">
        <f>'DY 22 &amp; DY 23 Assumptions'!C43</f>
        <v>199350</v>
      </c>
      <c r="C96" s="18"/>
      <c r="D96" s="24">
        <f>SUM(E96:Z96)</f>
        <v>345203508.19019699</v>
      </c>
      <c r="E96" s="40">
        <f t="shared" ref="E96:Y96" si="18">SUM(E97:E109)</f>
        <v>18094414.836347114</v>
      </c>
      <c r="F96" s="40">
        <f t="shared" si="18"/>
        <v>18003942.762165383</v>
      </c>
      <c r="G96" s="40">
        <f t="shared" si="18"/>
        <v>17913923.048354551</v>
      </c>
      <c r="H96" s="40">
        <f t="shared" si="18"/>
        <v>17824353.433112781</v>
      </c>
      <c r="I96" s="40">
        <f t="shared" si="18"/>
        <v>17735231.665947214</v>
      </c>
      <c r="J96" s="40">
        <f t="shared" si="18"/>
        <v>17646555.507617481</v>
      </c>
      <c r="K96" s="40">
        <f t="shared" si="18"/>
        <v>17558322.730079394</v>
      </c>
      <c r="L96" s="40">
        <f t="shared" si="18"/>
        <v>17470531.116428994</v>
      </c>
      <c r="M96" s="40">
        <f t="shared" si="18"/>
        <v>17383178.460846849</v>
      </c>
      <c r="N96" s="40">
        <f t="shared" si="18"/>
        <v>17296262.568542615</v>
      </c>
      <c r="O96" s="40">
        <f t="shared" si="18"/>
        <v>17209781.255699903</v>
      </c>
      <c r="P96" s="40">
        <f t="shared" si="18"/>
        <v>17123732.349421404</v>
      </c>
      <c r="Q96" s="40">
        <f t="shared" si="18"/>
        <v>17038113.687674299</v>
      </c>
      <c r="R96" s="40">
        <f t="shared" si="18"/>
        <v>16952923.119235925</v>
      </c>
      <c r="S96" s="40">
        <f t="shared" si="18"/>
        <v>16868158.503639746</v>
      </c>
      <c r="T96" s="40">
        <f t="shared" si="18"/>
        <v>16783817.711121552</v>
      </c>
      <c r="U96" s="40">
        <f t="shared" si="18"/>
        <v>16699898.62256594</v>
      </c>
      <c r="V96" s="40">
        <f t="shared" si="18"/>
        <v>16616399.12945311</v>
      </c>
      <c r="W96" s="40">
        <f t="shared" si="18"/>
        <v>16533317.133805845</v>
      </c>
      <c r="X96" s="40">
        <f t="shared" si="18"/>
        <v>16450650.548136815</v>
      </c>
      <c r="Y96" s="40">
        <f t="shared" si="18"/>
        <v>0</v>
      </c>
    </row>
    <row r="97" spans="1:25" x14ac:dyDescent="0.3">
      <c r="A97" s="1" t="s">
        <v>26</v>
      </c>
      <c r="B97" s="46">
        <f>'DY 22 &amp; DY 23 Assumptions'!C44</f>
        <v>80000</v>
      </c>
      <c r="C97" s="14"/>
      <c r="D97" s="1"/>
      <c r="E97" s="122"/>
      <c r="F97" s="122"/>
      <c r="G97" s="122"/>
      <c r="H97" s="122"/>
      <c r="I97" s="122"/>
      <c r="J97" s="122"/>
      <c r="K97" s="122"/>
      <c r="L97" s="122"/>
      <c r="M97" s="122"/>
      <c r="N97" s="122"/>
      <c r="O97" s="122"/>
      <c r="P97" s="122"/>
      <c r="Q97" s="122"/>
      <c r="R97" s="122"/>
      <c r="S97" s="122"/>
      <c r="T97" s="122"/>
      <c r="U97" s="122"/>
      <c r="V97" s="122"/>
      <c r="W97" s="122"/>
      <c r="X97" s="122"/>
      <c r="Y97" s="1"/>
    </row>
    <row r="98" spans="1:25" x14ac:dyDescent="0.3">
      <c r="A98" s="9" t="s">
        <v>27</v>
      </c>
      <c r="B98" s="6">
        <f>'DY 22 &amp; DY 23 Assumptions'!C45</f>
        <v>3703.7037037037035</v>
      </c>
      <c r="C98" s="18">
        <f>'DY 22 &amp; DY 23 Assumptions'!H45</f>
        <v>74.95</v>
      </c>
      <c r="D98" s="9"/>
      <c r="E98" s="17">
        <f t="shared" ref="E98:X98" si="19">E34*$C$98</f>
        <v>411129.39755555545</v>
      </c>
      <c r="F98" s="17">
        <f t="shared" si="19"/>
        <v>409073.75056777772</v>
      </c>
      <c r="G98" s="17">
        <f t="shared" si="19"/>
        <v>407028.38181493885</v>
      </c>
      <c r="H98" s="17">
        <f t="shared" si="19"/>
        <v>404993.23990586412</v>
      </c>
      <c r="I98" s="17">
        <f t="shared" si="19"/>
        <v>402968.27370633482</v>
      </c>
      <c r="J98" s="17">
        <f t="shared" si="19"/>
        <v>400953.43233780318</v>
      </c>
      <c r="K98" s="17">
        <f t="shared" si="19"/>
        <v>398948.66517611413</v>
      </c>
      <c r="L98" s="17">
        <f t="shared" si="19"/>
        <v>396953.92185023351</v>
      </c>
      <c r="M98" s="17">
        <f t="shared" si="19"/>
        <v>394969.15224098234</v>
      </c>
      <c r="N98" s="17">
        <f t="shared" si="19"/>
        <v>392994.30647977744</v>
      </c>
      <c r="O98" s="17">
        <f t="shared" si="19"/>
        <v>391029.33494737861</v>
      </c>
      <c r="P98" s="17">
        <f t="shared" si="19"/>
        <v>389074.18827264168</v>
      </c>
      <c r="Q98" s="17">
        <f t="shared" si="19"/>
        <v>387128.81733127846</v>
      </c>
      <c r="R98" s="17">
        <f t="shared" si="19"/>
        <v>385193.17324462207</v>
      </c>
      <c r="S98" s="17">
        <f t="shared" si="19"/>
        <v>383267.20737839892</v>
      </c>
      <c r="T98" s="17">
        <f t="shared" si="19"/>
        <v>381350.87134150695</v>
      </c>
      <c r="U98" s="17">
        <f t="shared" si="19"/>
        <v>379444.11698479939</v>
      </c>
      <c r="V98" s="17">
        <f t="shared" si="19"/>
        <v>377546.89639987535</v>
      </c>
      <c r="W98" s="17">
        <f t="shared" si="19"/>
        <v>375659.16191787599</v>
      </c>
      <c r="X98" s="17">
        <f t="shared" si="19"/>
        <v>373780.8661082866</v>
      </c>
      <c r="Y98" s="17">
        <f>'Reopening Activities'!Z32*$C98</f>
        <v>0</v>
      </c>
    </row>
    <row r="99" spans="1:25" x14ac:dyDescent="0.3">
      <c r="A99" s="9" t="s">
        <v>19</v>
      </c>
      <c r="B99" s="6">
        <f>'DY 22 &amp; DY 23 Assumptions'!C46</f>
        <v>4444.4444444444443</v>
      </c>
      <c r="C99" s="18">
        <f>'DY 22 &amp; DY 23 Assumptions'!H46</f>
        <v>65.569999999999993</v>
      </c>
      <c r="D99" s="9"/>
      <c r="E99" s="17">
        <f t="shared" ref="E99:X99" si="20">E35*$C99</f>
        <v>431611.81477333332</v>
      </c>
      <c r="F99" s="17">
        <f t="shared" si="20"/>
        <v>429453.75569946662</v>
      </c>
      <c r="G99" s="17">
        <f t="shared" si="20"/>
        <v>427306.48692096927</v>
      </c>
      <c r="H99" s="17">
        <f t="shared" si="20"/>
        <v>425169.95448636444</v>
      </c>
      <c r="I99" s="17">
        <f t="shared" si="20"/>
        <v>423044.10471393261</v>
      </c>
      <c r="J99" s="17">
        <f t="shared" si="20"/>
        <v>420928.88419036299</v>
      </c>
      <c r="K99" s="17">
        <f t="shared" si="20"/>
        <v>418824.23976941116</v>
      </c>
      <c r="L99" s="17">
        <f t="shared" si="20"/>
        <v>416730.11857056408</v>
      </c>
      <c r="M99" s="17">
        <f t="shared" si="20"/>
        <v>414646.46797771123</v>
      </c>
      <c r="N99" s="17">
        <f t="shared" si="20"/>
        <v>412573.23563782265</v>
      </c>
      <c r="O99" s="17">
        <f t="shared" si="20"/>
        <v>410510.36945963354</v>
      </c>
      <c r="P99" s="17">
        <f t="shared" si="20"/>
        <v>408457.81761233538</v>
      </c>
      <c r="Q99" s="17">
        <f t="shared" si="20"/>
        <v>406415.52852427372</v>
      </c>
      <c r="R99" s="17">
        <f t="shared" si="20"/>
        <v>404383.4508816523</v>
      </c>
      <c r="S99" s="17">
        <f t="shared" si="20"/>
        <v>402361.533627244</v>
      </c>
      <c r="T99" s="17">
        <f t="shared" si="20"/>
        <v>400349.7259591078</v>
      </c>
      <c r="U99" s="17">
        <f t="shared" si="20"/>
        <v>398347.97732931224</v>
      </c>
      <c r="V99" s="17">
        <f t="shared" si="20"/>
        <v>396356.23744266573</v>
      </c>
      <c r="W99" s="17">
        <f t="shared" si="20"/>
        <v>394374.45625545242</v>
      </c>
      <c r="X99" s="17">
        <f t="shared" si="20"/>
        <v>392402.58397417516</v>
      </c>
      <c r="Y99" s="17">
        <f>'Reopening Activities'!Z33*$C99</f>
        <v>0</v>
      </c>
    </row>
    <row r="100" spans="1:25" x14ac:dyDescent="0.3">
      <c r="A100" s="9" t="s">
        <v>15</v>
      </c>
      <c r="B100" s="6">
        <f>'DY 22 &amp; DY 23 Assumptions'!C47</f>
        <v>17037.037037037036</v>
      </c>
      <c r="C100" s="18">
        <f>'DY 22 &amp; DY 23 Assumptions'!H47</f>
        <v>66.400000000000006</v>
      </c>
      <c r="D100" s="9"/>
      <c r="E100" s="17">
        <f t="shared" ref="E100:X100" si="21">E36*$C100</f>
        <v>1675455.1459555554</v>
      </c>
      <c r="F100" s="17">
        <f t="shared" si="21"/>
        <v>1667077.8702257778</v>
      </c>
      <c r="G100" s="17">
        <f t="shared" si="21"/>
        <v>1658742.4808746488</v>
      </c>
      <c r="H100" s="17">
        <f t="shared" si="21"/>
        <v>1650448.7684702754</v>
      </c>
      <c r="I100" s="17">
        <f t="shared" si="21"/>
        <v>1642196.524627924</v>
      </c>
      <c r="J100" s="17">
        <f t="shared" si="21"/>
        <v>1633985.5420047843</v>
      </c>
      <c r="K100" s="17">
        <f t="shared" si="21"/>
        <v>1625815.6142947604</v>
      </c>
      <c r="L100" s="17">
        <f t="shared" si="21"/>
        <v>1617686.5362232865</v>
      </c>
      <c r="M100" s="17">
        <f t="shared" si="21"/>
        <v>1609598.10354217</v>
      </c>
      <c r="N100" s="17">
        <f t="shared" si="21"/>
        <v>1601550.1130244592</v>
      </c>
      <c r="O100" s="17">
        <f t="shared" si="21"/>
        <v>1593542.3624593371</v>
      </c>
      <c r="P100" s="17">
        <f t="shared" si="21"/>
        <v>1585574.6506470405</v>
      </c>
      <c r="Q100" s="17">
        <f t="shared" si="21"/>
        <v>1577646.7773938051</v>
      </c>
      <c r="R100" s="17">
        <f t="shared" si="21"/>
        <v>1569758.5435068361</v>
      </c>
      <c r="S100" s="17">
        <f t="shared" si="21"/>
        <v>1561909.7507893019</v>
      </c>
      <c r="T100" s="17">
        <f t="shared" si="21"/>
        <v>1554100.2020353554</v>
      </c>
      <c r="U100" s="17">
        <f t="shared" si="21"/>
        <v>1546329.7010251787</v>
      </c>
      <c r="V100" s="17">
        <f t="shared" si="21"/>
        <v>1538598.0525200528</v>
      </c>
      <c r="W100" s="17">
        <f t="shared" si="21"/>
        <v>1530905.0622574524</v>
      </c>
      <c r="X100" s="17">
        <f t="shared" si="21"/>
        <v>1523250.5369461654</v>
      </c>
      <c r="Y100" s="17">
        <f>'Reopening Activities'!Z34*$C100</f>
        <v>0</v>
      </c>
    </row>
    <row r="101" spans="1:25" x14ac:dyDescent="0.3">
      <c r="A101" s="9" t="s">
        <v>16</v>
      </c>
      <c r="B101" s="6">
        <f>'DY 22 &amp; DY 23 Assumptions'!C48</f>
        <v>36296.296296296299</v>
      </c>
      <c r="C101" s="18">
        <f>'DY 22 &amp; DY 23 Assumptions'!H48</f>
        <v>58.94</v>
      </c>
      <c r="D101" s="9"/>
      <c r="E101" s="17">
        <f t="shared" ref="E101:X101" si="22">E37*$C101</f>
        <v>3168422.5961422217</v>
      </c>
      <c r="F101" s="17">
        <f t="shared" si="22"/>
        <v>3152580.4831615104</v>
      </c>
      <c r="G101" s="17">
        <f t="shared" si="22"/>
        <v>3136817.5807457031</v>
      </c>
      <c r="H101" s="17">
        <f t="shared" si="22"/>
        <v>3121133.4928419744</v>
      </c>
      <c r="I101" s="17">
        <f t="shared" si="22"/>
        <v>3105527.8253777646</v>
      </c>
      <c r="J101" s="17">
        <f t="shared" si="22"/>
        <v>3090000.1862508762</v>
      </c>
      <c r="K101" s="17">
        <f t="shared" si="22"/>
        <v>3074550.1853196216</v>
      </c>
      <c r="L101" s="17">
        <f t="shared" si="22"/>
        <v>3059177.4343930236</v>
      </c>
      <c r="M101" s="17">
        <f t="shared" si="22"/>
        <v>3043881.5472210585</v>
      </c>
      <c r="N101" s="17">
        <f t="shared" si="22"/>
        <v>3028662.1394849531</v>
      </c>
      <c r="O101" s="17">
        <f t="shared" si="22"/>
        <v>3013518.8287875284</v>
      </c>
      <c r="P101" s="17">
        <f t="shared" si="22"/>
        <v>2998451.2346435911</v>
      </c>
      <c r="Q101" s="17">
        <f t="shared" si="22"/>
        <v>2983458.978470373</v>
      </c>
      <c r="R101" s="17">
        <f t="shared" si="22"/>
        <v>2968541.6835780214</v>
      </c>
      <c r="S101" s="17">
        <f t="shared" si="22"/>
        <v>2953698.9751601312</v>
      </c>
      <c r="T101" s="17">
        <f t="shared" si="22"/>
        <v>2938930.4802843304</v>
      </c>
      <c r="U101" s="17">
        <f t="shared" si="22"/>
        <v>2924235.8278829088</v>
      </c>
      <c r="V101" s="17">
        <f t="shared" si="22"/>
        <v>2909614.6487434939</v>
      </c>
      <c r="W101" s="17">
        <f t="shared" si="22"/>
        <v>2895066.5754997763</v>
      </c>
      <c r="X101" s="17">
        <f t="shared" si="22"/>
        <v>2880591.2426222777</v>
      </c>
      <c r="Y101" s="17">
        <f>'Reopening Activities'!Z35*$C101</f>
        <v>0</v>
      </c>
    </row>
    <row r="102" spans="1:25" x14ac:dyDescent="0.3">
      <c r="A102" s="9" t="s">
        <v>17</v>
      </c>
      <c r="B102" s="6">
        <f>'DY 22 &amp; DY 23 Assumptions'!C49</f>
        <v>18518.518518518518</v>
      </c>
      <c r="C102" s="18">
        <f>'DY 22 &amp; DY 23 Assumptions'!H49</f>
        <v>56.73</v>
      </c>
      <c r="D102" s="9"/>
      <c r="E102" s="17">
        <f t="shared" ref="E102:X102" si="23">E38*$C102</f>
        <v>1555928.6673333331</v>
      </c>
      <c r="F102" s="17">
        <f t="shared" si="23"/>
        <v>1548149.0239966663</v>
      </c>
      <c r="G102" s="17">
        <f t="shared" si="23"/>
        <v>1540408.278876683</v>
      </c>
      <c r="H102" s="17">
        <f t="shared" si="23"/>
        <v>1532706.2374822996</v>
      </c>
      <c r="I102" s="17">
        <f t="shared" si="23"/>
        <v>1525042.7062948882</v>
      </c>
      <c r="J102" s="17">
        <f t="shared" si="23"/>
        <v>1517417.4927634136</v>
      </c>
      <c r="K102" s="17">
        <f t="shared" si="23"/>
        <v>1509830.4052995965</v>
      </c>
      <c r="L102" s="17">
        <f t="shared" si="23"/>
        <v>1502281.2532730985</v>
      </c>
      <c r="M102" s="17">
        <f t="shared" si="23"/>
        <v>1494769.8470067331</v>
      </c>
      <c r="N102" s="17">
        <f t="shared" si="23"/>
        <v>1487295.9977716994</v>
      </c>
      <c r="O102" s="17">
        <f t="shared" si="23"/>
        <v>1479859.5177828411</v>
      </c>
      <c r="P102" s="17">
        <f t="shared" si="23"/>
        <v>1472460.2201939267</v>
      </c>
      <c r="Q102" s="17">
        <f t="shared" si="23"/>
        <v>1465097.9190929572</v>
      </c>
      <c r="R102" s="17">
        <f t="shared" si="23"/>
        <v>1457772.4294974923</v>
      </c>
      <c r="S102" s="17">
        <f t="shared" si="23"/>
        <v>1450483.5673500048</v>
      </c>
      <c r="T102" s="17">
        <f t="shared" si="23"/>
        <v>1443231.1495132549</v>
      </c>
      <c r="U102" s="17">
        <f t="shared" si="23"/>
        <v>1436014.9937656885</v>
      </c>
      <c r="V102" s="17">
        <f t="shared" si="23"/>
        <v>1428834.9187968601</v>
      </c>
      <c r="W102" s="17">
        <f t="shared" si="23"/>
        <v>1421690.7442028758</v>
      </c>
      <c r="X102" s="17">
        <f t="shared" si="23"/>
        <v>1414582.2904818614</v>
      </c>
      <c r="Y102" s="17">
        <f>'Reopening Activities'!Z36*$C102</f>
        <v>0</v>
      </c>
    </row>
    <row r="103" spans="1:25" x14ac:dyDescent="0.3">
      <c r="A103" s="9" t="s">
        <v>79</v>
      </c>
      <c r="B103" s="6">
        <f>'DY 22 &amp; DY 23 Assumptions'!C50</f>
        <v>0</v>
      </c>
      <c r="C103" s="18">
        <f>'DY 22 &amp; DY 23 Assumptions'!H50</f>
        <v>45.72</v>
      </c>
      <c r="D103" s="9"/>
      <c r="E103" s="17"/>
      <c r="F103" s="17"/>
      <c r="G103" s="17"/>
      <c r="H103" s="17"/>
      <c r="I103" s="17"/>
      <c r="J103" s="17"/>
      <c r="K103" s="17"/>
      <c r="L103" s="17"/>
      <c r="M103" s="17"/>
      <c r="N103" s="17"/>
      <c r="O103" s="17"/>
      <c r="P103" s="17"/>
      <c r="Q103" s="17"/>
      <c r="R103" s="17"/>
      <c r="S103" s="17"/>
      <c r="T103" s="17"/>
      <c r="U103" s="17"/>
      <c r="V103" s="17"/>
      <c r="W103" s="17"/>
      <c r="X103" s="17"/>
      <c r="Y103" s="17"/>
    </row>
    <row r="104" spans="1:25" x14ac:dyDescent="0.3">
      <c r="A104" s="1" t="s">
        <v>28</v>
      </c>
      <c r="B104" s="46">
        <f>'DY 22 &amp; DY 23 Assumptions'!C51</f>
        <v>119350</v>
      </c>
      <c r="C104" s="14"/>
      <c r="D104" s="1"/>
      <c r="E104" s="122"/>
      <c r="F104" s="122"/>
      <c r="G104" s="122"/>
      <c r="H104" s="122"/>
      <c r="I104" s="122"/>
      <c r="J104" s="122"/>
      <c r="K104" s="122"/>
      <c r="L104" s="122"/>
      <c r="M104" s="122"/>
      <c r="N104" s="122"/>
      <c r="O104" s="122"/>
      <c r="P104" s="122"/>
      <c r="Q104" s="122"/>
      <c r="R104" s="122"/>
      <c r="S104" s="122"/>
      <c r="T104" s="122"/>
      <c r="U104" s="122"/>
      <c r="V104" s="122"/>
      <c r="W104" s="122"/>
      <c r="X104" s="122"/>
      <c r="Y104" s="1"/>
    </row>
    <row r="105" spans="1:25" x14ac:dyDescent="0.3">
      <c r="A105" s="9" t="s">
        <v>27</v>
      </c>
      <c r="B105" s="6">
        <f>'DY 22 &amp; DY 23 Assumptions'!C52</f>
        <v>5525.4629629629626</v>
      </c>
      <c r="C105" s="18">
        <f>'DY 22 &amp; DY 23 Assumptions'!H52</f>
        <v>81.16</v>
      </c>
      <c r="D105" s="9"/>
      <c r="E105" s="17">
        <f t="shared" ref="E105:X105" si="24">E41*$C105</f>
        <v>664173.23356144433</v>
      </c>
      <c r="F105" s="17">
        <f t="shared" si="24"/>
        <v>660852.36739363708</v>
      </c>
      <c r="G105" s="17">
        <f t="shared" si="24"/>
        <v>657548.10555666895</v>
      </c>
      <c r="H105" s="17">
        <f t="shared" si="24"/>
        <v>654260.36502888554</v>
      </c>
      <c r="I105" s="17">
        <f t="shared" si="24"/>
        <v>650989.0632037411</v>
      </c>
      <c r="J105" s="17">
        <f t="shared" si="24"/>
        <v>647734.11788772244</v>
      </c>
      <c r="K105" s="17">
        <f t="shared" si="24"/>
        <v>644495.44729828381</v>
      </c>
      <c r="L105" s="17">
        <f t="shared" si="24"/>
        <v>641272.97006179241</v>
      </c>
      <c r="M105" s="17">
        <f t="shared" si="24"/>
        <v>638066.60521148343</v>
      </c>
      <c r="N105" s="17">
        <f t="shared" si="24"/>
        <v>634876.27218542597</v>
      </c>
      <c r="O105" s="17">
        <f t="shared" si="24"/>
        <v>631701.89082449884</v>
      </c>
      <c r="P105" s="17">
        <f t="shared" si="24"/>
        <v>628543.38137037633</v>
      </c>
      <c r="Q105" s="17">
        <f t="shared" si="24"/>
        <v>625400.66446352447</v>
      </c>
      <c r="R105" s="17">
        <f t="shared" si="24"/>
        <v>622273.66114120686</v>
      </c>
      <c r="S105" s="17">
        <f t="shared" si="24"/>
        <v>619162.29283550079</v>
      </c>
      <c r="T105" s="17">
        <f t="shared" si="24"/>
        <v>616066.48137132323</v>
      </c>
      <c r="U105" s="17">
        <f t="shared" si="24"/>
        <v>612986.14896446664</v>
      </c>
      <c r="V105" s="17">
        <f t="shared" si="24"/>
        <v>609921.21821964427</v>
      </c>
      <c r="W105" s="17">
        <f t="shared" si="24"/>
        <v>606871.61212854611</v>
      </c>
      <c r="X105" s="17">
        <f t="shared" si="24"/>
        <v>603837.25406790338</v>
      </c>
      <c r="Y105" s="17">
        <f>'Reopening Activities'!Z38*$C105</f>
        <v>0</v>
      </c>
    </row>
    <row r="106" spans="1:25" x14ac:dyDescent="0.3">
      <c r="A106" s="9" t="s">
        <v>19</v>
      </c>
      <c r="B106" s="6">
        <f>'DY 22 &amp; DY 23 Assumptions'!C53</f>
        <v>6630.5555555555547</v>
      </c>
      <c r="C106" s="18">
        <f>'DY 22 &amp; DY 23 Assumptions'!H53</f>
        <v>70.42</v>
      </c>
      <c r="D106" s="9"/>
      <c r="E106" s="17">
        <f t="shared" ref="E106:X106" si="25">E42*$C106</f>
        <v>691538.87295313331</v>
      </c>
      <c r="F106" s="17">
        <f t="shared" si="25"/>
        <v>688081.17858836753</v>
      </c>
      <c r="G106" s="17">
        <f t="shared" si="25"/>
        <v>684640.77269542578</v>
      </c>
      <c r="H106" s="17">
        <f t="shared" si="25"/>
        <v>681217.56883194868</v>
      </c>
      <c r="I106" s="17">
        <f t="shared" si="25"/>
        <v>677811.48098778888</v>
      </c>
      <c r="J106" s="17">
        <f t="shared" si="25"/>
        <v>674422.42358285002</v>
      </c>
      <c r="K106" s="17">
        <f t="shared" si="25"/>
        <v>671050.31146493566</v>
      </c>
      <c r="L106" s="17">
        <f t="shared" si="25"/>
        <v>667695.05990761099</v>
      </c>
      <c r="M106" s="17">
        <f t="shared" si="25"/>
        <v>664356.58460807288</v>
      </c>
      <c r="N106" s="17">
        <f t="shared" si="25"/>
        <v>661034.80168503255</v>
      </c>
      <c r="O106" s="17">
        <f t="shared" si="25"/>
        <v>657729.62767660746</v>
      </c>
      <c r="P106" s="17">
        <f t="shared" si="25"/>
        <v>654440.97953822429</v>
      </c>
      <c r="Q106" s="17">
        <f t="shared" si="25"/>
        <v>651168.77464053314</v>
      </c>
      <c r="R106" s="17">
        <f t="shared" si="25"/>
        <v>647912.93076733046</v>
      </c>
      <c r="S106" s="17">
        <f t="shared" si="25"/>
        <v>644673.3661134938</v>
      </c>
      <c r="T106" s="17">
        <f t="shared" si="25"/>
        <v>641449.99928292632</v>
      </c>
      <c r="U106" s="17">
        <f t="shared" si="25"/>
        <v>638242.74928651168</v>
      </c>
      <c r="V106" s="17">
        <f t="shared" si="25"/>
        <v>635051.53554007912</v>
      </c>
      <c r="W106" s="17">
        <f t="shared" si="25"/>
        <v>631876.27786237875</v>
      </c>
      <c r="X106" s="17">
        <f t="shared" si="25"/>
        <v>628716.89647306688</v>
      </c>
      <c r="Y106" s="17">
        <f>'Reopening Activities'!Z39*$C106</f>
        <v>0</v>
      </c>
    </row>
    <row r="107" spans="1:25" x14ac:dyDescent="0.3">
      <c r="A107" s="9" t="s">
        <v>15</v>
      </c>
      <c r="B107" s="6">
        <f>'DY 22 &amp; DY 23 Assumptions'!C54</f>
        <v>25417.129629629631</v>
      </c>
      <c r="C107" s="18">
        <f>'DY 22 &amp; DY 23 Assumptions'!H54</f>
        <v>66.59</v>
      </c>
      <c r="D107" s="9"/>
      <c r="E107" s="17">
        <f t="shared" ref="E107:X107" si="26">E43*$C107</f>
        <v>2506722.0288952724</v>
      </c>
      <c r="F107" s="17">
        <f t="shared" si="26"/>
        <v>2494188.418750796</v>
      </c>
      <c r="G107" s="17">
        <f t="shared" si="26"/>
        <v>2481717.4766570418</v>
      </c>
      <c r="H107" s="17">
        <f t="shared" si="26"/>
        <v>2469308.8892737566</v>
      </c>
      <c r="I107" s="17">
        <f t="shared" si="26"/>
        <v>2456962.3448273879</v>
      </c>
      <c r="J107" s="17">
        <f t="shared" si="26"/>
        <v>2444677.5331032509</v>
      </c>
      <c r="K107" s="17">
        <f t="shared" si="26"/>
        <v>2432454.1454377347</v>
      </c>
      <c r="L107" s="17">
        <f t="shared" si="26"/>
        <v>2420291.8747105459</v>
      </c>
      <c r="M107" s="17">
        <f t="shared" si="26"/>
        <v>2408190.4153369931</v>
      </c>
      <c r="N107" s="17">
        <f t="shared" si="26"/>
        <v>2396149.4632603079</v>
      </c>
      <c r="O107" s="17">
        <f t="shared" si="26"/>
        <v>2384168.7159440066</v>
      </c>
      <c r="P107" s="17">
        <f t="shared" si="26"/>
        <v>2372247.8723642863</v>
      </c>
      <c r="Q107" s="17">
        <f t="shared" si="26"/>
        <v>2360386.6330024651</v>
      </c>
      <c r="R107" s="17">
        <f t="shared" si="26"/>
        <v>2348584.6998374527</v>
      </c>
      <c r="S107" s="17">
        <f t="shared" si="26"/>
        <v>2336841.7763382657</v>
      </c>
      <c r="T107" s="17">
        <f t="shared" si="26"/>
        <v>2325157.5674565742</v>
      </c>
      <c r="U107" s="17">
        <f t="shared" si="26"/>
        <v>2313531.7796192914</v>
      </c>
      <c r="V107" s="17">
        <f t="shared" si="26"/>
        <v>2301964.1207211949</v>
      </c>
      <c r="W107" s="17">
        <f t="shared" si="26"/>
        <v>2290454.3001175886</v>
      </c>
      <c r="X107" s="17">
        <f t="shared" si="26"/>
        <v>2279002.0286170011</v>
      </c>
      <c r="Y107" s="17">
        <f>'Reopening Activities'!Z40*$C107</f>
        <v>0</v>
      </c>
    </row>
    <row r="108" spans="1:25" x14ac:dyDescent="0.3">
      <c r="A108" s="9" t="s">
        <v>16</v>
      </c>
      <c r="B108" s="6">
        <f>'DY 22 &amp; DY 23 Assumptions'!C55</f>
        <v>54149.537037037036</v>
      </c>
      <c r="C108" s="18">
        <f>'DY 22 &amp; DY 23 Assumptions'!H55</f>
        <v>59.81</v>
      </c>
      <c r="D108" s="9"/>
      <c r="E108" s="17">
        <f t="shared" ref="E108:X108" si="27">E44*$C108</f>
        <v>4796663.0208629603</v>
      </c>
      <c r="F108" s="17">
        <f t="shared" si="27"/>
        <v>4772679.7057586461</v>
      </c>
      <c r="G108" s="17">
        <f t="shared" si="27"/>
        <v>4748816.3072298523</v>
      </c>
      <c r="H108" s="17">
        <f t="shared" si="27"/>
        <v>4725072.2256937036</v>
      </c>
      <c r="I108" s="17">
        <f t="shared" si="27"/>
        <v>4701446.8645652346</v>
      </c>
      <c r="J108" s="17">
        <f t="shared" si="27"/>
        <v>4677939.6302424083</v>
      </c>
      <c r="K108" s="17">
        <f t="shared" si="27"/>
        <v>4654549.9320911961</v>
      </c>
      <c r="L108" s="17">
        <f t="shared" si="27"/>
        <v>4631277.1824307404</v>
      </c>
      <c r="M108" s="17">
        <f t="shared" si="27"/>
        <v>4608120.7965185866</v>
      </c>
      <c r="N108" s="17">
        <f t="shared" si="27"/>
        <v>4585080.1925359936</v>
      </c>
      <c r="O108" s="17">
        <f t="shared" si="27"/>
        <v>4562154.791573314</v>
      </c>
      <c r="P108" s="17">
        <f t="shared" si="27"/>
        <v>4539344.0176154478</v>
      </c>
      <c r="Q108" s="17">
        <f t="shared" si="27"/>
        <v>4516647.297527371</v>
      </c>
      <c r="R108" s="17">
        <f t="shared" si="27"/>
        <v>4494064.0610397346</v>
      </c>
      <c r="S108" s="17">
        <f t="shared" si="27"/>
        <v>4471593.7407345353</v>
      </c>
      <c r="T108" s="17">
        <f t="shared" si="27"/>
        <v>4449235.772030863</v>
      </c>
      <c r="U108" s="17">
        <f t="shared" si="27"/>
        <v>4426989.593170708</v>
      </c>
      <c r="V108" s="17">
        <f t="shared" si="27"/>
        <v>4404854.6452048551</v>
      </c>
      <c r="W108" s="17">
        <f t="shared" si="27"/>
        <v>4382830.3719788305</v>
      </c>
      <c r="X108" s="17">
        <f t="shared" si="27"/>
        <v>4360916.2201189362</v>
      </c>
      <c r="Y108" s="17">
        <f>'Reopening Activities'!Z41*$C108</f>
        <v>0</v>
      </c>
    </row>
    <row r="109" spans="1:25" x14ac:dyDescent="0.3">
      <c r="A109" s="9" t="s">
        <v>17</v>
      </c>
      <c r="B109" s="6">
        <f>'DY 22 &amp; DY 23 Assumptions'!C56</f>
        <v>27627.314814814814</v>
      </c>
      <c r="C109" s="18">
        <f>'DY 22 &amp; DY 23 Assumptions'!H56</f>
        <v>53.59</v>
      </c>
      <c r="D109" s="9"/>
      <c r="E109" s="17">
        <f t="shared" ref="E109:X109" si="28">E45*$C109</f>
        <v>2192770.0583143057</v>
      </c>
      <c r="F109" s="17">
        <f t="shared" si="28"/>
        <v>2181806.2080227342</v>
      </c>
      <c r="G109" s="17">
        <f t="shared" si="28"/>
        <v>2170897.1769826207</v>
      </c>
      <c r="H109" s="17">
        <f t="shared" si="28"/>
        <v>2160042.6910977075</v>
      </c>
      <c r="I109" s="17">
        <f t="shared" si="28"/>
        <v>2149242.477642219</v>
      </c>
      <c r="J109" s="17">
        <f t="shared" si="28"/>
        <v>2138496.2652540077</v>
      </c>
      <c r="K109" s="17">
        <f t="shared" si="28"/>
        <v>2127803.7839277377</v>
      </c>
      <c r="L109" s="17">
        <f t="shared" si="28"/>
        <v>2117164.7650080994</v>
      </c>
      <c r="M109" s="17">
        <f t="shared" si="28"/>
        <v>2106578.9411830585</v>
      </c>
      <c r="N109" s="17">
        <f t="shared" si="28"/>
        <v>2096046.0464771434</v>
      </c>
      <c r="O109" s="17">
        <f t="shared" si="28"/>
        <v>2085565.8162447577</v>
      </c>
      <c r="P109" s="17">
        <f t="shared" si="28"/>
        <v>2075137.9871635339</v>
      </c>
      <c r="Q109" s="17">
        <f t="shared" si="28"/>
        <v>2064762.2972277161</v>
      </c>
      <c r="R109" s="17">
        <f t="shared" si="28"/>
        <v>2054438.4857415776</v>
      </c>
      <c r="S109" s="17">
        <f t="shared" si="28"/>
        <v>2044166.2933128697</v>
      </c>
      <c r="T109" s="17">
        <f t="shared" si="28"/>
        <v>2033945.4618463055</v>
      </c>
      <c r="U109" s="17">
        <f t="shared" si="28"/>
        <v>2023775.7345370741</v>
      </c>
      <c r="V109" s="17">
        <f t="shared" si="28"/>
        <v>2013656.8558643889</v>
      </c>
      <c r="W109" s="17">
        <f t="shared" si="28"/>
        <v>2003588.5715850668</v>
      </c>
      <c r="X109" s="17">
        <f t="shared" si="28"/>
        <v>1993570.6287271415</v>
      </c>
      <c r="Y109" s="17">
        <f>'Reopening Activities'!Z42*$C109</f>
        <v>0</v>
      </c>
    </row>
    <row r="110" spans="1:25" x14ac:dyDescent="0.3">
      <c r="A110" s="9" t="s">
        <v>79</v>
      </c>
      <c r="B110" s="6">
        <f>'DY 22 &amp; DY 23 Assumptions'!C57</f>
        <v>0</v>
      </c>
      <c r="C110" s="18">
        <f>'DY 22 &amp; DY 23 Assumptions'!H57</f>
        <v>37.229999999999997</v>
      </c>
      <c r="D110" s="9"/>
      <c r="E110" s="124"/>
      <c r="F110" s="17"/>
      <c r="G110" s="17"/>
      <c r="H110" s="17"/>
      <c r="I110" s="17"/>
      <c r="J110" s="17"/>
      <c r="K110" s="17"/>
      <c r="L110" s="17"/>
      <c r="M110" s="17"/>
      <c r="N110" s="17"/>
      <c r="O110" s="17"/>
      <c r="P110" s="17"/>
      <c r="Q110" s="17"/>
      <c r="R110" s="17"/>
      <c r="S110" s="17"/>
      <c r="T110" s="17"/>
      <c r="U110" s="17"/>
      <c r="V110" s="17"/>
      <c r="W110" s="17"/>
      <c r="X110" s="17"/>
      <c r="Y110" s="17"/>
    </row>
    <row r="111" spans="1:25" x14ac:dyDescent="0.3">
      <c r="A111" s="5" t="s">
        <v>29</v>
      </c>
      <c r="B111" s="6">
        <f>'DY 22 &amp; DY 23 Assumptions'!C58</f>
        <v>40000</v>
      </c>
      <c r="C111" s="18"/>
      <c r="D111" s="24">
        <f>SUM(F111:Z111)</f>
        <v>59026561.591526009</v>
      </c>
      <c r="E111" s="64"/>
      <c r="F111" s="40">
        <f t="shared" ref="F111:Y111" si="29">SUM(F112:F113)</f>
        <v>8853984.2387289014</v>
      </c>
      <c r="G111" s="40">
        <f t="shared" si="29"/>
        <v>8362096.2254661843</v>
      </c>
      <c r="H111" s="40">
        <f t="shared" si="29"/>
        <v>8362096.2254661843</v>
      </c>
      <c r="I111" s="40">
        <f t="shared" si="29"/>
        <v>8362096.2254661843</v>
      </c>
      <c r="J111" s="40">
        <f t="shared" si="29"/>
        <v>8362096.2254661843</v>
      </c>
      <c r="K111" s="40">
        <f t="shared" si="29"/>
        <v>8362096.2254661843</v>
      </c>
      <c r="L111" s="40">
        <f t="shared" si="29"/>
        <v>8362096.2254661843</v>
      </c>
      <c r="M111" s="40">
        <f t="shared" si="29"/>
        <v>0</v>
      </c>
      <c r="N111" s="40">
        <f t="shared" si="29"/>
        <v>0</v>
      </c>
      <c r="O111" s="40">
        <f t="shared" si="29"/>
        <v>0</v>
      </c>
      <c r="P111" s="40">
        <f t="shared" si="29"/>
        <v>0</v>
      </c>
      <c r="Q111" s="40">
        <f t="shared" si="29"/>
        <v>0</v>
      </c>
      <c r="R111" s="40">
        <f t="shared" si="29"/>
        <v>0</v>
      </c>
      <c r="S111" s="40">
        <f t="shared" si="29"/>
        <v>0</v>
      </c>
      <c r="T111" s="40">
        <f t="shared" si="29"/>
        <v>0</v>
      </c>
      <c r="U111" s="40">
        <f t="shared" si="29"/>
        <v>0</v>
      </c>
      <c r="V111" s="40">
        <f t="shared" si="29"/>
        <v>0</v>
      </c>
      <c r="W111" s="40">
        <f t="shared" si="29"/>
        <v>0</v>
      </c>
      <c r="X111" s="40">
        <f t="shared" si="29"/>
        <v>0</v>
      </c>
      <c r="Y111" s="40">
        <f t="shared" si="29"/>
        <v>0</v>
      </c>
    </row>
    <row r="112" spans="1:25" x14ac:dyDescent="0.3">
      <c r="A112" s="1" t="s">
        <v>30</v>
      </c>
      <c r="B112" s="6">
        <f>'DY 22 &amp; DY 23 Assumptions'!C59</f>
        <v>10000</v>
      </c>
      <c r="C112" s="18">
        <f>'DY 22 &amp; DY 23 Assumptions'!H65</f>
        <v>64.760000000000005</v>
      </c>
      <c r="D112" s="9"/>
      <c r="E112" s="66"/>
      <c r="F112" s="17">
        <f>(D48*C112)*0.15</f>
        <v>2084123.3618060616</v>
      </c>
      <c r="G112" s="17">
        <f>((D48*C112)-F112)/6</f>
        <v>1968338.7305946138</v>
      </c>
      <c r="H112" s="17">
        <f t="shared" ref="H112:L113" si="30">G112</f>
        <v>1968338.7305946138</v>
      </c>
      <c r="I112" s="17">
        <f t="shared" si="30"/>
        <v>1968338.7305946138</v>
      </c>
      <c r="J112" s="17">
        <f t="shared" si="30"/>
        <v>1968338.7305946138</v>
      </c>
      <c r="K112" s="17">
        <f t="shared" si="30"/>
        <v>1968338.7305946138</v>
      </c>
      <c r="L112" s="17">
        <f t="shared" si="30"/>
        <v>1968338.7305946138</v>
      </c>
      <c r="M112" s="17"/>
      <c r="N112" s="17"/>
      <c r="O112" s="17"/>
      <c r="P112" s="17"/>
      <c r="Q112" s="17"/>
      <c r="R112" s="17"/>
      <c r="S112" s="17"/>
      <c r="T112" s="17"/>
      <c r="U112" s="17"/>
      <c r="V112" s="17">
        <f>'Reopening Activities'!V44*$C112</f>
        <v>0</v>
      </c>
      <c r="W112" s="17">
        <f>'Reopening Activities'!W44*$C112</f>
        <v>0</v>
      </c>
      <c r="X112" s="17">
        <f>'Reopening Activities'!X44*$C112</f>
        <v>0</v>
      </c>
      <c r="Y112" s="17">
        <f>'Reopening Activities'!Y44*$C112</f>
        <v>0</v>
      </c>
    </row>
    <row r="113" spans="1:25" x14ac:dyDescent="0.3">
      <c r="A113" s="1" t="s">
        <v>32</v>
      </c>
      <c r="B113" s="6">
        <f>'DY 22 &amp; DY 23 Assumptions'!C67</f>
        <v>30000</v>
      </c>
      <c r="C113" s="18">
        <f>'DY 22 &amp; DY 23 Assumptions'!H73</f>
        <v>70.12</v>
      </c>
      <c r="D113" s="9"/>
      <c r="E113" s="66"/>
      <c r="F113" s="17">
        <f>(D49*C113)*0.15</f>
        <v>6769860.8769228393</v>
      </c>
      <c r="G113" s="17">
        <f>((D49*C113)-F113)/6</f>
        <v>6393757.4948715707</v>
      </c>
      <c r="H113" s="17">
        <f t="shared" si="30"/>
        <v>6393757.4948715707</v>
      </c>
      <c r="I113" s="17">
        <f t="shared" si="30"/>
        <v>6393757.4948715707</v>
      </c>
      <c r="J113" s="17">
        <f t="shared" si="30"/>
        <v>6393757.4948715707</v>
      </c>
      <c r="K113" s="17">
        <f t="shared" si="30"/>
        <v>6393757.4948715707</v>
      </c>
      <c r="L113" s="17">
        <f t="shared" si="30"/>
        <v>6393757.4948715707</v>
      </c>
      <c r="M113" s="17"/>
      <c r="N113" s="17"/>
      <c r="O113" s="17"/>
      <c r="P113" s="17"/>
      <c r="Q113" s="17"/>
      <c r="R113" s="17"/>
      <c r="S113" s="17"/>
      <c r="T113" s="17"/>
      <c r="U113" s="17"/>
      <c r="V113" s="17">
        <f>'Reopening Activities'!V45*$C113</f>
        <v>0</v>
      </c>
      <c r="W113" s="17">
        <f>'Reopening Activities'!W45*$C113</f>
        <v>0</v>
      </c>
      <c r="X113" s="17">
        <f>'Reopening Activities'!X45*$C113</f>
        <v>0</v>
      </c>
      <c r="Y113" s="17">
        <f>'Reopening Activities'!Y45*$C113</f>
        <v>0</v>
      </c>
    </row>
    <row r="114" spans="1:25" x14ac:dyDescent="0.3">
      <c r="A114" s="13" t="s">
        <v>33</v>
      </c>
      <c r="B114" s="6">
        <f>'DY 22 &amp; DY 23 Assumptions'!C75</f>
        <v>141000</v>
      </c>
      <c r="C114" s="18"/>
      <c r="D114" s="24">
        <f>SUM(E114:Z114)</f>
        <v>131888532.20516334</v>
      </c>
      <c r="E114" s="73">
        <f t="shared" ref="E114:Y114" si="31">SUM(E116:E125)</f>
        <v>19783279.830774501</v>
      </c>
      <c r="F114" s="73">
        <f t="shared" si="31"/>
        <v>18684208.729064807</v>
      </c>
      <c r="G114" s="73">
        <f t="shared" si="31"/>
        <v>18684208.729064807</v>
      </c>
      <c r="H114" s="73">
        <f t="shared" si="31"/>
        <v>18684208.729064807</v>
      </c>
      <c r="I114" s="73">
        <f t="shared" si="31"/>
        <v>18684208.729064807</v>
      </c>
      <c r="J114" s="73">
        <f t="shared" si="31"/>
        <v>18684208.729064807</v>
      </c>
      <c r="K114" s="73">
        <f t="shared" si="31"/>
        <v>18684208.729064807</v>
      </c>
      <c r="L114" s="73">
        <f t="shared" si="31"/>
        <v>0</v>
      </c>
      <c r="M114" s="73">
        <f t="shared" si="31"/>
        <v>0</v>
      </c>
      <c r="N114" s="73">
        <f t="shared" si="31"/>
        <v>0</v>
      </c>
      <c r="O114" s="73">
        <f t="shared" si="31"/>
        <v>0</v>
      </c>
      <c r="P114" s="73">
        <f t="shared" si="31"/>
        <v>0</v>
      </c>
      <c r="Q114" s="73">
        <f t="shared" si="31"/>
        <v>0</v>
      </c>
      <c r="R114" s="73">
        <f t="shared" si="31"/>
        <v>0</v>
      </c>
      <c r="S114" s="73">
        <f t="shared" si="31"/>
        <v>0</v>
      </c>
      <c r="T114" s="73">
        <f t="shared" si="31"/>
        <v>0</v>
      </c>
      <c r="U114" s="73">
        <f t="shared" si="31"/>
        <v>0</v>
      </c>
      <c r="V114" s="73">
        <f t="shared" si="31"/>
        <v>0</v>
      </c>
      <c r="W114" s="73">
        <f t="shared" si="31"/>
        <v>0</v>
      </c>
      <c r="X114" s="73">
        <f t="shared" si="31"/>
        <v>0</v>
      </c>
      <c r="Y114" s="73">
        <f t="shared" si="31"/>
        <v>0</v>
      </c>
    </row>
    <row r="115" spans="1:25" x14ac:dyDescent="0.3">
      <c r="A115" s="1" t="s">
        <v>34</v>
      </c>
      <c r="B115" s="46">
        <f>'DY 22 &amp; DY 23 Assumptions'!C76</f>
        <v>42500</v>
      </c>
      <c r="C115" s="14"/>
      <c r="D115" s="1"/>
      <c r="E115" s="16"/>
      <c r="F115" s="16"/>
      <c r="G115" s="16"/>
      <c r="H115" s="16"/>
      <c r="I115" s="16"/>
      <c r="J115" s="16"/>
      <c r="K115" s="16"/>
      <c r="L115" s="16"/>
      <c r="M115" s="16"/>
      <c r="N115" s="16"/>
      <c r="O115" s="16"/>
      <c r="P115" s="16"/>
      <c r="Q115" s="16"/>
      <c r="R115" s="16"/>
      <c r="S115" s="16"/>
      <c r="T115" s="16"/>
      <c r="U115" s="16"/>
      <c r="V115" s="16"/>
      <c r="W115" s="16"/>
      <c r="X115" s="16"/>
      <c r="Y115" s="16"/>
    </row>
    <row r="116" spans="1:25" x14ac:dyDescent="0.3">
      <c r="A116" s="9" t="s">
        <v>14</v>
      </c>
      <c r="B116" s="6">
        <f>'DY 22 &amp; DY 23 Assumptions'!C77</f>
        <v>3510.0689684704639</v>
      </c>
      <c r="C116" s="18">
        <f>'DY 22 &amp; DY 23 Assumptions'!H77</f>
        <v>57.94</v>
      </c>
      <c r="D116" s="9"/>
      <c r="E116" s="17">
        <f>(D52*C116)*0.15</f>
        <v>588304.314332393</v>
      </c>
      <c r="F116" s="17">
        <f>((D52*C116)-E116)/6</f>
        <v>555620.74131392676</v>
      </c>
      <c r="G116" s="17">
        <f t="shared" ref="G116:K119" si="32">F116</f>
        <v>555620.74131392676</v>
      </c>
      <c r="H116" s="17">
        <f t="shared" si="32"/>
        <v>555620.74131392676</v>
      </c>
      <c r="I116" s="17">
        <f t="shared" si="32"/>
        <v>555620.74131392676</v>
      </c>
      <c r="J116" s="17">
        <f t="shared" si="32"/>
        <v>555620.74131392676</v>
      </c>
      <c r="K116" s="17">
        <f t="shared" si="32"/>
        <v>555620.74131392676</v>
      </c>
      <c r="L116" s="17">
        <v>0</v>
      </c>
      <c r="M116" s="17">
        <v>0</v>
      </c>
      <c r="N116" s="17">
        <v>0</v>
      </c>
      <c r="O116" s="17">
        <v>0</v>
      </c>
      <c r="P116" s="17">
        <v>0</v>
      </c>
      <c r="Q116" s="17">
        <v>0</v>
      </c>
      <c r="R116" s="17">
        <v>0</v>
      </c>
      <c r="S116" s="17">
        <v>0</v>
      </c>
      <c r="T116" s="17">
        <v>0</v>
      </c>
      <c r="U116" s="17">
        <f>'Reopening Activities'!U48*$C116</f>
        <v>0</v>
      </c>
      <c r="V116" s="17">
        <f>'Reopening Activities'!V48*$C116</f>
        <v>0</v>
      </c>
      <c r="W116" s="17">
        <f>'Reopening Activities'!W48*$C116</f>
        <v>0</v>
      </c>
      <c r="X116" s="17">
        <f>'Reopening Activities'!X48*$C116</f>
        <v>0</v>
      </c>
      <c r="Y116" s="17">
        <f>'Reopening Activities'!Y48*$C116</f>
        <v>0</v>
      </c>
    </row>
    <row r="117" spans="1:25" x14ac:dyDescent="0.3">
      <c r="A117" s="9" t="s">
        <v>15</v>
      </c>
      <c r="B117" s="6">
        <f>'DY 22 &amp; DY 23 Assumptions'!C78</f>
        <v>2711.3609101860147</v>
      </c>
      <c r="C117" s="18">
        <f>'DY 22 &amp; DY 23 Assumptions'!H78</f>
        <v>58.85</v>
      </c>
      <c r="D117" s="9"/>
      <c r="E117" s="17">
        <f>(D53*C117)*0.15</f>
        <v>450093.48306030018</v>
      </c>
      <c r="F117" s="17">
        <f>((D53*C117)-E117)/6</f>
        <v>425088.28955695016</v>
      </c>
      <c r="G117" s="17">
        <f t="shared" si="32"/>
        <v>425088.28955695016</v>
      </c>
      <c r="H117" s="17">
        <f t="shared" si="32"/>
        <v>425088.28955695016</v>
      </c>
      <c r="I117" s="17">
        <f t="shared" si="32"/>
        <v>425088.28955695016</v>
      </c>
      <c r="J117" s="17">
        <f t="shared" si="32"/>
        <v>425088.28955695016</v>
      </c>
      <c r="K117" s="17">
        <f t="shared" si="32"/>
        <v>425088.28955695016</v>
      </c>
      <c r="L117" s="17">
        <v>0</v>
      </c>
      <c r="M117" s="17">
        <v>0</v>
      </c>
      <c r="N117" s="17">
        <v>0</v>
      </c>
      <c r="O117" s="17">
        <v>0</v>
      </c>
      <c r="P117" s="17">
        <v>0</v>
      </c>
      <c r="Q117" s="17">
        <v>0</v>
      </c>
      <c r="R117" s="17">
        <v>0</v>
      </c>
      <c r="S117" s="17">
        <v>0</v>
      </c>
      <c r="T117" s="17">
        <v>0</v>
      </c>
      <c r="U117" s="17">
        <f>'Reopening Activities'!U49*$C117</f>
        <v>0</v>
      </c>
      <c r="V117" s="17">
        <f>'Reopening Activities'!V49*$C117</f>
        <v>0</v>
      </c>
      <c r="W117" s="17">
        <f>'Reopening Activities'!W49*$C117</f>
        <v>0</v>
      </c>
      <c r="X117" s="17">
        <f>'Reopening Activities'!X49*$C117</f>
        <v>0</v>
      </c>
      <c r="Y117" s="17">
        <f>'Reopening Activities'!Y49*$C117</f>
        <v>0</v>
      </c>
    </row>
    <row r="118" spans="1:25" x14ac:dyDescent="0.3">
      <c r="A118" s="9" t="s">
        <v>16</v>
      </c>
      <c r="B118" s="6">
        <f>'DY 22 &amp; DY 23 Assumptions'!C79</f>
        <v>6293.923494905488</v>
      </c>
      <c r="C118" s="18">
        <f>'DY 22 &amp; DY 23 Assumptions'!H79</f>
        <v>52.35</v>
      </c>
      <c r="D118" s="9"/>
      <c r="E118" s="17">
        <f>(D54*C118)*0.15</f>
        <v>959764.65651008254</v>
      </c>
      <c r="F118" s="17">
        <f>((D54*C118)-E118)/6</f>
        <v>906444.39781507791</v>
      </c>
      <c r="G118" s="17">
        <f t="shared" si="32"/>
        <v>906444.39781507791</v>
      </c>
      <c r="H118" s="17">
        <f t="shared" si="32"/>
        <v>906444.39781507791</v>
      </c>
      <c r="I118" s="17">
        <f t="shared" si="32"/>
        <v>906444.39781507791</v>
      </c>
      <c r="J118" s="17">
        <f t="shared" si="32"/>
        <v>906444.39781507791</v>
      </c>
      <c r="K118" s="17">
        <f t="shared" si="32"/>
        <v>906444.39781507791</v>
      </c>
      <c r="L118" s="17">
        <v>0</v>
      </c>
      <c r="M118" s="17">
        <v>0</v>
      </c>
      <c r="N118" s="17">
        <v>0</v>
      </c>
      <c r="O118" s="17">
        <v>0</v>
      </c>
      <c r="P118" s="17">
        <v>0</v>
      </c>
      <c r="Q118" s="17">
        <v>0</v>
      </c>
      <c r="R118" s="17">
        <v>0</v>
      </c>
      <c r="S118" s="17">
        <v>0</v>
      </c>
      <c r="T118" s="17">
        <v>0</v>
      </c>
      <c r="U118" s="17">
        <f>'Reopening Activities'!U50*$C118</f>
        <v>0</v>
      </c>
      <c r="V118" s="17">
        <f>'Reopening Activities'!V50*$C118</f>
        <v>0</v>
      </c>
      <c r="W118" s="17">
        <f>'Reopening Activities'!W50*$C118</f>
        <v>0</v>
      </c>
      <c r="X118" s="17">
        <f>'Reopening Activities'!X50*$C118</f>
        <v>0</v>
      </c>
      <c r="Y118" s="17">
        <f>'Reopening Activities'!Y50*$C118</f>
        <v>0</v>
      </c>
    </row>
    <row r="119" spans="1:25" x14ac:dyDescent="0.3">
      <c r="A119" s="9" t="s">
        <v>17</v>
      </c>
      <c r="B119" s="6">
        <f>'DY 22 &amp; DY 23 Assumptions'!C80</f>
        <v>29984.559963418011</v>
      </c>
      <c r="C119" s="18">
        <f>'DY 22 &amp; DY 23 Assumptions'!H80</f>
        <v>50.42</v>
      </c>
      <c r="D119" s="9"/>
      <c r="E119" s="17">
        <f>(D55*C119)*0.15</f>
        <v>4147101.5336801964</v>
      </c>
      <c r="F119" s="17">
        <f>((D55*C119)-E119)/6</f>
        <v>3916707.0040312968</v>
      </c>
      <c r="G119" s="17">
        <f t="shared" si="32"/>
        <v>3916707.0040312968</v>
      </c>
      <c r="H119" s="17">
        <f t="shared" si="32"/>
        <v>3916707.0040312968</v>
      </c>
      <c r="I119" s="17">
        <f t="shared" si="32"/>
        <v>3916707.0040312968</v>
      </c>
      <c r="J119" s="17">
        <f t="shared" si="32"/>
        <v>3916707.0040312968</v>
      </c>
      <c r="K119" s="17">
        <f t="shared" si="32"/>
        <v>3916707.0040312968</v>
      </c>
      <c r="L119" s="17">
        <v>0</v>
      </c>
      <c r="M119" s="17">
        <v>0</v>
      </c>
      <c r="N119" s="17">
        <v>0</v>
      </c>
      <c r="O119" s="17">
        <v>0</v>
      </c>
      <c r="P119" s="17">
        <v>0</v>
      </c>
      <c r="Q119" s="17">
        <v>0</v>
      </c>
      <c r="R119" s="17">
        <v>0</v>
      </c>
      <c r="S119" s="17">
        <v>0</v>
      </c>
      <c r="T119" s="17">
        <v>0</v>
      </c>
      <c r="U119" s="17">
        <f>'Reopening Activities'!U51*$C119</f>
        <v>0</v>
      </c>
      <c r="V119" s="17">
        <f>'Reopening Activities'!V51*$C119</f>
        <v>0</v>
      </c>
      <c r="W119" s="17">
        <f>'Reopening Activities'!W51*$C119</f>
        <v>0</v>
      </c>
      <c r="X119" s="17">
        <f>'Reopening Activities'!X51*$C119</f>
        <v>0</v>
      </c>
      <c r="Y119" s="17">
        <f>'Reopening Activities'!Y51*$C119</f>
        <v>0</v>
      </c>
    </row>
    <row r="120" spans="1:25" x14ac:dyDescent="0.3">
      <c r="A120" s="9" t="s">
        <v>79</v>
      </c>
      <c r="B120" s="6">
        <f>'DY 22 &amp; DY 23 Assumptions'!C81</f>
        <v>0</v>
      </c>
      <c r="C120" s="18">
        <f>'DY 22 &amp; DY 23 Assumptions'!H81</f>
        <v>40.9</v>
      </c>
      <c r="D120" s="9"/>
      <c r="E120" s="17"/>
      <c r="F120" s="17"/>
      <c r="G120" s="17"/>
      <c r="H120" s="17"/>
      <c r="I120" s="17"/>
      <c r="J120" s="17"/>
      <c r="K120" s="17"/>
      <c r="L120" s="17"/>
      <c r="M120" s="17"/>
      <c r="N120" s="17"/>
      <c r="O120" s="17"/>
      <c r="P120" s="17"/>
      <c r="Q120" s="17"/>
      <c r="R120" s="17"/>
      <c r="S120" s="17"/>
      <c r="T120" s="17"/>
      <c r="U120" s="17"/>
      <c r="V120" s="17"/>
      <c r="W120" s="17"/>
      <c r="X120" s="17"/>
      <c r="Y120" s="17"/>
    </row>
    <row r="121" spans="1:25" x14ac:dyDescent="0.3">
      <c r="A121" s="1" t="s">
        <v>36</v>
      </c>
      <c r="B121" s="46">
        <f>'DY 22 &amp; DY 23 Assumptions'!C82</f>
        <v>98500</v>
      </c>
      <c r="C121" s="14"/>
      <c r="D121" s="1"/>
      <c r="E121" s="16"/>
      <c r="F121" s="16"/>
      <c r="G121" s="16"/>
      <c r="H121" s="16"/>
      <c r="I121" s="16"/>
      <c r="J121" s="16"/>
      <c r="K121" s="16"/>
      <c r="L121" s="16"/>
      <c r="M121" s="16"/>
      <c r="N121" s="16"/>
      <c r="O121" s="16"/>
      <c r="P121" s="16"/>
      <c r="Q121" s="16"/>
      <c r="R121" s="16"/>
      <c r="S121" s="16"/>
      <c r="T121" s="16"/>
      <c r="U121" s="16"/>
      <c r="V121" s="16"/>
      <c r="W121" s="16"/>
      <c r="X121" s="16"/>
      <c r="Y121" s="16"/>
    </row>
    <row r="122" spans="1:25" x14ac:dyDescent="0.3">
      <c r="A122" s="9" t="s">
        <v>19</v>
      </c>
      <c r="B122" s="6">
        <f>'DY 22 &amp; DY 23 Assumptions'!C83</f>
        <v>3725.0836216779608</v>
      </c>
      <c r="C122" s="18">
        <f>'DY 22 &amp; DY 23 Assumptions'!H83</f>
        <v>62.23</v>
      </c>
      <c r="D122" s="9"/>
      <c r="E122" s="17">
        <f>(D58*C122)*0.15</f>
        <v>631253.90411500481</v>
      </c>
      <c r="F122" s="17">
        <f>((D58*C122)-E122)/6</f>
        <v>596184.24277528224</v>
      </c>
      <c r="G122" s="17">
        <f t="shared" ref="G122:K125" si="33">F122</f>
        <v>596184.24277528224</v>
      </c>
      <c r="H122" s="17">
        <f t="shared" si="33"/>
        <v>596184.24277528224</v>
      </c>
      <c r="I122" s="17">
        <f t="shared" si="33"/>
        <v>596184.24277528224</v>
      </c>
      <c r="J122" s="17">
        <f t="shared" si="33"/>
        <v>596184.24277528224</v>
      </c>
      <c r="K122" s="17">
        <f t="shared" si="33"/>
        <v>596184.24277528224</v>
      </c>
      <c r="L122" s="17">
        <v>0</v>
      </c>
      <c r="M122" s="17">
        <v>0</v>
      </c>
      <c r="N122" s="17">
        <v>0</v>
      </c>
      <c r="O122" s="17">
        <v>0</v>
      </c>
      <c r="P122" s="17">
        <v>0</v>
      </c>
      <c r="Q122" s="17">
        <v>0</v>
      </c>
      <c r="R122" s="17">
        <v>0</v>
      </c>
      <c r="S122" s="17">
        <v>0</v>
      </c>
      <c r="T122" s="17">
        <v>0</v>
      </c>
      <c r="U122" s="17">
        <f>'Reopening Activities'!U53*$C122</f>
        <v>0</v>
      </c>
      <c r="V122" s="17">
        <f>'Reopening Activities'!V53*$C122</f>
        <v>0</v>
      </c>
      <c r="W122" s="17">
        <f>'Reopening Activities'!W53*$C122</f>
        <v>0</v>
      </c>
      <c r="X122" s="17">
        <f>'Reopening Activities'!X53*$C122</f>
        <v>0</v>
      </c>
      <c r="Y122" s="17">
        <f>'Reopening Activities'!Y53*$C122</f>
        <v>0</v>
      </c>
    </row>
    <row r="123" spans="1:25" x14ac:dyDescent="0.3">
      <c r="A123" s="9" t="s">
        <v>15</v>
      </c>
      <c r="B123" s="6">
        <f>'DY 22 &amp; DY 23 Assumptions'!C84</f>
        <v>2900.7261215581789</v>
      </c>
      <c r="C123" s="18">
        <f>'DY 22 &amp; DY 23 Assumptions'!H84</f>
        <v>59.02</v>
      </c>
      <c r="D123" s="9"/>
      <c r="E123" s="17">
        <f>(D59*C123)*0.15</f>
        <v>461965.62911544938</v>
      </c>
      <c r="F123" s="17">
        <f>((D59*C123)-E123)/6</f>
        <v>436300.87194236886</v>
      </c>
      <c r="G123" s="17">
        <f t="shared" si="33"/>
        <v>436300.87194236886</v>
      </c>
      <c r="H123" s="17">
        <f t="shared" si="33"/>
        <v>436300.87194236886</v>
      </c>
      <c r="I123" s="17">
        <f t="shared" si="33"/>
        <v>436300.87194236886</v>
      </c>
      <c r="J123" s="17">
        <f t="shared" si="33"/>
        <v>436300.87194236886</v>
      </c>
      <c r="K123" s="17">
        <f t="shared" si="33"/>
        <v>436300.87194236886</v>
      </c>
      <c r="L123" s="17">
        <v>0</v>
      </c>
      <c r="M123" s="17">
        <v>0</v>
      </c>
      <c r="N123" s="17">
        <v>0</v>
      </c>
      <c r="O123" s="17">
        <v>0</v>
      </c>
      <c r="P123" s="17">
        <v>0</v>
      </c>
      <c r="Q123" s="17">
        <v>0</v>
      </c>
      <c r="R123" s="17">
        <v>0</v>
      </c>
      <c r="S123" s="17">
        <v>0</v>
      </c>
      <c r="T123" s="17">
        <v>0</v>
      </c>
      <c r="U123" s="17">
        <f>'Reopening Activities'!U54*$C123</f>
        <v>0</v>
      </c>
      <c r="V123" s="17">
        <f>'Reopening Activities'!V54*$C123</f>
        <v>0</v>
      </c>
      <c r="W123" s="17">
        <f>'Reopening Activities'!W54*$C123</f>
        <v>0</v>
      </c>
      <c r="X123" s="17">
        <f>'Reopening Activities'!X54*$C123</f>
        <v>0</v>
      </c>
      <c r="Y123" s="17">
        <f>'Reopening Activities'!Y54*$C123</f>
        <v>0</v>
      </c>
    </row>
    <row r="124" spans="1:25" x14ac:dyDescent="0.3">
      <c r="A124" s="9" t="s">
        <v>16</v>
      </c>
      <c r="B124" s="6">
        <f>'DY 22 &amp; DY 23 Assumptions'!C85</f>
        <v>10751.188097911489</v>
      </c>
      <c r="C124" s="18">
        <f>'DY 22 &amp; DY 23 Assumptions'!H85</f>
        <v>53.11</v>
      </c>
      <c r="D124" s="9"/>
      <c r="E124" s="17">
        <f>(D60*C124)*0.15</f>
        <v>1534570.0888019507</v>
      </c>
      <c r="F124" s="17">
        <f>((D60*C124)-E124)/6</f>
        <v>1449316.1949796202</v>
      </c>
      <c r="G124" s="17">
        <f t="shared" si="33"/>
        <v>1449316.1949796202</v>
      </c>
      <c r="H124" s="17">
        <f t="shared" si="33"/>
        <v>1449316.1949796202</v>
      </c>
      <c r="I124" s="17">
        <f t="shared" si="33"/>
        <v>1449316.1949796202</v>
      </c>
      <c r="J124" s="17">
        <f t="shared" si="33"/>
        <v>1449316.1949796202</v>
      </c>
      <c r="K124" s="17">
        <f t="shared" si="33"/>
        <v>1449316.1949796202</v>
      </c>
      <c r="L124" s="17">
        <v>0</v>
      </c>
      <c r="M124" s="17">
        <v>0</v>
      </c>
      <c r="N124" s="17">
        <v>0</v>
      </c>
      <c r="O124" s="17">
        <v>0</v>
      </c>
      <c r="P124" s="17">
        <v>0</v>
      </c>
      <c r="Q124" s="17">
        <v>0</v>
      </c>
      <c r="R124" s="17">
        <v>0</v>
      </c>
      <c r="S124" s="17">
        <v>0</v>
      </c>
      <c r="T124" s="17">
        <v>0</v>
      </c>
      <c r="U124" s="17">
        <f>'Reopening Activities'!U55*$C124</f>
        <v>0</v>
      </c>
      <c r="V124" s="17">
        <f>'Reopening Activities'!V55*$C124</f>
        <v>0</v>
      </c>
      <c r="W124" s="17">
        <f>'Reopening Activities'!W55*$C124</f>
        <v>0</v>
      </c>
      <c r="X124" s="17">
        <f>'Reopening Activities'!X55*$C124</f>
        <v>0</v>
      </c>
      <c r="Y124" s="17">
        <f>'Reopening Activities'!Y55*$C124</f>
        <v>0</v>
      </c>
    </row>
    <row r="125" spans="1:25" x14ac:dyDescent="0.3">
      <c r="A125" s="9" t="s">
        <v>17</v>
      </c>
      <c r="B125" s="6">
        <f>'DY 22 &amp; DY 23 Assumptions'!C86</f>
        <v>81122.967960242124</v>
      </c>
      <c r="C125" s="18">
        <f>'DY 22 &amp; DY 23 Assumptions'!H86</f>
        <v>47.63</v>
      </c>
      <c r="D125" s="9"/>
      <c r="E125" s="17">
        <f>(D61*C125)*0.15</f>
        <v>11010226.221159125</v>
      </c>
      <c r="F125" s="17">
        <f>((D61*C125)-E125)/6</f>
        <v>10398546.986650284</v>
      </c>
      <c r="G125" s="17">
        <f t="shared" si="33"/>
        <v>10398546.986650284</v>
      </c>
      <c r="H125" s="17">
        <f t="shared" si="33"/>
        <v>10398546.986650284</v>
      </c>
      <c r="I125" s="17">
        <f t="shared" si="33"/>
        <v>10398546.986650284</v>
      </c>
      <c r="J125" s="17">
        <f t="shared" si="33"/>
        <v>10398546.986650284</v>
      </c>
      <c r="K125" s="17">
        <f t="shared" si="33"/>
        <v>10398546.986650284</v>
      </c>
      <c r="L125" s="17">
        <v>0</v>
      </c>
      <c r="M125" s="17">
        <v>0</v>
      </c>
      <c r="N125" s="17">
        <v>0</v>
      </c>
      <c r="O125" s="17">
        <v>0</v>
      </c>
      <c r="P125" s="17">
        <v>0</v>
      </c>
      <c r="Q125" s="17">
        <v>0</v>
      </c>
      <c r="R125" s="17">
        <v>0</v>
      </c>
      <c r="S125" s="17">
        <v>0</v>
      </c>
      <c r="T125" s="17">
        <v>0</v>
      </c>
      <c r="U125" s="17">
        <f>'Reopening Activities'!U56*$C125</f>
        <v>0</v>
      </c>
      <c r="V125" s="17">
        <f>'Reopening Activities'!V56*$C125</f>
        <v>0</v>
      </c>
      <c r="W125" s="17">
        <f>'Reopening Activities'!W56*$C125</f>
        <v>0</v>
      </c>
      <c r="X125" s="17">
        <f>'Reopening Activities'!X56*$C125</f>
        <v>0</v>
      </c>
      <c r="Y125" s="17">
        <f>'Reopening Activities'!Y56*$C125</f>
        <v>0</v>
      </c>
    </row>
    <row r="126" spans="1:25" x14ac:dyDescent="0.3">
      <c r="A126" s="9" t="s">
        <v>79</v>
      </c>
      <c r="B126" s="6">
        <f>'DY 22 &amp; DY 23 Assumptions'!C87</f>
        <v>0</v>
      </c>
      <c r="C126" s="18">
        <f>'DY 22 &amp; DY 23 Assumptions'!H87</f>
        <v>33.31</v>
      </c>
      <c r="D126" s="9"/>
      <c r="E126" s="17"/>
      <c r="F126" s="17"/>
      <c r="G126" s="17"/>
      <c r="H126" s="17"/>
      <c r="I126" s="17"/>
      <c r="J126" s="17"/>
      <c r="K126" s="17"/>
      <c r="L126" s="17"/>
      <c r="M126" s="17"/>
      <c r="N126" s="17"/>
      <c r="O126" s="17"/>
      <c r="P126" s="17"/>
      <c r="Q126" s="17"/>
      <c r="R126" s="17"/>
      <c r="S126" s="17"/>
      <c r="T126" s="17"/>
      <c r="U126" s="17"/>
      <c r="V126" s="17"/>
      <c r="W126" s="17"/>
      <c r="X126" s="17"/>
      <c r="Y126" s="17"/>
    </row>
    <row r="127" spans="1:25" x14ac:dyDescent="0.3">
      <c r="A127" s="5" t="s">
        <v>40</v>
      </c>
      <c r="B127" s="6">
        <f>'DY 22 &amp; DY 23 Assumptions'!C90</f>
        <v>0</v>
      </c>
      <c r="C127" s="39">
        <f>'DY 22 &amp; DY 23 Assumptions'!H90</f>
        <v>52.63</v>
      </c>
      <c r="D127" s="24">
        <f>SUM(F127:Z127)</f>
        <v>0</v>
      </c>
      <c r="E127" s="40">
        <v>0</v>
      </c>
      <c r="F127" s="40">
        <v>0</v>
      </c>
      <c r="G127" s="40">
        <v>0</v>
      </c>
      <c r="H127" s="40">
        <f>H63*'DY 22 &amp; DY 23 Assumptions'!H90</f>
        <v>0</v>
      </c>
      <c r="I127" s="40">
        <f>I63*'DY 22 &amp; DY 23 Assumptions'!I90</f>
        <v>0</v>
      </c>
      <c r="J127" s="40">
        <f>J63*'DY 22 &amp; DY 23 Assumptions'!J90</f>
        <v>0</v>
      </c>
      <c r="K127" s="40">
        <f>K63*'DY 22 &amp; DY 23 Assumptions'!K90</f>
        <v>0</v>
      </c>
      <c r="L127" s="40">
        <f>L63*'DY 22 &amp; DY 23 Assumptions'!L90</f>
        <v>0</v>
      </c>
      <c r="M127" s="40">
        <f>M63*'DY 22 &amp; DY 23 Assumptions'!M90</f>
        <v>0</v>
      </c>
      <c r="N127" s="40">
        <f>N63*'DY 22 &amp; DY 23 Assumptions'!N90</f>
        <v>0</v>
      </c>
      <c r="O127" s="40">
        <f>O63*'DY 22 &amp; DY 23 Assumptions'!O90</f>
        <v>0</v>
      </c>
      <c r="P127" s="40">
        <f>P63*'DY 22 &amp; DY 23 Assumptions'!P90</f>
        <v>0</v>
      </c>
      <c r="Q127" s="40">
        <f>Q63*'DY 22 &amp; DY 23 Assumptions'!Q90</f>
        <v>0</v>
      </c>
      <c r="R127" s="40">
        <f>R63*'DY 22 &amp; DY 23 Assumptions'!R90</f>
        <v>0</v>
      </c>
      <c r="S127" s="40">
        <f>S63*'DY 22 &amp; DY 23 Assumptions'!S90</f>
        <v>0</v>
      </c>
      <c r="T127" s="40">
        <f>T63*'DY 22 &amp; DY 23 Assumptions'!T90</f>
        <v>0</v>
      </c>
      <c r="U127" s="40">
        <f>U63*'DY 22 &amp; DY 23 Assumptions'!U90</f>
        <v>0</v>
      </c>
      <c r="V127" s="40">
        <f>V63*'DY 22 &amp; DY 23 Assumptions'!V90</f>
        <v>0</v>
      </c>
      <c r="W127" s="40">
        <f>W63*'DY 22 &amp; DY 23 Assumptions'!W90</f>
        <v>0</v>
      </c>
      <c r="X127" s="40">
        <f>X63*'DY 22 &amp; DY 23 Assumptions'!X90</f>
        <v>0</v>
      </c>
      <c r="Y127" s="40">
        <f>Y63*'DY 22 &amp; DY 23 Assumptions'!Y90</f>
        <v>0</v>
      </c>
    </row>
    <row r="128" spans="1:25" x14ac:dyDescent="0.3">
      <c r="A128" s="5" t="s">
        <v>41</v>
      </c>
      <c r="B128" s="6">
        <f>'DY 22 &amp; DY 23 Assumptions'!C91</f>
        <v>943430</v>
      </c>
      <c r="C128" s="39">
        <f>'DY 22 &amp; DY 23 Assumptions'!H91</f>
        <v>71.62</v>
      </c>
      <c r="D128" s="24">
        <f>SUM(F128:Z128)</f>
        <v>1165895259.0236292</v>
      </c>
      <c r="E128" s="40">
        <v>0</v>
      </c>
      <c r="F128" s="40">
        <v>0</v>
      </c>
      <c r="G128" s="40">
        <v>0</v>
      </c>
      <c r="H128" s="40">
        <f>H64*'DY 22 &amp; DY 23 Assumptions'!H91</f>
        <v>67568456.600000009</v>
      </c>
      <c r="I128" s="40">
        <f>I64*'DY 22 &amp; DY 23 Assumptions'!I91</f>
        <v>67230614.317000002</v>
      </c>
      <c r="J128" s="40">
        <f>J64*'DY 22 &amp; DY 23 Assumptions'!J91</f>
        <v>66894461.245415002</v>
      </c>
      <c r="K128" s="40">
        <f>K64*'DY 22 &amp; DY 23 Assumptions'!K91</f>
        <v>66559988.939187929</v>
      </c>
      <c r="L128" s="40">
        <f>L64*'DY 22 &amp; DY 23 Assumptions'!L91</f>
        <v>66227188.994491987</v>
      </c>
      <c r="M128" s="40">
        <f>M64*'DY 22 &amp; DY 23 Assumptions'!M91</f>
        <v>65896053.049519524</v>
      </c>
      <c r="N128" s="40">
        <f>N64*'DY 22 &amp; DY 23 Assumptions'!N91</f>
        <v>65566572.784271926</v>
      </c>
      <c r="O128" s="40">
        <f>O64*'DY 22 &amp; DY 23 Assumptions'!O91</f>
        <v>65238739.920350559</v>
      </c>
      <c r="P128" s="40">
        <f>P64*'DY 22 &amp; DY 23 Assumptions'!P91</f>
        <v>64912546.220748812</v>
      </c>
      <c r="Q128" s="40">
        <f>Q64*'DY 22 &amp; DY 23 Assumptions'!Q91</f>
        <v>64587983.489645064</v>
      </c>
      <c r="R128" s="40">
        <f>R64*'DY 22 &amp; DY 23 Assumptions'!R91</f>
        <v>64265043.572196834</v>
      </c>
      <c r="S128" s="40">
        <f>S64*'DY 22 &amp; DY 23 Assumptions'!S91</f>
        <v>63943718.354335845</v>
      </c>
      <c r="T128" s="40">
        <f>T64*'DY 22 &amp; DY 23 Assumptions'!T91</f>
        <v>63623999.762564167</v>
      </c>
      <c r="U128" s="40">
        <f>U64*'DY 22 &amp; DY 23 Assumptions'!U91</f>
        <v>63305879.76375135</v>
      </c>
      <c r="V128" s="40">
        <f>V64*'DY 22 &amp; DY 23 Assumptions'!V91</f>
        <v>62989350.364932589</v>
      </c>
      <c r="W128" s="40">
        <f>W64*'DY 22 &amp; DY 23 Assumptions'!W91</f>
        <v>62674403.613107927</v>
      </c>
      <c r="X128" s="40">
        <f>X64*'DY 22 &amp; DY 23 Assumptions'!X91</f>
        <v>62361031.595042385</v>
      </c>
      <c r="Y128" s="40">
        <f>Y64*'DY 22 &amp; DY 23 Assumptions'!Y91</f>
        <v>62049226.437067166</v>
      </c>
    </row>
    <row r="129" spans="1:25" x14ac:dyDescent="0.3">
      <c r="A129" s="5" t="s">
        <v>42</v>
      </c>
      <c r="B129" s="6">
        <f>'DY 22 &amp; DY 23 Assumptions'!C92</f>
        <v>49377</v>
      </c>
      <c r="C129" s="39">
        <f>'DY 22 &amp; DY 23 Assumptions'!H92</f>
        <v>91.19</v>
      </c>
      <c r="D129" s="24">
        <f>SUM(F129:Z129)</f>
        <v>77693994.960610077</v>
      </c>
      <c r="E129" s="40">
        <v>0</v>
      </c>
      <c r="F129" s="40">
        <v>0</v>
      </c>
      <c r="G129" s="40">
        <v>0</v>
      </c>
      <c r="H129" s="40">
        <f>H65*'DY 22 &amp; DY 23 Assumptions'!H92</f>
        <v>4502688.63</v>
      </c>
      <c r="I129" s="40">
        <f>I65*'DY 22 &amp; DY 23 Assumptions'!I92</f>
        <v>4480175.1868499992</v>
      </c>
      <c r="J129" s="40">
        <f>J65*'DY 22 &amp; DY 23 Assumptions'!J92</f>
        <v>4457774.3109157495</v>
      </c>
      <c r="K129" s="40">
        <f>K65*'DY 22 &amp; DY 23 Assumptions'!K92</f>
        <v>4435485.4393611709</v>
      </c>
      <c r="L129" s="40">
        <f>L65*'DY 22 &amp; DY 23 Assumptions'!L92</f>
        <v>4413308.0121643655</v>
      </c>
      <c r="M129" s="40">
        <f>M65*'DY 22 &amp; DY 23 Assumptions'!M92</f>
        <v>4391241.4721035436</v>
      </c>
      <c r="N129" s="40">
        <f>N65*'DY 22 &amp; DY 23 Assumptions'!N92</f>
        <v>4369285.2647430254</v>
      </c>
      <c r="O129" s="40">
        <f>O65*'DY 22 &amp; DY 23 Assumptions'!O92</f>
        <v>4347438.8384193107</v>
      </c>
      <c r="P129" s="40">
        <f>P65*'DY 22 &amp; DY 23 Assumptions'!P92</f>
        <v>4325701.6442272142</v>
      </c>
      <c r="Q129" s="40">
        <f>Q65*'DY 22 &amp; DY 23 Assumptions'!Q92</f>
        <v>4304073.1360060778</v>
      </c>
      <c r="R129" s="40">
        <f>R65*'DY 22 &amp; DY 23 Assumptions'!R92</f>
        <v>4282552.7703260472</v>
      </c>
      <c r="S129" s="40">
        <f>S65*'DY 22 &amp; DY 23 Assumptions'!S92</f>
        <v>4261140.0064744176</v>
      </c>
      <c r="T129" s="40">
        <f>T65*'DY 22 &amp; DY 23 Assumptions'!T92</f>
        <v>4239834.3064420456</v>
      </c>
      <c r="U129" s="40">
        <f>U65*'DY 22 &amp; DY 23 Assumptions'!U92</f>
        <v>4218635.1349098347</v>
      </c>
      <c r="V129" s="40">
        <f>V65*'DY 22 &amp; DY 23 Assumptions'!V92</f>
        <v>4197541.9592352854</v>
      </c>
      <c r="W129" s="40">
        <f>W65*'DY 22 &amp; DY 23 Assumptions'!W92</f>
        <v>4176554.2494391096</v>
      </c>
      <c r="X129" s="40">
        <f>X65*'DY 22 &amp; DY 23 Assumptions'!X92</f>
        <v>4155671.4781919136</v>
      </c>
      <c r="Y129" s="40">
        <f>Y65*'DY 22 &amp; DY 23 Assumptions'!Y92</f>
        <v>4134893.1208009543</v>
      </c>
    </row>
  </sheetData>
  <printOptions horizontalCentered="1" verticalCentered="1"/>
  <pageMargins left="0.7" right="0.7" top="0.75" bottom="0.75" header="0.3" footer="0.3"/>
  <pageSetup scale="29" orientation="landscape" r:id="rId1"/>
  <headerFooter>
    <oddHeader>&amp;A</oddHeader>
  </headerFooter>
  <rowBreaks count="1" manualBreakCount="1">
    <brk id="66"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36FF1-D99A-4E39-8F9F-A21E4EFFB237}">
  <sheetPr>
    <tabColor theme="2"/>
  </sheetPr>
  <dimension ref="B3:Z129"/>
  <sheetViews>
    <sheetView zoomScaleNormal="100" workbookViewId="0"/>
  </sheetViews>
  <sheetFormatPr defaultRowHeight="14.4" x14ac:dyDescent="0.3"/>
  <cols>
    <col min="1" max="1" width="15.21875" customWidth="1"/>
    <col min="2" max="2" width="45.109375" bestFit="1" customWidth="1"/>
    <col min="3" max="3" width="11.21875" bestFit="1" customWidth="1"/>
    <col min="4" max="4" width="9.33203125" bestFit="1" customWidth="1"/>
    <col min="5" max="5" width="17.44140625" bestFit="1" customWidth="1"/>
    <col min="6" max="12" width="16.21875" bestFit="1" customWidth="1"/>
    <col min="13" max="14" width="15.77734375" bestFit="1" customWidth="1"/>
    <col min="15" max="22" width="16.21875" bestFit="1" customWidth="1"/>
    <col min="23" max="24" width="15.77734375" bestFit="1" customWidth="1"/>
    <col min="25" max="26" width="16.21875" bestFit="1" customWidth="1"/>
  </cols>
  <sheetData>
    <row r="3" spans="2:26" x14ac:dyDescent="0.3">
      <c r="B3" s="63" t="s">
        <v>243</v>
      </c>
      <c r="C3" s="19"/>
    </row>
    <row r="4" spans="2:26" ht="15.6" x14ac:dyDescent="0.3">
      <c r="B4" s="9"/>
      <c r="C4" s="9"/>
      <c r="D4" s="9"/>
      <c r="E4" s="9"/>
      <c r="F4" s="2" t="s">
        <v>48</v>
      </c>
      <c r="G4" s="2" t="s">
        <v>49</v>
      </c>
      <c r="H4" s="2" t="s">
        <v>50</v>
      </c>
      <c r="I4" s="2" t="s">
        <v>51</v>
      </c>
      <c r="J4" s="2" t="s">
        <v>52</v>
      </c>
      <c r="K4" s="2" t="s">
        <v>53</v>
      </c>
      <c r="L4" s="2" t="s">
        <v>54</v>
      </c>
      <c r="M4" s="2" t="s">
        <v>55</v>
      </c>
      <c r="N4" s="2" t="s">
        <v>56</v>
      </c>
      <c r="O4" s="2" t="s">
        <v>57</v>
      </c>
      <c r="P4" s="2" t="s">
        <v>58</v>
      </c>
      <c r="Q4" s="2" t="s">
        <v>59</v>
      </c>
      <c r="R4" s="2" t="s">
        <v>60</v>
      </c>
      <c r="S4" s="2" t="s">
        <v>61</v>
      </c>
      <c r="T4" s="2" t="s">
        <v>62</v>
      </c>
      <c r="U4" s="2" t="s">
        <v>63</v>
      </c>
      <c r="V4" s="2" t="s">
        <v>64</v>
      </c>
      <c r="W4" s="2" t="s">
        <v>65</v>
      </c>
      <c r="X4" s="2" t="s">
        <v>66</v>
      </c>
      <c r="Y4" s="2" t="s">
        <v>67</v>
      </c>
      <c r="Z4" s="2" t="s">
        <v>250</v>
      </c>
    </row>
    <row r="5" spans="2:26" ht="15.6" x14ac:dyDescent="0.3">
      <c r="B5" s="1"/>
      <c r="C5" s="2" t="s">
        <v>244</v>
      </c>
      <c r="D5" s="2" t="s">
        <v>245</v>
      </c>
      <c r="E5" s="2" t="s">
        <v>225</v>
      </c>
      <c r="F5" s="2">
        <v>2023</v>
      </c>
      <c r="G5" s="2">
        <f t="shared" ref="G5:Z5" si="0">F5+1</f>
        <v>2024</v>
      </c>
      <c r="H5" s="2">
        <f t="shared" si="0"/>
        <v>2025</v>
      </c>
      <c r="I5" s="2">
        <f t="shared" si="0"/>
        <v>2026</v>
      </c>
      <c r="J5" s="2">
        <f t="shared" si="0"/>
        <v>2027</v>
      </c>
      <c r="K5" s="2">
        <f t="shared" si="0"/>
        <v>2028</v>
      </c>
      <c r="L5" s="2">
        <f t="shared" si="0"/>
        <v>2029</v>
      </c>
      <c r="M5" s="2">
        <f t="shared" si="0"/>
        <v>2030</v>
      </c>
      <c r="N5" s="2">
        <f t="shared" si="0"/>
        <v>2031</v>
      </c>
      <c r="O5" s="2">
        <f t="shared" si="0"/>
        <v>2032</v>
      </c>
      <c r="P5" s="2">
        <f t="shared" si="0"/>
        <v>2033</v>
      </c>
      <c r="Q5" s="2">
        <f t="shared" si="0"/>
        <v>2034</v>
      </c>
      <c r="R5" s="2">
        <f t="shared" si="0"/>
        <v>2035</v>
      </c>
      <c r="S5" s="2">
        <f t="shared" si="0"/>
        <v>2036</v>
      </c>
      <c r="T5" s="2">
        <f t="shared" si="0"/>
        <v>2037</v>
      </c>
      <c r="U5" s="2">
        <f t="shared" si="0"/>
        <v>2038</v>
      </c>
      <c r="V5" s="2">
        <f t="shared" si="0"/>
        <v>2039</v>
      </c>
      <c r="W5" s="2">
        <f t="shared" si="0"/>
        <v>2040</v>
      </c>
      <c r="X5" s="2">
        <f t="shared" si="0"/>
        <v>2041</v>
      </c>
      <c r="Y5" s="2">
        <f t="shared" si="0"/>
        <v>2042</v>
      </c>
      <c r="Z5" s="2">
        <f t="shared" si="0"/>
        <v>2043</v>
      </c>
    </row>
    <row r="6" spans="2:26" x14ac:dyDescent="0.3">
      <c r="B6" s="71" t="s">
        <v>246</v>
      </c>
      <c r="C6" s="4"/>
      <c r="D6" s="47"/>
      <c r="E6" s="4">
        <f>SUM(E9:E65)</f>
        <v>19932588.190213159</v>
      </c>
      <c r="F6" s="20"/>
      <c r="G6" s="20"/>
      <c r="H6" s="20"/>
      <c r="I6" s="20"/>
      <c r="J6" s="20"/>
      <c r="K6" s="20"/>
      <c r="L6" s="20"/>
      <c r="M6" s="20"/>
      <c r="N6" s="20"/>
      <c r="O6" s="20"/>
      <c r="P6" s="20"/>
      <c r="Q6" s="20"/>
      <c r="R6" s="20"/>
      <c r="S6" s="20"/>
      <c r="T6" s="20"/>
      <c r="U6" s="20"/>
      <c r="V6" s="20"/>
      <c r="W6" s="20"/>
      <c r="X6" s="20"/>
      <c r="Y6" s="70"/>
      <c r="Z6" s="47"/>
    </row>
    <row r="7" spans="2:26" x14ac:dyDescent="0.3">
      <c r="B7" s="121" t="s">
        <v>5</v>
      </c>
      <c r="C7" s="120">
        <f>C9+C16+C29+C32+C47+C50</f>
        <v>667000</v>
      </c>
      <c r="D7" s="47"/>
      <c r="E7" s="4">
        <f>SUM(F7:Z7)</f>
        <v>15295395.190213159</v>
      </c>
      <c r="F7" s="20">
        <f t="shared" ref="F7:Y7" si="1">F11+F12+F14+F15+F18+F19+F20+F21+F24+F25+F26+F27+F30+F31+F34+F35+F36+F37+F38+F41+F42+F43+F44+F45+F40+F48+F49+F52+F53+F54+F55+F58+F59+F60+F61</f>
        <v>569202.00562930224</v>
      </c>
      <c r="G7" s="20">
        <f t="shared" si="1"/>
        <v>912107.86514115555</v>
      </c>
      <c r="H7" s="20">
        <f t="shared" si="1"/>
        <v>907547.32581544982</v>
      </c>
      <c r="I7" s="20">
        <f t="shared" si="1"/>
        <v>903009.58918637247</v>
      </c>
      <c r="J7" s="20">
        <f t="shared" si="1"/>
        <v>898494.54124044068</v>
      </c>
      <c r="K7" s="20">
        <f t="shared" si="1"/>
        <v>894002.0685342385</v>
      </c>
      <c r="L7" s="20">
        <f t="shared" si="1"/>
        <v>889532.05819156743</v>
      </c>
      <c r="M7" s="20">
        <f t="shared" si="1"/>
        <v>885084.39790060977</v>
      </c>
      <c r="N7" s="20">
        <f t="shared" si="1"/>
        <v>880658.97591110657</v>
      </c>
      <c r="O7" s="20">
        <f t="shared" si="1"/>
        <v>876255.68103155075</v>
      </c>
      <c r="P7" s="20">
        <f t="shared" si="1"/>
        <v>871874.40262639301</v>
      </c>
      <c r="Q7" s="20">
        <f t="shared" si="1"/>
        <v>867515.03061326127</v>
      </c>
      <c r="R7" s="20">
        <f t="shared" si="1"/>
        <v>863177.45546019508</v>
      </c>
      <c r="S7" s="20">
        <f t="shared" si="1"/>
        <v>858861.5681828938</v>
      </c>
      <c r="T7" s="20">
        <f t="shared" si="1"/>
        <v>854567.26034197945</v>
      </c>
      <c r="U7" s="20">
        <f t="shared" si="1"/>
        <v>459766.89452775661</v>
      </c>
      <c r="V7" s="20">
        <f t="shared" si="1"/>
        <v>411652.53075565695</v>
      </c>
      <c r="W7" s="20">
        <f t="shared" si="1"/>
        <v>409594.26810187858</v>
      </c>
      <c r="X7" s="20">
        <f t="shared" si="1"/>
        <v>407546.29676136916</v>
      </c>
      <c r="Y7" s="20">
        <f t="shared" si="1"/>
        <v>405508.5652775623</v>
      </c>
      <c r="Z7" s="70">
        <f>Z11+Z12+Z14+Z15+Z18+Z19+Z20+Z21+Z24+Z25+Z26+Z27+Z30+Z31+Z33+Z40+Z48+Z49+Z52+Z53+Z54+Z55+Z58+Z59+Z60+Z61</f>
        <v>269436.40898242034</v>
      </c>
    </row>
    <row r="8" spans="2:26" x14ac:dyDescent="0.3">
      <c r="B8" s="121" t="s">
        <v>5</v>
      </c>
      <c r="C8" s="120">
        <f>C10+C13+C17+C23+C30+C31+C33+C40+C48+C49+C51+C57</f>
        <v>667000</v>
      </c>
      <c r="D8" s="47"/>
      <c r="E8" s="4">
        <f>SUM(E9:E61)</f>
        <v>15295395.190213161</v>
      </c>
      <c r="F8" s="20">
        <f>F9+F16+F29+F32+F47+F50</f>
        <v>569202.00562930212</v>
      </c>
      <c r="G8" s="20"/>
      <c r="H8" s="20"/>
      <c r="I8" s="20"/>
      <c r="J8" s="20"/>
      <c r="K8" s="20"/>
      <c r="L8" s="20"/>
      <c r="M8" s="20"/>
      <c r="N8" s="20"/>
      <c r="O8" s="20"/>
      <c r="P8" s="20"/>
      <c r="Q8" s="20"/>
      <c r="R8" s="20"/>
      <c r="S8" s="20"/>
      <c r="T8" s="20"/>
      <c r="U8" s="70"/>
      <c r="V8" s="70"/>
      <c r="W8" s="70"/>
      <c r="X8" s="70"/>
      <c r="Y8" s="70"/>
      <c r="Z8" s="70"/>
    </row>
    <row r="9" spans="2:26" x14ac:dyDescent="0.3">
      <c r="B9" s="5" t="s">
        <v>6</v>
      </c>
      <c r="C9" s="6">
        <f>'DY 22 &amp; DY 23 Assumptions'!E6</f>
        <v>133400</v>
      </c>
      <c r="D9" s="6"/>
      <c r="E9" s="32"/>
      <c r="F9" s="6">
        <f t="shared" ref="F9:Y9" si="2">SUM(F10:F15)</f>
        <v>162118.73341728002</v>
      </c>
      <c r="G9" s="6">
        <f t="shared" si="2"/>
        <v>161308.1397501936</v>
      </c>
      <c r="H9" s="6">
        <f t="shared" si="2"/>
        <v>160501.59905144264</v>
      </c>
      <c r="I9" s="6">
        <f t="shared" si="2"/>
        <v>159699.09105618543</v>
      </c>
      <c r="J9" s="6">
        <f t="shared" si="2"/>
        <v>158900.59560090449</v>
      </c>
      <c r="K9" s="6">
        <f t="shared" si="2"/>
        <v>158106.09262289997</v>
      </c>
      <c r="L9" s="6">
        <f t="shared" si="2"/>
        <v>157315.56215978548</v>
      </c>
      <c r="M9" s="6">
        <f t="shared" si="2"/>
        <v>156528.98434898653</v>
      </c>
      <c r="N9" s="6">
        <f t="shared" si="2"/>
        <v>155746.33942724159</v>
      </c>
      <c r="O9" s="6">
        <f t="shared" si="2"/>
        <v>154967.6077301054</v>
      </c>
      <c r="P9" s="6">
        <f t="shared" si="2"/>
        <v>154192.76969145489</v>
      </c>
      <c r="Q9" s="6">
        <f t="shared" si="2"/>
        <v>153421.80584299756</v>
      </c>
      <c r="R9" s="6">
        <f t="shared" si="2"/>
        <v>152654.69681378259</v>
      </c>
      <c r="S9" s="6">
        <f t="shared" si="2"/>
        <v>151891.42332971367</v>
      </c>
      <c r="T9" s="6">
        <f t="shared" si="2"/>
        <v>151131.96621306511</v>
      </c>
      <c r="U9" s="6">
        <f t="shared" si="2"/>
        <v>0</v>
      </c>
      <c r="V9" s="6">
        <f t="shared" si="2"/>
        <v>0</v>
      </c>
      <c r="W9" s="6">
        <f t="shared" si="2"/>
        <v>0</v>
      </c>
      <c r="X9" s="6">
        <f t="shared" si="2"/>
        <v>0</v>
      </c>
      <c r="Y9" s="6">
        <f t="shared" si="2"/>
        <v>0</v>
      </c>
      <c r="Z9" s="6"/>
    </row>
    <row r="10" spans="2:26" x14ac:dyDescent="0.3">
      <c r="B10" s="1" t="s">
        <v>7</v>
      </c>
      <c r="C10" s="46">
        <f>'DY 22 &amp; DY 23 Assumptions'!E7</f>
        <v>40020</v>
      </c>
      <c r="D10" s="46"/>
      <c r="E10" s="31"/>
      <c r="F10" s="20"/>
      <c r="G10" s="20"/>
      <c r="H10" s="20"/>
      <c r="I10" s="20"/>
      <c r="J10" s="20"/>
      <c r="K10" s="20"/>
      <c r="L10" s="20"/>
      <c r="M10" s="20"/>
      <c r="N10" s="20"/>
      <c r="O10" s="20"/>
      <c r="P10" s="20"/>
      <c r="Q10" s="20"/>
      <c r="R10" s="20"/>
      <c r="S10" s="20"/>
      <c r="T10" s="20"/>
      <c r="U10" s="1"/>
      <c r="V10" s="1"/>
      <c r="W10" s="1"/>
      <c r="X10" s="1"/>
      <c r="Y10" s="1"/>
      <c r="Z10" s="1"/>
    </row>
    <row r="11" spans="2:26" x14ac:dyDescent="0.3">
      <c r="B11" s="9" t="s">
        <v>8</v>
      </c>
      <c r="C11" s="6">
        <f>'DY 22 &amp; DY 23 Assumptions'!E8</f>
        <v>15207.6</v>
      </c>
      <c r="D11" s="11">
        <f>'DY 22 &amp; DY 23 Assumptions'!F8</f>
        <v>0.14884</v>
      </c>
      <c r="E11" s="32">
        <f>SUM(F11:Z11)</f>
        <v>287236.16011794034</v>
      </c>
      <c r="F11" s="21">
        <f>(C11*D11*8760)/1000</f>
        <v>19828.252851839999</v>
      </c>
      <c r="G11" s="21">
        <f>F11*'DY 22 &amp; DY 23 Assumptions'!$D$102</f>
        <v>19729.111587580799</v>
      </c>
      <c r="H11" s="21">
        <f>G11*'DY 22 &amp; DY 23 Assumptions'!$D$102</f>
        <v>19630.466029642896</v>
      </c>
      <c r="I11" s="21">
        <f>H11*'DY 22 &amp; DY 23 Assumptions'!$D$102</f>
        <v>19532.31369949468</v>
      </c>
      <c r="J11" s="21">
        <f>I11*'DY 22 &amp; DY 23 Assumptions'!$D$102</f>
        <v>19434.652130997205</v>
      </c>
      <c r="K11" s="21">
        <f>J11*'DY 22 &amp; DY 23 Assumptions'!$D$102</f>
        <v>19337.47887034222</v>
      </c>
      <c r="L11" s="21">
        <f>K11*'DY 22 &amp; DY 23 Assumptions'!$D$102</f>
        <v>19240.791475990511</v>
      </c>
      <c r="M11" s="21">
        <f>L11*'DY 22 &amp; DY 23 Assumptions'!$D$102</f>
        <v>19144.587518610559</v>
      </c>
      <c r="N11" s="21">
        <f>M11*'DY 22 &amp; DY 23 Assumptions'!$D$102</f>
        <v>19048.864581017504</v>
      </c>
      <c r="O11" s="21">
        <f>N11*'DY 22 &amp; DY 23 Assumptions'!$D$102</f>
        <v>18953.620258112416</v>
      </c>
      <c r="P11" s="21">
        <f>O11*'DY 22 &amp; DY 23 Assumptions'!$D$102</f>
        <v>18858.852156821853</v>
      </c>
      <c r="Q11" s="21">
        <f>P11*'DY 22 &amp; DY 23 Assumptions'!$D$102</f>
        <v>18764.557896037742</v>
      </c>
      <c r="R11" s="21">
        <f>Q11*'DY 22 &amp; DY 23 Assumptions'!$D$102</f>
        <v>18670.735106557553</v>
      </c>
      <c r="S11" s="21">
        <f>R11*'DY 22 &amp; DY 23 Assumptions'!$D$102</f>
        <v>18577.381431024765</v>
      </c>
      <c r="T11" s="21">
        <f>S11*'DY 22 &amp; DY 23 Assumptions'!$D$102</f>
        <v>18484.494523869642</v>
      </c>
      <c r="U11" s="12"/>
      <c r="V11" s="12"/>
      <c r="W11" s="12"/>
      <c r="X11" s="12"/>
      <c r="Y11" s="12"/>
      <c r="Z11" s="12"/>
    </row>
    <row r="12" spans="2:26" x14ac:dyDescent="0.3">
      <c r="B12" s="9" t="s">
        <v>9</v>
      </c>
      <c r="C12" s="6">
        <f>'DY 22 &amp; DY 23 Assumptions'!E9</f>
        <v>24812.400000000001</v>
      </c>
      <c r="D12" s="11">
        <f>'DY 22 &amp; DY 23 Assumptions'!F9</f>
        <v>0.15130000000000002</v>
      </c>
      <c r="E12" s="32">
        <f>SUM(F12:Z12)</f>
        <v>476394.20706133608</v>
      </c>
      <c r="F12" s="21">
        <f>(C12*D12*8760)/1000</f>
        <v>32886.057211200008</v>
      </c>
      <c r="G12" s="21">
        <f>F12*'DY 22 &amp; DY 23 Assumptions'!$D$102</f>
        <v>32721.626925144006</v>
      </c>
      <c r="H12" s="21">
        <f>G12*'DY 22 &amp; DY 23 Assumptions'!$D$102</f>
        <v>32558.018790518287</v>
      </c>
      <c r="I12" s="21">
        <f>H12*'DY 22 &amp; DY 23 Assumptions'!$D$102</f>
        <v>32395.228696565697</v>
      </c>
      <c r="J12" s="21">
        <f>I12*'DY 22 &amp; DY 23 Assumptions'!$D$102</f>
        <v>32233.252553082868</v>
      </c>
      <c r="K12" s="21">
        <f>J12*'DY 22 &amp; DY 23 Assumptions'!$D$102</f>
        <v>32072.086290317453</v>
      </c>
      <c r="L12" s="21">
        <f>K12*'DY 22 &amp; DY 23 Assumptions'!$D$102</f>
        <v>31911.725858865866</v>
      </c>
      <c r="M12" s="21">
        <f>L12*'DY 22 &amp; DY 23 Assumptions'!$D$102</f>
        <v>31752.167229571536</v>
      </c>
      <c r="N12" s="21">
        <f>M12*'DY 22 &amp; DY 23 Assumptions'!$D$102</f>
        <v>31593.40639342368</v>
      </c>
      <c r="O12" s="21">
        <f>N12*'DY 22 &amp; DY 23 Assumptions'!$D$102</f>
        <v>31435.439361456563</v>
      </c>
      <c r="P12" s="21">
        <f>O12*'DY 22 &amp; DY 23 Assumptions'!$D$102</f>
        <v>31278.262164649281</v>
      </c>
      <c r="Q12" s="21">
        <f>P12*'DY 22 &amp; DY 23 Assumptions'!$D$102</f>
        <v>31121.870853826033</v>
      </c>
      <c r="R12" s="21">
        <f>Q12*'DY 22 &amp; DY 23 Assumptions'!$D$102</f>
        <v>30966.261499556902</v>
      </c>
      <c r="S12" s="21">
        <f>R12*'DY 22 &amp; DY 23 Assumptions'!$D$102</f>
        <v>30811.430192059117</v>
      </c>
      <c r="T12" s="21">
        <f>S12*'DY 22 &amp; DY 23 Assumptions'!$D$102</f>
        <v>30657.373041098821</v>
      </c>
      <c r="U12" s="12"/>
      <c r="V12" s="12"/>
      <c r="W12" s="12"/>
      <c r="X12" s="12"/>
      <c r="Y12" s="12"/>
      <c r="Z12" s="12"/>
    </row>
    <row r="13" spans="2:26" x14ac:dyDescent="0.3">
      <c r="B13" s="1" t="s">
        <v>10</v>
      </c>
      <c r="C13" s="46">
        <f>'DY 22 &amp; DY 23 Assumptions'!E10</f>
        <v>93380</v>
      </c>
      <c r="D13" s="11"/>
      <c r="E13" s="31"/>
      <c r="F13" s="20"/>
      <c r="G13" s="21"/>
      <c r="H13" s="20"/>
      <c r="I13" s="20"/>
      <c r="J13" s="20"/>
      <c r="K13" s="20"/>
      <c r="L13" s="20"/>
      <c r="M13" s="20"/>
      <c r="N13" s="20"/>
      <c r="O13" s="20"/>
      <c r="P13" s="20"/>
      <c r="Q13" s="20"/>
      <c r="R13" s="20"/>
      <c r="S13" s="20"/>
      <c r="T13" s="20"/>
      <c r="U13" s="1"/>
      <c r="V13" s="1"/>
      <c r="W13" s="1"/>
      <c r="X13" s="1"/>
      <c r="Y13" s="1"/>
      <c r="Z13" s="1"/>
    </row>
    <row r="14" spans="2:26" x14ac:dyDescent="0.3">
      <c r="B14" s="9" t="s">
        <v>11</v>
      </c>
      <c r="C14" s="6">
        <f>'DY 22 &amp; DY 23 Assumptions'!E11</f>
        <v>35484.400000000001</v>
      </c>
      <c r="D14" s="11">
        <f>'DY 22 &amp; DY 23 Assumptions'!F11</f>
        <v>0.13464999999999999</v>
      </c>
      <c r="E14" s="32">
        <f>SUM(F14:Z14)</f>
        <v>606320.97715480765</v>
      </c>
      <c r="F14" s="21">
        <f>(C14*D14*8760)/1000</f>
        <v>41855.056269600005</v>
      </c>
      <c r="G14" s="21">
        <f>F14*'DY 22 &amp; DY 23 Assumptions'!$D$102</f>
        <v>41645.780988252001</v>
      </c>
      <c r="H14" s="21">
        <f>G14*'DY 22 &amp; DY 23 Assumptions'!$D$102</f>
        <v>41437.552083310744</v>
      </c>
      <c r="I14" s="21">
        <f>H14*'DY 22 &amp; DY 23 Assumptions'!$D$102</f>
        <v>41230.364322894187</v>
      </c>
      <c r="J14" s="21">
        <f>I14*'DY 22 &amp; DY 23 Assumptions'!$D$102</f>
        <v>41024.212501279719</v>
      </c>
      <c r="K14" s="21">
        <f>J14*'DY 22 &amp; DY 23 Assumptions'!$D$102</f>
        <v>40819.091438773321</v>
      </c>
      <c r="L14" s="21">
        <f>K14*'DY 22 &amp; DY 23 Assumptions'!$D$102</f>
        <v>40614.995981579457</v>
      </c>
      <c r="M14" s="21">
        <f>L14*'DY 22 &amp; DY 23 Assumptions'!$D$102</f>
        <v>40411.921001671559</v>
      </c>
      <c r="N14" s="21">
        <f>M14*'DY 22 &amp; DY 23 Assumptions'!$D$102</f>
        <v>40209.861396663204</v>
      </c>
      <c r="O14" s="21">
        <f>N14*'DY 22 &amp; DY 23 Assumptions'!$D$102</f>
        <v>40008.812089679886</v>
      </c>
      <c r="P14" s="21">
        <f>O14*'DY 22 &amp; DY 23 Assumptions'!$D$102</f>
        <v>39808.768029231484</v>
      </c>
      <c r="Q14" s="21">
        <f>P14*'DY 22 &amp; DY 23 Assumptions'!$D$102</f>
        <v>39609.724189085326</v>
      </c>
      <c r="R14" s="21">
        <f>Q14*'DY 22 &amp; DY 23 Assumptions'!$D$102</f>
        <v>39411.675568139901</v>
      </c>
      <c r="S14" s="21">
        <f>R14*'DY 22 &amp; DY 23 Assumptions'!$D$102</f>
        <v>39214.617190299199</v>
      </c>
      <c r="T14" s="21">
        <f>S14*'DY 22 &amp; DY 23 Assumptions'!$D$102</f>
        <v>39018.544104347704</v>
      </c>
      <c r="U14" s="12"/>
      <c r="V14" s="12"/>
      <c r="W14" s="12"/>
      <c r="X14" s="12"/>
      <c r="Y14" s="12"/>
      <c r="Z14" s="12"/>
    </row>
    <row r="15" spans="2:26" x14ac:dyDescent="0.3">
      <c r="B15" s="9" t="s">
        <v>9</v>
      </c>
      <c r="C15" s="6">
        <f>'DY 22 &amp; DY 23 Assumptions'!E12</f>
        <v>57895.6</v>
      </c>
      <c r="D15" s="11">
        <f>'DY 22 &amp; DY 23 Assumptions'!F12</f>
        <v>0.13319</v>
      </c>
      <c r="E15" s="32">
        <f>SUM(F15:Z15)</f>
        <v>978534.06272195489</v>
      </c>
      <c r="F15" s="21">
        <f>(C15*D15*8760)/1000</f>
        <v>67549.367084639991</v>
      </c>
      <c r="G15" s="21">
        <f>F15*'DY 22 &amp; DY 23 Assumptions'!$D$102</f>
        <v>67211.620249216794</v>
      </c>
      <c r="H15" s="21">
        <f>G15*'DY 22 &amp; DY 23 Assumptions'!$D$102</f>
        <v>66875.562147970704</v>
      </c>
      <c r="I15" s="21">
        <f>H15*'DY 22 &amp; DY 23 Assumptions'!$D$102</f>
        <v>66541.18433723085</v>
      </c>
      <c r="J15" s="21">
        <f>I15*'DY 22 &amp; DY 23 Assumptions'!$D$102</f>
        <v>66208.478415544698</v>
      </c>
      <c r="K15" s="21">
        <f>J15*'DY 22 &amp; DY 23 Assumptions'!$D$102</f>
        <v>65877.436023466973</v>
      </c>
      <c r="L15" s="21">
        <f>K15*'DY 22 &amp; DY 23 Assumptions'!$D$102</f>
        <v>65548.048843349636</v>
      </c>
      <c r="M15" s="21">
        <f>L15*'DY 22 &amp; DY 23 Assumptions'!$D$102</f>
        <v>65220.308599132884</v>
      </c>
      <c r="N15" s="21">
        <f>M15*'DY 22 &amp; DY 23 Assumptions'!$D$102</f>
        <v>64894.207056137217</v>
      </c>
      <c r="O15" s="21">
        <f>N15*'DY 22 &amp; DY 23 Assumptions'!$D$102</f>
        <v>64569.73602085653</v>
      </c>
      <c r="P15" s="21">
        <f>O15*'DY 22 &amp; DY 23 Assumptions'!$D$102</f>
        <v>64246.887340752248</v>
      </c>
      <c r="Q15" s="21">
        <f>P15*'DY 22 &amp; DY 23 Assumptions'!$D$102</f>
        <v>63925.652904048489</v>
      </c>
      <c r="R15" s="21">
        <f>Q15*'DY 22 &amp; DY 23 Assumptions'!$D$102</f>
        <v>63606.024639528245</v>
      </c>
      <c r="S15" s="21">
        <f>R15*'DY 22 &amp; DY 23 Assumptions'!$D$102</f>
        <v>63287.994516330604</v>
      </c>
      <c r="T15" s="21">
        <f>S15*'DY 22 &amp; DY 23 Assumptions'!$D$102</f>
        <v>62971.554543748949</v>
      </c>
      <c r="U15" s="12"/>
      <c r="V15" s="12"/>
      <c r="W15" s="12"/>
      <c r="X15" s="12"/>
      <c r="Y15" s="12"/>
      <c r="Z15" s="12"/>
    </row>
    <row r="16" spans="2:26" x14ac:dyDescent="0.3">
      <c r="B16" s="5" t="s">
        <v>12</v>
      </c>
      <c r="C16" s="6">
        <f>'DY 22 &amp; DY 23 Assumptions'!E13</f>
        <v>133400</v>
      </c>
      <c r="D16" s="118"/>
      <c r="E16" s="31"/>
      <c r="F16" s="23">
        <f t="shared" ref="F16:Z16" si="3">SUM(F18:F27)</f>
        <v>172602.59970134808</v>
      </c>
      <c r="G16" s="23">
        <f t="shared" si="3"/>
        <v>171739.58670284133</v>
      </c>
      <c r="H16" s="23">
        <f t="shared" si="3"/>
        <v>170880.88876932714</v>
      </c>
      <c r="I16" s="23">
        <f t="shared" si="3"/>
        <v>170026.4843254805</v>
      </c>
      <c r="J16" s="23">
        <f t="shared" si="3"/>
        <v>169176.35190385312</v>
      </c>
      <c r="K16" s="23">
        <f t="shared" si="3"/>
        <v>168330.47014433384</v>
      </c>
      <c r="L16" s="23">
        <f t="shared" si="3"/>
        <v>167488.81779361214</v>
      </c>
      <c r="M16" s="23">
        <f t="shared" si="3"/>
        <v>166651.37370464409</v>
      </c>
      <c r="N16" s="23">
        <f t="shared" si="3"/>
        <v>165818.11683612087</v>
      </c>
      <c r="O16" s="23">
        <f t="shared" si="3"/>
        <v>164989.02625194026</v>
      </c>
      <c r="P16" s="23">
        <f t="shared" si="3"/>
        <v>164164.08112068055</v>
      </c>
      <c r="Q16" s="23">
        <f t="shared" si="3"/>
        <v>163343.26071507717</v>
      </c>
      <c r="R16" s="23">
        <f t="shared" si="3"/>
        <v>162526.54441150179</v>
      </c>
      <c r="S16" s="23">
        <f t="shared" si="3"/>
        <v>161713.91168944424</v>
      </c>
      <c r="T16" s="23">
        <f t="shared" si="3"/>
        <v>160905.34213099704</v>
      </c>
      <c r="U16" s="23">
        <f t="shared" si="3"/>
        <v>0</v>
      </c>
      <c r="V16" s="23">
        <f t="shared" si="3"/>
        <v>0</v>
      </c>
      <c r="W16" s="23">
        <f t="shared" si="3"/>
        <v>0</v>
      </c>
      <c r="X16" s="23">
        <f t="shared" si="3"/>
        <v>0</v>
      </c>
      <c r="Y16" s="23">
        <f t="shared" si="3"/>
        <v>0</v>
      </c>
      <c r="Z16" s="23">
        <f t="shared" si="3"/>
        <v>0</v>
      </c>
    </row>
    <row r="17" spans="2:26" x14ac:dyDescent="0.3">
      <c r="B17" s="1" t="s">
        <v>13</v>
      </c>
      <c r="C17" s="46">
        <f>'DY 22 &amp; DY 23 Assumptions'!E14</f>
        <v>40020</v>
      </c>
      <c r="D17" s="52"/>
      <c r="E17" s="31"/>
      <c r="F17" s="20"/>
      <c r="G17" s="20"/>
      <c r="H17" s="20"/>
      <c r="I17" s="20"/>
      <c r="J17" s="20"/>
      <c r="K17" s="20"/>
      <c r="L17" s="20"/>
      <c r="M17" s="20"/>
      <c r="N17" s="20"/>
      <c r="O17" s="20"/>
      <c r="P17" s="20"/>
      <c r="Q17" s="20"/>
      <c r="R17" s="20"/>
      <c r="S17" s="20"/>
      <c r="T17" s="20"/>
      <c r="U17" s="1"/>
      <c r="V17" s="1"/>
      <c r="W17" s="1"/>
      <c r="X17" s="1"/>
      <c r="Y17" s="1"/>
      <c r="Z17" s="1"/>
    </row>
    <row r="18" spans="2:26" x14ac:dyDescent="0.3">
      <c r="B18" s="9" t="s">
        <v>14</v>
      </c>
      <c r="C18" s="6">
        <f>'DY 22 &amp; DY 23 Assumptions'!E15</f>
        <v>3305.2461204279521</v>
      </c>
      <c r="D18" s="11">
        <f>'DY 22 &amp; DY 23 Assumptions'!F15</f>
        <v>0.15196999999999999</v>
      </c>
      <c r="E18" s="32">
        <f>SUM(F18:Z18)</f>
        <v>63741.229695580587</v>
      </c>
      <c r="F18" s="21">
        <f>(C18*D18*8760)/1000</f>
        <v>4400.1326955917775</v>
      </c>
      <c r="G18" s="21">
        <f>F18*'DY 22 &amp; DY 23 Assumptions'!$D$102</f>
        <v>4378.1320321138182</v>
      </c>
      <c r="H18" s="21">
        <f>G18*'DY 22 &amp; DY 23 Assumptions'!$D$102</f>
        <v>4356.2413719532487</v>
      </c>
      <c r="I18" s="21">
        <f>H18*'DY 22 &amp; DY 23 Assumptions'!$D$102</f>
        <v>4334.4601650934828</v>
      </c>
      <c r="J18" s="21">
        <f>I18*'DY 22 &amp; DY 23 Assumptions'!$D$102</f>
        <v>4312.7878642680153</v>
      </c>
      <c r="K18" s="21">
        <f>J18*'DY 22 &amp; DY 23 Assumptions'!$D$102</f>
        <v>4291.2239249466747</v>
      </c>
      <c r="L18" s="21">
        <f>K18*'DY 22 &amp; DY 23 Assumptions'!$D$102</f>
        <v>4269.7678053219415</v>
      </c>
      <c r="M18" s="21">
        <f>L18*'DY 22 &amp; DY 23 Assumptions'!$D$102</f>
        <v>4248.4189662953322</v>
      </c>
      <c r="N18" s="21">
        <f>M18*'DY 22 &amp; DY 23 Assumptions'!$D$102</f>
        <v>4227.1768714638556</v>
      </c>
      <c r="O18" s="21">
        <f>N18*'DY 22 &amp; DY 23 Assumptions'!$D$102</f>
        <v>4206.0409871065367</v>
      </c>
      <c r="P18" s="21">
        <f>O18*'DY 22 &amp; DY 23 Assumptions'!$D$102</f>
        <v>4185.0107821710044</v>
      </c>
      <c r="Q18" s="21">
        <f>P18*'DY 22 &amp; DY 23 Assumptions'!$D$102</f>
        <v>4164.0857282601492</v>
      </c>
      <c r="R18" s="21">
        <f>Q18*'DY 22 &amp; DY 23 Assumptions'!$D$102</f>
        <v>4143.2652996188481</v>
      </c>
      <c r="S18" s="21">
        <f>R18*'DY 22 &amp; DY 23 Assumptions'!$D$102</f>
        <v>4122.5489731207535</v>
      </c>
      <c r="T18" s="21">
        <f>S18*'DY 22 &amp; DY 23 Assumptions'!$D$102</f>
        <v>4101.9362282551501</v>
      </c>
      <c r="U18" s="12"/>
      <c r="V18" s="12"/>
      <c r="W18" s="12"/>
      <c r="X18" s="12"/>
      <c r="Y18" s="12"/>
      <c r="Z18" s="12"/>
    </row>
    <row r="19" spans="2:26" x14ac:dyDescent="0.3">
      <c r="B19" s="9" t="s">
        <v>15</v>
      </c>
      <c r="C19" s="6">
        <f>'DY 22 &amp; DY 23 Assumptions'!E16</f>
        <v>2553.1450264857485</v>
      </c>
      <c r="D19" s="11">
        <f>'DY 22 &amp; DY 23 Assumptions'!F16</f>
        <v>0.14819000000000002</v>
      </c>
      <c r="E19" s="32">
        <f>SUM(F19:Z19)</f>
        <v>48012.37094526986</v>
      </c>
      <c r="F19" s="21">
        <f>(C19*D19*8760)/1000</f>
        <v>3314.3509185203261</v>
      </c>
      <c r="G19" s="21">
        <f>F19*'DY 22 &amp; DY 23 Assumptions'!$D$102</f>
        <v>3297.7791639277243</v>
      </c>
      <c r="H19" s="21">
        <f>G19*'DY 22 &amp; DY 23 Assumptions'!$D$102</f>
        <v>3281.2902681080855</v>
      </c>
      <c r="I19" s="21">
        <f>H19*'DY 22 &amp; DY 23 Assumptions'!$D$102</f>
        <v>3264.8838167675449</v>
      </c>
      <c r="J19" s="21">
        <f>I19*'DY 22 &amp; DY 23 Assumptions'!$D$102</f>
        <v>3248.5593976837072</v>
      </c>
      <c r="K19" s="21">
        <f>J19*'DY 22 &amp; DY 23 Assumptions'!$D$102</f>
        <v>3232.3166006952888</v>
      </c>
      <c r="L19" s="21">
        <f>K19*'DY 22 &amp; DY 23 Assumptions'!$D$102</f>
        <v>3216.1550176918122</v>
      </c>
      <c r="M19" s="21">
        <f>L19*'DY 22 &amp; DY 23 Assumptions'!$D$102</f>
        <v>3200.074242603353</v>
      </c>
      <c r="N19" s="21">
        <f>M19*'DY 22 &amp; DY 23 Assumptions'!$D$102</f>
        <v>3184.0738713903361</v>
      </c>
      <c r="O19" s="21">
        <f>N19*'DY 22 &amp; DY 23 Assumptions'!$D$102</f>
        <v>3168.1535020333845</v>
      </c>
      <c r="P19" s="21">
        <f>O19*'DY 22 &amp; DY 23 Assumptions'!$D$102</f>
        <v>3152.3127345232174</v>
      </c>
      <c r="Q19" s="21">
        <f>P19*'DY 22 &amp; DY 23 Assumptions'!$D$102</f>
        <v>3136.5511708506015</v>
      </c>
      <c r="R19" s="21">
        <f>Q19*'DY 22 &amp; DY 23 Assumptions'!$D$102</f>
        <v>3120.8684149963483</v>
      </c>
      <c r="S19" s="21">
        <f>R19*'DY 22 &amp; DY 23 Assumptions'!$D$102</f>
        <v>3105.2640729213667</v>
      </c>
      <c r="T19" s="21">
        <f>S19*'DY 22 &amp; DY 23 Assumptions'!$D$102</f>
        <v>3089.7377525567599</v>
      </c>
      <c r="U19" s="12"/>
      <c r="V19" s="12"/>
      <c r="W19" s="12"/>
      <c r="X19" s="12"/>
      <c r="Y19" s="12"/>
      <c r="Z19" s="12"/>
    </row>
    <row r="20" spans="2:26" x14ac:dyDescent="0.3">
      <c r="B20" s="9" t="s">
        <v>16</v>
      </c>
      <c r="C20" s="6">
        <f>'DY 22 &amp; DY 23 Assumptions'!E17</f>
        <v>5926.6545474380619</v>
      </c>
      <c r="D20" s="11">
        <f>'DY 22 &amp; DY 23 Assumptions'!F17</f>
        <v>0.15303</v>
      </c>
      <c r="E20" s="32">
        <f>SUM(F20:Z20)</f>
        <v>115091.95364094165</v>
      </c>
      <c r="F20" s="21">
        <f>(C20*D20*8760)/1000</f>
        <v>7944.9340816553522</v>
      </c>
      <c r="G20" s="21">
        <f>F20*'DY 22 &amp; DY 23 Assumptions'!$D$102</f>
        <v>7905.209411247075</v>
      </c>
      <c r="H20" s="21">
        <f>G20*'DY 22 &amp; DY 23 Assumptions'!$D$102</f>
        <v>7865.6833641908397</v>
      </c>
      <c r="I20" s="21">
        <f>H20*'DY 22 &amp; DY 23 Assumptions'!$D$102</f>
        <v>7826.3549473698858</v>
      </c>
      <c r="J20" s="21">
        <f>I20*'DY 22 &amp; DY 23 Assumptions'!$D$102</f>
        <v>7787.2231726330365</v>
      </c>
      <c r="K20" s="21">
        <f>J20*'DY 22 &amp; DY 23 Assumptions'!$D$102</f>
        <v>7748.287056769871</v>
      </c>
      <c r="L20" s="21">
        <f>K20*'DY 22 &amp; DY 23 Assumptions'!$D$102</f>
        <v>7709.5456214860214</v>
      </c>
      <c r="M20" s="21">
        <f>L20*'DY 22 &amp; DY 23 Assumptions'!$D$102</f>
        <v>7670.9978933785915</v>
      </c>
      <c r="N20" s="21">
        <f>M20*'DY 22 &amp; DY 23 Assumptions'!$D$102</f>
        <v>7632.6429039116983</v>
      </c>
      <c r="O20" s="21">
        <f>N20*'DY 22 &amp; DY 23 Assumptions'!$D$102</f>
        <v>7594.4796893921402</v>
      </c>
      <c r="P20" s="21">
        <f>O20*'DY 22 &amp; DY 23 Assumptions'!$D$102</f>
        <v>7556.5072909451792</v>
      </c>
      <c r="Q20" s="21">
        <f>P20*'DY 22 &amp; DY 23 Assumptions'!$D$102</f>
        <v>7518.7247544904531</v>
      </c>
      <c r="R20" s="21">
        <f>Q20*'DY 22 &amp; DY 23 Assumptions'!$D$102</f>
        <v>7481.1311307180003</v>
      </c>
      <c r="S20" s="21">
        <f>R20*'DY 22 &amp; DY 23 Assumptions'!$D$102</f>
        <v>7443.7254750644106</v>
      </c>
      <c r="T20" s="21">
        <f>S20*'DY 22 &amp; DY 23 Assumptions'!$D$102</f>
        <v>7406.5068476890883</v>
      </c>
      <c r="U20" s="12"/>
      <c r="V20" s="12"/>
      <c r="W20" s="12"/>
      <c r="X20" s="12"/>
      <c r="Y20" s="12"/>
      <c r="Z20" s="12"/>
    </row>
    <row r="21" spans="2:26" x14ac:dyDescent="0.3">
      <c r="B21" s="9" t="s">
        <v>20</v>
      </c>
      <c r="C21" s="6">
        <f>'DY 22 &amp; DY 23 Assumptions'!E18</f>
        <v>28234.872699670323</v>
      </c>
      <c r="D21" s="11">
        <f>'DY 22 &amp; DY 23 Assumptions'!F18</f>
        <v>0.14410999999999999</v>
      </c>
      <c r="E21" s="32">
        <f>SUM(F21:Z21)</f>
        <v>516343.50943177368</v>
      </c>
      <c r="F21" s="21">
        <f>(C21*D21*8760)/1000</f>
        <v>35643.804941605529</v>
      </c>
      <c r="G21" s="21">
        <f>F21*'DY 22 &amp; DY 23 Assumptions'!$D$102</f>
        <v>35465.5859168975</v>
      </c>
      <c r="H21" s="21">
        <f>G21*'DY 22 &amp; DY 23 Assumptions'!$D$102</f>
        <v>35288.257987313016</v>
      </c>
      <c r="I21" s="21">
        <f>H21*'DY 22 &amp; DY 23 Assumptions'!$D$102</f>
        <v>35111.816697376453</v>
      </c>
      <c r="J21" s="21">
        <f>I21*'DY 22 &amp; DY 23 Assumptions'!$D$102</f>
        <v>34936.257613889567</v>
      </c>
      <c r="K21" s="21">
        <f>J21*'DY 22 &amp; DY 23 Assumptions'!$D$102</f>
        <v>34761.576325820119</v>
      </c>
      <c r="L21" s="21">
        <f>K21*'DY 22 &amp; DY 23 Assumptions'!$D$102</f>
        <v>34587.768444191017</v>
      </c>
      <c r="M21" s="21">
        <f>L21*'DY 22 &amp; DY 23 Assumptions'!$D$102</f>
        <v>34414.829601970065</v>
      </c>
      <c r="N21" s="21">
        <f>M21*'DY 22 &amp; DY 23 Assumptions'!$D$102</f>
        <v>34242.755453960213</v>
      </c>
      <c r="O21" s="21">
        <f>N21*'DY 22 &amp; DY 23 Assumptions'!$D$102</f>
        <v>34071.541676690409</v>
      </c>
      <c r="P21" s="21">
        <f>O21*'DY 22 &amp; DY 23 Assumptions'!$D$102</f>
        <v>33901.183968306956</v>
      </c>
      <c r="Q21" s="21">
        <f>P21*'DY 22 &amp; DY 23 Assumptions'!$D$102</f>
        <v>33731.678048465423</v>
      </c>
      <c r="R21" s="21">
        <f>Q21*'DY 22 &amp; DY 23 Assumptions'!$D$102</f>
        <v>33563.019658223093</v>
      </c>
      <c r="S21" s="21">
        <f>R21*'DY 22 &amp; DY 23 Assumptions'!$D$102</f>
        <v>33395.204559931975</v>
      </c>
      <c r="T21" s="21">
        <f>S21*'DY 22 &amp; DY 23 Assumptions'!$D$102</f>
        <v>33228.228537132316</v>
      </c>
      <c r="U21" s="12"/>
      <c r="V21" s="12"/>
      <c r="W21" s="12"/>
      <c r="X21" s="12"/>
      <c r="Y21" s="12"/>
      <c r="Z21" s="12"/>
    </row>
    <row r="22" spans="2:26" x14ac:dyDescent="0.3">
      <c r="B22" s="9" t="s">
        <v>79</v>
      </c>
      <c r="C22" s="6">
        <f>'DY 22 &amp; DY 23 Assumptions'!E19</f>
        <v>0</v>
      </c>
      <c r="D22" s="11">
        <f>'DY 22 &amp; DY 23 Assumptions'!F19</f>
        <v>0.14410999999999999</v>
      </c>
      <c r="E22" s="32"/>
      <c r="F22" s="21"/>
      <c r="G22" s="21"/>
      <c r="H22" s="21"/>
      <c r="I22" s="21"/>
      <c r="J22" s="21"/>
      <c r="K22" s="21"/>
      <c r="L22" s="21"/>
      <c r="M22" s="21"/>
      <c r="N22" s="21"/>
      <c r="O22" s="21"/>
      <c r="P22" s="21"/>
      <c r="Q22" s="21"/>
      <c r="R22" s="21"/>
      <c r="S22" s="21"/>
      <c r="T22" s="21"/>
      <c r="U22" s="12"/>
      <c r="V22" s="12"/>
      <c r="W22" s="12"/>
      <c r="X22" s="12"/>
      <c r="Y22" s="12"/>
      <c r="Z22" s="12"/>
    </row>
    <row r="23" spans="2:26" x14ac:dyDescent="0.3">
      <c r="B23" s="1" t="s">
        <v>18</v>
      </c>
      <c r="C23" s="46">
        <f>'DY 22 &amp; DY 23 Assumptions'!E20</f>
        <v>93380</v>
      </c>
      <c r="D23" s="52"/>
      <c r="E23" s="31"/>
      <c r="F23" s="20"/>
      <c r="G23" s="21"/>
      <c r="H23" s="20"/>
      <c r="I23" s="20"/>
      <c r="J23" s="20"/>
      <c r="K23" s="20"/>
      <c r="L23" s="20"/>
      <c r="M23" s="20"/>
      <c r="N23" s="20"/>
      <c r="O23" s="20"/>
      <c r="P23" s="20"/>
      <c r="Q23" s="20"/>
      <c r="R23" s="20"/>
      <c r="S23" s="20"/>
      <c r="T23" s="20"/>
      <c r="U23" s="1"/>
      <c r="V23" s="1"/>
      <c r="W23" s="1"/>
      <c r="X23" s="1"/>
      <c r="Y23" s="1"/>
      <c r="Z23" s="1"/>
    </row>
    <row r="24" spans="2:26" x14ac:dyDescent="0.3">
      <c r="B24" s="9" t="s">
        <v>19</v>
      </c>
      <c r="C24" s="6">
        <f>'DY 22 &amp; DY 23 Assumptions'!E21</f>
        <v>3531.4549095663756</v>
      </c>
      <c r="D24" s="11">
        <f>'DY 22 &amp; DY 23 Assumptions'!F21</f>
        <v>0.14305999999999999</v>
      </c>
      <c r="E24" s="32">
        <f>SUM(F24:Z24)</f>
        <v>64110.72027844868</v>
      </c>
      <c r="F24" s="21">
        <f>(C24*D24*8760)/1000</f>
        <v>4425.6390688160755</v>
      </c>
      <c r="G24" s="21">
        <f>F24*'DY 22 &amp; DY 23 Assumptions'!$D$102</f>
        <v>4403.5108734719952</v>
      </c>
      <c r="H24" s="21">
        <f>G24*'DY 22 &amp; DY 23 Assumptions'!$D$102</f>
        <v>4381.4933191046348</v>
      </c>
      <c r="I24" s="21">
        <f>H24*'DY 22 &amp; DY 23 Assumptions'!$D$102</f>
        <v>4359.5858525091116</v>
      </c>
      <c r="J24" s="21">
        <f>I24*'DY 22 &amp; DY 23 Assumptions'!$D$102</f>
        <v>4337.7879232465657</v>
      </c>
      <c r="K24" s="21">
        <f>J24*'DY 22 &amp; DY 23 Assumptions'!$D$102</f>
        <v>4316.0989836303324</v>
      </c>
      <c r="L24" s="21">
        <f>K24*'DY 22 &amp; DY 23 Assumptions'!$D$102</f>
        <v>4294.5184887121804</v>
      </c>
      <c r="M24" s="21">
        <f>L24*'DY 22 &amp; DY 23 Assumptions'!$D$102</f>
        <v>4273.0458962686198</v>
      </c>
      <c r="N24" s="21">
        <f>M24*'DY 22 &amp; DY 23 Assumptions'!$D$102</f>
        <v>4251.680666787277</v>
      </c>
      <c r="O24" s="21">
        <f>N24*'DY 22 &amp; DY 23 Assumptions'!$D$102</f>
        <v>4230.4222634533407</v>
      </c>
      <c r="P24" s="21">
        <f>O24*'DY 22 &amp; DY 23 Assumptions'!$D$102</f>
        <v>4209.2701521360741</v>
      </c>
      <c r="Q24" s="21">
        <f>P24*'DY 22 &amp; DY 23 Assumptions'!$D$102</f>
        <v>4188.223801375394</v>
      </c>
      <c r="R24" s="21">
        <f>Q24*'DY 22 &amp; DY 23 Assumptions'!$D$102</f>
        <v>4167.2826823685173</v>
      </c>
      <c r="S24" s="21">
        <f>R24*'DY 22 &amp; DY 23 Assumptions'!$D$102</f>
        <v>4146.4462689566744</v>
      </c>
      <c r="T24" s="21">
        <f>S24*'DY 22 &amp; DY 23 Assumptions'!$D$102</f>
        <v>4125.7140376118914</v>
      </c>
      <c r="U24" s="12"/>
      <c r="V24" s="12"/>
      <c r="W24" s="12"/>
      <c r="X24" s="12"/>
      <c r="Y24" s="12"/>
      <c r="Z24" s="12"/>
    </row>
    <row r="25" spans="2:26" x14ac:dyDescent="0.3">
      <c r="B25" s="9" t="s">
        <v>15</v>
      </c>
      <c r="C25" s="6">
        <f>'DY 22 &amp; DY 23 Assumptions'!E22</f>
        <v>2749.9472612294699</v>
      </c>
      <c r="D25" s="11">
        <f>'DY 22 &amp; DY 23 Assumptions'!F22</f>
        <v>0.14176</v>
      </c>
      <c r="E25" s="32">
        <f>SUM(F25:Z25)</f>
        <v>49469.42238949734</v>
      </c>
      <c r="F25" s="21">
        <f>(C25*D25*8760)/1000</f>
        <v>3414.9329080665534</v>
      </c>
      <c r="G25" s="21">
        <f>F25*'DY 22 &amp; DY 23 Assumptions'!$D$102</f>
        <v>3397.8582435262206</v>
      </c>
      <c r="H25" s="21">
        <f>G25*'DY 22 &amp; DY 23 Assumptions'!$D$102</f>
        <v>3380.8689523085895</v>
      </c>
      <c r="I25" s="21">
        <f>H25*'DY 22 &amp; DY 23 Assumptions'!$D$102</f>
        <v>3363.9646075470464</v>
      </c>
      <c r="J25" s="21">
        <f>I25*'DY 22 &amp; DY 23 Assumptions'!$D$102</f>
        <v>3347.1447845093112</v>
      </c>
      <c r="K25" s="21">
        <f>J25*'DY 22 &amp; DY 23 Assumptions'!$D$102</f>
        <v>3330.4090605867646</v>
      </c>
      <c r="L25" s="21">
        <f>K25*'DY 22 &amp; DY 23 Assumptions'!$D$102</f>
        <v>3313.7570152838307</v>
      </c>
      <c r="M25" s="21">
        <f>L25*'DY 22 &amp; DY 23 Assumptions'!$D$102</f>
        <v>3297.1882302074114</v>
      </c>
      <c r="N25" s="21">
        <f>M25*'DY 22 &amp; DY 23 Assumptions'!$D$102</f>
        <v>3280.7022890563744</v>
      </c>
      <c r="O25" s="21">
        <f>N25*'DY 22 &amp; DY 23 Assumptions'!$D$102</f>
        <v>3264.2987776110926</v>
      </c>
      <c r="P25" s="21">
        <f>O25*'DY 22 &amp; DY 23 Assumptions'!$D$102</f>
        <v>3247.9772837230371</v>
      </c>
      <c r="Q25" s="21">
        <f>P25*'DY 22 &amp; DY 23 Assumptions'!$D$102</f>
        <v>3231.7373973044218</v>
      </c>
      <c r="R25" s="21">
        <f>Q25*'DY 22 &amp; DY 23 Assumptions'!$D$102</f>
        <v>3215.5787103178995</v>
      </c>
      <c r="S25" s="21">
        <f>R25*'DY 22 &amp; DY 23 Assumptions'!$D$102</f>
        <v>3199.50081676631</v>
      </c>
      <c r="T25" s="21">
        <f>S25*'DY 22 &amp; DY 23 Assumptions'!$D$102</f>
        <v>3183.5033126824783</v>
      </c>
      <c r="U25" s="12"/>
      <c r="V25" s="12"/>
      <c r="W25" s="12"/>
      <c r="X25" s="12"/>
      <c r="Y25" s="12"/>
      <c r="Z25" s="12"/>
    </row>
    <row r="26" spans="2:26" x14ac:dyDescent="0.3">
      <c r="B26" s="9" t="s">
        <v>16</v>
      </c>
      <c r="C26" s="6">
        <f>'DY 22 &amp; DY 23 Assumptions'!E23</f>
        <v>10192.344615055583</v>
      </c>
      <c r="D26" s="11">
        <f>'DY 22 &amp; DY 23 Assumptions'!F23</f>
        <v>0.14119000000000001</v>
      </c>
      <c r="E26" s="32">
        <f>SUM(F26:Z26)</f>
        <v>182615.15131711276</v>
      </c>
      <c r="F26" s="21">
        <f>(C26*D26*8760)/1000</f>
        <v>12606.140513109354</v>
      </c>
      <c r="G26" s="21">
        <f>F26*'DY 22 &amp; DY 23 Assumptions'!$D$102</f>
        <v>12543.109810543807</v>
      </c>
      <c r="H26" s="21">
        <f>G26*'DY 22 &amp; DY 23 Assumptions'!$D$102</f>
        <v>12480.394261491088</v>
      </c>
      <c r="I26" s="21">
        <f>H26*'DY 22 &amp; DY 23 Assumptions'!$D$102</f>
        <v>12417.992290183633</v>
      </c>
      <c r="J26" s="21">
        <f>I26*'DY 22 &amp; DY 23 Assumptions'!$D$102</f>
        <v>12355.902328732715</v>
      </c>
      <c r="K26" s="21">
        <f>J26*'DY 22 &amp; DY 23 Assumptions'!$D$102</f>
        <v>12294.122817089052</v>
      </c>
      <c r="L26" s="21">
        <f>K26*'DY 22 &amp; DY 23 Assumptions'!$D$102</f>
        <v>12232.652203003607</v>
      </c>
      <c r="M26" s="21">
        <f>L26*'DY 22 &amp; DY 23 Assumptions'!$D$102</f>
        <v>12171.488941988589</v>
      </c>
      <c r="N26" s="21">
        <f>M26*'DY 22 &amp; DY 23 Assumptions'!$D$102</f>
        <v>12110.631497278646</v>
      </c>
      <c r="O26" s="21">
        <f>N26*'DY 22 &amp; DY 23 Assumptions'!$D$102</f>
        <v>12050.078339792253</v>
      </c>
      <c r="P26" s="21">
        <f>O26*'DY 22 &amp; DY 23 Assumptions'!$D$102</f>
        <v>11989.827948093292</v>
      </c>
      <c r="Q26" s="21">
        <f>P26*'DY 22 &amp; DY 23 Assumptions'!$D$102</f>
        <v>11929.878808352825</v>
      </c>
      <c r="R26" s="21">
        <f>Q26*'DY 22 &amp; DY 23 Assumptions'!$D$102</f>
        <v>11870.229414311061</v>
      </c>
      <c r="S26" s="21">
        <f>R26*'DY 22 &amp; DY 23 Assumptions'!$D$102</f>
        <v>11810.878267239506</v>
      </c>
      <c r="T26" s="21">
        <f>S26*'DY 22 &amp; DY 23 Assumptions'!$D$102</f>
        <v>11751.823875903308</v>
      </c>
      <c r="U26" s="12"/>
      <c r="V26" s="12"/>
      <c r="W26" s="12"/>
      <c r="X26" s="12"/>
      <c r="Y26" s="12"/>
      <c r="Z26" s="12"/>
    </row>
    <row r="27" spans="2:26" x14ac:dyDescent="0.3">
      <c r="B27" s="9" t="s">
        <v>20</v>
      </c>
      <c r="C27" s="6">
        <f>'DY 22 &amp; DY 23 Assumptions'!E24</f>
        <v>76906.220793171669</v>
      </c>
      <c r="D27" s="11">
        <f>'DY 22 &amp; DY 23 Assumptions'!F24</f>
        <v>0.1497</v>
      </c>
      <c r="E27" s="32">
        <f>SUM(F27:Z27)</f>
        <v>1460972.4985025774</v>
      </c>
      <c r="F27" s="21">
        <f>(C27*D27*8760)/1000</f>
        <v>100852.66457398311</v>
      </c>
      <c r="G27" s="21">
        <f>F27*'DY 22 &amp; DY 23 Assumptions'!$D$102</f>
        <v>100348.4012511132</v>
      </c>
      <c r="H27" s="21">
        <f>G27*'DY 22 &amp; DY 23 Assumptions'!$D$102</f>
        <v>99846.659244857641</v>
      </c>
      <c r="I27" s="21">
        <f>H27*'DY 22 &amp; DY 23 Assumptions'!$D$102</f>
        <v>99347.425948633347</v>
      </c>
      <c r="J27" s="21">
        <f>I27*'DY 22 &amp; DY 23 Assumptions'!$D$102</f>
        <v>98850.688818890179</v>
      </c>
      <c r="K27" s="21">
        <f>J27*'DY 22 &amp; DY 23 Assumptions'!$D$102</f>
        <v>98356.435374795721</v>
      </c>
      <c r="L27" s="21">
        <f>K27*'DY 22 &amp; DY 23 Assumptions'!$D$102</f>
        <v>97864.65319792174</v>
      </c>
      <c r="M27" s="21">
        <f>L27*'DY 22 &amp; DY 23 Assumptions'!$D$102</f>
        <v>97375.329931932138</v>
      </c>
      <c r="N27" s="21">
        <f>M27*'DY 22 &amp; DY 23 Assumptions'!$D$102</f>
        <v>96888.453282272472</v>
      </c>
      <c r="O27" s="21">
        <f>N27*'DY 22 &amp; DY 23 Assumptions'!$D$102</f>
        <v>96404.011015861106</v>
      </c>
      <c r="P27" s="21">
        <f>O27*'DY 22 &amp; DY 23 Assumptions'!$D$102</f>
        <v>95921.990960781797</v>
      </c>
      <c r="Q27" s="21">
        <f>P27*'DY 22 &amp; DY 23 Assumptions'!$D$102</f>
        <v>95442.381005977892</v>
      </c>
      <c r="R27" s="21">
        <f>Q27*'DY 22 &amp; DY 23 Assumptions'!$D$102</f>
        <v>94965.169100947998</v>
      </c>
      <c r="S27" s="21">
        <f>R27*'DY 22 &amp; DY 23 Assumptions'!$D$102</f>
        <v>94490.343255443251</v>
      </c>
      <c r="T27" s="21">
        <f>S27*'DY 22 &amp; DY 23 Assumptions'!$D$102</f>
        <v>94017.891539166041</v>
      </c>
      <c r="U27" s="12"/>
      <c r="V27" s="12"/>
      <c r="W27" s="12"/>
      <c r="X27" s="12"/>
      <c r="Y27" s="12"/>
      <c r="Z27" s="12"/>
    </row>
    <row r="28" spans="2:26" x14ac:dyDescent="0.3">
      <c r="B28" s="9" t="s">
        <v>79</v>
      </c>
      <c r="C28" s="6">
        <f>'DY 22 &amp; DY 23 Assumptions'!E25</f>
        <v>0</v>
      </c>
      <c r="D28" s="11">
        <f>'DY 22 &amp; DY 23 Assumptions'!F25</f>
        <v>0.1497</v>
      </c>
      <c r="E28" s="32"/>
      <c r="F28" s="21"/>
      <c r="G28" s="21"/>
      <c r="H28" s="21"/>
      <c r="I28" s="21"/>
      <c r="J28" s="21"/>
      <c r="K28" s="21"/>
      <c r="L28" s="21"/>
      <c r="M28" s="21"/>
      <c r="N28" s="21"/>
      <c r="O28" s="21"/>
      <c r="P28" s="21"/>
      <c r="Q28" s="21"/>
      <c r="R28" s="21"/>
      <c r="S28" s="21"/>
      <c r="T28" s="21"/>
      <c r="U28" s="12"/>
      <c r="V28" s="12"/>
      <c r="W28" s="12"/>
      <c r="X28" s="12"/>
      <c r="Y28" s="12"/>
      <c r="Z28" s="12"/>
    </row>
    <row r="29" spans="2:26" x14ac:dyDescent="0.3">
      <c r="B29" s="5" t="s">
        <v>21</v>
      </c>
      <c r="C29" s="6">
        <f>'DY 22 &amp; DY 23 Assumptions'!E26</f>
        <v>200100</v>
      </c>
      <c r="D29" s="118"/>
      <c r="E29" s="31"/>
      <c r="F29" s="23">
        <f t="shared" ref="F29:Z29" si="4">SUM(F30:F31)</f>
        <v>0</v>
      </c>
      <c r="G29" s="23">
        <f t="shared" si="4"/>
        <v>296358.74531999999</v>
      </c>
      <c r="H29" s="23">
        <f t="shared" si="4"/>
        <v>294876.95159339998</v>
      </c>
      <c r="I29" s="23">
        <f t="shared" si="4"/>
        <v>293402.56683543301</v>
      </c>
      <c r="J29" s="23">
        <f t="shared" si="4"/>
        <v>291935.55400125583</v>
      </c>
      <c r="K29" s="23">
        <f t="shared" si="4"/>
        <v>290475.87623124954</v>
      </c>
      <c r="L29" s="23">
        <f t="shared" si="4"/>
        <v>289023.4968500933</v>
      </c>
      <c r="M29" s="23">
        <f t="shared" si="4"/>
        <v>287578.37936584279</v>
      </c>
      <c r="N29" s="23">
        <f t="shared" si="4"/>
        <v>286140.48746901361</v>
      </c>
      <c r="O29" s="23">
        <f t="shared" si="4"/>
        <v>284709.78503166855</v>
      </c>
      <c r="P29" s="23">
        <f t="shared" si="4"/>
        <v>283286.23610651016</v>
      </c>
      <c r="Q29" s="23">
        <f t="shared" si="4"/>
        <v>281869.8049259776</v>
      </c>
      <c r="R29" s="23">
        <f t="shared" si="4"/>
        <v>280460.45590134774</v>
      </c>
      <c r="S29" s="23">
        <f t="shared" si="4"/>
        <v>279058.15362184099</v>
      </c>
      <c r="T29" s="23">
        <f t="shared" si="4"/>
        <v>277662.86285373179</v>
      </c>
      <c r="U29" s="23">
        <f t="shared" si="4"/>
        <v>276274.54853946314</v>
      </c>
      <c r="V29" s="23">
        <f t="shared" si="4"/>
        <v>274893.17579676583</v>
      </c>
      <c r="W29" s="23">
        <f t="shared" si="4"/>
        <v>273518.70991778199</v>
      </c>
      <c r="X29" s="23">
        <f t="shared" si="4"/>
        <v>272151.11636819306</v>
      </c>
      <c r="Y29" s="23">
        <f t="shared" si="4"/>
        <v>270790.36078635213</v>
      </c>
      <c r="Z29" s="23">
        <f t="shared" si="4"/>
        <v>269436.40898242034</v>
      </c>
    </row>
    <row r="30" spans="2:26" x14ac:dyDescent="0.3">
      <c r="B30" s="1" t="s">
        <v>22</v>
      </c>
      <c r="C30" s="46">
        <f>'DY 22 &amp; DY 23 Assumptions'!E27</f>
        <v>60030</v>
      </c>
      <c r="D30" s="11">
        <f>'DY 22 &amp; DY 23 Assumptions'!F27</f>
        <v>0.16907</v>
      </c>
      <c r="E30" s="32">
        <f>SUM(F30:Z30)</f>
        <v>1696171.1029495024</v>
      </c>
      <c r="F30" s="21"/>
      <c r="G30" s="21">
        <f>(($C30*$D30)*8760)/1000</f>
        <v>88907.623596000005</v>
      </c>
      <c r="H30" s="21">
        <f>G30*'Reopening Assumptions'!$A$121</f>
        <v>88463.085478020002</v>
      </c>
      <c r="I30" s="21">
        <f>H30*'Reopening Assumptions'!$A$121</f>
        <v>88020.770050629901</v>
      </c>
      <c r="J30" s="21">
        <f>I30*'Reopening Assumptions'!$A$121</f>
        <v>87580.666200376756</v>
      </c>
      <c r="K30" s="21">
        <f>J30*'Reopening Assumptions'!$A$121</f>
        <v>87142.76286937487</v>
      </c>
      <c r="L30" s="21">
        <f>K30*'Reopening Assumptions'!$A$121</f>
        <v>86707.049055027994</v>
      </c>
      <c r="M30" s="21">
        <f>L30*'Reopening Assumptions'!$A$121</f>
        <v>86273.513809752854</v>
      </c>
      <c r="N30" s="21">
        <f>M30*'Reopening Assumptions'!$A$121</f>
        <v>85842.146240704096</v>
      </c>
      <c r="O30" s="21">
        <f>N30*'Reopening Assumptions'!$A$121</f>
        <v>85412.935509500574</v>
      </c>
      <c r="P30" s="21">
        <f>O30*'Reopening Assumptions'!$A$121</f>
        <v>84985.870831953071</v>
      </c>
      <c r="Q30" s="21">
        <f>P30*'Reopening Assumptions'!$A$121</f>
        <v>84560.941477793298</v>
      </c>
      <c r="R30" s="21">
        <f>Q30*'Reopening Assumptions'!$A$121</f>
        <v>84138.136770404337</v>
      </c>
      <c r="S30" s="21">
        <f>R30*'Reopening Assumptions'!$A$121</f>
        <v>83717.446086552314</v>
      </c>
      <c r="T30" s="21">
        <f>S30*'Reopening Assumptions'!$A$121</f>
        <v>83298.85885611955</v>
      </c>
      <c r="U30" s="21">
        <f>T30*'Reopening Assumptions'!$A$121</f>
        <v>82882.364561838956</v>
      </c>
      <c r="V30" s="21">
        <f>U30*'Reopening Assumptions'!$A$121</f>
        <v>82467.952739029759</v>
      </c>
      <c r="W30" s="21">
        <f>V30*'Reopening Assumptions'!$A$121</f>
        <v>82055.612975334603</v>
      </c>
      <c r="X30" s="21">
        <f>W30*'Reopening Assumptions'!$A$121</f>
        <v>81645.334910457925</v>
      </c>
      <c r="Y30" s="21">
        <f>X30*'Reopening Assumptions'!$A$121</f>
        <v>81237.108235905631</v>
      </c>
      <c r="Z30" s="21">
        <f>Y30*'Reopening Assumptions'!$A$121</f>
        <v>80830.922694726105</v>
      </c>
    </row>
    <row r="31" spans="2:26" x14ac:dyDescent="0.3">
      <c r="B31" s="1" t="s">
        <v>24</v>
      </c>
      <c r="C31" s="46">
        <f>'DY 22 &amp; DY 23 Assumptions'!E35</f>
        <v>140070</v>
      </c>
      <c r="D31" s="11">
        <f>'DY 22 &amp; DY 23 Assumptions'!F35</f>
        <v>0.16907</v>
      </c>
      <c r="E31" s="32">
        <f>SUM(F31:Z31)</f>
        <v>3957732.5735488399</v>
      </c>
      <c r="F31" s="21"/>
      <c r="G31" s="21">
        <f>(($C31*$D31)*8760)/1000</f>
        <v>207451.121724</v>
      </c>
      <c r="H31" s="21">
        <f>G31*'Reopening Assumptions'!$A$121</f>
        <v>206413.86611537999</v>
      </c>
      <c r="I31" s="21">
        <f>H31*'Reopening Assumptions'!$A$121</f>
        <v>205381.7967848031</v>
      </c>
      <c r="J31" s="21">
        <f>I31*'Reopening Assumptions'!$A$121</f>
        <v>204354.88780087908</v>
      </c>
      <c r="K31" s="21">
        <f>J31*'Reopening Assumptions'!$A$121</f>
        <v>203333.11336187468</v>
      </c>
      <c r="L31" s="21">
        <f>K31*'Reopening Assumptions'!$A$121</f>
        <v>202316.44779506529</v>
      </c>
      <c r="M31" s="21">
        <f>L31*'Reopening Assumptions'!$A$121</f>
        <v>201304.86555608996</v>
      </c>
      <c r="N31" s="21">
        <f>M31*'Reopening Assumptions'!$A$121</f>
        <v>200298.34122830952</v>
      </c>
      <c r="O31" s="21">
        <f>N31*'Reopening Assumptions'!$A$121</f>
        <v>199296.84952216796</v>
      </c>
      <c r="P31" s="21">
        <f>O31*'Reopening Assumptions'!$A$121</f>
        <v>198300.36527455712</v>
      </c>
      <c r="Q31" s="21">
        <f>P31*'Reopening Assumptions'!$A$121</f>
        <v>197308.86344818433</v>
      </c>
      <c r="R31" s="21">
        <f>Q31*'Reopening Assumptions'!$A$121</f>
        <v>196322.31913094342</v>
      </c>
      <c r="S31" s="21">
        <f>R31*'Reopening Assumptions'!$A$121</f>
        <v>195340.7075352887</v>
      </c>
      <c r="T31" s="21">
        <f>S31*'Reopening Assumptions'!$A$121</f>
        <v>194364.00399761225</v>
      </c>
      <c r="U31" s="21">
        <f>T31*'Reopening Assumptions'!$A$121</f>
        <v>193392.1839776242</v>
      </c>
      <c r="V31" s="21">
        <f>U31*'Reopening Assumptions'!$A$121</f>
        <v>192425.22305773609</v>
      </c>
      <c r="W31" s="21">
        <f>V31*'Reopening Assumptions'!$A$121</f>
        <v>191463.09694244742</v>
      </c>
      <c r="X31" s="21">
        <f>W31*'Reopening Assumptions'!$A$121</f>
        <v>190505.78145773517</v>
      </c>
      <c r="Y31" s="21">
        <f>X31*'Reopening Assumptions'!$A$121</f>
        <v>189553.25255044649</v>
      </c>
      <c r="Z31" s="21">
        <f>Y31*'Reopening Assumptions'!$A$121</f>
        <v>188605.48628769425</v>
      </c>
    </row>
    <row r="32" spans="2:26" x14ac:dyDescent="0.3">
      <c r="B32" s="5" t="s">
        <v>25</v>
      </c>
      <c r="C32" s="6">
        <f>'DY 22 &amp; DY 23 Assumptions'!E43</f>
        <v>100050</v>
      </c>
      <c r="D32" s="118"/>
      <c r="E32" s="31"/>
      <c r="F32" s="23">
        <f t="shared" ref="F32:Z32" si="5">SUM(F33:F45)</f>
        <v>148179.37265999999</v>
      </c>
      <c r="G32" s="23">
        <f t="shared" si="5"/>
        <v>147438.47579669999</v>
      </c>
      <c r="H32" s="23">
        <f t="shared" si="5"/>
        <v>146701.28341771651</v>
      </c>
      <c r="I32" s="23">
        <f t="shared" si="5"/>
        <v>145967.77700062795</v>
      </c>
      <c r="J32" s="23">
        <f t="shared" si="5"/>
        <v>145237.9381156248</v>
      </c>
      <c r="K32" s="23">
        <f t="shared" si="5"/>
        <v>144511.74842504668</v>
      </c>
      <c r="L32" s="23">
        <f t="shared" si="5"/>
        <v>143789.18968292145</v>
      </c>
      <c r="M32" s="23">
        <f t="shared" si="5"/>
        <v>143070.24373450683</v>
      </c>
      <c r="N32" s="23">
        <f t="shared" si="5"/>
        <v>142354.8925158343</v>
      </c>
      <c r="O32" s="23">
        <f t="shared" si="5"/>
        <v>141643.11805325511</v>
      </c>
      <c r="P32" s="23">
        <f t="shared" si="5"/>
        <v>140934.90246298886</v>
      </c>
      <c r="Q32" s="23">
        <f t="shared" si="5"/>
        <v>140230.2279506739</v>
      </c>
      <c r="R32" s="23">
        <f t="shared" si="5"/>
        <v>139529.07681092052</v>
      </c>
      <c r="S32" s="23">
        <f t="shared" si="5"/>
        <v>138831.43142686592</v>
      </c>
      <c r="T32" s="23">
        <f t="shared" si="5"/>
        <v>138137.2742697316</v>
      </c>
      <c r="U32" s="23">
        <f t="shared" si="5"/>
        <v>137446.58789838295</v>
      </c>
      <c r="V32" s="23">
        <f t="shared" si="5"/>
        <v>136759.35495889102</v>
      </c>
      <c r="W32" s="23">
        <f t="shared" si="5"/>
        <v>136075.55818409656</v>
      </c>
      <c r="X32" s="23">
        <f t="shared" si="5"/>
        <v>135395.1803931761</v>
      </c>
      <c r="Y32" s="23">
        <f t="shared" si="5"/>
        <v>134718.20449121023</v>
      </c>
      <c r="Z32" s="23">
        <f t="shared" si="5"/>
        <v>0</v>
      </c>
    </row>
    <row r="33" spans="2:26" x14ac:dyDescent="0.3">
      <c r="B33" s="1" t="s">
        <v>26</v>
      </c>
      <c r="C33" s="46">
        <f>'DY 22 &amp; DY 23 Assumptions'!E44</f>
        <v>30015</v>
      </c>
      <c r="D33" s="52"/>
      <c r="E33" s="32"/>
      <c r="F33" s="21"/>
      <c r="G33" s="21"/>
      <c r="H33" s="21"/>
      <c r="I33" s="21"/>
      <c r="J33" s="21"/>
      <c r="K33" s="21"/>
      <c r="L33" s="21"/>
      <c r="M33" s="21"/>
      <c r="N33" s="21"/>
      <c r="O33" s="21"/>
      <c r="P33" s="21"/>
      <c r="Q33" s="21"/>
      <c r="R33" s="21"/>
      <c r="S33" s="21"/>
      <c r="T33" s="21"/>
      <c r="U33" s="12"/>
      <c r="V33" s="22"/>
      <c r="W33" s="22"/>
      <c r="X33" s="22"/>
      <c r="Y33" s="22"/>
      <c r="Z33" s="22"/>
    </row>
    <row r="34" spans="2:26" x14ac:dyDescent="0.3">
      <c r="B34" s="9" t="s">
        <v>27</v>
      </c>
      <c r="C34" s="6">
        <f>'DY 22 &amp; DY 23 Assumptions'!E45</f>
        <v>1389.5833333333333</v>
      </c>
      <c r="D34" s="11">
        <f>'DY 22 &amp; DY 23 Assumptions'!F45</f>
        <v>0.16907</v>
      </c>
      <c r="E34" s="32">
        <f>SUM(F34:Z34)</f>
        <v>39263.219975682929</v>
      </c>
      <c r="F34" s="21">
        <f>(C34*D34*8760)/1000</f>
        <v>2058.0468424999999</v>
      </c>
      <c r="G34" s="21">
        <f>F34*'DY 22 &amp; DY 23 Assumptions'!$D$102</f>
        <v>2047.7566082874998</v>
      </c>
      <c r="H34" s="21">
        <f>G34*'DY 22 &amp; DY 23 Assumptions'!$D$102</f>
        <v>2037.5178252460623</v>
      </c>
      <c r="I34" s="21">
        <f>H34*'DY 22 &amp; DY 23 Assumptions'!$D$102</f>
        <v>2027.3302361198321</v>
      </c>
      <c r="J34" s="21">
        <f>I34*'DY 22 &amp; DY 23 Assumptions'!$D$102</f>
        <v>2017.193584939233</v>
      </c>
      <c r="K34" s="21">
        <f>J34*'DY 22 &amp; DY 23 Assumptions'!$D$102</f>
        <v>2007.1076170145368</v>
      </c>
      <c r="L34" s="21">
        <f>K34*'DY 22 &amp; DY 23 Assumptions'!$D$102</f>
        <v>1997.0720789294642</v>
      </c>
      <c r="M34" s="21">
        <f>L34*'DY 22 &amp; DY 23 Assumptions'!$D$102</f>
        <v>1987.0867185348168</v>
      </c>
      <c r="N34" s="21">
        <f>M34*'DY 22 &amp; DY 23 Assumptions'!$D$102</f>
        <v>1977.1512849421426</v>
      </c>
      <c r="O34" s="21">
        <f>N34*'DY 22 &amp; DY 23 Assumptions'!$D$102</f>
        <v>1967.2655285174319</v>
      </c>
      <c r="P34" s="21">
        <f>O34*'DY 22 &amp; DY 23 Assumptions'!$D$102</f>
        <v>1957.4292008748448</v>
      </c>
      <c r="Q34" s="21">
        <f>P34*'DY 22 &amp; DY 23 Assumptions'!$D$102</f>
        <v>1947.6420548704705</v>
      </c>
      <c r="R34" s="21">
        <f>Q34*'DY 22 &amp; DY 23 Assumptions'!$D$102</f>
        <v>1937.903844596118</v>
      </c>
      <c r="S34" s="21">
        <f>R34*'DY 22 &amp; DY 23 Assumptions'!$D$102</f>
        <v>1928.2143253731374</v>
      </c>
      <c r="T34" s="21">
        <f>S34*'DY 22 &amp; DY 23 Assumptions'!$D$102</f>
        <v>1918.5732537462718</v>
      </c>
      <c r="U34" s="21">
        <f>T34*'DY 22 &amp; DY 23 Assumptions'!$D$102</f>
        <v>1908.9803874775405</v>
      </c>
      <c r="V34" s="21">
        <f>U34*'DY 22 &amp; DY 23 Assumptions'!$D$102</f>
        <v>1899.4354855401527</v>
      </c>
      <c r="W34" s="21">
        <f>V34*'DY 22 &amp; DY 23 Assumptions'!$D$102</f>
        <v>1889.938308112452</v>
      </c>
      <c r="X34" s="21">
        <f>W34*'DY 22 &amp; DY 23 Assumptions'!$D$102</f>
        <v>1880.4886165718897</v>
      </c>
      <c r="Y34" s="21">
        <f>X34*'DY 22 &amp; DY 23 Assumptions'!$D$102</f>
        <v>1871.0861734890302</v>
      </c>
      <c r="Z34" s="22"/>
    </row>
    <row r="35" spans="2:26" x14ac:dyDescent="0.3">
      <c r="B35" s="9" t="s">
        <v>19</v>
      </c>
      <c r="C35" s="6">
        <f>'DY 22 &amp; DY 23 Assumptions'!E46</f>
        <v>1667.5</v>
      </c>
      <c r="D35" s="11">
        <f>'DY 22 &amp; DY 23 Assumptions'!F46</f>
        <v>0.16907</v>
      </c>
      <c r="E35" s="32">
        <f>SUM(F35:Z35)</f>
        <v>47115.863970819497</v>
      </c>
      <c r="F35" s="21">
        <f>(C35*D35*8760)/1000</f>
        <v>2469.6562109999995</v>
      </c>
      <c r="G35" s="21">
        <f>F35*'DY 22 &amp; DY 23 Assumptions'!$D$102</f>
        <v>2457.3079299449996</v>
      </c>
      <c r="H35" s="21">
        <f>G35*'DY 22 &amp; DY 23 Assumptions'!$D$102</f>
        <v>2445.0213902952746</v>
      </c>
      <c r="I35" s="21">
        <f>H35*'DY 22 &amp; DY 23 Assumptions'!$D$102</f>
        <v>2432.7962833437982</v>
      </c>
      <c r="J35" s="21">
        <f>I35*'DY 22 &amp; DY 23 Assumptions'!$D$102</f>
        <v>2420.6323019270794</v>
      </c>
      <c r="K35" s="21">
        <f>J35*'DY 22 &amp; DY 23 Assumptions'!$D$102</f>
        <v>2408.5291404174441</v>
      </c>
      <c r="L35" s="21">
        <f>K35*'DY 22 &amp; DY 23 Assumptions'!$D$102</f>
        <v>2396.4864947153569</v>
      </c>
      <c r="M35" s="21">
        <f>L35*'DY 22 &amp; DY 23 Assumptions'!$D$102</f>
        <v>2384.50406224178</v>
      </c>
      <c r="N35" s="21">
        <f>M35*'DY 22 &amp; DY 23 Assumptions'!$D$102</f>
        <v>2372.5815419305713</v>
      </c>
      <c r="O35" s="21">
        <f>N35*'DY 22 &amp; DY 23 Assumptions'!$D$102</f>
        <v>2360.7186342209184</v>
      </c>
      <c r="P35" s="21">
        <f>O35*'DY 22 &amp; DY 23 Assumptions'!$D$102</f>
        <v>2348.9150410498137</v>
      </c>
      <c r="Q35" s="21">
        <f>P35*'DY 22 &amp; DY 23 Assumptions'!$D$102</f>
        <v>2337.1704658445647</v>
      </c>
      <c r="R35" s="21">
        <f>Q35*'DY 22 &amp; DY 23 Assumptions'!$D$102</f>
        <v>2325.4846135153416</v>
      </c>
      <c r="S35" s="21">
        <f>R35*'DY 22 &amp; DY 23 Assumptions'!$D$102</f>
        <v>2313.8571904477649</v>
      </c>
      <c r="T35" s="21">
        <f>S35*'DY 22 &amp; DY 23 Assumptions'!$D$102</f>
        <v>2302.2879044955262</v>
      </c>
      <c r="U35" s="21">
        <f>T35*'DY 22 &amp; DY 23 Assumptions'!$D$102</f>
        <v>2290.7764649730484</v>
      </c>
      <c r="V35" s="21">
        <f>U35*'DY 22 &amp; DY 23 Assumptions'!$D$102</f>
        <v>2279.322582648183</v>
      </c>
      <c r="W35" s="21">
        <f>V35*'DY 22 &amp; DY 23 Assumptions'!$D$102</f>
        <v>2267.9259697349421</v>
      </c>
      <c r="X35" s="21">
        <f>W35*'DY 22 &amp; DY 23 Assumptions'!$D$102</f>
        <v>2256.5863398862675</v>
      </c>
      <c r="Y35" s="21">
        <f>X35*'DY 22 &amp; DY 23 Assumptions'!$D$102</f>
        <v>2245.3034081868364</v>
      </c>
      <c r="Z35" s="22"/>
    </row>
    <row r="36" spans="2:26" x14ac:dyDescent="0.3">
      <c r="B36" s="9" t="s">
        <v>15</v>
      </c>
      <c r="C36" s="6">
        <f>'DY 22 &amp; DY 23 Assumptions'!E47</f>
        <v>6392.083333333333</v>
      </c>
      <c r="D36" s="11">
        <f>'DY 22 &amp; DY 23 Assumptions'!F47</f>
        <v>0.16907</v>
      </c>
      <c r="E36" s="32">
        <f>SUM(F36:Z36)</f>
        <v>180610.81188814144</v>
      </c>
      <c r="F36" s="21">
        <f>(C36*D36*8760)/1000</f>
        <v>9467.0154755000003</v>
      </c>
      <c r="G36" s="21">
        <f>F36*'DY 22 &amp; DY 23 Assumptions'!$D$102</f>
        <v>9419.6803981225003</v>
      </c>
      <c r="H36" s="21">
        <f>G36*'DY 22 &amp; DY 23 Assumptions'!$D$102</f>
        <v>9372.5819961318884</v>
      </c>
      <c r="I36" s="21">
        <f>H36*'DY 22 &amp; DY 23 Assumptions'!$D$102</f>
        <v>9325.7190861512281</v>
      </c>
      <c r="J36" s="21">
        <f>I36*'DY 22 &amp; DY 23 Assumptions'!$D$102</f>
        <v>9279.0904907204713</v>
      </c>
      <c r="K36" s="21">
        <f>J36*'DY 22 &amp; DY 23 Assumptions'!$D$102</f>
        <v>9232.6950382668692</v>
      </c>
      <c r="L36" s="21">
        <f>K36*'DY 22 &amp; DY 23 Assumptions'!$D$102</f>
        <v>9186.531563075534</v>
      </c>
      <c r="M36" s="21">
        <f>L36*'DY 22 &amp; DY 23 Assumptions'!$D$102</f>
        <v>9140.5989052601562</v>
      </c>
      <c r="N36" s="21">
        <f>M36*'DY 22 &amp; DY 23 Assumptions'!$D$102</f>
        <v>9094.895910733856</v>
      </c>
      <c r="O36" s="21">
        <f>N36*'DY 22 &amp; DY 23 Assumptions'!$D$102</f>
        <v>9049.4214311801861</v>
      </c>
      <c r="P36" s="21">
        <f>O36*'DY 22 &amp; DY 23 Assumptions'!$D$102</f>
        <v>9004.1743240242849</v>
      </c>
      <c r="Q36" s="21">
        <f>P36*'DY 22 &amp; DY 23 Assumptions'!$D$102</f>
        <v>8959.1534524041635</v>
      </c>
      <c r="R36" s="21">
        <f>Q36*'DY 22 &amp; DY 23 Assumptions'!$D$102</f>
        <v>8914.3576851421421</v>
      </c>
      <c r="S36" s="21">
        <f>R36*'DY 22 &amp; DY 23 Assumptions'!$D$102</f>
        <v>8869.785896716432</v>
      </c>
      <c r="T36" s="21">
        <f>S36*'DY 22 &amp; DY 23 Assumptions'!$D$102</f>
        <v>8825.4369672328503</v>
      </c>
      <c r="U36" s="21">
        <f>T36*'DY 22 &amp; DY 23 Assumptions'!$D$102</f>
        <v>8781.3097823966855</v>
      </c>
      <c r="V36" s="21">
        <f>U36*'DY 22 &amp; DY 23 Assumptions'!$D$102</f>
        <v>8737.4032334847016</v>
      </c>
      <c r="W36" s="21">
        <f>V36*'DY 22 &amp; DY 23 Assumptions'!$D$102</f>
        <v>8693.7162173172783</v>
      </c>
      <c r="X36" s="21">
        <f>W36*'DY 22 &amp; DY 23 Assumptions'!$D$102</f>
        <v>8650.2476362306916</v>
      </c>
      <c r="Y36" s="21">
        <f>X36*'DY 22 &amp; DY 23 Assumptions'!$D$102</f>
        <v>8606.9963980495377</v>
      </c>
      <c r="Z36" s="22"/>
    </row>
    <row r="37" spans="2:26" x14ac:dyDescent="0.3">
      <c r="B37" s="9" t="s">
        <v>16</v>
      </c>
      <c r="C37" s="6">
        <f>'DY 22 &amp; DY 23 Assumptions'!E48</f>
        <v>13617.916666666668</v>
      </c>
      <c r="D37" s="11">
        <f>'DY 22 &amp; DY 23 Assumptions'!F48</f>
        <v>0.16907</v>
      </c>
      <c r="E37" s="32">
        <f>SUM(F37:Z37)</f>
        <v>384779.55576169281</v>
      </c>
      <c r="F37" s="21">
        <f>(C37*D37*8760)/1000</f>
        <v>20168.859056500001</v>
      </c>
      <c r="G37" s="21">
        <f>F37*'DY 22 &amp; DY 23 Assumptions'!$D$102</f>
        <v>20068.014761217502</v>
      </c>
      <c r="H37" s="21">
        <f>G37*'DY 22 &amp; DY 23 Assumptions'!$D$102</f>
        <v>19967.674687411414</v>
      </c>
      <c r="I37" s="21">
        <f>H37*'DY 22 &amp; DY 23 Assumptions'!$D$102</f>
        <v>19867.836313974356</v>
      </c>
      <c r="J37" s="21">
        <f>I37*'DY 22 &amp; DY 23 Assumptions'!$D$102</f>
        <v>19768.497132404485</v>
      </c>
      <c r="K37" s="21">
        <f>J37*'DY 22 &amp; DY 23 Assumptions'!$D$102</f>
        <v>19669.654646742463</v>
      </c>
      <c r="L37" s="21">
        <f>K37*'DY 22 &amp; DY 23 Assumptions'!$D$102</f>
        <v>19571.306373508753</v>
      </c>
      <c r="M37" s="21">
        <f>L37*'DY 22 &amp; DY 23 Assumptions'!$D$102</f>
        <v>19473.44984164121</v>
      </c>
      <c r="N37" s="21">
        <f>M37*'DY 22 &amp; DY 23 Assumptions'!$D$102</f>
        <v>19376.082592433002</v>
      </c>
      <c r="O37" s="21">
        <f>N37*'DY 22 &amp; DY 23 Assumptions'!$D$102</f>
        <v>19279.202179470838</v>
      </c>
      <c r="P37" s="21">
        <f>O37*'DY 22 &amp; DY 23 Assumptions'!$D$102</f>
        <v>19182.806168573483</v>
      </c>
      <c r="Q37" s="21">
        <f>P37*'DY 22 &amp; DY 23 Assumptions'!$D$102</f>
        <v>19086.892137730614</v>
      </c>
      <c r="R37" s="21">
        <f>Q37*'DY 22 &amp; DY 23 Assumptions'!$D$102</f>
        <v>18991.457677041963</v>
      </c>
      <c r="S37" s="21">
        <f>R37*'DY 22 &amp; DY 23 Assumptions'!$D$102</f>
        <v>18896.500388656754</v>
      </c>
      <c r="T37" s="21">
        <f>S37*'DY 22 &amp; DY 23 Assumptions'!$D$102</f>
        <v>18802.017886713471</v>
      </c>
      <c r="U37" s="21">
        <f>T37*'DY 22 &amp; DY 23 Assumptions'!$D$102</f>
        <v>18708.007797279904</v>
      </c>
      <c r="V37" s="21">
        <f>U37*'DY 22 &amp; DY 23 Assumptions'!$D$102</f>
        <v>18614.467758293504</v>
      </c>
      <c r="W37" s="21">
        <f>V37*'DY 22 &amp; DY 23 Assumptions'!$D$102</f>
        <v>18521.395419502038</v>
      </c>
      <c r="X37" s="21">
        <f>W37*'DY 22 &amp; DY 23 Assumptions'!$D$102</f>
        <v>18428.788442404526</v>
      </c>
      <c r="Y37" s="21">
        <f>X37*'DY 22 &amp; DY 23 Assumptions'!$D$102</f>
        <v>18336.644500192502</v>
      </c>
      <c r="Z37" s="22"/>
    </row>
    <row r="38" spans="2:26" x14ac:dyDescent="0.3">
      <c r="B38" s="9" t="s">
        <v>20</v>
      </c>
      <c r="C38" s="6">
        <f>'DY 22 &amp; DY 23 Assumptions'!E49</f>
        <v>6947.916666666667</v>
      </c>
      <c r="D38" s="11">
        <f>'DY 22 &amp; DY 23 Assumptions'!F49</f>
        <v>0.16907</v>
      </c>
      <c r="E38" s="32">
        <f>SUM(F38:Z38)</f>
        <v>196316.09987841465</v>
      </c>
      <c r="F38" s="21">
        <f>(C38*D38*8760)/1000</f>
        <v>10290.2342125</v>
      </c>
      <c r="G38" s="21">
        <f>F38*'DY 22 &amp; DY 23 Assumptions'!$D$102</f>
        <v>10238.7830414375</v>
      </c>
      <c r="H38" s="21">
        <f>G38*'DY 22 &amp; DY 23 Assumptions'!$D$102</f>
        <v>10187.589126230312</v>
      </c>
      <c r="I38" s="21">
        <f>H38*'DY 22 &amp; DY 23 Assumptions'!$D$102</f>
        <v>10136.651180599161</v>
      </c>
      <c r="J38" s="21">
        <f>I38*'DY 22 &amp; DY 23 Assumptions'!$D$102</f>
        <v>10085.967924696166</v>
      </c>
      <c r="K38" s="21">
        <f>J38*'DY 22 &amp; DY 23 Assumptions'!$D$102</f>
        <v>10035.538085072685</v>
      </c>
      <c r="L38" s="21">
        <f>K38*'DY 22 &amp; DY 23 Assumptions'!$D$102</f>
        <v>9985.3603946473213</v>
      </c>
      <c r="M38" s="21">
        <f>L38*'DY 22 &amp; DY 23 Assumptions'!$D$102</f>
        <v>9935.4335926740841</v>
      </c>
      <c r="N38" s="21">
        <f>M38*'DY 22 &amp; DY 23 Assumptions'!$D$102</f>
        <v>9885.756424710713</v>
      </c>
      <c r="O38" s="21">
        <f>N38*'DY 22 &amp; DY 23 Assumptions'!$D$102</f>
        <v>9836.3276425871591</v>
      </c>
      <c r="P38" s="21">
        <f>O38*'DY 22 &amp; DY 23 Assumptions'!$D$102</f>
        <v>9787.1460043742227</v>
      </c>
      <c r="Q38" s="21">
        <f>P38*'DY 22 &amp; DY 23 Assumptions'!$D$102</f>
        <v>9738.2102743523519</v>
      </c>
      <c r="R38" s="21">
        <f>Q38*'DY 22 &amp; DY 23 Assumptions'!$D$102</f>
        <v>9689.5192229805907</v>
      </c>
      <c r="S38" s="21">
        <f>R38*'DY 22 &amp; DY 23 Assumptions'!$D$102</f>
        <v>9641.071626865687</v>
      </c>
      <c r="T38" s="21">
        <f>S38*'DY 22 &amp; DY 23 Assumptions'!$D$102</f>
        <v>9592.866268731359</v>
      </c>
      <c r="U38" s="21">
        <f>T38*'DY 22 &amp; DY 23 Assumptions'!$D$102</f>
        <v>9544.9019373877018</v>
      </c>
      <c r="V38" s="21">
        <f>U38*'DY 22 &amp; DY 23 Assumptions'!$D$102</f>
        <v>9497.1774277007626</v>
      </c>
      <c r="W38" s="21">
        <f>V38*'DY 22 &amp; DY 23 Assumptions'!$D$102</f>
        <v>9449.6915405622585</v>
      </c>
      <c r="X38" s="21">
        <f>W38*'DY 22 &amp; DY 23 Assumptions'!$D$102</f>
        <v>9402.4430828594468</v>
      </c>
      <c r="Y38" s="21">
        <f>X38*'DY 22 &amp; DY 23 Assumptions'!$D$102</f>
        <v>9355.4308674451495</v>
      </c>
      <c r="Z38" s="22"/>
    </row>
    <row r="39" spans="2:26" x14ac:dyDescent="0.3">
      <c r="B39" s="9" t="s">
        <v>79</v>
      </c>
      <c r="C39" s="6">
        <f>'DY 22 &amp; DY 23 Assumptions'!E50</f>
        <v>0</v>
      </c>
      <c r="D39" s="11">
        <f>'DY 22 &amp; DY 23 Assumptions'!F50</f>
        <v>0.16907</v>
      </c>
      <c r="E39" s="32"/>
      <c r="F39" s="21"/>
      <c r="G39" s="21"/>
      <c r="H39" s="21"/>
      <c r="I39" s="21"/>
      <c r="J39" s="21"/>
      <c r="K39" s="21"/>
      <c r="L39" s="21"/>
      <c r="M39" s="21"/>
      <c r="N39" s="21"/>
      <c r="O39" s="21"/>
      <c r="P39" s="21"/>
      <c r="Q39" s="21"/>
      <c r="R39" s="21"/>
      <c r="S39" s="21"/>
      <c r="T39" s="21"/>
      <c r="U39" s="21"/>
      <c r="V39" s="21"/>
      <c r="W39" s="21"/>
      <c r="X39" s="21"/>
      <c r="Y39" s="21"/>
      <c r="Z39" s="22"/>
    </row>
    <row r="40" spans="2:26" x14ac:dyDescent="0.3">
      <c r="B40" s="1" t="s">
        <v>28</v>
      </c>
      <c r="C40" s="46">
        <f>'DY 22 &amp; DY 23 Assumptions'!E51</f>
        <v>70035</v>
      </c>
      <c r="D40" s="52"/>
      <c r="E40" s="32"/>
      <c r="F40" s="21"/>
      <c r="G40" s="21"/>
      <c r="H40" s="21"/>
      <c r="I40" s="21"/>
      <c r="J40" s="21"/>
      <c r="K40" s="21"/>
      <c r="L40" s="21"/>
      <c r="M40" s="21"/>
      <c r="N40" s="21"/>
      <c r="O40" s="21"/>
      <c r="P40" s="21"/>
      <c r="Q40" s="21"/>
      <c r="R40" s="21"/>
      <c r="S40" s="21"/>
      <c r="T40" s="21"/>
      <c r="U40" s="21"/>
      <c r="V40" s="21"/>
      <c r="W40" s="21"/>
      <c r="X40" s="21"/>
      <c r="Y40" s="21"/>
      <c r="Z40" s="22"/>
    </row>
    <row r="41" spans="2:26" x14ac:dyDescent="0.3">
      <c r="B41" s="9" t="s">
        <v>27</v>
      </c>
      <c r="C41" s="6">
        <f>'DY 22 &amp; DY 23 Assumptions'!E52</f>
        <v>3242.3611111111109</v>
      </c>
      <c r="D41" s="11">
        <f>'DY 22 &amp; DY 23 Assumptions'!F52</f>
        <v>0.16907</v>
      </c>
      <c r="E41" s="32">
        <f>SUM(F41:Z41)</f>
        <v>91614.179943260155</v>
      </c>
      <c r="F41" s="21">
        <f>(C41*D41*8760)/1000</f>
        <v>4802.1092991666665</v>
      </c>
      <c r="G41" s="21">
        <f>F41*'DY 22 &amp; DY 23 Assumptions'!$D$102</f>
        <v>4778.0987526708332</v>
      </c>
      <c r="H41" s="21">
        <f>G41*'DY 22 &amp; DY 23 Assumptions'!$D$102</f>
        <v>4754.2082589074789</v>
      </c>
      <c r="I41" s="21">
        <f>H41*'DY 22 &amp; DY 23 Assumptions'!$D$102</f>
        <v>4730.4372176129418</v>
      </c>
      <c r="J41" s="21">
        <f>I41*'DY 22 &amp; DY 23 Assumptions'!$D$102</f>
        <v>4706.785031524877</v>
      </c>
      <c r="K41" s="21">
        <f>J41*'DY 22 &amp; DY 23 Assumptions'!$D$102</f>
        <v>4683.2511063672528</v>
      </c>
      <c r="L41" s="21">
        <f>K41*'DY 22 &amp; DY 23 Assumptions'!$D$102</f>
        <v>4659.8348508354165</v>
      </c>
      <c r="M41" s="21">
        <f>L41*'DY 22 &amp; DY 23 Assumptions'!$D$102</f>
        <v>4636.5356765812394</v>
      </c>
      <c r="N41" s="21">
        <f>M41*'DY 22 &amp; DY 23 Assumptions'!$D$102</f>
        <v>4613.3529981983329</v>
      </c>
      <c r="O41" s="21">
        <f>N41*'DY 22 &amp; DY 23 Assumptions'!$D$102</f>
        <v>4590.286233207341</v>
      </c>
      <c r="P41" s="21">
        <f>O41*'DY 22 &amp; DY 23 Assumptions'!$D$102</f>
        <v>4567.3348020413041</v>
      </c>
      <c r="Q41" s="21">
        <f>P41*'DY 22 &amp; DY 23 Assumptions'!$D$102</f>
        <v>4544.4981280310976</v>
      </c>
      <c r="R41" s="21">
        <f>Q41*'DY 22 &amp; DY 23 Assumptions'!$D$102</f>
        <v>4521.7756373909424</v>
      </c>
      <c r="S41" s="21">
        <f>R41*'DY 22 &amp; DY 23 Assumptions'!$D$102</f>
        <v>4499.1667592039876</v>
      </c>
      <c r="T41" s="21">
        <f>S41*'DY 22 &amp; DY 23 Assumptions'!$D$102</f>
        <v>4476.6709254079678</v>
      </c>
      <c r="U41" s="21">
        <f>T41*'DY 22 &amp; DY 23 Assumptions'!$D$102</f>
        <v>4454.287570780928</v>
      </c>
      <c r="V41" s="21">
        <f>U41*'DY 22 &amp; DY 23 Assumptions'!$D$102</f>
        <v>4432.0161329270231</v>
      </c>
      <c r="W41" s="21">
        <f>V41*'DY 22 &amp; DY 23 Assumptions'!$D$102</f>
        <v>4409.8560522623884</v>
      </c>
      <c r="X41" s="21">
        <f>W41*'DY 22 &amp; DY 23 Assumptions'!$D$102</f>
        <v>4387.8067720010768</v>
      </c>
      <c r="Y41" s="21">
        <f>X41*'DY 22 &amp; DY 23 Assumptions'!$D$102</f>
        <v>4365.8677381410716</v>
      </c>
      <c r="Z41" s="22"/>
    </row>
    <row r="42" spans="2:26" x14ac:dyDescent="0.3">
      <c r="B42" s="9" t="s">
        <v>19</v>
      </c>
      <c r="C42" s="6">
        <f>'DY 22 &amp; DY 23 Assumptions'!E53</f>
        <v>3890.833333333333</v>
      </c>
      <c r="D42" s="11">
        <f>'DY 22 &amp; DY 23 Assumptions'!F53</f>
        <v>0.16907</v>
      </c>
      <c r="E42" s="32">
        <f>SUM(F42:Z42)</f>
        <v>109937.0159319122</v>
      </c>
      <c r="F42" s="21">
        <f>(C42*D42*8760)/1000</f>
        <v>5762.5311590000001</v>
      </c>
      <c r="G42" s="21">
        <f>F42*'DY 22 &amp; DY 23 Assumptions'!$D$102</f>
        <v>5733.7185032050002</v>
      </c>
      <c r="H42" s="21">
        <f>G42*'DY 22 &amp; DY 23 Assumptions'!$D$102</f>
        <v>5705.0499106889747</v>
      </c>
      <c r="I42" s="21">
        <f>H42*'DY 22 &amp; DY 23 Assumptions'!$D$102</f>
        <v>5676.5246611355296</v>
      </c>
      <c r="J42" s="21">
        <f>I42*'DY 22 &amp; DY 23 Assumptions'!$D$102</f>
        <v>5648.1420378298517</v>
      </c>
      <c r="K42" s="21">
        <f>J42*'DY 22 &amp; DY 23 Assumptions'!$D$102</f>
        <v>5619.9013276407022</v>
      </c>
      <c r="L42" s="21">
        <f>K42*'DY 22 &amp; DY 23 Assumptions'!$D$102</f>
        <v>5591.8018210024984</v>
      </c>
      <c r="M42" s="21">
        <f>L42*'DY 22 &amp; DY 23 Assumptions'!$D$102</f>
        <v>5563.8428118974862</v>
      </c>
      <c r="N42" s="21">
        <f>M42*'DY 22 &amp; DY 23 Assumptions'!$D$102</f>
        <v>5536.0235978379988</v>
      </c>
      <c r="O42" s="21">
        <f>N42*'DY 22 &amp; DY 23 Assumptions'!$D$102</f>
        <v>5508.3434798488088</v>
      </c>
      <c r="P42" s="21">
        <f>O42*'DY 22 &amp; DY 23 Assumptions'!$D$102</f>
        <v>5480.8017624495651</v>
      </c>
      <c r="Q42" s="21">
        <f>P42*'DY 22 &amp; DY 23 Assumptions'!$D$102</f>
        <v>5453.3977536373177</v>
      </c>
      <c r="R42" s="21">
        <f>Q42*'DY 22 &amp; DY 23 Assumptions'!$D$102</f>
        <v>5426.1307648691309</v>
      </c>
      <c r="S42" s="21">
        <f>R42*'DY 22 &amp; DY 23 Assumptions'!$D$102</f>
        <v>5399.0001110447856</v>
      </c>
      <c r="T42" s="21">
        <f>S42*'DY 22 &amp; DY 23 Assumptions'!$D$102</f>
        <v>5372.005110489562</v>
      </c>
      <c r="U42" s="21">
        <f>T42*'DY 22 &amp; DY 23 Assumptions'!$D$102</f>
        <v>5345.145084937114</v>
      </c>
      <c r="V42" s="21">
        <f>U42*'DY 22 &amp; DY 23 Assumptions'!$D$102</f>
        <v>5318.4193595124289</v>
      </c>
      <c r="W42" s="21">
        <f>V42*'DY 22 &amp; DY 23 Assumptions'!$D$102</f>
        <v>5291.8272627148663</v>
      </c>
      <c r="X42" s="21">
        <f>W42*'DY 22 &amp; DY 23 Assumptions'!$D$102</f>
        <v>5265.3681264012921</v>
      </c>
      <c r="Y42" s="21">
        <f>X42*'DY 22 &amp; DY 23 Assumptions'!$D$102</f>
        <v>5239.0412857692854</v>
      </c>
      <c r="Z42" s="22"/>
    </row>
    <row r="43" spans="2:26" x14ac:dyDescent="0.3">
      <c r="B43" s="9" t="s">
        <v>15</v>
      </c>
      <c r="C43" s="6">
        <f>'DY 22 &amp; DY 23 Assumptions'!E54</f>
        <v>14914.861111111111</v>
      </c>
      <c r="D43" s="11">
        <f>'DY 22 &amp; DY 23 Assumptions'!F54</f>
        <v>0.16907</v>
      </c>
      <c r="E43" s="32">
        <f>SUM(F43:Z43)</f>
        <v>421425.22773899679</v>
      </c>
      <c r="F43" s="21">
        <f>(C43*D43*8760)/1000</f>
        <v>22089.702776166665</v>
      </c>
      <c r="G43" s="21">
        <f>F43*'DY 22 &amp; DY 23 Assumptions'!$D$102</f>
        <v>21979.254262285831</v>
      </c>
      <c r="H43" s="21">
        <f>G43*'DY 22 &amp; DY 23 Assumptions'!$D$102</f>
        <v>21869.3579909744</v>
      </c>
      <c r="I43" s="21">
        <f>H43*'DY 22 &amp; DY 23 Assumptions'!$D$102</f>
        <v>21760.01120101953</v>
      </c>
      <c r="J43" s="21">
        <f>I43*'DY 22 &amp; DY 23 Assumptions'!$D$102</f>
        <v>21651.211145014433</v>
      </c>
      <c r="K43" s="21">
        <f>J43*'DY 22 &amp; DY 23 Assumptions'!$D$102</f>
        <v>21542.95508928936</v>
      </c>
      <c r="L43" s="21">
        <f>K43*'DY 22 &amp; DY 23 Assumptions'!$D$102</f>
        <v>21435.240313842914</v>
      </c>
      <c r="M43" s="21">
        <f>L43*'DY 22 &amp; DY 23 Assumptions'!$D$102</f>
        <v>21328.0641122737</v>
      </c>
      <c r="N43" s="21">
        <f>M43*'DY 22 &amp; DY 23 Assumptions'!$D$102</f>
        <v>21221.423791712332</v>
      </c>
      <c r="O43" s="21">
        <f>N43*'DY 22 &amp; DY 23 Assumptions'!$D$102</f>
        <v>21115.316672753772</v>
      </c>
      <c r="P43" s="21">
        <f>O43*'DY 22 &amp; DY 23 Assumptions'!$D$102</f>
        <v>21009.740089390001</v>
      </c>
      <c r="Q43" s="21">
        <f>P43*'DY 22 &amp; DY 23 Assumptions'!$D$102</f>
        <v>20904.691388943051</v>
      </c>
      <c r="R43" s="21">
        <f>Q43*'DY 22 &amp; DY 23 Assumptions'!$D$102</f>
        <v>20800.167931998334</v>
      </c>
      <c r="S43" s="21">
        <f>R43*'DY 22 &amp; DY 23 Assumptions'!$D$102</f>
        <v>20696.167092338343</v>
      </c>
      <c r="T43" s="21">
        <f>S43*'DY 22 &amp; DY 23 Assumptions'!$D$102</f>
        <v>20592.686256876652</v>
      </c>
      <c r="U43" s="21">
        <f>T43*'DY 22 &amp; DY 23 Assumptions'!$D$102</f>
        <v>20489.722825592267</v>
      </c>
      <c r="V43" s="21">
        <f>U43*'DY 22 &amp; DY 23 Assumptions'!$D$102</f>
        <v>20387.274211464304</v>
      </c>
      <c r="W43" s="21">
        <f>V43*'DY 22 &amp; DY 23 Assumptions'!$D$102</f>
        <v>20285.337840406981</v>
      </c>
      <c r="X43" s="21">
        <f>W43*'DY 22 &amp; DY 23 Assumptions'!$D$102</f>
        <v>20183.911151204946</v>
      </c>
      <c r="Y43" s="21">
        <f>X43*'DY 22 &amp; DY 23 Assumptions'!$D$102</f>
        <v>20082.991595448922</v>
      </c>
      <c r="Z43" s="22"/>
    </row>
    <row r="44" spans="2:26" x14ac:dyDescent="0.3">
      <c r="B44" s="9" t="s">
        <v>16</v>
      </c>
      <c r="C44" s="6">
        <f>'DY 22 &amp; DY 23 Assumptions'!E55</f>
        <v>31775.138888888891</v>
      </c>
      <c r="D44" s="11">
        <f>'DY 22 &amp; DY 23 Assumptions'!F55</f>
        <v>0.16907</v>
      </c>
      <c r="E44" s="32">
        <f>SUM(F44:Z44)</f>
        <v>897818.96344394982</v>
      </c>
      <c r="F44" s="21">
        <f>(C44*D44*8760)/1000</f>
        <v>47060.67113183334</v>
      </c>
      <c r="G44" s="21">
        <f>F44*'DY 22 &amp; DY 23 Assumptions'!$D$102</f>
        <v>46825.367776174171</v>
      </c>
      <c r="H44" s="21">
        <f>G44*'DY 22 &amp; DY 23 Assumptions'!$D$102</f>
        <v>46591.240937293303</v>
      </c>
      <c r="I44" s="21">
        <f>H44*'DY 22 &amp; DY 23 Assumptions'!$D$102</f>
        <v>46358.284732606837</v>
      </c>
      <c r="J44" s="21">
        <f>I44*'DY 22 &amp; DY 23 Assumptions'!$D$102</f>
        <v>46126.493308943805</v>
      </c>
      <c r="K44" s="21">
        <f>J44*'DY 22 &amp; DY 23 Assumptions'!$D$102</f>
        <v>45895.860842399088</v>
      </c>
      <c r="L44" s="21">
        <f>K44*'DY 22 &amp; DY 23 Assumptions'!$D$102</f>
        <v>45666.381538187095</v>
      </c>
      <c r="M44" s="21">
        <f>L44*'DY 22 &amp; DY 23 Assumptions'!$D$102</f>
        <v>45438.049630496156</v>
      </c>
      <c r="N44" s="21">
        <f>M44*'DY 22 &amp; DY 23 Assumptions'!$D$102</f>
        <v>45210.859382343675</v>
      </c>
      <c r="O44" s="21">
        <f>N44*'DY 22 &amp; DY 23 Assumptions'!$D$102</f>
        <v>44984.805085431959</v>
      </c>
      <c r="P44" s="21">
        <f>O44*'DY 22 &amp; DY 23 Assumptions'!$D$102</f>
        <v>44759.881060004802</v>
      </c>
      <c r="Q44" s="21">
        <f>P44*'DY 22 &amp; DY 23 Assumptions'!$D$102</f>
        <v>44536.08165470478</v>
      </c>
      <c r="R44" s="21">
        <f>Q44*'DY 22 &amp; DY 23 Assumptions'!$D$102</f>
        <v>44313.401246431255</v>
      </c>
      <c r="S44" s="21">
        <f>R44*'DY 22 &amp; DY 23 Assumptions'!$D$102</f>
        <v>44091.834240199096</v>
      </c>
      <c r="T44" s="21">
        <f>S44*'DY 22 &amp; DY 23 Assumptions'!$D$102</f>
        <v>43871.375068998103</v>
      </c>
      <c r="U44" s="21">
        <f>T44*'DY 22 &amp; DY 23 Assumptions'!$D$102</f>
        <v>43652.018193653115</v>
      </c>
      <c r="V44" s="21">
        <f>U44*'DY 22 &amp; DY 23 Assumptions'!$D$102</f>
        <v>43433.758102684849</v>
      </c>
      <c r="W44" s="21">
        <f>V44*'DY 22 &amp; DY 23 Assumptions'!$D$102</f>
        <v>43216.589312171425</v>
      </c>
      <c r="X44" s="21">
        <f>W44*'DY 22 &amp; DY 23 Assumptions'!$D$102</f>
        <v>43000.50636561057</v>
      </c>
      <c r="Y44" s="21">
        <f>X44*'DY 22 &amp; DY 23 Assumptions'!$D$102</f>
        <v>42785.503833782517</v>
      </c>
      <c r="Z44" s="22"/>
    </row>
    <row r="45" spans="2:26" x14ac:dyDescent="0.3">
      <c r="B45" s="9" t="s">
        <v>20</v>
      </c>
      <c r="C45" s="6">
        <f>'DY 22 &amp; DY 23 Assumptions'!E56</f>
        <v>16211.805555555555</v>
      </c>
      <c r="D45" s="11">
        <f>'DY 22 &amp; DY 23 Assumptions'!F56</f>
        <v>0.16907</v>
      </c>
      <c r="E45" s="32">
        <f>SUM(F45:Z45)</f>
        <v>458070.89971630083</v>
      </c>
      <c r="F45" s="21">
        <f>(C45*D45*8760)/1000</f>
        <v>24010.546495833332</v>
      </c>
      <c r="G45" s="21">
        <f>F45*'DY 22 &amp; DY 23 Assumptions'!$D$102</f>
        <v>23890.493763354167</v>
      </c>
      <c r="H45" s="21">
        <f>G45*'DY 22 &amp; DY 23 Assumptions'!$D$102</f>
        <v>23771.041294537397</v>
      </c>
      <c r="I45" s="21">
        <f>H45*'DY 22 &amp; DY 23 Assumptions'!$D$102</f>
        <v>23652.186088064711</v>
      </c>
      <c r="J45" s="21">
        <f>I45*'DY 22 &amp; DY 23 Assumptions'!$D$102</f>
        <v>23533.925157624388</v>
      </c>
      <c r="K45" s="21">
        <f>J45*'DY 22 &amp; DY 23 Assumptions'!$D$102</f>
        <v>23416.255531836265</v>
      </c>
      <c r="L45" s="21">
        <f>K45*'DY 22 &amp; DY 23 Assumptions'!$D$102</f>
        <v>23299.174254177084</v>
      </c>
      <c r="M45" s="21">
        <f>L45*'DY 22 &amp; DY 23 Assumptions'!$D$102</f>
        <v>23182.678382906197</v>
      </c>
      <c r="N45" s="21">
        <f>M45*'DY 22 &amp; DY 23 Assumptions'!$D$102</f>
        <v>23066.764990991665</v>
      </c>
      <c r="O45" s="21">
        <f>N45*'DY 22 &amp; DY 23 Assumptions'!$D$102</f>
        <v>22951.431166036706</v>
      </c>
      <c r="P45" s="21">
        <f>O45*'DY 22 &amp; DY 23 Assumptions'!$D$102</f>
        <v>22836.674010206523</v>
      </c>
      <c r="Q45" s="21">
        <f>P45*'DY 22 &amp; DY 23 Assumptions'!$D$102</f>
        <v>22722.490640155491</v>
      </c>
      <c r="R45" s="21">
        <f>Q45*'DY 22 &amp; DY 23 Assumptions'!$D$102</f>
        <v>22608.878186954713</v>
      </c>
      <c r="S45" s="21">
        <f>R45*'DY 22 &amp; DY 23 Assumptions'!$D$102</f>
        <v>22495.833796019939</v>
      </c>
      <c r="T45" s="21">
        <f>S45*'DY 22 &amp; DY 23 Assumptions'!$D$102</f>
        <v>22383.35462703984</v>
      </c>
      <c r="U45" s="21">
        <f>T45*'DY 22 &amp; DY 23 Assumptions'!$D$102</f>
        <v>22271.437853904641</v>
      </c>
      <c r="V45" s="21">
        <f>U45*'DY 22 &amp; DY 23 Assumptions'!$D$102</f>
        <v>22160.080664635119</v>
      </c>
      <c r="W45" s="21">
        <f>V45*'DY 22 &amp; DY 23 Assumptions'!$D$102</f>
        <v>22049.280261311942</v>
      </c>
      <c r="X45" s="21">
        <f>W45*'DY 22 &amp; DY 23 Assumptions'!$D$102</f>
        <v>21939.033860005384</v>
      </c>
      <c r="Y45" s="21">
        <f>X45*'DY 22 &amp; DY 23 Assumptions'!$D$102</f>
        <v>21829.338690705357</v>
      </c>
      <c r="Z45" s="22"/>
    </row>
    <row r="46" spans="2:26" x14ac:dyDescent="0.3">
      <c r="B46" s="9" t="s">
        <v>79</v>
      </c>
      <c r="C46" s="6">
        <f>'DY 22 &amp; DY 23 Assumptions'!E57</f>
        <v>0</v>
      </c>
      <c r="D46" s="11">
        <f>'DY 22 &amp; DY 23 Assumptions'!F57</f>
        <v>0.16907</v>
      </c>
      <c r="E46" s="32"/>
      <c r="F46" s="21"/>
      <c r="G46" s="21"/>
      <c r="H46" s="21"/>
      <c r="I46" s="21"/>
      <c r="J46" s="21"/>
      <c r="K46" s="21"/>
      <c r="L46" s="21"/>
      <c r="M46" s="21"/>
      <c r="N46" s="21"/>
      <c r="O46" s="21"/>
      <c r="P46" s="21"/>
      <c r="Q46" s="21"/>
      <c r="R46" s="21"/>
      <c r="S46" s="21"/>
      <c r="T46" s="21"/>
      <c r="U46" s="21"/>
      <c r="V46" s="21"/>
      <c r="W46" s="21"/>
      <c r="X46" s="21"/>
      <c r="Y46" s="21"/>
      <c r="Z46" s="22"/>
    </row>
    <row r="47" spans="2:26" x14ac:dyDescent="0.3">
      <c r="B47" s="5" t="s">
        <v>29</v>
      </c>
      <c r="C47" s="6">
        <f>'DY 22 &amp; DY 23 Assumptions'!E58</f>
        <v>33350</v>
      </c>
      <c r="D47" s="118"/>
      <c r="E47" s="31"/>
      <c r="F47" s="23">
        <f t="shared" ref="F47:Y47" si="6">SUM(F48:F49)</f>
        <v>0</v>
      </c>
      <c r="G47" s="23">
        <f t="shared" si="6"/>
        <v>49393.124220000005</v>
      </c>
      <c r="H47" s="23">
        <f t="shared" si="6"/>
        <v>49146.158598900001</v>
      </c>
      <c r="I47" s="23">
        <f t="shared" si="6"/>
        <v>48900.4278059055</v>
      </c>
      <c r="J47" s="23">
        <f t="shared" si="6"/>
        <v>48655.92566687597</v>
      </c>
      <c r="K47" s="23">
        <f t="shared" si="6"/>
        <v>48412.646038541592</v>
      </c>
      <c r="L47" s="23">
        <f t="shared" si="6"/>
        <v>48170.582808348889</v>
      </c>
      <c r="M47" s="23">
        <f t="shared" si="6"/>
        <v>47929.729894307144</v>
      </c>
      <c r="N47" s="23">
        <f t="shared" si="6"/>
        <v>47690.081244835608</v>
      </c>
      <c r="O47" s="23">
        <f t="shared" si="6"/>
        <v>47451.630838611432</v>
      </c>
      <c r="P47" s="23">
        <f t="shared" si="6"/>
        <v>47214.372684418369</v>
      </c>
      <c r="Q47" s="23">
        <f t="shared" si="6"/>
        <v>46978.300820996279</v>
      </c>
      <c r="R47" s="23">
        <f t="shared" si="6"/>
        <v>46743.409316891295</v>
      </c>
      <c r="S47" s="23">
        <f t="shared" si="6"/>
        <v>46509.692270306841</v>
      </c>
      <c r="T47" s="23">
        <f t="shared" si="6"/>
        <v>46277.143808955305</v>
      </c>
      <c r="U47" s="23">
        <f t="shared" si="6"/>
        <v>46045.758089910531</v>
      </c>
      <c r="V47" s="23">
        <f t="shared" si="6"/>
        <v>0</v>
      </c>
      <c r="W47" s="23">
        <f t="shared" si="6"/>
        <v>0</v>
      </c>
      <c r="X47" s="23">
        <f t="shared" si="6"/>
        <v>0</v>
      </c>
      <c r="Y47" s="23">
        <f t="shared" si="6"/>
        <v>0</v>
      </c>
      <c r="Z47" s="1"/>
    </row>
    <row r="48" spans="2:26" x14ac:dyDescent="0.3">
      <c r="B48" s="1" t="s">
        <v>30</v>
      </c>
      <c r="C48" s="46">
        <f>'DY 22 &amp; DY 23 Assumptions'!E59</f>
        <v>10005</v>
      </c>
      <c r="D48" s="52">
        <f>'DY 22 &amp; DY 23 Assumptions'!F59</f>
        <v>0.16907</v>
      </c>
      <c r="E48" s="32">
        <f>SUM(F48:Z48)</f>
        <v>214655.69523234139</v>
      </c>
      <c r="F48" s="21"/>
      <c r="G48" s="21">
        <f>(C48*D48*8760)/1000</f>
        <v>14817.937265999999</v>
      </c>
      <c r="H48" s="21">
        <f>G48*'Reopening Assumptions'!$A$121</f>
        <v>14743.847579669999</v>
      </c>
      <c r="I48" s="21">
        <f>H48*'Reopening Assumptions'!$A$121</f>
        <v>14670.128341771648</v>
      </c>
      <c r="J48" s="21">
        <f>I48*'Reopening Assumptions'!$A$121</f>
        <v>14596.77770006279</v>
      </c>
      <c r="K48" s="21">
        <f>J48*'Reopening Assumptions'!$A$121</f>
        <v>14523.793811562477</v>
      </c>
      <c r="L48" s="21">
        <f>K48*'Reopening Assumptions'!$A$121</f>
        <v>14451.174842504664</v>
      </c>
      <c r="M48" s="21">
        <f>L48*'Reopening Assumptions'!$A$121</f>
        <v>14378.918968292141</v>
      </c>
      <c r="N48" s="21">
        <f>M48*'Reopening Assumptions'!$A$121</f>
        <v>14307.02437345068</v>
      </c>
      <c r="O48" s="21">
        <f>N48*'Reopening Assumptions'!$A$121</f>
        <v>14235.489251583427</v>
      </c>
      <c r="P48" s="21">
        <f>O48*'Reopening Assumptions'!$A$121</f>
        <v>14164.311805325509</v>
      </c>
      <c r="Q48" s="21">
        <f>P48*'Reopening Assumptions'!$A$121</f>
        <v>14093.490246298881</v>
      </c>
      <c r="R48" s="21">
        <f>Q48*'Reopening Assumptions'!$A$121</f>
        <v>14023.022795067387</v>
      </c>
      <c r="S48" s="21">
        <f>R48*'Reopening Assumptions'!$A$121</f>
        <v>13952.907681092051</v>
      </c>
      <c r="T48" s="21">
        <f>S48*'Reopening Assumptions'!$A$121</f>
        <v>13883.143142686591</v>
      </c>
      <c r="U48" s="21">
        <f>T48*'Reopening Assumptions'!$A$121</f>
        <v>13813.727426973159</v>
      </c>
      <c r="V48" s="12"/>
      <c r="W48" s="12"/>
      <c r="X48" s="12"/>
      <c r="Y48" s="12"/>
      <c r="Z48" s="12"/>
    </row>
    <row r="49" spans="2:26" x14ac:dyDescent="0.3">
      <c r="B49" s="1" t="s">
        <v>32</v>
      </c>
      <c r="C49" s="46">
        <f>'DY 22 &amp; DY 23 Assumptions'!E67</f>
        <v>23345</v>
      </c>
      <c r="D49" s="52">
        <f>'DY 22 &amp; DY 23 Assumptions'!F67</f>
        <v>0.16907</v>
      </c>
      <c r="E49" s="32">
        <f>SUM(F49:Z49)</f>
        <v>500863.28887546324</v>
      </c>
      <c r="F49" s="21"/>
      <c r="G49" s="21">
        <f>(C49*D49*8760)/1000</f>
        <v>34575.186954000004</v>
      </c>
      <c r="H49" s="21">
        <f>G49*'Reopening Assumptions'!$A$121</f>
        <v>34402.311019230001</v>
      </c>
      <c r="I49" s="21">
        <f>H49*'Reopening Assumptions'!$A$121</f>
        <v>34230.299464133852</v>
      </c>
      <c r="J49" s="21">
        <f>I49*'Reopening Assumptions'!$A$121</f>
        <v>34059.14796681318</v>
      </c>
      <c r="K49" s="21">
        <f>J49*'Reopening Assumptions'!$A$121</f>
        <v>33888.852226979114</v>
      </c>
      <c r="L49" s="21">
        <f>K49*'Reopening Assumptions'!$A$121</f>
        <v>33719.407965844221</v>
      </c>
      <c r="M49" s="21">
        <f>L49*'Reopening Assumptions'!$A$121</f>
        <v>33550.810926015001</v>
      </c>
      <c r="N49" s="21">
        <f>M49*'Reopening Assumptions'!$A$121</f>
        <v>33383.056871384928</v>
      </c>
      <c r="O49" s="21">
        <f>N49*'Reopening Assumptions'!$A$121</f>
        <v>33216.141587028003</v>
      </c>
      <c r="P49" s="21">
        <f>O49*'Reopening Assumptions'!$A$121</f>
        <v>33050.06087909286</v>
      </c>
      <c r="Q49" s="21">
        <f>P49*'Reopening Assumptions'!$A$121</f>
        <v>32884.810574697396</v>
      </c>
      <c r="R49" s="21">
        <f>Q49*'Reopening Assumptions'!$A$121</f>
        <v>32720.386521823908</v>
      </c>
      <c r="S49" s="21">
        <f>R49*'Reopening Assumptions'!$A$121</f>
        <v>32556.784589214789</v>
      </c>
      <c r="T49" s="21">
        <f>S49*'Reopening Assumptions'!$A$121</f>
        <v>32394.000666268716</v>
      </c>
      <c r="U49" s="21">
        <f>T49*'Reopening Assumptions'!$A$121</f>
        <v>32232.030662937374</v>
      </c>
      <c r="V49" s="12"/>
      <c r="W49" s="12"/>
      <c r="X49" s="12"/>
      <c r="Y49" s="12"/>
      <c r="Z49" s="12"/>
    </row>
    <row r="50" spans="2:26" x14ac:dyDescent="0.3">
      <c r="B50" s="13" t="s">
        <v>33</v>
      </c>
      <c r="C50" s="6">
        <f>'DY 22 &amp; DY 23 Assumptions'!E75</f>
        <v>66700</v>
      </c>
      <c r="D50" s="118"/>
      <c r="E50" s="31"/>
      <c r="F50" s="23">
        <f t="shared" ref="F50:Z50" si="7">SUM(F51:F61)</f>
        <v>86301.29985067404</v>
      </c>
      <c r="G50" s="23">
        <f t="shared" si="7"/>
        <v>85869.793351420667</v>
      </c>
      <c r="H50" s="23">
        <f t="shared" si="7"/>
        <v>85440.44438466357</v>
      </c>
      <c r="I50" s="23">
        <f t="shared" si="7"/>
        <v>85013.242162740251</v>
      </c>
      <c r="J50" s="23">
        <f t="shared" si="7"/>
        <v>84588.175951926562</v>
      </c>
      <c r="K50" s="23">
        <f t="shared" si="7"/>
        <v>84165.235072166921</v>
      </c>
      <c r="L50" s="23">
        <f t="shared" si="7"/>
        <v>83744.408896806068</v>
      </c>
      <c r="M50" s="23">
        <f t="shared" si="7"/>
        <v>83325.686852322047</v>
      </c>
      <c r="N50" s="23">
        <f t="shared" si="7"/>
        <v>82909.058418060435</v>
      </c>
      <c r="O50" s="23">
        <f t="shared" si="7"/>
        <v>82494.51312597013</v>
      </c>
      <c r="P50" s="23">
        <f t="shared" si="7"/>
        <v>82082.040560340276</v>
      </c>
      <c r="Q50" s="23">
        <f t="shared" si="7"/>
        <v>81671.630357538583</v>
      </c>
      <c r="R50" s="23">
        <f t="shared" si="7"/>
        <v>81263.272205750894</v>
      </c>
      <c r="S50" s="23">
        <f t="shared" si="7"/>
        <v>80856.955844722121</v>
      </c>
      <c r="T50" s="23">
        <f t="shared" si="7"/>
        <v>80452.671065498522</v>
      </c>
      <c r="U50" s="23">
        <f t="shared" si="7"/>
        <v>0</v>
      </c>
      <c r="V50" s="23">
        <f t="shared" si="7"/>
        <v>0</v>
      </c>
      <c r="W50" s="23">
        <f t="shared" si="7"/>
        <v>0</v>
      </c>
      <c r="X50" s="23">
        <f t="shared" si="7"/>
        <v>0</v>
      </c>
      <c r="Y50" s="23">
        <f t="shared" si="7"/>
        <v>0</v>
      </c>
      <c r="Z50" s="23">
        <f t="shared" si="7"/>
        <v>0</v>
      </c>
    </row>
    <row r="51" spans="2:26" x14ac:dyDescent="0.3">
      <c r="B51" s="1" t="s">
        <v>34</v>
      </c>
      <c r="C51" s="46">
        <f>'DY 22 &amp; DY 23 Assumptions'!E76</f>
        <v>20010</v>
      </c>
      <c r="D51" s="52"/>
      <c r="E51" s="31"/>
      <c r="F51" s="20"/>
      <c r="G51" s="20"/>
      <c r="H51" s="20"/>
      <c r="I51" s="20"/>
      <c r="J51" s="20"/>
      <c r="K51" s="20"/>
      <c r="L51" s="20"/>
      <c r="M51" s="20"/>
      <c r="N51" s="20"/>
      <c r="O51" s="20"/>
      <c r="P51" s="20"/>
      <c r="Q51" s="20"/>
      <c r="R51" s="20"/>
      <c r="S51" s="20"/>
      <c r="T51" s="20"/>
      <c r="U51" s="1"/>
      <c r="V51" s="1"/>
      <c r="W51" s="1"/>
      <c r="X51" s="1"/>
      <c r="Y51" s="1"/>
      <c r="Z51" s="1"/>
    </row>
    <row r="52" spans="2:26" x14ac:dyDescent="0.3">
      <c r="B52" s="9" t="s">
        <v>14</v>
      </c>
      <c r="C52" s="6">
        <f>'DY 22 &amp; DY 23 Assumptions'!E77</f>
        <v>1652.623060213976</v>
      </c>
      <c r="D52" s="11">
        <f>'DY 22 &amp; DY 23 Assumptions'!F77</f>
        <v>0.15196999999999999</v>
      </c>
      <c r="E52" s="32">
        <f>SUM(F52:Z52)</f>
        <v>31870.614847790293</v>
      </c>
      <c r="F52" s="21">
        <f>(C52*D52*8760)/1000</f>
        <v>2200.0663477958888</v>
      </c>
      <c r="G52" s="21">
        <f>F52*'DY 22 &amp; DY 23 Assumptions'!$D$102</f>
        <v>2189.0660160569091</v>
      </c>
      <c r="H52" s="21">
        <f>G52*'DY 22 &amp; DY 23 Assumptions'!$D$102</f>
        <v>2178.1206859766244</v>
      </c>
      <c r="I52" s="21">
        <f>H52*'DY 22 &amp; DY 23 Assumptions'!$D$102</f>
        <v>2167.2300825467414</v>
      </c>
      <c r="J52" s="21">
        <f>I52*'DY 22 &amp; DY 23 Assumptions'!$D$102</f>
        <v>2156.3939321340076</v>
      </c>
      <c r="K52" s="21">
        <f>J52*'DY 22 &amp; DY 23 Assumptions'!$D$102</f>
        <v>2145.6119624733374</v>
      </c>
      <c r="L52" s="21">
        <f>K52*'DY 22 &amp; DY 23 Assumptions'!$D$102</f>
        <v>2134.8839026609708</v>
      </c>
      <c r="M52" s="21">
        <f>L52*'DY 22 &amp; DY 23 Assumptions'!$D$102</f>
        <v>2124.2094831476661</v>
      </c>
      <c r="N52" s="21">
        <f>M52*'DY 22 &amp; DY 23 Assumptions'!$D$102</f>
        <v>2113.5884357319278</v>
      </c>
      <c r="O52" s="21">
        <f>N52*'DY 22 &amp; DY 23 Assumptions'!$D$102</f>
        <v>2103.0204935532684</v>
      </c>
      <c r="P52" s="21">
        <f>O52*'DY 22 &amp; DY 23 Assumptions'!$D$102</f>
        <v>2092.5053910855022</v>
      </c>
      <c r="Q52" s="21">
        <f>P52*'DY 22 &amp; DY 23 Assumptions'!$D$102</f>
        <v>2082.0428641300746</v>
      </c>
      <c r="R52" s="21">
        <f>Q52*'DY 22 &amp; DY 23 Assumptions'!$D$102</f>
        <v>2071.632649809424</v>
      </c>
      <c r="S52" s="21">
        <f>R52*'DY 22 &amp; DY 23 Assumptions'!$D$102</f>
        <v>2061.2744865603768</v>
      </c>
      <c r="T52" s="21">
        <f>S52*'DY 22 &amp; DY 23 Assumptions'!$D$102</f>
        <v>2050.9681141275751</v>
      </c>
      <c r="U52" s="12"/>
      <c r="V52" s="12"/>
      <c r="W52" s="12"/>
      <c r="X52" s="12"/>
      <c r="Y52" s="12"/>
      <c r="Z52" s="12"/>
    </row>
    <row r="53" spans="2:26" x14ac:dyDescent="0.3">
      <c r="B53" s="9" t="s">
        <v>15</v>
      </c>
      <c r="C53" s="6">
        <f>'DY 22 &amp; DY 23 Assumptions'!E78</f>
        <v>1276.5725132428743</v>
      </c>
      <c r="D53" s="11">
        <f>'DY 22 &amp; DY 23 Assumptions'!F78</f>
        <v>0.14819000000000002</v>
      </c>
      <c r="E53" s="32">
        <f>SUM(F53:Z53)</f>
        <v>24006.18547263493</v>
      </c>
      <c r="F53" s="21">
        <f>(C53*D53*8760)/1000</f>
        <v>1657.1754592601631</v>
      </c>
      <c r="G53" s="21">
        <f>F53*'DY 22 &amp; DY 23 Assumptions'!$D$102</f>
        <v>1648.8895819638622</v>
      </c>
      <c r="H53" s="21">
        <f>G53*'DY 22 &amp; DY 23 Assumptions'!$D$102</f>
        <v>1640.6451340540427</v>
      </c>
      <c r="I53" s="21">
        <f>H53*'DY 22 &amp; DY 23 Assumptions'!$D$102</f>
        <v>1632.4419083837724</v>
      </c>
      <c r="J53" s="21">
        <f>I53*'DY 22 &amp; DY 23 Assumptions'!$D$102</f>
        <v>1624.2796988418536</v>
      </c>
      <c r="K53" s="21">
        <f>J53*'DY 22 &amp; DY 23 Assumptions'!$D$102</f>
        <v>1616.1583003476444</v>
      </c>
      <c r="L53" s="21">
        <f>K53*'DY 22 &amp; DY 23 Assumptions'!$D$102</f>
        <v>1608.0775088459061</v>
      </c>
      <c r="M53" s="21">
        <f>L53*'DY 22 &amp; DY 23 Assumptions'!$D$102</f>
        <v>1600.0371213016765</v>
      </c>
      <c r="N53" s="21">
        <f>M53*'DY 22 &amp; DY 23 Assumptions'!$D$102</f>
        <v>1592.036935695168</v>
      </c>
      <c r="O53" s="21">
        <f>N53*'DY 22 &amp; DY 23 Assumptions'!$D$102</f>
        <v>1584.0767510166922</v>
      </c>
      <c r="P53" s="21">
        <f>O53*'DY 22 &amp; DY 23 Assumptions'!$D$102</f>
        <v>1576.1563672616087</v>
      </c>
      <c r="Q53" s="21">
        <f>P53*'DY 22 &amp; DY 23 Assumptions'!$D$102</f>
        <v>1568.2755854253007</v>
      </c>
      <c r="R53" s="21">
        <f>Q53*'DY 22 &amp; DY 23 Assumptions'!$D$102</f>
        <v>1560.4342074981741</v>
      </c>
      <c r="S53" s="21">
        <f>R53*'DY 22 &amp; DY 23 Assumptions'!$D$102</f>
        <v>1552.6320364606834</v>
      </c>
      <c r="T53" s="21">
        <f>S53*'DY 22 &amp; DY 23 Assumptions'!$D$102</f>
        <v>1544.86887627838</v>
      </c>
      <c r="U53" s="12"/>
      <c r="V53" s="12"/>
      <c r="W53" s="12"/>
      <c r="X53" s="12"/>
      <c r="Y53" s="12"/>
      <c r="Z53" s="12"/>
    </row>
    <row r="54" spans="2:26" x14ac:dyDescent="0.3">
      <c r="B54" s="9" t="s">
        <v>16</v>
      </c>
      <c r="C54" s="6">
        <f>'DY 22 &amp; DY 23 Assumptions'!E79</f>
        <v>2963.3272737190309</v>
      </c>
      <c r="D54" s="11">
        <f>'DY 22 &amp; DY 23 Assumptions'!F79</f>
        <v>0.15303</v>
      </c>
      <c r="E54" s="32">
        <f>SUM(F54:Z54)</f>
        <v>57545.976820470823</v>
      </c>
      <c r="F54" s="21">
        <f>(C54*D54*8760)/1000</f>
        <v>3972.4670408276761</v>
      </c>
      <c r="G54" s="21">
        <f>F54*'DY 22 &amp; DY 23 Assumptions'!$D$102</f>
        <v>3952.6047056235375</v>
      </c>
      <c r="H54" s="21">
        <f>G54*'DY 22 &amp; DY 23 Assumptions'!$D$102</f>
        <v>3932.8416820954199</v>
      </c>
      <c r="I54" s="21">
        <f>H54*'DY 22 &amp; DY 23 Assumptions'!$D$102</f>
        <v>3913.1774736849429</v>
      </c>
      <c r="J54" s="21">
        <f>I54*'DY 22 &amp; DY 23 Assumptions'!$D$102</f>
        <v>3893.6115863165182</v>
      </c>
      <c r="K54" s="21">
        <f>J54*'DY 22 &amp; DY 23 Assumptions'!$D$102</f>
        <v>3874.1435283849355</v>
      </c>
      <c r="L54" s="21">
        <f>K54*'DY 22 &amp; DY 23 Assumptions'!$D$102</f>
        <v>3854.7728107430107</v>
      </c>
      <c r="M54" s="21">
        <f>L54*'DY 22 &amp; DY 23 Assumptions'!$D$102</f>
        <v>3835.4989466892957</v>
      </c>
      <c r="N54" s="21">
        <f>M54*'DY 22 &amp; DY 23 Assumptions'!$D$102</f>
        <v>3816.3214519558492</v>
      </c>
      <c r="O54" s="21">
        <f>N54*'DY 22 &amp; DY 23 Assumptions'!$D$102</f>
        <v>3797.2398446960701</v>
      </c>
      <c r="P54" s="21">
        <f>O54*'DY 22 &amp; DY 23 Assumptions'!$D$102</f>
        <v>3778.2536454725896</v>
      </c>
      <c r="Q54" s="21">
        <f>P54*'DY 22 &amp; DY 23 Assumptions'!$D$102</f>
        <v>3759.3623772452265</v>
      </c>
      <c r="R54" s="21">
        <f>Q54*'DY 22 &amp; DY 23 Assumptions'!$D$102</f>
        <v>3740.5655653590002</v>
      </c>
      <c r="S54" s="21">
        <f>R54*'DY 22 &amp; DY 23 Assumptions'!$D$102</f>
        <v>3721.8627375322053</v>
      </c>
      <c r="T54" s="21">
        <f>S54*'DY 22 &amp; DY 23 Assumptions'!$D$102</f>
        <v>3703.2534238445442</v>
      </c>
      <c r="U54" s="12"/>
      <c r="V54" s="12"/>
      <c r="W54" s="12"/>
      <c r="X54" s="12"/>
      <c r="Y54" s="12"/>
      <c r="Z54" s="12"/>
    </row>
    <row r="55" spans="2:26" x14ac:dyDescent="0.3">
      <c r="B55" s="9" t="s">
        <v>20</v>
      </c>
      <c r="C55" s="6">
        <f>'DY 22 &amp; DY 23 Assumptions'!E80</f>
        <v>14117.436349835161</v>
      </c>
      <c r="D55" s="11">
        <f>'DY 22 &amp; DY 23 Assumptions'!F80</f>
        <v>0.14410999999999999</v>
      </c>
      <c r="E55" s="32">
        <f>SUM(F55:Z55)</f>
        <v>258171.75471588684</v>
      </c>
      <c r="F55" s="21">
        <f>(C55*D55*8760)/1000</f>
        <v>17821.902470802765</v>
      </c>
      <c r="G55" s="21">
        <f>F55*'DY 22 &amp; DY 23 Assumptions'!$D$102</f>
        <v>17732.79295844875</v>
      </c>
      <c r="H55" s="21">
        <f>G55*'DY 22 &amp; DY 23 Assumptions'!$D$102</f>
        <v>17644.128993656508</v>
      </c>
      <c r="I55" s="21">
        <f>H55*'DY 22 &amp; DY 23 Assumptions'!$D$102</f>
        <v>17555.908348688226</v>
      </c>
      <c r="J55" s="21">
        <f>I55*'DY 22 &amp; DY 23 Assumptions'!$D$102</f>
        <v>17468.128806944784</v>
      </c>
      <c r="K55" s="21">
        <f>J55*'DY 22 &amp; DY 23 Assumptions'!$D$102</f>
        <v>17380.788162910059</v>
      </c>
      <c r="L55" s="21">
        <f>K55*'DY 22 &amp; DY 23 Assumptions'!$D$102</f>
        <v>17293.884222095508</v>
      </c>
      <c r="M55" s="21">
        <f>L55*'DY 22 &amp; DY 23 Assumptions'!$D$102</f>
        <v>17207.414800985032</v>
      </c>
      <c r="N55" s="21">
        <f>M55*'DY 22 &amp; DY 23 Assumptions'!$D$102</f>
        <v>17121.377726980107</v>
      </c>
      <c r="O55" s="21">
        <f>N55*'DY 22 &amp; DY 23 Assumptions'!$D$102</f>
        <v>17035.770838345205</v>
      </c>
      <c r="P55" s="21">
        <f>O55*'DY 22 &amp; DY 23 Assumptions'!$D$102</f>
        <v>16950.591984153478</v>
      </c>
      <c r="Q55" s="21">
        <f>P55*'DY 22 &amp; DY 23 Assumptions'!$D$102</f>
        <v>16865.839024232711</v>
      </c>
      <c r="R55" s="21">
        <f>Q55*'DY 22 &amp; DY 23 Assumptions'!$D$102</f>
        <v>16781.509829111546</v>
      </c>
      <c r="S55" s="21">
        <f>R55*'DY 22 &amp; DY 23 Assumptions'!$D$102</f>
        <v>16697.602279965988</v>
      </c>
      <c r="T55" s="21">
        <f>S55*'DY 22 &amp; DY 23 Assumptions'!$D$102</f>
        <v>16614.114268566158</v>
      </c>
      <c r="U55" s="12"/>
      <c r="V55" s="12"/>
      <c r="W55" s="12"/>
      <c r="X55" s="12"/>
      <c r="Y55" s="12"/>
      <c r="Z55" s="12"/>
    </row>
    <row r="56" spans="2:26" x14ac:dyDescent="0.3">
      <c r="B56" s="9" t="s">
        <v>79</v>
      </c>
      <c r="C56" s="6">
        <f>'DY 22 &amp; DY 23 Assumptions'!E81</f>
        <v>0</v>
      </c>
      <c r="D56" s="11">
        <f>'DY 22 &amp; DY 23 Assumptions'!F81</f>
        <v>0.14410999999999999</v>
      </c>
      <c r="E56" s="32"/>
      <c r="F56" s="21"/>
      <c r="G56" s="21"/>
      <c r="H56" s="21"/>
      <c r="I56" s="21"/>
      <c r="J56" s="21"/>
      <c r="K56" s="21"/>
      <c r="L56" s="21"/>
      <c r="M56" s="21"/>
      <c r="N56" s="21"/>
      <c r="O56" s="21"/>
      <c r="P56" s="21"/>
      <c r="Q56" s="21"/>
      <c r="R56" s="21"/>
      <c r="S56" s="21"/>
      <c r="T56" s="21"/>
      <c r="U56" s="12"/>
      <c r="V56" s="12"/>
      <c r="W56" s="12"/>
      <c r="X56" s="12"/>
      <c r="Y56" s="12"/>
      <c r="Z56" s="12"/>
    </row>
    <row r="57" spans="2:26" x14ac:dyDescent="0.3">
      <c r="B57" s="1" t="s">
        <v>36</v>
      </c>
      <c r="C57" s="46">
        <f>'DY 22 &amp; DY 23 Assumptions'!E82</f>
        <v>46690</v>
      </c>
      <c r="D57" s="52"/>
      <c r="E57" s="31"/>
      <c r="F57" s="21"/>
      <c r="G57" s="21"/>
      <c r="H57" s="20"/>
      <c r="I57" s="20"/>
      <c r="J57" s="20"/>
      <c r="K57" s="20"/>
      <c r="L57" s="20"/>
      <c r="M57" s="20"/>
      <c r="N57" s="20"/>
      <c r="O57" s="20"/>
      <c r="P57" s="20"/>
      <c r="Q57" s="20"/>
      <c r="R57" s="20"/>
      <c r="S57" s="20"/>
      <c r="T57" s="20"/>
      <c r="U57" s="1"/>
      <c r="V57" s="1"/>
      <c r="W57" s="1"/>
      <c r="X57" s="1"/>
      <c r="Y57" s="1"/>
      <c r="Z57" s="1"/>
    </row>
    <row r="58" spans="2:26" x14ac:dyDescent="0.3">
      <c r="B58" s="9" t="s">
        <v>19</v>
      </c>
      <c r="C58" s="6">
        <f>'DY 22 &amp; DY 23 Assumptions'!E83</f>
        <v>1765.7274547831878</v>
      </c>
      <c r="D58" s="11">
        <f>'DY 22 &amp; DY 23 Assumptions'!F83</f>
        <v>0.14305999999999999</v>
      </c>
      <c r="E58" s="33">
        <f>SUM(F58:Z58)</f>
        <v>32055.36013922434</v>
      </c>
      <c r="F58" s="21">
        <f>(C58*D58*8760)/1000</f>
        <v>2212.8195344080377</v>
      </c>
      <c r="G58" s="21">
        <f>F58*'DY 22 &amp; DY 23 Assumptions'!$D$102</f>
        <v>2201.7554367359976</v>
      </c>
      <c r="H58" s="21">
        <f>G58*'DY 22 &amp; DY 23 Assumptions'!$D$102</f>
        <v>2190.7466595523174</v>
      </c>
      <c r="I58" s="21">
        <f>H58*'DY 22 &amp; DY 23 Assumptions'!$D$102</f>
        <v>2179.7929262545558</v>
      </c>
      <c r="J58" s="21">
        <f>I58*'DY 22 &amp; DY 23 Assumptions'!$D$102</f>
        <v>2168.8939616232828</v>
      </c>
      <c r="K58" s="21">
        <f>J58*'DY 22 &amp; DY 23 Assumptions'!$D$102</f>
        <v>2158.0494918151662</v>
      </c>
      <c r="L58" s="21">
        <f>K58*'DY 22 &amp; DY 23 Assumptions'!$D$102</f>
        <v>2147.2592443560902</v>
      </c>
      <c r="M58" s="21">
        <f>L58*'DY 22 &amp; DY 23 Assumptions'!$D$102</f>
        <v>2136.5229481343099</v>
      </c>
      <c r="N58" s="21">
        <f>M58*'DY 22 &amp; DY 23 Assumptions'!$D$102</f>
        <v>2125.8403333936385</v>
      </c>
      <c r="O58" s="21">
        <f>N58*'DY 22 &amp; DY 23 Assumptions'!$D$102</f>
        <v>2115.2111317266704</v>
      </c>
      <c r="P58" s="21">
        <f>O58*'DY 22 &amp; DY 23 Assumptions'!$D$102</f>
        <v>2104.6350760680371</v>
      </c>
      <c r="Q58" s="21">
        <f>P58*'DY 22 &amp; DY 23 Assumptions'!$D$102</f>
        <v>2094.111900687697</v>
      </c>
      <c r="R58" s="21">
        <f>Q58*'DY 22 &amp; DY 23 Assumptions'!$D$102</f>
        <v>2083.6413411842586</v>
      </c>
      <c r="S58" s="21">
        <f>R58*'DY 22 &amp; DY 23 Assumptions'!$D$102</f>
        <v>2073.2231344783372</v>
      </c>
      <c r="T58" s="21">
        <f>S58*'DY 22 &amp; DY 23 Assumptions'!$D$102</f>
        <v>2062.8570188059457</v>
      </c>
      <c r="U58" s="12"/>
      <c r="V58" s="12"/>
      <c r="W58" s="12"/>
      <c r="X58" s="12"/>
      <c r="Y58" s="12"/>
      <c r="Z58" s="12"/>
    </row>
    <row r="59" spans="2:26" x14ac:dyDescent="0.3">
      <c r="B59" s="9" t="s">
        <v>15</v>
      </c>
      <c r="C59" s="6">
        <f>'DY 22 &amp; DY 23 Assumptions'!E84</f>
        <v>1374.9736306147349</v>
      </c>
      <c r="D59" s="11">
        <f>'DY 22 &amp; DY 23 Assumptions'!F84</f>
        <v>0.14176</v>
      </c>
      <c r="E59" s="33">
        <f>SUM(F59:Z59)</f>
        <v>24734.71119474867</v>
      </c>
      <c r="F59" s="21">
        <f>(C59*D59*8760)/1000</f>
        <v>1707.4664540332767</v>
      </c>
      <c r="G59" s="21">
        <f>F59*'DY 22 &amp; DY 23 Assumptions'!$D$102</f>
        <v>1698.9291217631103</v>
      </c>
      <c r="H59" s="21">
        <f>G59*'DY 22 &amp; DY 23 Assumptions'!$D$102</f>
        <v>1690.4344761542948</v>
      </c>
      <c r="I59" s="21">
        <f>H59*'DY 22 &amp; DY 23 Assumptions'!$D$102</f>
        <v>1681.9823037735232</v>
      </c>
      <c r="J59" s="21">
        <f>I59*'DY 22 &amp; DY 23 Assumptions'!$D$102</f>
        <v>1673.5723922546556</v>
      </c>
      <c r="K59" s="21">
        <f>J59*'DY 22 &amp; DY 23 Assumptions'!$D$102</f>
        <v>1665.2045302933823</v>
      </c>
      <c r="L59" s="21">
        <f>K59*'DY 22 &amp; DY 23 Assumptions'!$D$102</f>
        <v>1656.8785076419153</v>
      </c>
      <c r="M59" s="21">
        <f>L59*'DY 22 &amp; DY 23 Assumptions'!$D$102</f>
        <v>1648.5941151037057</v>
      </c>
      <c r="N59" s="21">
        <f>M59*'DY 22 &amp; DY 23 Assumptions'!$D$102</f>
        <v>1640.3511445281872</v>
      </c>
      <c r="O59" s="21">
        <f>N59*'DY 22 &amp; DY 23 Assumptions'!$D$102</f>
        <v>1632.1493888055463</v>
      </c>
      <c r="P59" s="21">
        <f>O59*'DY 22 &amp; DY 23 Assumptions'!$D$102</f>
        <v>1623.9886418615185</v>
      </c>
      <c r="Q59" s="21">
        <f>P59*'DY 22 &amp; DY 23 Assumptions'!$D$102</f>
        <v>1615.8686986522109</v>
      </c>
      <c r="R59" s="21">
        <f>Q59*'DY 22 &amp; DY 23 Assumptions'!$D$102</f>
        <v>1607.7893551589498</v>
      </c>
      <c r="S59" s="21">
        <f>R59*'DY 22 &amp; DY 23 Assumptions'!$D$102</f>
        <v>1599.750408383155</v>
      </c>
      <c r="T59" s="21">
        <f>S59*'DY 22 &amp; DY 23 Assumptions'!$D$102</f>
        <v>1591.7516563412391</v>
      </c>
      <c r="U59" s="12"/>
      <c r="V59" s="12"/>
      <c r="W59" s="12"/>
      <c r="X59" s="12"/>
      <c r="Y59" s="12"/>
      <c r="Z59" s="12"/>
    </row>
    <row r="60" spans="2:26" x14ac:dyDescent="0.3">
      <c r="B60" s="9" t="s">
        <v>16</v>
      </c>
      <c r="C60" s="6">
        <f>'DY 22 &amp; DY 23 Assumptions'!E85</f>
        <v>5096.1723075277914</v>
      </c>
      <c r="D60" s="11">
        <f>'DY 22 &amp; DY 23 Assumptions'!F85</f>
        <v>0.14119000000000001</v>
      </c>
      <c r="E60" s="33">
        <f>SUM(F60:Z60)</f>
        <v>91307.575658556379</v>
      </c>
      <c r="F60" s="21">
        <f>(C60*D60*8760)/1000</f>
        <v>6303.0702565546771</v>
      </c>
      <c r="G60" s="21">
        <f>F60*'DY 22 &amp; DY 23 Assumptions'!$D$102</f>
        <v>6271.5549052719034</v>
      </c>
      <c r="H60" s="21">
        <f>G60*'DY 22 &amp; DY 23 Assumptions'!$D$102</f>
        <v>6240.1971307455442</v>
      </c>
      <c r="I60" s="21">
        <f>H60*'DY 22 &amp; DY 23 Assumptions'!$D$102</f>
        <v>6208.9961450918163</v>
      </c>
      <c r="J60" s="21">
        <f>I60*'DY 22 &amp; DY 23 Assumptions'!$D$102</f>
        <v>6177.9511643663573</v>
      </c>
      <c r="K60" s="21">
        <f>J60*'DY 22 &amp; DY 23 Assumptions'!$D$102</f>
        <v>6147.0614085445259</v>
      </c>
      <c r="L60" s="21">
        <f>K60*'DY 22 &amp; DY 23 Assumptions'!$D$102</f>
        <v>6116.3261015018034</v>
      </c>
      <c r="M60" s="21">
        <f>L60*'DY 22 &amp; DY 23 Assumptions'!$D$102</f>
        <v>6085.7444709942947</v>
      </c>
      <c r="N60" s="21">
        <f>M60*'DY 22 &amp; DY 23 Assumptions'!$D$102</f>
        <v>6055.3157486393229</v>
      </c>
      <c r="O60" s="21">
        <f>N60*'DY 22 &amp; DY 23 Assumptions'!$D$102</f>
        <v>6025.0391698961266</v>
      </c>
      <c r="P60" s="21">
        <f>O60*'DY 22 &amp; DY 23 Assumptions'!$D$102</f>
        <v>5994.9139740466462</v>
      </c>
      <c r="Q60" s="21">
        <f>P60*'DY 22 &amp; DY 23 Assumptions'!$D$102</f>
        <v>5964.9394041764126</v>
      </c>
      <c r="R60" s="21">
        <f>Q60*'DY 22 &amp; DY 23 Assumptions'!$D$102</f>
        <v>5935.1147071555306</v>
      </c>
      <c r="S60" s="21">
        <f>R60*'DY 22 &amp; DY 23 Assumptions'!$D$102</f>
        <v>5905.4391336197532</v>
      </c>
      <c r="T60" s="21">
        <f>S60*'DY 22 &amp; DY 23 Assumptions'!$D$102</f>
        <v>5875.9119379516542</v>
      </c>
      <c r="U60" s="12"/>
      <c r="V60" s="12"/>
      <c r="W60" s="12"/>
      <c r="X60" s="12"/>
      <c r="Y60" s="12"/>
      <c r="Z60" s="12"/>
    </row>
    <row r="61" spans="2:26" x14ac:dyDescent="0.3">
      <c r="B61" s="9" t="s">
        <v>20</v>
      </c>
      <c r="C61" s="6">
        <f>'DY 22 &amp; DY 23 Assumptions'!E86</f>
        <v>38453.110396585835</v>
      </c>
      <c r="D61" s="11">
        <f>'DY 22 &amp; DY 23 Assumptions'!F86</f>
        <v>0.1497</v>
      </c>
      <c r="E61" s="34">
        <f>SUM(F61:Z61)</f>
        <v>730486.24925128871</v>
      </c>
      <c r="F61" s="21">
        <f>(C61*D61*8760)/1000</f>
        <v>50426.332286991557</v>
      </c>
      <c r="G61" s="21">
        <f>F61*'DY 22 &amp; DY 23 Assumptions'!$D$102</f>
        <v>50174.200625556601</v>
      </c>
      <c r="H61" s="21">
        <f>G61*'DY 22 &amp; DY 23 Assumptions'!$D$102</f>
        <v>49923.329622428821</v>
      </c>
      <c r="I61" s="21">
        <f>H61*'DY 22 &amp; DY 23 Assumptions'!$D$102</f>
        <v>49673.712974316673</v>
      </c>
      <c r="J61" s="21">
        <f>I61*'DY 22 &amp; DY 23 Assumptions'!$D$102</f>
        <v>49425.34440944509</v>
      </c>
      <c r="K61" s="21">
        <f>J61*'DY 22 &amp; DY 23 Assumptions'!$D$102</f>
        <v>49178.217687397861</v>
      </c>
      <c r="L61" s="21">
        <f>K61*'DY 22 &amp; DY 23 Assumptions'!$D$102</f>
        <v>48932.32659896087</v>
      </c>
      <c r="M61" s="21">
        <f>L61*'DY 22 &amp; DY 23 Assumptions'!$D$102</f>
        <v>48687.664965966069</v>
      </c>
      <c r="N61" s="21">
        <f>M61*'DY 22 &amp; DY 23 Assumptions'!$D$102</f>
        <v>48444.226641136236</v>
      </c>
      <c r="O61" s="21">
        <f>N61*'DY 22 &amp; DY 23 Assumptions'!$D$102</f>
        <v>48202.005507930553</v>
      </c>
      <c r="P61" s="21">
        <f>O61*'DY 22 &amp; DY 23 Assumptions'!$D$102</f>
        <v>47960.995480390899</v>
      </c>
      <c r="Q61" s="21">
        <f>P61*'DY 22 &amp; DY 23 Assumptions'!$D$102</f>
        <v>47721.190502988946</v>
      </c>
      <c r="R61" s="21">
        <f>Q61*'DY 22 &amp; DY 23 Assumptions'!$D$102</f>
        <v>47482.584550473999</v>
      </c>
      <c r="S61" s="21">
        <f>R61*'DY 22 &amp; DY 23 Assumptions'!$D$102</f>
        <v>47245.171627721626</v>
      </c>
      <c r="T61" s="21">
        <f>S61*'DY 22 &amp; DY 23 Assumptions'!$D$102</f>
        <v>47008.945769583021</v>
      </c>
      <c r="U61" s="12"/>
      <c r="V61" s="12"/>
      <c r="W61" s="12"/>
      <c r="X61" s="12"/>
      <c r="Y61" s="12"/>
      <c r="Z61" s="12"/>
    </row>
    <row r="62" spans="2:26" x14ac:dyDescent="0.3">
      <c r="B62" s="9" t="s">
        <v>79</v>
      </c>
      <c r="C62" s="6">
        <f>'DY 22 &amp; DY 23 Assumptions'!E87</f>
        <v>0</v>
      </c>
      <c r="D62" s="11">
        <f>'DY 22 &amp; DY 23 Assumptions'!F87</f>
        <v>0.1497</v>
      </c>
      <c r="E62" s="34"/>
      <c r="F62" s="21"/>
      <c r="G62" s="21"/>
      <c r="H62" s="21"/>
      <c r="I62" s="21"/>
      <c r="J62" s="21"/>
      <c r="K62" s="21"/>
      <c r="L62" s="21"/>
      <c r="M62" s="21"/>
      <c r="N62" s="21"/>
      <c r="O62" s="21"/>
      <c r="P62" s="21"/>
      <c r="Q62" s="21"/>
      <c r="R62" s="21"/>
      <c r="S62" s="21"/>
      <c r="T62" s="21"/>
      <c r="U62" s="12"/>
      <c r="V62" s="12"/>
      <c r="W62" s="12"/>
      <c r="X62" s="12"/>
      <c r="Y62" s="12"/>
      <c r="Z62" s="12"/>
    </row>
    <row r="63" spans="2:26" x14ac:dyDescent="0.3">
      <c r="B63" s="5" t="s">
        <v>40</v>
      </c>
      <c r="C63" s="119"/>
      <c r="D63" s="39"/>
      <c r="E63" s="145">
        <f>'DY 22 &amp; DY 23 Assumptions'!E90</f>
        <v>3500000</v>
      </c>
      <c r="F63" s="146"/>
      <c r="G63" s="147"/>
      <c r="H63" s="148"/>
      <c r="I63" s="147">
        <f>E63</f>
        <v>3500000</v>
      </c>
      <c r="J63" s="147">
        <f t="shared" ref="J63:Z63" si="8">I63</f>
        <v>3500000</v>
      </c>
      <c r="K63" s="147">
        <f t="shared" si="8"/>
        <v>3500000</v>
      </c>
      <c r="L63" s="147">
        <f t="shared" si="8"/>
        <v>3500000</v>
      </c>
      <c r="M63" s="147">
        <f t="shared" si="8"/>
        <v>3500000</v>
      </c>
      <c r="N63" s="147">
        <f t="shared" si="8"/>
        <v>3500000</v>
      </c>
      <c r="O63" s="147">
        <f t="shared" si="8"/>
        <v>3500000</v>
      </c>
      <c r="P63" s="147">
        <f t="shared" si="8"/>
        <v>3500000</v>
      </c>
      <c r="Q63" s="147">
        <f t="shared" si="8"/>
        <v>3500000</v>
      </c>
      <c r="R63" s="147">
        <f t="shared" si="8"/>
        <v>3500000</v>
      </c>
      <c r="S63" s="147">
        <f t="shared" si="8"/>
        <v>3500000</v>
      </c>
      <c r="T63" s="147">
        <f t="shared" si="8"/>
        <v>3500000</v>
      </c>
      <c r="U63" s="147">
        <f t="shared" si="8"/>
        <v>3500000</v>
      </c>
      <c r="V63" s="147">
        <f t="shared" si="8"/>
        <v>3500000</v>
      </c>
      <c r="W63" s="147">
        <f t="shared" si="8"/>
        <v>3500000</v>
      </c>
      <c r="X63" s="147">
        <f t="shared" si="8"/>
        <v>3500000</v>
      </c>
      <c r="Y63" s="147">
        <f t="shared" si="8"/>
        <v>3500000</v>
      </c>
      <c r="Z63" s="147">
        <f t="shared" si="8"/>
        <v>3500000</v>
      </c>
    </row>
    <row r="64" spans="2:26" x14ac:dyDescent="0.3">
      <c r="B64" s="5" t="s">
        <v>41</v>
      </c>
      <c r="C64" s="119"/>
      <c r="D64" s="39"/>
      <c r="E64" s="145">
        <f>'DY 22 &amp; DY 23 Assumptions'!E91</f>
        <v>1056570</v>
      </c>
      <c r="F64" s="148"/>
      <c r="G64" s="147"/>
      <c r="H64" s="148"/>
      <c r="I64" s="147">
        <f>E64</f>
        <v>1056570</v>
      </c>
      <c r="J64" s="147">
        <f>I64*'DY 22 &amp; DY 23 Assumptions'!$D$102</f>
        <v>1051287.1499999999</v>
      </c>
      <c r="K64" s="147">
        <f>J64*'DY 22 &amp; DY 23 Assumptions'!$D$102</f>
        <v>1046030.71425</v>
      </c>
      <c r="L64" s="147">
        <f>K64*'DY 22 &amp; DY 23 Assumptions'!$D$102</f>
        <v>1040800.5606787499</v>
      </c>
      <c r="M64" s="147">
        <f>L64*'DY 22 &amp; DY 23 Assumptions'!$D$102</f>
        <v>1035596.5578753562</v>
      </c>
      <c r="N64" s="147">
        <f>M64*'DY 22 &amp; DY 23 Assumptions'!$D$102</f>
        <v>1030418.5750859794</v>
      </c>
      <c r="O64" s="147">
        <f>N64*'DY 22 &amp; DY 23 Assumptions'!$D$102</f>
        <v>1025266.4822105495</v>
      </c>
      <c r="P64" s="147">
        <f>O64*'DY 22 &amp; DY 23 Assumptions'!$D$102</f>
        <v>1020140.1497994968</v>
      </c>
      <c r="Q64" s="147">
        <f>P64*'DY 22 &amp; DY 23 Assumptions'!$D$102</f>
        <v>1015039.4490504992</v>
      </c>
      <c r="R64" s="147">
        <f>Q64*'DY 22 &amp; DY 23 Assumptions'!$D$102</f>
        <v>1009964.2518052467</v>
      </c>
      <c r="S64" s="147">
        <f>R64*'DY 22 &amp; DY 23 Assumptions'!$D$102</f>
        <v>1004914.4305462205</v>
      </c>
      <c r="T64" s="147">
        <f>S64*'DY 22 &amp; DY 23 Assumptions'!$D$102</f>
        <v>999889.85839348938</v>
      </c>
      <c r="U64" s="147">
        <f>T64*'DY 22 &amp; DY 23 Assumptions'!$D$102</f>
        <v>994890.40910152195</v>
      </c>
      <c r="V64" s="147">
        <f>U64*'DY 22 &amp; DY 23 Assumptions'!$D$102</f>
        <v>989915.95705601433</v>
      </c>
      <c r="W64" s="147">
        <f>V64*'DY 22 &amp; DY 23 Assumptions'!$D$102</f>
        <v>984966.37727073429</v>
      </c>
      <c r="X64" s="147">
        <f>W64*'DY 22 &amp; DY 23 Assumptions'!$D$102</f>
        <v>980041.54538438062</v>
      </c>
      <c r="Y64" s="147">
        <f>X64*'DY 22 &amp; DY 23 Assumptions'!$D$102</f>
        <v>975141.33765745873</v>
      </c>
      <c r="Z64" s="147">
        <f>Y64*'DY 22 &amp; DY 23 Assumptions'!$D$102</f>
        <v>970265.63096917141</v>
      </c>
    </row>
    <row r="65" spans="2:26" x14ac:dyDescent="0.3">
      <c r="B65" s="5" t="s">
        <v>42</v>
      </c>
      <c r="C65" s="119"/>
      <c r="D65" s="39"/>
      <c r="E65" s="145">
        <f>'DY 22 &amp; DY 23 Assumptions'!E92</f>
        <v>80623</v>
      </c>
      <c r="F65" s="148"/>
      <c r="G65" s="147"/>
      <c r="H65" s="148"/>
      <c r="I65" s="147">
        <f>E65</f>
        <v>80623</v>
      </c>
      <c r="J65" s="147">
        <f>I65*'DY 22 &amp; DY 23 Assumptions'!$D$102</f>
        <v>80219.884999999995</v>
      </c>
      <c r="K65" s="147">
        <f>J65*'DY 22 &amp; DY 23 Assumptions'!$D$102</f>
        <v>79818.785575000002</v>
      </c>
      <c r="L65" s="147">
        <f>K65*'DY 22 &amp; DY 23 Assumptions'!$D$102</f>
        <v>79419.691647125001</v>
      </c>
      <c r="M65" s="147">
        <f>L65*'DY 22 &amp; DY 23 Assumptions'!$D$102</f>
        <v>79022.593188889368</v>
      </c>
      <c r="N65" s="147">
        <f>M65*'DY 22 &amp; DY 23 Assumptions'!$D$102</f>
        <v>78627.480222944927</v>
      </c>
      <c r="O65" s="147">
        <f>N65*'DY 22 &amp; DY 23 Assumptions'!$D$102</f>
        <v>78234.3428218302</v>
      </c>
      <c r="P65" s="147">
        <f>O65*'DY 22 &amp; DY 23 Assumptions'!$D$102</f>
        <v>77843.171107721049</v>
      </c>
      <c r="Q65" s="147">
        <f>P65*'DY 22 &amp; DY 23 Assumptions'!$D$102</f>
        <v>77453.955252182437</v>
      </c>
      <c r="R65" s="147">
        <f>Q65*'DY 22 &amp; DY 23 Assumptions'!$D$102</f>
        <v>77066.68547592152</v>
      </c>
      <c r="S65" s="147">
        <f>R65*'DY 22 &amp; DY 23 Assumptions'!$D$102</f>
        <v>76681.352048541914</v>
      </c>
      <c r="T65" s="147">
        <f>S65*'DY 22 &amp; DY 23 Assumptions'!$D$102</f>
        <v>76297.945288299205</v>
      </c>
      <c r="U65" s="147">
        <f>T65*'DY 22 &amp; DY 23 Assumptions'!$D$102</f>
        <v>75916.455561857714</v>
      </c>
      <c r="V65" s="147">
        <f>U65*'DY 22 &amp; DY 23 Assumptions'!$D$102</f>
        <v>75536.87328404843</v>
      </c>
      <c r="W65" s="147">
        <f>V65*'DY 22 &amp; DY 23 Assumptions'!$D$102</f>
        <v>75159.188917628184</v>
      </c>
      <c r="X65" s="147">
        <f>W65*'DY 22 &amp; DY 23 Assumptions'!$D$102</f>
        <v>74783.392973040041</v>
      </c>
      <c r="Y65" s="147">
        <f>X65*'DY 22 &amp; DY 23 Assumptions'!$D$102</f>
        <v>74409.476008174839</v>
      </c>
      <c r="Z65" s="147">
        <f>Y65*'DY 22 &amp; DY 23 Assumptions'!$D$102</f>
        <v>74037.428628133959</v>
      </c>
    </row>
    <row r="67" spans="2:26" x14ac:dyDescent="0.3">
      <c r="B67" s="63" t="s">
        <v>247</v>
      </c>
    </row>
    <row r="68" spans="2:26" x14ac:dyDescent="0.3">
      <c r="B68" s="9"/>
    </row>
    <row r="69" spans="2:26" ht="15.6" x14ac:dyDescent="0.3">
      <c r="B69" s="1"/>
      <c r="C69" s="2" t="s">
        <v>244</v>
      </c>
      <c r="D69" s="2" t="s">
        <v>248</v>
      </c>
      <c r="E69" s="2" t="s">
        <v>123</v>
      </c>
      <c r="F69" s="2" t="s">
        <v>48</v>
      </c>
      <c r="G69" s="2" t="s">
        <v>49</v>
      </c>
      <c r="H69" s="2" t="s">
        <v>50</v>
      </c>
      <c r="I69" s="2" t="s">
        <v>51</v>
      </c>
      <c r="J69" s="2" t="s">
        <v>52</v>
      </c>
      <c r="K69" s="2" t="s">
        <v>53</v>
      </c>
      <c r="L69" s="2" t="s">
        <v>54</v>
      </c>
      <c r="M69" s="2" t="s">
        <v>55</v>
      </c>
      <c r="N69" s="2" t="s">
        <v>56</v>
      </c>
      <c r="O69" s="2" t="s">
        <v>57</v>
      </c>
      <c r="P69" s="2" t="s">
        <v>58</v>
      </c>
      <c r="Q69" s="2" t="s">
        <v>59</v>
      </c>
      <c r="R69" s="2" t="s">
        <v>60</v>
      </c>
      <c r="S69" s="2" t="s">
        <v>61</v>
      </c>
      <c r="T69" s="2" t="s">
        <v>62</v>
      </c>
      <c r="U69" s="2" t="s">
        <v>63</v>
      </c>
      <c r="V69" s="2" t="s">
        <v>64</v>
      </c>
      <c r="W69" s="2" t="s">
        <v>65</v>
      </c>
      <c r="X69" s="2" t="s">
        <v>66</v>
      </c>
      <c r="Y69" s="2" t="s">
        <v>67</v>
      </c>
      <c r="Z69" s="2" t="s">
        <v>250</v>
      </c>
    </row>
    <row r="70" spans="2:26" ht="15.6" x14ac:dyDescent="0.3">
      <c r="B70" s="29" t="s">
        <v>246</v>
      </c>
      <c r="C70" s="2"/>
      <c r="D70" s="2"/>
      <c r="E70" s="15">
        <f>SUM(E73:E129)</f>
        <v>5271563678.6840296</v>
      </c>
      <c r="F70" s="72"/>
      <c r="G70" s="2"/>
      <c r="H70" s="2"/>
      <c r="I70" s="2"/>
      <c r="J70" s="2"/>
      <c r="K70" s="2"/>
      <c r="L70" s="2"/>
      <c r="M70" s="2"/>
      <c r="N70" s="2"/>
      <c r="O70" s="2"/>
      <c r="P70" s="2"/>
      <c r="Q70" s="2"/>
      <c r="R70" s="2"/>
      <c r="S70" s="2"/>
      <c r="T70" s="2"/>
      <c r="U70" s="2"/>
      <c r="V70" s="2"/>
      <c r="W70" s="2"/>
      <c r="X70" s="2"/>
      <c r="Y70" s="2"/>
      <c r="Z70" s="2"/>
    </row>
    <row r="71" spans="2:26" x14ac:dyDescent="0.3">
      <c r="B71" s="3" t="s">
        <v>4</v>
      </c>
      <c r="C71" s="37">
        <f>C73+C80+C93+C96+C111+C114</f>
        <v>808350</v>
      </c>
      <c r="D71" s="4"/>
      <c r="E71" s="15">
        <f>SUM(F71:Z71)</f>
        <v>5271563678.6840296</v>
      </c>
      <c r="F71" s="15">
        <f t="shared" ref="F71:Z71" si="9">F75+F76+F78+F79+F82+F83+F84+F85+F88+F89+F90+F91+H127+H128+H129+F94+F95+F98+F99+F100+F101+F102+F105+F106+F107+F108+F109+F112+F113+F116+F117+F118+F119+F122+F123+F124+F125</f>
        <v>186183828.02998</v>
      </c>
      <c r="G71" s="15">
        <f t="shared" si="9"/>
        <v>319133905.2304278</v>
      </c>
      <c r="H71" s="15">
        <f t="shared" si="9"/>
        <v>318248784.71325636</v>
      </c>
      <c r="I71" s="15">
        <f t="shared" si="9"/>
        <v>317725784.34068125</v>
      </c>
      <c r="J71" s="15">
        <f t="shared" si="9"/>
        <v>317205398.96996927</v>
      </c>
      <c r="K71" s="15">
        <f t="shared" si="9"/>
        <v>316687615.52611071</v>
      </c>
      <c r="L71" s="15">
        <f t="shared" si="9"/>
        <v>316172420.99947137</v>
      </c>
      <c r="M71" s="15">
        <f t="shared" si="9"/>
        <v>292327456.28155726</v>
      </c>
      <c r="N71" s="15">
        <f t="shared" si="9"/>
        <v>285706036.78596842</v>
      </c>
      <c r="O71" s="15">
        <f t="shared" si="9"/>
        <v>285198531.60203862</v>
      </c>
      <c r="P71" s="15">
        <f t="shared" si="9"/>
        <v>284693563.94402826</v>
      </c>
      <c r="Q71" s="15">
        <f t="shared" si="9"/>
        <v>284191121.12430817</v>
      </c>
      <c r="R71" s="15">
        <f t="shared" si="9"/>
        <v>283691190.51868665</v>
      </c>
      <c r="S71" s="15">
        <f t="shared" si="9"/>
        <v>283193759.56609327</v>
      </c>
      <c r="T71" s="15">
        <f t="shared" si="9"/>
        <v>282698815.76826286</v>
      </c>
      <c r="U71" s="15">
        <f t="shared" si="9"/>
        <v>282206346.68942147</v>
      </c>
      <c r="V71" s="15">
        <f t="shared" si="9"/>
        <v>281716339.95597434</v>
      </c>
      <c r="W71" s="15">
        <f t="shared" si="9"/>
        <v>281228783.25619447</v>
      </c>
      <c r="X71" s="15">
        <f t="shared" si="9"/>
        <v>20296766.733301912</v>
      </c>
      <c r="Y71" s="15">
        <f t="shared" si="9"/>
        <v>20195282.899635401</v>
      </c>
      <c r="Z71" s="15">
        <f t="shared" si="9"/>
        <v>12861945.748661131</v>
      </c>
    </row>
    <row r="72" spans="2:26" x14ac:dyDescent="0.3">
      <c r="B72" s="3" t="s">
        <v>5</v>
      </c>
      <c r="C72" s="37">
        <f>C75+C76+C78+C79+C82+C83+C84+C85+C88+C89+C90+C91+C94+C95+C98+C99+C100+C101+C102+C105+C106+C107+C108+C109+C112+C113+C116+C117+C118+C119+C122+C123+C124+C125</f>
        <v>872249.7485146604</v>
      </c>
      <c r="D72" s="25"/>
      <c r="E72" s="24">
        <f t="shared" ref="E72:Z72" si="10">E73+E80+E93+E96+E111+E114</f>
        <v>783747246.0063498</v>
      </c>
      <c r="F72" s="24">
        <f t="shared" si="10"/>
        <v>186183828.02998012</v>
      </c>
      <c r="G72" s="24">
        <f t="shared" si="10"/>
        <v>51905350.460427888</v>
      </c>
      <c r="H72" s="24">
        <f t="shared" si="10"/>
        <v>51435347.717106394</v>
      </c>
      <c r="I72" s="24">
        <f t="shared" si="10"/>
        <v>51325389.529512167</v>
      </c>
      <c r="J72" s="24">
        <f t="shared" si="10"/>
        <v>51215981.132855915</v>
      </c>
      <c r="K72" s="24">
        <f t="shared" si="10"/>
        <v>51107119.778182939</v>
      </c>
      <c r="L72" s="24">
        <f t="shared" si="10"/>
        <v>50998802.730283327</v>
      </c>
      <c r="M72" s="24">
        <f t="shared" si="10"/>
        <v>27558681.103715003</v>
      </c>
      <c r="N72" s="24">
        <f t="shared" si="10"/>
        <v>21340080.484015353</v>
      </c>
      <c r="O72" s="24">
        <f t="shared" si="10"/>
        <v>21233380.081595276</v>
      </c>
      <c r="P72" s="24">
        <f t="shared" si="10"/>
        <v>21127213.181187298</v>
      </c>
      <c r="Q72" s="24">
        <f t="shared" si="10"/>
        <v>21021577.115281362</v>
      </c>
      <c r="R72" s="24">
        <f t="shared" si="10"/>
        <v>20916469.229704954</v>
      </c>
      <c r="S72" s="24">
        <f t="shared" si="10"/>
        <v>20811886.883556429</v>
      </c>
      <c r="T72" s="24">
        <f t="shared" si="10"/>
        <v>20707827.449138649</v>
      </c>
      <c r="U72" s="24">
        <f t="shared" si="10"/>
        <v>20604288.311892956</v>
      </c>
      <c r="V72" s="24">
        <f t="shared" si="10"/>
        <v>20501266.870333493</v>
      </c>
      <c r="W72" s="24">
        <f t="shared" si="10"/>
        <v>20398760.535981823</v>
      </c>
      <c r="X72" s="24">
        <f t="shared" si="10"/>
        <v>20296766.733301915</v>
      </c>
      <c r="Y72" s="24">
        <f t="shared" si="10"/>
        <v>20195282.899635404</v>
      </c>
      <c r="Z72" s="24">
        <f t="shared" si="10"/>
        <v>12861945.748661131</v>
      </c>
    </row>
    <row r="73" spans="2:26" x14ac:dyDescent="0.3">
      <c r="B73" s="5" t="s">
        <v>6</v>
      </c>
      <c r="C73" s="6">
        <f>'DY 22 &amp; DY 23 Assumptions'!C6</f>
        <v>134000</v>
      </c>
      <c r="D73" s="7"/>
      <c r="E73" s="24">
        <f>SUM(F73:AA73)</f>
        <v>153483990.97419566</v>
      </c>
      <c r="F73" s="68">
        <f t="shared" ref="F73:Z73" si="11">F75+F76+F78+F79</f>
        <v>153483990.97419566</v>
      </c>
      <c r="G73" s="68">
        <f t="shared" si="11"/>
        <v>0</v>
      </c>
      <c r="H73" s="68">
        <f t="shared" si="11"/>
        <v>0</v>
      </c>
      <c r="I73" s="68">
        <f t="shared" si="11"/>
        <v>0</v>
      </c>
      <c r="J73" s="68">
        <f t="shared" si="11"/>
        <v>0</v>
      </c>
      <c r="K73" s="68">
        <f t="shared" si="11"/>
        <v>0</v>
      </c>
      <c r="L73" s="68">
        <f t="shared" si="11"/>
        <v>0</v>
      </c>
      <c r="M73" s="68">
        <f t="shared" si="11"/>
        <v>0</v>
      </c>
      <c r="N73" s="68">
        <f t="shared" si="11"/>
        <v>0</v>
      </c>
      <c r="O73" s="68">
        <f t="shared" si="11"/>
        <v>0</v>
      </c>
      <c r="P73" s="68">
        <f t="shared" si="11"/>
        <v>0</v>
      </c>
      <c r="Q73" s="68">
        <f t="shared" si="11"/>
        <v>0</v>
      </c>
      <c r="R73" s="68">
        <f t="shared" si="11"/>
        <v>0</v>
      </c>
      <c r="S73" s="68">
        <f t="shared" si="11"/>
        <v>0</v>
      </c>
      <c r="T73" s="68">
        <f t="shared" si="11"/>
        <v>0</v>
      </c>
      <c r="U73" s="68">
        <f t="shared" si="11"/>
        <v>0</v>
      </c>
      <c r="V73" s="68">
        <f t="shared" si="11"/>
        <v>0</v>
      </c>
      <c r="W73" s="68">
        <f t="shared" si="11"/>
        <v>0</v>
      </c>
      <c r="X73" s="68">
        <f t="shared" si="11"/>
        <v>0</v>
      </c>
      <c r="Y73" s="68">
        <f t="shared" si="11"/>
        <v>0</v>
      </c>
      <c r="Z73" s="68">
        <f t="shared" si="11"/>
        <v>0</v>
      </c>
    </row>
    <row r="74" spans="2:26" x14ac:dyDescent="0.3">
      <c r="B74" s="1" t="s">
        <v>7</v>
      </c>
      <c r="C74" s="46">
        <f>'DY 22 &amp; DY 23 Assumptions'!C7</f>
        <v>45100</v>
      </c>
      <c r="D74" s="16"/>
      <c r="E74" s="1"/>
      <c r="F74" s="65"/>
      <c r="G74" s="16"/>
      <c r="H74" s="16"/>
      <c r="I74" s="16"/>
      <c r="J74" s="16"/>
      <c r="K74" s="16"/>
      <c r="L74" s="16"/>
      <c r="M74" s="16"/>
      <c r="N74" s="16"/>
      <c r="O74" s="16"/>
      <c r="P74" s="16"/>
      <c r="Q74" s="16"/>
      <c r="R74" s="16"/>
      <c r="S74" s="16"/>
      <c r="T74" s="16"/>
      <c r="U74" s="16"/>
      <c r="V74" s="16"/>
      <c r="W74" s="16"/>
      <c r="X74" s="16"/>
      <c r="Y74" s="16"/>
      <c r="Z74" s="16"/>
    </row>
    <row r="75" spans="2:26" x14ac:dyDescent="0.3">
      <c r="B75" s="9" t="s">
        <v>8</v>
      </c>
      <c r="C75" s="6">
        <f>'DY 22 &amp; DY 23 Assumptions'!C8</f>
        <v>17138</v>
      </c>
      <c r="D75" s="18">
        <f>'DY 22 &amp; DY 23 Assumptions'!I8</f>
        <v>69.088800000000006</v>
      </c>
      <c r="E75" s="9"/>
      <c r="F75" s="69">
        <f>E11*D75</f>
        <v>19844801.619156357</v>
      </c>
      <c r="G75" s="17"/>
      <c r="H75" s="17"/>
      <c r="I75" s="17"/>
      <c r="J75" s="17"/>
      <c r="K75" s="17"/>
      <c r="L75" s="17"/>
      <c r="M75" s="17"/>
      <c r="N75" s="17"/>
      <c r="O75" s="17"/>
      <c r="P75" s="17"/>
      <c r="Q75" s="17"/>
      <c r="R75" s="17"/>
      <c r="S75" s="17"/>
      <c r="T75" s="17"/>
      <c r="U75" s="17"/>
      <c r="V75" s="17"/>
      <c r="W75" s="17">
        <f>'Reopening Activities'!V11*$D75</f>
        <v>0</v>
      </c>
      <c r="X75" s="17">
        <f>'Reopening Activities'!W11*$D75</f>
        <v>0</v>
      </c>
      <c r="Y75" s="17">
        <f>'Reopening Activities'!X11*$D75</f>
        <v>0</v>
      </c>
      <c r="Z75" s="17">
        <f>'Reopening Activities'!Y11*$D75</f>
        <v>0</v>
      </c>
    </row>
    <row r="76" spans="2:26" x14ac:dyDescent="0.3">
      <c r="B76" s="9" t="s">
        <v>9</v>
      </c>
      <c r="C76" s="6">
        <f>'DY 22 &amp; DY 23 Assumptions'!C9</f>
        <v>27962</v>
      </c>
      <c r="D76" s="18">
        <f>'DY 22 &amp; DY 23 Assumptions'!I9</f>
        <v>58.423200000000001</v>
      </c>
      <c r="E76" s="9"/>
      <c r="F76" s="69">
        <f>E12*D76</f>
        <v>27832474.03798585</v>
      </c>
      <c r="G76" s="17"/>
      <c r="H76" s="17"/>
      <c r="I76" s="17"/>
      <c r="J76" s="17"/>
      <c r="K76" s="17"/>
      <c r="L76" s="17"/>
      <c r="M76" s="17"/>
      <c r="N76" s="17"/>
      <c r="O76" s="17"/>
      <c r="P76" s="17"/>
      <c r="Q76" s="17"/>
      <c r="R76" s="17"/>
      <c r="S76" s="17"/>
      <c r="T76" s="17"/>
      <c r="U76" s="17"/>
      <c r="V76" s="17"/>
      <c r="W76" s="17">
        <f>'Reopening Activities'!V12*$D76</f>
        <v>0</v>
      </c>
      <c r="X76" s="17">
        <f>'Reopening Activities'!W12*$D76</f>
        <v>0</v>
      </c>
      <c r="Y76" s="17">
        <f>'Reopening Activities'!X12*$D76</f>
        <v>0</v>
      </c>
      <c r="Z76" s="17">
        <f>'Reopening Activities'!Y12*$D76</f>
        <v>0</v>
      </c>
    </row>
    <row r="77" spans="2:26" x14ac:dyDescent="0.3">
      <c r="B77" s="1" t="s">
        <v>10</v>
      </c>
      <c r="C77" s="46">
        <f>'DY 22 &amp; DY 23 Assumptions'!C10</f>
        <v>105500</v>
      </c>
      <c r="D77" s="14"/>
      <c r="E77" s="1"/>
      <c r="F77" s="123"/>
      <c r="G77" s="16"/>
      <c r="H77" s="16"/>
      <c r="I77" s="16"/>
      <c r="J77" s="16"/>
      <c r="K77" s="16"/>
      <c r="L77" s="16"/>
      <c r="M77" s="16"/>
      <c r="N77" s="16"/>
      <c r="O77" s="16"/>
      <c r="P77" s="16"/>
      <c r="Q77" s="16"/>
      <c r="R77" s="16"/>
      <c r="S77" s="16"/>
      <c r="T77" s="16"/>
      <c r="U77" s="16"/>
      <c r="V77" s="16"/>
      <c r="W77" s="16"/>
      <c r="X77" s="16"/>
      <c r="Y77" s="16"/>
      <c r="Z77" s="16"/>
    </row>
    <row r="78" spans="2:26" x14ac:dyDescent="0.3">
      <c r="B78" s="9" t="s">
        <v>11</v>
      </c>
      <c r="C78" s="6">
        <f>'DY 22 &amp; DY 23 Assumptions'!C11</f>
        <v>40090</v>
      </c>
      <c r="D78" s="18">
        <f>'DY 22 &amp; DY 23 Assumptions'!I11</f>
        <v>72.406400000000005</v>
      </c>
      <c r="E78" s="9"/>
      <c r="F78" s="69">
        <f>E14*D78</f>
        <v>43901519.200261869</v>
      </c>
      <c r="G78" s="17"/>
      <c r="H78" s="17"/>
      <c r="I78" s="17"/>
      <c r="J78" s="17"/>
      <c r="K78" s="17"/>
      <c r="L78" s="17"/>
      <c r="M78" s="17"/>
      <c r="N78" s="17"/>
      <c r="O78" s="17"/>
      <c r="P78" s="17"/>
      <c r="Q78" s="17"/>
      <c r="R78" s="17"/>
      <c r="S78" s="17"/>
      <c r="T78" s="17"/>
      <c r="U78" s="17"/>
      <c r="V78" s="17"/>
      <c r="W78" s="17">
        <f>'Reopening Activities'!V14*$D78</f>
        <v>0</v>
      </c>
      <c r="X78" s="17">
        <f>'Reopening Activities'!W14*$D78</f>
        <v>0</v>
      </c>
      <c r="Y78" s="17">
        <f>'Reopening Activities'!X14*$D78</f>
        <v>0</v>
      </c>
      <c r="Z78" s="17">
        <f>'Reopening Activities'!Y14*$D78</f>
        <v>0</v>
      </c>
    </row>
    <row r="79" spans="2:26" x14ac:dyDescent="0.3">
      <c r="B79" s="9" t="s">
        <v>9</v>
      </c>
      <c r="C79" s="6">
        <f>'DY 22 &amp; DY 23 Assumptions'!C12</f>
        <v>65410</v>
      </c>
      <c r="D79" s="18">
        <f>'DY 22 &amp; DY 23 Assumptions'!I12</f>
        <v>63.263199999999998</v>
      </c>
      <c r="E79" s="9"/>
      <c r="F79" s="69">
        <f>E15*D79</f>
        <v>61905196.116791576</v>
      </c>
      <c r="G79" s="17"/>
      <c r="H79" s="17"/>
      <c r="I79" s="17"/>
      <c r="J79" s="17"/>
      <c r="K79" s="17"/>
      <c r="L79" s="17"/>
      <c r="M79" s="17"/>
      <c r="N79" s="17"/>
      <c r="O79" s="17"/>
      <c r="P79" s="17"/>
      <c r="Q79" s="17"/>
      <c r="R79" s="17"/>
      <c r="S79" s="17"/>
      <c r="T79" s="17"/>
      <c r="U79" s="17"/>
      <c r="V79" s="17"/>
      <c r="W79" s="17">
        <f>'Reopening Activities'!V15*$D79</f>
        <v>0</v>
      </c>
      <c r="X79" s="17">
        <f>'Reopening Activities'!W15*$D79</f>
        <v>0</v>
      </c>
      <c r="Y79" s="17">
        <f>'Reopening Activities'!X15*$D79</f>
        <v>0</v>
      </c>
      <c r="Z79" s="17">
        <f>'Reopening Activities'!Y15*$D79</f>
        <v>0</v>
      </c>
    </row>
    <row r="80" spans="2:26" x14ac:dyDescent="0.3">
      <c r="B80" s="5" t="s">
        <v>12</v>
      </c>
      <c r="C80" s="6">
        <f>'DY 22 &amp; DY 23 Assumptions'!C13</f>
        <v>134000</v>
      </c>
      <c r="D80" s="7"/>
      <c r="E80" s="24">
        <f>SUM(F80:AA80)</f>
        <v>109799276.06545042</v>
      </c>
      <c r="F80" s="40">
        <f t="shared" ref="F80:Z80" si="12">SUM(F82:F91)</f>
        <v>16469891.409817562</v>
      </c>
      <c r="G80" s="40">
        <f t="shared" si="12"/>
        <v>15554897.442605475</v>
      </c>
      <c r="H80" s="40">
        <f t="shared" si="12"/>
        <v>15554897.442605475</v>
      </c>
      <c r="I80" s="40">
        <f t="shared" si="12"/>
        <v>15554897.442605475</v>
      </c>
      <c r="J80" s="40">
        <f t="shared" si="12"/>
        <v>15554897.442605475</v>
      </c>
      <c r="K80" s="40">
        <f t="shared" si="12"/>
        <v>15554897.442605475</v>
      </c>
      <c r="L80" s="40">
        <f t="shared" si="12"/>
        <v>15554897.442605475</v>
      </c>
      <c r="M80" s="40">
        <f t="shared" si="12"/>
        <v>0</v>
      </c>
      <c r="N80" s="40">
        <f t="shared" si="12"/>
        <v>0</v>
      </c>
      <c r="O80" s="40">
        <f t="shared" si="12"/>
        <v>0</v>
      </c>
      <c r="P80" s="40">
        <f t="shared" si="12"/>
        <v>0</v>
      </c>
      <c r="Q80" s="40">
        <f t="shared" si="12"/>
        <v>0</v>
      </c>
      <c r="R80" s="40">
        <f t="shared" si="12"/>
        <v>0</v>
      </c>
      <c r="S80" s="40">
        <f t="shared" si="12"/>
        <v>0</v>
      </c>
      <c r="T80" s="40">
        <f t="shared" si="12"/>
        <v>0</v>
      </c>
      <c r="U80" s="40">
        <f t="shared" si="12"/>
        <v>0</v>
      </c>
      <c r="V80" s="40">
        <f t="shared" si="12"/>
        <v>0</v>
      </c>
      <c r="W80" s="40">
        <f t="shared" si="12"/>
        <v>0</v>
      </c>
      <c r="X80" s="40">
        <f t="shared" si="12"/>
        <v>0</v>
      </c>
      <c r="Y80" s="40">
        <f t="shared" si="12"/>
        <v>0</v>
      </c>
      <c r="Z80" s="40">
        <f t="shared" si="12"/>
        <v>0</v>
      </c>
    </row>
    <row r="81" spans="2:26" x14ac:dyDescent="0.3">
      <c r="B81" s="1" t="s">
        <v>13</v>
      </c>
      <c r="C81" s="46">
        <f>'DY 22 &amp; DY 23 Assumptions'!C14</f>
        <v>40000</v>
      </c>
      <c r="D81" s="18">
        <f>'DY 22 &amp; DY 23 Assumptions'!I14</f>
        <v>0</v>
      </c>
      <c r="E81" s="1"/>
      <c r="F81" s="16"/>
      <c r="G81" s="16"/>
      <c r="H81" s="16"/>
      <c r="I81" s="16"/>
      <c r="J81" s="16"/>
      <c r="K81" s="16"/>
      <c r="L81" s="16"/>
      <c r="M81" s="16"/>
      <c r="N81" s="16"/>
      <c r="O81" s="16"/>
      <c r="P81" s="16"/>
      <c r="Q81" s="16"/>
      <c r="R81" s="16"/>
      <c r="S81" s="16"/>
      <c r="T81" s="16"/>
      <c r="U81" s="16"/>
      <c r="V81" s="16"/>
      <c r="W81" s="16"/>
      <c r="X81" s="16"/>
      <c r="Y81" s="16"/>
      <c r="Z81" s="16"/>
    </row>
    <row r="82" spans="2:26" x14ac:dyDescent="0.3">
      <c r="B82" s="9" t="s">
        <v>14</v>
      </c>
      <c r="C82" s="6">
        <f>'DY 22 &amp; DY 23 Assumptions'!C15</f>
        <v>3303.594323266319</v>
      </c>
      <c r="D82" s="18">
        <f>'DY 22 &amp; DY 23 Assumptions'!I15</f>
        <v>50.987200000000001</v>
      </c>
      <c r="E82" s="9"/>
      <c r="F82" s="17">
        <f>(E18*D82)*0.15</f>
        <v>487498.02401017596</v>
      </c>
      <c r="G82" s="17">
        <f>((E18*D82)-F82)/6</f>
        <v>460414.80045405513</v>
      </c>
      <c r="H82" s="17">
        <f t="shared" ref="H82:L85" si="13">G82</f>
        <v>460414.80045405513</v>
      </c>
      <c r="I82" s="17">
        <f t="shared" si="13"/>
        <v>460414.80045405513</v>
      </c>
      <c r="J82" s="17">
        <f t="shared" si="13"/>
        <v>460414.80045405513</v>
      </c>
      <c r="K82" s="17">
        <f t="shared" si="13"/>
        <v>460414.80045405513</v>
      </c>
      <c r="L82" s="17">
        <f t="shared" si="13"/>
        <v>460414.80045405513</v>
      </c>
      <c r="M82" s="17"/>
      <c r="N82" s="17"/>
      <c r="O82" s="17"/>
      <c r="P82" s="17"/>
      <c r="Q82" s="17"/>
      <c r="R82" s="17"/>
      <c r="S82" s="17"/>
      <c r="T82" s="17"/>
      <c r="U82" s="17"/>
      <c r="V82" s="17"/>
      <c r="W82" s="17">
        <f>'Reopening Activities'!V18*$D82</f>
        <v>0</v>
      </c>
      <c r="X82" s="17">
        <f>'Reopening Activities'!W18*$D82</f>
        <v>0</v>
      </c>
      <c r="Y82" s="17">
        <f>'Reopening Activities'!X18*$D82</f>
        <v>0</v>
      </c>
      <c r="Z82" s="17">
        <f>'Reopening Activities'!Y18*$D82</f>
        <v>0</v>
      </c>
    </row>
    <row r="83" spans="2:26" x14ac:dyDescent="0.3">
      <c r="B83" s="9" t="s">
        <v>15</v>
      </c>
      <c r="C83" s="6">
        <f>'DY 22 &amp; DY 23 Assumptions'!C16</f>
        <v>2551.8690919397786</v>
      </c>
      <c r="D83" s="18">
        <f>'DY 22 &amp; DY 23 Assumptions'!I16</f>
        <v>51.788000000000004</v>
      </c>
      <c r="E83" s="9"/>
      <c r="F83" s="17">
        <f>(E19*D83)*0.15</f>
        <v>372969.69997704535</v>
      </c>
      <c r="G83" s="17">
        <f>((E19*D83)-F83)/6</f>
        <v>352249.16108943173</v>
      </c>
      <c r="H83" s="17">
        <f t="shared" si="13"/>
        <v>352249.16108943173</v>
      </c>
      <c r="I83" s="17">
        <f t="shared" si="13"/>
        <v>352249.16108943173</v>
      </c>
      <c r="J83" s="17">
        <f t="shared" si="13"/>
        <v>352249.16108943173</v>
      </c>
      <c r="K83" s="17">
        <f t="shared" si="13"/>
        <v>352249.16108943173</v>
      </c>
      <c r="L83" s="17">
        <f t="shared" si="13"/>
        <v>352249.16108943173</v>
      </c>
      <c r="M83" s="17"/>
      <c r="N83" s="17"/>
      <c r="O83" s="17"/>
      <c r="P83" s="17"/>
      <c r="Q83" s="17"/>
      <c r="R83" s="17"/>
      <c r="S83" s="17"/>
      <c r="T83" s="17"/>
      <c r="U83" s="17"/>
      <c r="V83" s="17"/>
      <c r="W83" s="17">
        <f>'Reopening Activities'!V19*$D83</f>
        <v>0</v>
      </c>
      <c r="X83" s="17">
        <f>'Reopening Activities'!W19*$D83</f>
        <v>0</v>
      </c>
      <c r="Y83" s="17">
        <f>'Reopening Activities'!X19*$D83</f>
        <v>0</v>
      </c>
      <c r="Z83" s="17">
        <f>'Reopening Activities'!Y19*$D83</f>
        <v>0</v>
      </c>
    </row>
    <row r="84" spans="2:26" x14ac:dyDescent="0.3">
      <c r="B84" s="9" t="s">
        <v>16</v>
      </c>
      <c r="C84" s="6">
        <f>'DY 22 &amp; DY 23 Assumptions'!C17</f>
        <v>5923.6927010875188</v>
      </c>
      <c r="D84" s="18">
        <f>'DY 22 &amp; DY 23 Assumptions'!I17</f>
        <v>46.068000000000005</v>
      </c>
      <c r="E84" s="9"/>
      <c r="F84" s="17">
        <f>(E20*D84)*0.15</f>
        <v>795308.41804963502</v>
      </c>
      <c r="G84" s="17">
        <f>((E20*D84)-F84)/6</f>
        <v>751124.61704687739</v>
      </c>
      <c r="H84" s="17">
        <f t="shared" si="13"/>
        <v>751124.61704687739</v>
      </c>
      <c r="I84" s="17">
        <f t="shared" si="13"/>
        <v>751124.61704687739</v>
      </c>
      <c r="J84" s="17">
        <f t="shared" si="13"/>
        <v>751124.61704687739</v>
      </c>
      <c r="K84" s="17">
        <f t="shared" si="13"/>
        <v>751124.61704687739</v>
      </c>
      <c r="L84" s="17">
        <f t="shared" si="13"/>
        <v>751124.61704687739</v>
      </c>
      <c r="M84" s="17"/>
      <c r="N84" s="17"/>
      <c r="O84" s="17"/>
      <c r="P84" s="17"/>
      <c r="Q84" s="17"/>
      <c r="R84" s="17"/>
      <c r="S84" s="17"/>
      <c r="T84" s="17"/>
      <c r="U84" s="17"/>
      <c r="V84" s="17"/>
      <c r="W84" s="17">
        <f>'Reopening Activities'!V20*$D84</f>
        <v>0</v>
      </c>
      <c r="X84" s="17">
        <f>'Reopening Activities'!W20*$D84</f>
        <v>0</v>
      </c>
      <c r="Y84" s="17">
        <f>'Reopening Activities'!X20*$D84</f>
        <v>0</v>
      </c>
      <c r="Z84" s="17">
        <f>'Reopening Activities'!Y20*$D84</f>
        <v>0</v>
      </c>
    </row>
    <row r="85" spans="2:26" x14ac:dyDescent="0.3">
      <c r="B85" s="9" t="s">
        <v>20</v>
      </c>
      <c r="C85" s="6">
        <f>'DY 22 &amp; DY 23 Assumptions'!C18</f>
        <v>28220.762318511068</v>
      </c>
      <c r="D85" s="18">
        <f>'DY 22 &amp; DY 23 Assumptions'!I18</f>
        <v>44.369599999999998</v>
      </c>
      <c r="E85" s="9"/>
      <c r="F85" s="17">
        <f>(E21*D85)*0.15</f>
        <v>3436493.2464126037</v>
      </c>
      <c r="G85" s="17">
        <f>((E21*D85)-F85)/6</f>
        <v>3245576.9549452364</v>
      </c>
      <c r="H85" s="17">
        <f t="shared" si="13"/>
        <v>3245576.9549452364</v>
      </c>
      <c r="I85" s="17">
        <f t="shared" si="13"/>
        <v>3245576.9549452364</v>
      </c>
      <c r="J85" s="17">
        <f t="shared" si="13"/>
        <v>3245576.9549452364</v>
      </c>
      <c r="K85" s="17">
        <f t="shared" si="13"/>
        <v>3245576.9549452364</v>
      </c>
      <c r="L85" s="17">
        <f t="shared" si="13"/>
        <v>3245576.9549452364</v>
      </c>
      <c r="M85" s="17"/>
      <c r="N85" s="17"/>
      <c r="O85" s="17"/>
      <c r="P85" s="17"/>
      <c r="Q85" s="17"/>
      <c r="R85" s="17"/>
      <c r="S85" s="17"/>
      <c r="T85" s="17"/>
      <c r="U85" s="17"/>
      <c r="V85" s="17"/>
      <c r="W85" s="17">
        <f>'Reopening Activities'!V21*$D85</f>
        <v>0</v>
      </c>
      <c r="X85" s="17">
        <f>'Reopening Activities'!W21*$D85</f>
        <v>0</v>
      </c>
      <c r="Y85" s="17">
        <f>'Reopening Activities'!X21*$D85</f>
        <v>0</v>
      </c>
      <c r="Z85" s="17">
        <f>'Reopening Activities'!Y21*$D85</f>
        <v>0</v>
      </c>
    </row>
    <row r="86" spans="2:26" x14ac:dyDescent="0.3">
      <c r="B86" s="9" t="s">
        <v>79</v>
      </c>
      <c r="C86" s="6">
        <f>'DY 22 &amp; DY 23 Assumptions'!C19</f>
        <v>0</v>
      </c>
      <c r="D86" s="18">
        <f>'DY 22 &amp; DY 23 Assumptions'!I19</f>
        <v>35.991999999999997</v>
      </c>
      <c r="E86" s="9"/>
      <c r="F86" s="17"/>
      <c r="G86" s="17"/>
      <c r="H86" s="17"/>
      <c r="I86" s="17"/>
      <c r="J86" s="17"/>
      <c r="K86" s="17"/>
      <c r="L86" s="17"/>
      <c r="M86" s="17"/>
      <c r="N86" s="17"/>
      <c r="O86" s="17"/>
      <c r="P86" s="17"/>
      <c r="Q86" s="17"/>
      <c r="R86" s="17"/>
      <c r="S86" s="17"/>
      <c r="T86" s="17"/>
      <c r="U86" s="17"/>
      <c r="V86" s="17"/>
      <c r="W86" s="17"/>
      <c r="X86" s="17"/>
      <c r="Y86" s="17"/>
      <c r="Z86" s="17"/>
    </row>
    <row r="87" spans="2:26" x14ac:dyDescent="0.3">
      <c r="B87" s="1" t="s">
        <v>18</v>
      </c>
      <c r="C87" s="46">
        <f>'DY 22 &amp; DY 23 Assumptions'!C20</f>
        <v>141300</v>
      </c>
      <c r="D87" s="14"/>
      <c r="E87" s="1"/>
      <c r="F87" s="122"/>
      <c r="G87" s="122"/>
      <c r="H87" s="16"/>
      <c r="I87" s="16"/>
      <c r="J87" s="16"/>
      <c r="K87" s="16"/>
      <c r="L87" s="16"/>
      <c r="M87" s="16"/>
      <c r="N87" s="16"/>
      <c r="O87" s="16"/>
      <c r="P87" s="16"/>
      <c r="Q87" s="16"/>
      <c r="R87" s="16"/>
      <c r="S87" s="16"/>
      <c r="T87" s="16"/>
      <c r="U87" s="16"/>
      <c r="V87" s="16"/>
      <c r="W87" s="16"/>
      <c r="X87" s="16"/>
      <c r="Y87" s="16"/>
      <c r="Z87" s="16"/>
    </row>
    <row r="88" spans="2:26" x14ac:dyDescent="0.3">
      <c r="B88" s="9" t="s">
        <v>19</v>
      </c>
      <c r="C88" s="6">
        <f>'DY 22 &amp; DY 23 Assumptions'!C21</f>
        <v>5343.698636985745</v>
      </c>
      <c r="D88" s="18">
        <f>'DY 22 &amp; DY 23 Assumptions'!I21</f>
        <v>54.7624</v>
      </c>
      <c r="E88" s="9"/>
      <c r="F88" s="17">
        <f>(E24*D88)*0.15</f>
        <v>526628.53622647771</v>
      </c>
      <c r="G88" s="17">
        <f>((E24*D88)-F88)/6</f>
        <v>497371.39532500674</v>
      </c>
      <c r="H88" s="17">
        <f t="shared" ref="H88:L91" si="14">G88</f>
        <v>497371.39532500674</v>
      </c>
      <c r="I88" s="17">
        <f t="shared" si="14"/>
        <v>497371.39532500674</v>
      </c>
      <c r="J88" s="17">
        <f t="shared" si="14"/>
        <v>497371.39532500674</v>
      </c>
      <c r="K88" s="17">
        <f t="shared" si="14"/>
        <v>497371.39532500674</v>
      </c>
      <c r="L88" s="17">
        <f t="shared" si="14"/>
        <v>497371.39532500674</v>
      </c>
      <c r="M88" s="17"/>
      <c r="N88" s="17"/>
      <c r="O88" s="17"/>
      <c r="P88" s="17"/>
      <c r="Q88" s="17"/>
      <c r="R88" s="17"/>
      <c r="S88" s="17"/>
      <c r="T88" s="17"/>
      <c r="U88" s="17"/>
      <c r="V88" s="17"/>
      <c r="W88" s="17">
        <f>'Reopening Activities'!V23*$D88</f>
        <v>0</v>
      </c>
      <c r="X88" s="17">
        <f>'Reopening Activities'!W23*$D88</f>
        <v>0</v>
      </c>
      <c r="Y88" s="17">
        <f>'Reopening Activities'!X23*$D88</f>
        <v>0</v>
      </c>
      <c r="Z88" s="17">
        <f>'Reopening Activities'!Y23*$D88</f>
        <v>0</v>
      </c>
    </row>
    <row r="89" spans="2:26" x14ac:dyDescent="0.3">
      <c r="B89" s="9" t="s">
        <v>15</v>
      </c>
      <c r="C89" s="6">
        <f>'DY 22 &amp; DY 23 Assumptions'!C22</f>
        <v>4161.1431571184839</v>
      </c>
      <c r="D89" s="18">
        <f>'DY 22 &amp; DY 23 Assumptions'!I22</f>
        <v>51.937600000000003</v>
      </c>
      <c r="E89" s="9"/>
      <c r="F89" s="17">
        <f>(E25*D89)*0.15</f>
        <v>385398.46084451355</v>
      </c>
      <c r="G89" s="17">
        <f>((E25*D89)-F89)/6</f>
        <v>363987.43524204061</v>
      </c>
      <c r="H89" s="17">
        <f t="shared" si="14"/>
        <v>363987.43524204061</v>
      </c>
      <c r="I89" s="17">
        <f t="shared" si="14"/>
        <v>363987.43524204061</v>
      </c>
      <c r="J89" s="17">
        <f t="shared" si="14"/>
        <v>363987.43524204061</v>
      </c>
      <c r="K89" s="17">
        <f t="shared" si="14"/>
        <v>363987.43524204061</v>
      </c>
      <c r="L89" s="17">
        <f t="shared" si="14"/>
        <v>363987.43524204061</v>
      </c>
      <c r="M89" s="17"/>
      <c r="N89" s="17"/>
      <c r="O89" s="17"/>
      <c r="P89" s="17"/>
      <c r="Q89" s="17"/>
      <c r="R89" s="17"/>
      <c r="S89" s="17"/>
      <c r="T89" s="17"/>
      <c r="U89" s="17"/>
      <c r="V89" s="17"/>
      <c r="W89" s="17">
        <f>'Reopening Activities'!V24*$D89</f>
        <v>0</v>
      </c>
      <c r="X89" s="17">
        <f>'Reopening Activities'!W24*$D89</f>
        <v>0</v>
      </c>
      <c r="Y89" s="17">
        <f>'Reopening Activities'!X24*$D89</f>
        <v>0</v>
      </c>
      <c r="Z89" s="17">
        <f>'Reopening Activities'!Y24*$D89</f>
        <v>0</v>
      </c>
    </row>
    <row r="90" spans="2:26" x14ac:dyDescent="0.3">
      <c r="B90" s="9" t="s">
        <v>16</v>
      </c>
      <c r="C90" s="6">
        <f>'DY 22 &amp; DY 23 Assumptions'!C23</f>
        <v>15422.770337410086</v>
      </c>
      <c r="D90" s="18">
        <f>'DY 22 &amp; DY 23 Assumptions'!I23</f>
        <v>46.736800000000002</v>
      </c>
      <c r="E90" s="9"/>
      <c r="F90" s="17">
        <f>(E26*D90)*0.15</f>
        <v>1280227.1706116453</v>
      </c>
      <c r="G90" s="17">
        <f>((E26*D90)-F90)/6</f>
        <v>1209103.4389109986</v>
      </c>
      <c r="H90" s="17">
        <f t="shared" si="14"/>
        <v>1209103.4389109986</v>
      </c>
      <c r="I90" s="17">
        <f t="shared" si="14"/>
        <v>1209103.4389109986</v>
      </c>
      <c r="J90" s="17">
        <f t="shared" si="14"/>
        <v>1209103.4389109986</v>
      </c>
      <c r="K90" s="17">
        <f t="shared" si="14"/>
        <v>1209103.4389109986</v>
      </c>
      <c r="L90" s="17">
        <f t="shared" si="14"/>
        <v>1209103.4389109986</v>
      </c>
      <c r="M90" s="17"/>
      <c r="N90" s="17"/>
      <c r="O90" s="17"/>
      <c r="P90" s="17"/>
      <c r="Q90" s="17"/>
      <c r="R90" s="17"/>
      <c r="S90" s="17"/>
      <c r="T90" s="17"/>
      <c r="U90" s="17"/>
      <c r="V90" s="17"/>
      <c r="W90" s="17">
        <f>'Reopening Activities'!V25*$D90</f>
        <v>0</v>
      </c>
      <c r="X90" s="17">
        <f>'Reopening Activities'!W25*$D90</f>
        <v>0</v>
      </c>
      <c r="Y90" s="17">
        <f>'Reopening Activities'!X25*$D90</f>
        <v>0</v>
      </c>
      <c r="Z90" s="17">
        <f>'Reopening Activities'!Y25*$D90</f>
        <v>0</v>
      </c>
    </row>
    <row r="91" spans="2:26" x14ac:dyDescent="0.3">
      <c r="B91" s="9" t="s">
        <v>20</v>
      </c>
      <c r="C91" s="6">
        <f>'DY 22 &amp; DY 23 Assumptions'!C24</f>
        <v>116372.33880997168</v>
      </c>
      <c r="D91" s="18">
        <f>'DY 22 &amp; DY 23 Assumptions'!I24</f>
        <v>41.914400000000001</v>
      </c>
      <c r="E91" s="9"/>
      <c r="F91" s="17">
        <f>(E27*D91)*0.15</f>
        <v>9185367.8536854647</v>
      </c>
      <c r="G91" s="17">
        <f>((E27*D91)-F91)/6</f>
        <v>8675069.639591828</v>
      </c>
      <c r="H91" s="17">
        <f t="shared" si="14"/>
        <v>8675069.639591828</v>
      </c>
      <c r="I91" s="17">
        <f t="shared" si="14"/>
        <v>8675069.639591828</v>
      </c>
      <c r="J91" s="17">
        <f t="shared" si="14"/>
        <v>8675069.639591828</v>
      </c>
      <c r="K91" s="17">
        <f t="shared" si="14"/>
        <v>8675069.639591828</v>
      </c>
      <c r="L91" s="17">
        <f t="shared" si="14"/>
        <v>8675069.639591828</v>
      </c>
      <c r="M91" s="17"/>
      <c r="N91" s="17"/>
      <c r="O91" s="17"/>
      <c r="P91" s="17"/>
      <c r="Q91" s="17"/>
      <c r="R91" s="17"/>
      <c r="S91" s="17"/>
      <c r="T91" s="17"/>
      <c r="U91" s="17"/>
      <c r="V91" s="17"/>
      <c r="W91" s="17">
        <f>'Reopening Activities'!V26*$D91</f>
        <v>0</v>
      </c>
      <c r="X91" s="17">
        <f>'Reopening Activities'!W26*$D91</f>
        <v>0</v>
      </c>
      <c r="Y91" s="17">
        <f>'Reopening Activities'!X26*$D91</f>
        <v>0</v>
      </c>
      <c r="Z91" s="17">
        <f>'Reopening Activities'!Y26*$D91</f>
        <v>0</v>
      </c>
    </row>
    <row r="92" spans="2:26" x14ac:dyDescent="0.3">
      <c r="B92" s="9" t="s">
        <v>79</v>
      </c>
      <c r="C92" s="6">
        <f>'DY 22 &amp; DY 23 Assumptions'!C25</f>
        <v>0</v>
      </c>
      <c r="D92" s="18">
        <f>'DY 22 &amp; DY 23 Assumptions'!I25</f>
        <v>29.312800000000003</v>
      </c>
      <c r="E92" s="9"/>
      <c r="F92" s="17"/>
      <c r="G92" s="17"/>
      <c r="H92" s="17"/>
      <c r="I92" s="17"/>
      <c r="J92" s="17"/>
      <c r="K92" s="17"/>
      <c r="L92" s="17"/>
      <c r="M92" s="17"/>
      <c r="N92" s="17"/>
      <c r="O92" s="17"/>
      <c r="P92" s="17"/>
      <c r="Q92" s="17"/>
      <c r="R92" s="17"/>
      <c r="S92" s="17"/>
      <c r="T92" s="17"/>
      <c r="U92" s="17"/>
      <c r="V92" s="17"/>
      <c r="W92" s="17"/>
      <c r="X92" s="17"/>
      <c r="Y92" s="17"/>
      <c r="Z92" s="17"/>
    </row>
    <row r="93" spans="2:26" x14ac:dyDescent="0.3">
      <c r="B93" s="5" t="s">
        <v>249</v>
      </c>
      <c r="C93" s="6">
        <f>'DY 22 &amp; DY 23 Assumptions'!C26</f>
        <v>160000</v>
      </c>
      <c r="D93" s="7"/>
      <c r="E93" s="40">
        <f>SUM(F93:Z93)</f>
        <v>269897459.77508956</v>
      </c>
      <c r="F93" s="40">
        <f t="shared" ref="F93:Z93" si="15">SUM(F94:F95)</f>
        <v>0</v>
      </c>
      <c r="G93" s="40">
        <f t="shared" si="15"/>
        <v>14147123.318793274</v>
      </c>
      <c r="H93" s="40">
        <f t="shared" si="15"/>
        <v>14076387.702199306</v>
      </c>
      <c r="I93" s="40">
        <f t="shared" si="15"/>
        <v>14006005.763688311</v>
      </c>
      <c r="J93" s="40">
        <f t="shared" si="15"/>
        <v>13935975.734869869</v>
      </c>
      <c r="K93" s="40">
        <f t="shared" si="15"/>
        <v>13866295.856195521</v>
      </c>
      <c r="L93" s="40">
        <f t="shared" si="15"/>
        <v>13796964.376914542</v>
      </c>
      <c r="M93" s="40">
        <f t="shared" si="15"/>
        <v>13727979.55502997</v>
      </c>
      <c r="N93" s="40">
        <f t="shared" si="15"/>
        <v>13659339.657254821</v>
      </c>
      <c r="O93" s="40">
        <f t="shared" si="15"/>
        <v>13591042.958968544</v>
      </c>
      <c r="P93" s="40">
        <f t="shared" si="15"/>
        <v>13523087.744173702</v>
      </c>
      <c r="Q93" s="40">
        <f t="shared" si="15"/>
        <v>13455472.305452833</v>
      </c>
      <c r="R93" s="40">
        <f t="shared" si="15"/>
        <v>13388194.943925569</v>
      </c>
      <c r="S93" s="40">
        <f t="shared" si="15"/>
        <v>13321253.969205942</v>
      </c>
      <c r="T93" s="40">
        <f t="shared" si="15"/>
        <v>13254647.699359912</v>
      </c>
      <c r="U93" s="40">
        <f t="shared" si="15"/>
        <v>13188374.460863113</v>
      </c>
      <c r="V93" s="40">
        <f t="shared" si="15"/>
        <v>13122432.588558799</v>
      </c>
      <c r="W93" s="40">
        <f t="shared" si="15"/>
        <v>13056820.425616004</v>
      </c>
      <c r="X93" s="40">
        <f t="shared" si="15"/>
        <v>12991536.323487923</v>
      </c>
      <c r="Y93" s="40">
        <f t="shared" si="15"/>
        <v>12926578.641870482</v>
      </c>
      <c r="Z93" s="40">
        <f t="shared" si="15"/>
        <v>12861945.748661131</v>
      </c>
    </row>
    <row r="94" spans="2:26" x14ac:dyDescent="0.3">
      <c r="B94" s="1" t="s">
        <v>22</v>
      </c>
      <c r="C94" s="46">
        <f>'DY 22 &amp; DY 23 Assumptions'!C27</f>
        <v>48000</v>
      </c>
      <c r="D94" s="18">
        <f>'DY 22 &amp; DY 23 Assumptions'!I33</f>
        <v>45.1616</v>
      </c>
      <c r="E94" s="9"/>
      <c r="F94" s="66"/>
      <c r="G94" s="17">
        <f>'DY 2023 Activities'!G30*$D94</f>
        <v>4015210.5337931137</v>
      </c>
      <c r="H94" s="17">
        <f t="shared" ref="H94:Z94" si="16">H30*$D94</f>
        <v>3995134.4811241482</v>
      </c>
      <c r="I94" s="17">
        <f t="shared" si="16"/>
        <v>3975158.8087185272</v>
      </c>
      <c r="J94" s="17">
        <f t="shared" si="16"/>
        <v>3955283.014674935</v>
      </c>
      <c r="K94" s="17">
        <f t="shared" si="16"/>
        <v>3935506.5996015603</v>
      </c>
      <c r="L94" s="17">
        <f t="shared" si="16"/>
        <v>3915829.0666035521</v>
      </c>
      <c r="M94" s="17">
        <f t="shared" si="16"/>
        <v>3896249.9212705344</v>
      </c>
      <c r="N94" s="17">
        <f t="shared" si="16"/>
        <v>3876768.6716641821</v>
      </c>
      <c r="O94" s="17">
        <f t="shared" si="16"/>
        <v>3857384.828305861</v>
      </c>
      <c r="P94" s="17">
        <f t="shared" si="16"/>
        <v>3838097.904164332</v>
      </c>
      <c r="Q94" s="17">
        <f t="shared" si="16"/>
        <v>3818907.4146435098</v>
      </c>
      <c r="R94" s="17">
        <f t="shared" si="16"/>
        <v>3799812.8775702924</v>
      </c>
      <c r="S94" s="17">
        <f t="shared" si="16"/>
        <v>3780813.8131824411</v>
      </c>
      <c r="T94" s="17">
        <f t="shared" si="16"/>
        <v>3761909.7441165289</v>
      </c>
      <c r="U94" s="17">
        <f t="shared" si="16"/>
        <v>3743100.195395946</v>
      </c>
      <c r="V94" s="17">
        <f t="shared" si="16"/>
        <v>3724384.6944189663</v>
      </c>
      <c r="W94" s="17">
        <f t="shared" si="16"/>
        <v>3705762.770946871</v>
      </c>
      <c r="X94" s="17">
        <f t="shared" si="16"/>
        <v>3687233.9570921366</v>
      </c>
      <c r="Y94" s="17">
        <f t="shared" si="16"/>
        <v>3668797.7873066757</v>
      </c>
      <c r="Z94" s="17">
        <f t="shared" si="16"/>
        <v>3650453.7983701425</v>
      </c>
    </row>
    <row r="95" spans="2:26" x14ac:dyDescent="0.3">
      <c r="B95" s="1" t="s">
        <v>24</v>
      </c>
      <c r="C95" s="46">
        <f>'DY 22 &amp; DY 23 Assumptions'!C35</f>
        <v>112000</v>
      </c>
      <c r="D95" s="18">
        <f>'DY 22 &amp; DY 23 Assumptions'!I41</f>
        <v>48.84</v>
      </c>
      <c r="E95" s="9"/>
      <c r="F95" s="66"/>
      <c r="G95" s="17">
        <f>'DY 2023 Activities'!G31*$D95</f>
        <v>10131912.78500016</v>
      </c>
      <c r="H95" s="17">
        <f t="shared" ref="H95:Z95" si="17">H31*$D95</f>
        <v>10081253.221075159</v>
      </c>
      <c r="I95" s="17">
        <f t="shared" si="17"/>
        <v>10030846.954969784</v>
      </c>
      <c r="J95" s="17">
        <f t="shared" si="17"/>
        <v>9980692.7201949339</v>
      </c>
      <c r="K95" s="17">
        <f t="shared" si="17"/>
        <v>9930789.2565939594</v>
      </c>
      <c r="L95" s="17">
        <f t="shared" si="17"/>
        <v>9881135.3103109896</v>
      </c>
      <c r="M95" s="17">
        <f t="shared" si="17"/>
        <v>9831729.6337594353</v>
      </c>
      <c r="N95" s="17">
        <f t="shared" si="17"/>
        <v>9782570.9855906386</v>
      </c>
      <c r="O95" s="17">
        <f t="shared" si="17"/>
        <v>9733658.1306626834</v>
      </c>
      <c r="P95" s="17">
        <f t="shared" si="17"/>
        <v>9684989.8400093708</v>
      </c>
      <c r="Q95" s="17">
        <f t="shared" si="17"/>
        <v>9636564.8908093236</v>
      </c>
      <c r="R95" s="17">
        <f t="shared" si="17"/>
        <v>9588382.0663552769</v>
      </c>
      <c r="S95" s="17">
        <f t="shared" si="17"/>
        <v>9540440.1560235005</v>
      </c>
      <c r="T95" s="17">
        <f t="shared" si="17"/>
        <v>9492737.9552433826</v>
      </c>
      <c r="U95" s="17">
        <f t="shared" si="17"/>
        <v>9445274.2654671669</v>
      </c>
      <c r="V95" s="17">
        <f t="shared" si="17"/>
        <v>9398047.8941398319</v>
      </c>
      <c r="W95" s="17">
        <f t="shared" si="17"/>
        <v>9351057.6546691321</v>
      </c>
      <c r="X95" s="17">
        <f t="shared" si="17"/>
        <v>9304302.3663957864</v>
      </c>
      <c r="Y95" s="17">
        <f t="shared" si="17"/>
        <v>9257780.8545638062</v>
      </c>
      <c r="Z95" s="17">
        <f t="shared" si="17"/>
        <v>9211491.9502909873</v>
      </c>
    </row>
    <row r="96" spans="2:26" x14ac:dyDescent="0.3">
      <c r="B96" s="5" t="s">
        <v>25</v>
      </c>
      <c r="C96" s="6">
        <f>'DY 22 &amp; DY 23 Assumptions'!C43</f>
        <v>199350</v>
      </c>
      <c r="D96" s="7"/>
      <c r="E96" s="24">
        <f>SUM(F96:AA96)</f>
        <v>152527840.91639829</v>
      </c>
      <c r="F96" s="40">
        <f t="shared" ref="F96:Z96" si="18">SUM(F97:F109)</f>
        <v>7994999.9410580872</v>
      </c>
      <c r="G96" s="40">
        <f t="shared" si="18"/>
        <v>7955024.9413527967</v>
      </c>
      <c r="H96" s="40">
        <f t="shared" si="18"/>
        <v>7915249.816646032</v>
      </c>
      <c r="I96" s="40">
        <f t="shared" si="18"/>
        <v>7875673.5675628018</v>
      </c>
      <c r="J96" s="40">
        <f t="shared" si="18"/>
        <v>7836295.1997249871</v>
      </c>
      <c r="K96" s="40">
        <f t="shared" si="18"/>
        <v>7797113.7237263639</v>
      </c>
      <c r="L96" s="40">
        <f t="shared" si="18"/>
        <v>7758128.155107731</v>
      </c>
      <c r="M96" s="40">
        <f t="shared" si="18"/>
        <v>7719337.514332192</v>
      </c>
      <c r="N96" s="40">
        <f t="shared" si="18"/>
        <v>7680740.8267605323</v>
      </c>
      <c r="O96" s="40">
        <f t="shared" si="18"/>
        <v>7642337.1226267302</v>
      </c>
      <c r="P96" s="40">
        <f t="shared" si="18"/>
        <v>7604125.4370135954</v>
      </c>
      <c r="Q96" s="40">
        <f t="shared" si="18"/>
        <v>7566104.8098285282</v>
      </c>
      <c r="R96" s="40">
        <f t="shared" si="18"/>
        <v>7528274.2857793849</v>
      </c>
      <c r="S96" s="40">
        <f t="shared" si="18"/>
        <v>7490632.9143504873</v>
      </c>
      <c r="T96" s="40">
        <f t="shared" si="18"/>
        <v>7453179.7497787355</v>
      </c>
      <c r="U96" s="40">
        <f t="shared" si="18"/>
        <v>7415913.8510298431</v>
      </c>
      <c r="V96" s="40">
        <f t="shared" si="18"/>
        <v>7378834.2817746932</v>
      </c>
      <c r="W96" s="40">
        <f t="shared" si="18"/>
        <v>7341940.1103658192</v>
      </c>
      <c r="X96" s="40">
        <f t="shared" si="18"/>
        <v>7305230.4098139908</v>
      </c>
      <c r="Y96" s="40">
        <f t="shared" si="18"/>
        <v>7268704.2577649206</v>
      </c>
      <c r="Z96" s="40">
        <f t="shared" si="18"/>
        <v>0</v>
      </c>
    </row>
    <row r="97" spans="2:26" x14ac:dyDescent="0.3">
      <c r="B97" s="1" t="s">
        <v>26</v>
      </c>
      <c r="C97" s="46">
        <f>'DY 22 &amp; DY 23 Assumptions'!C44</f>
        <v>80000</v>
      </c>
      <c r="D97" s="14"/>
      <c r="E97" s="1"/>
      <c r="F97" s="122"/>
      <c r="G97" s="122"/>
      <c r="H97" s="122"/>
      <c r="I97" s="122"/>
      <c r="J97" s="122"/>
      <c r="K97" s="122"/>
      <c r="L97" s="122"/>
      <c r="M97" s="122"/>
      <c r="N97" s="122"/>
      <c r="O97" s="122"/>
      <c r="P97" s="122"/>
      <c r="Q97" s="122"/>
      <c r="R97" s="122"/>
      <c r="S97" s="122"/>
      <c r="T97" s="122"/>
      <c r="U97" s="122"/>
      <c r="V97" s="122"/>
      <c r="W97" s="122"/>
      <c r="X97" s="122"/>
      <c r="Y97" s="122"/>
      <c r="Z97" s="1"/>
    </row>
    <row r="98" spans="2:26" x14ac:dyDescent="0.3">
      <c r="B98" s="9" t="s">
        <v>27</v>
      </c>
      <c r="C98" s="6">
        <f>'DY 22 &amp; DY 23 Assumptions'!C45</f>
        <v>3703.7037037037035</v>
      </c>
      <c r="D98" s="18">
        <f>'DY 22 &amp; DY 23 Assumptions'!I45</f>
        <v>65.956000000000003</v>
      </c>
      <c r="E98" s="9"/>
      <c r="F98" s="17">
        <f t="shared" ref="F98:Y98" si="19">F34*$D$98</f>
        <v>135740.53754393</v>
      </c>
      <c r="G98" s="17">
        <f t="shared" si="19"/>
        <v>135061.83485621033</v>
      </c>
      <c r="H98" s="17">
        <f t="shared" si="19"/>
        <v>134386.52568192928</v>
      </c>
      <c r="I98" s="17">
        <f t="shared" si="19"/>
        <v>133714.59305351964</v>
      </c>
      <c r="J98" s="17">
        <f t="shared" si="19"/>
        <v>133046.02008825206</v>
      </c>
      <c r="K98" s="17">
        <f t="shared" si="19"/>
        <v>132380.7899878108</v>
      </c>
      <c r="L98" s="17">
        <f t="shared" si="19"/>
        <v>131718.88603787174</v>
      </c>
      <c r="M98" s="17">
        <f t="shared" si="19"/>
        <v>131060.29160768237</v>
      </c>
      <c r="N98" s="17">
        <f t="shared" si="19"/>
        <v>130404.99014964397</v>
      </c>
      <c r="O98" s="17">
        <f t="shared" si="19"/>
        <v>129752.96519889575</v>
      </c>
      <c r="P98" s="17">
        <f t="shared" si="19"/>
        <v>129104.20037290126</v>
      </c>
      <c r="Q98" s="17">
        <f t="shared" si="19"/>
        <v>128458.67937103676</v>
      </c>
      <c r="R98" s="17">
        <f t="shared" si="19"/>
        <v>127816.38597418157</v>
      </c>
      <c r="S98" s="17">
        <f t="shared" si="19"/>
        <v>127177.30404431066</v>
      </c>
      <c r="T98" s="17">
        <f t="shared" si="19"/>
        <v>126541.41752408911</v>
      </c>
      <c r="U98" s="17">
        <f t="shared" si="19"/>
        <v>125908.71043646867</v>
      </c>
      <c r="V98" s="17">
        <f t="shared" si="19"/>
        <v>125279.16688428631</v>
      </c>
      <c r="W98" s="17">
        <f t="shared" si="19"/>
        <v>124652.77104986488</v>
      </c>
      <c r="X98" s="17">
        <f t="shared" si="19"/>
        <v>124029.50719461557</v>
      </c>
      <c r="Y98" s="17">
        <f t="shared" si="19"/>
        <v>123409.35965864248</v>
      </c>
      <c r="Z98" s="17">
        <f>'Reopening Activities'!Z32*$D98</f>
        <v>0</v>
      </c>
    </row>
    <row r="99" spans="2:26" x14ac:dyDescent="0.3">
      <c r="B99" s="9" t="s">
        <v>19</v>
      </c>
      <c r="C99" s="6">
        <f>'DY 22 &amp; DY 23 Assumptions'!C46</f>
        <v>4444.4444444444443</v>
      </c>
      <c r="D99" s="18">
        <f>'DY 22 &amp; DY 23 Assumptions'!I46</f>
        <v>57.701599999999992</v>
      </c>
      <c r="E99" s="9"/>
      <c r="F99" s="17">
        <f t="shared" ref="F99:Y99" si="20">F35*$D99</f>
        <v>142503.11482463757</v>
      </c>
      <c r="G99" s="17">
        <f t="shared" si="20"/>
        <v>141790.59925051438</v>
      </c>
      <c r="H99" s="17">
        <f t="shared" si="20"/>
        <v>141081.64625426181</v>
      </c>
      <c r="I99" s="17">
        <f t="shared" si="20"/>
        <v>140376.2380229905</v>
      </c>
      <c r="J99" s="17">
        <f t="shared" si="20"/>
        <v>139674.35683287555</v>
      </c>
      <c r="K99" s="17">
        <f t="shared" si="20"/>
        <v>138975.98504871118</v>
      </c>
      <c r="L99" s="17">
        <f t="shared" si="20"/>
        <v>138281.10512346763</v>
      </c>
      <c r="M99" s="17">
        <f t="shared" si="20"/>
        <v>137589.69959785027</v>
      </c>
      <c r="N99" s="17">
        <f t="shared" si="20"/>
        <v>136901.75109986102</v>
      </c>
      <c r="O99" s="17">
        <f t="shared" si="20"/>
        <v>136217.24234436173</v>
      </c>
      <c r="P99" s="17">
        <f t="shared" si="20"/>
        <v>135536.15613263991</v>
      </c>
      <c r="Q99" s="17">
        <f t="shared" si="20"/>
        <v>134858.47535197673</v>
      </c>
      <c r="R99" s="17">
        <f t="shared" si="20"/>
        <v>134184.18297521683</v>
      </c>
      <c r="S99" s="17">
        <f t="shared" si="20"/>
        <v>133513.26206034073</v>
      </c>
      <c r="T99" s="17">
        <f t="shared" si="20"/>
        <v>132845.69575003904</v>
      </c>
      <c r="U99" s="17">
        <f t="shared" si="20"/>
        <v>132181.46727128883</v>
      </c>
      <c r="V99" s="17">
        <f t="shared" si="20"/>
        <v>131520.55993493239</v>
      </c>
      <c r="W99" s="17">
        <f t="shared" si="20"/>
        <v>130862.95713525772</v>
      </c>
      <c r="X99" s="17">
        <f t="shared" si="20"/>
        <v>130208.64234958144</v>
      </c>
      <c r="Y99" s="17">
        <f t="shared" si="20"/>
        <v>129557.59913783353</v>
      </c>
      <c r="Z99" s="17">
        <f>'Reopening Activities'!Z33*$D99</f>
        <v>0</v>
      </c>
    </row>
    <row r="100" spans="2:26" x14ac:dyDescent="0.3">
      <c r="B100" s="9" t="s">
        <v>15</v>
      </c>
      <c r="C100" s="6">
        <f>'DY 22 &amp; DY 23 Assumptions'!C47</f>
        <v>17037.037037037036</v>
      </c>
      <c r="D100" s="18">
        <f>'DY 22 &amp; DY 23 Assumptions'!I47</f>
        <v>58.432000000000002</v>
      </c>
      <c r="E100" s="9"/>
      <c r="F100" s="17">
        <f t="shared" ref="F100:Y100" si="21">F36*$D100</f>
        <v>553176.64826441603</v>
      </c>
      <c r="G100" s="17">
        <f t="shared" si="21"/>
        <v>550410.7650230939</v>
      </c>
      <c r="H100" s="17">
        <f t="shared" si="21"/>
        <v>547658.71119797858</v>
      </c>
      <c r="I100" s="17">
        <f t="shared" si="21"/>
        <v>544920.41764198861</v>
      </c>
      <c r="J100" s="17">
        <f t="shared" si="21"/>
        <v>542195.81555377855</v>
      </c>
      <c r="K100" s="17">
        <f t="shared" si="21"/>
        <v>539484.83647600969</v>
      </c>
      <c r="L100" s="17">
        <f t="shared" si="21"/>
        <v>536787.4122936296</v>
      </c>
      <c r="M100" s="17">
        <f t="shared" si="21"/>
        <v>534103.47523216147</v>
      </c>
      <c r="N100" s="17">
        <f t="shared" si="21"/>
        <v>531432.95785600075</v>
      </c>
      <c r="O100" s="17">
        <f t="shared" si="21"/>
        <v>528775.79306672071</v>
      </c>
      <c r="P100" s="17">
        <f t="shared" si="21"/>
        <v>526131.91410138702</v>
      </c>
      <c r="Q100" s="17">
        <f t="shared" si="21"/>
        <v>523501.25453088008</v>
      </c>
      <c r="R100" s="17">
        <f t="shared" si="21"/>
        <v>520883.74825822568</v>
      </c>
      <c r="S100" s="17">
        <f t="shared" si="21"/>
        <v>518279.32951693458</v>
      </c>
      <c r="T100" s="17">
        <f t="shared" si="21"/>
        <v>515687.93286934996</v>
      </c>
      <c r="U100" s="17">
        <f t="shared" si="21"/>
        <v>513109.49320500315</v>
      </c>
      <c r="V100" s="17">
        <f t="shared" si="21"/>
        <v>510543.9457389781</v>
      </c>
      <c r="W100" s="17">
        <f t="shared" si="21"/>
        <v>507991.22601028322</v>
      </c>
      <c r="X100" s="17">
        <f t="shared" si="21"/>
        <v>505451.26988023176</v>
      </c>
      <c r="Y100" s="17">
        <f t="shared" si="21"/>
        <v>502924.01353083062</v>
      </c>
      <c r="Z100" s="17">
        <f>'Reopening Activities'!Z34*$D100</f>
        <v>0</v>
      </c>
    </row>
    <row r="101" spans="2:26" x14ac:dyDescent="0.3">
      <c r="B101" s="9" t="s">
        <v>16</v>
      </c>
      <c r="C101" s="6">
        <f>'DY 22 &amp; DY 23 Assumptions'!C48</f>
        <v>36296.296296296299</v>
      </c>
      <c r="D101" s="18">
        <f>'DY 22 &amp; DY 23 Assumptions'!I48</f>
        <v>51.867199999999997</v>
      </c>
      <c r="E101" s="9"/>
      <c r="F101" s="17">
        <f t="shared" ref="F101:Y101" si="22">F37*$D101</f>
        <v>1046102.2464552968</v>
      </c>
      <c r="G101" s="17">
        <f t="shared" si="22"/>
        <v>1040871.7352230204</v>
      </c>
      <c r="H101" s="17">
        <f t="shared" si="22"/>
        <v>1035667.3765469053</v>
      </c>
      <c r="I101" s="17">
        <f t="shared" si="22"/>
        <v>1030489.0396641707</v>
      </c>
      <c r="J101" s="17">
        <f t="shared" si="22"/>
        <v>1025336.5944658499</v>
      </c>
      <c r="K101" s="17">
        <f t="shared" si="22"/>
        <v>1020209.9114935206</v>
      </c>
      <c r="L101" s="17">
        <f t="shared" si="22"/>
        <v>1015108.8619360531</v>
      </c>
      <c r="M101" s="17">
        <f t="shared" si="22"/>
        <v>1010033.3176263729</v>
      </c>
      <c r="N101" s="17">
        <f t="shared" si="22"/>
        <v>1004983.151038241</v>
      </c>
      <c r="O101" s="17">
        <f t="shared" si="22"/>
        <v>999958.23528304975</v>
      </c>
      <c r="P101" s="17">
        <f t="shared" si="22"/>
        <v>994958.44410663447</v>
      </c>
      <c r="Q101" s="17">
        <f t="shared" si="22"/>
        <v>989983.65188610123</v>
      </c>
      <c r="R101" s="17">
        <f t="shared" si="22"/>
        <v>985033.73362667079</v>
      </c>
      <c r="S101" s="17">
        <f t="shared" si="22"/>
        <v>980108.56495853746</v>
      </c>
      <c r="T101" s="17">
        <f t="shared" si="22"/>
        <v>975208.0221337449</v>
      </c>
      <c r="U101" s="17">
        <f t="shared" si="22"/>
        <v>970331.98202307615</v>
      </c>
      <c r="V101" s="17">
        <f t="shared" si="22"/>
        <v>965480.32211296074</v>
      </c>
      <c r="W101" s="17">
        <f t="shared" si="22"/>
        <v>960652.92050239607</v>
      </c>
      <c r="X101" s="17">
        <f t="shared" si="22"/>
        <v>955849.65589988395</v>
      </c>
      <c r="Y101" s="17">
        <f t="shared" si="22"/>
        <v>951070.40762038447</v>
      </c>
      <c r="Z101" s="17">
        <f>'Reopening Activities'!Z35*$D101</f>
        <v>0</v>
      </c>
    </row>
    <row r="102" spans="2:26" x14ac:dyDescent="0.3">
      <c r="B102" s="9" t="s">
        <v>20</v>
      </c>
      <c r="C102" s="6">
        <f>'DY 22 &amp; DY 23 Assumptions'!C49</f>
        <v>18518.518518518518</v>
      </c>
      <c r="D102" s="18">
        <f>'DY 22 &amp; DY 23 Assumptions'!I49</f>
        <v>49.922399999999996</v>
      </c>
      <c r="E102" s="9"/>
      <c r="F102" s="17">
        <f t="shared" ref="F102:Y102" si="23">F38*$D102</f>
        <v>513713.18845010991</v>
      </c>
      <c r="G102" s="17">
        <f t="shared" si="23"/>
        <v>511144.62250785943</v>
      </c>
      <c r="H102" s="17">
        <f t="shared" si="23"/>
        <v>508588.8993953201</v>
      </c>
      <c r="I102" s="17">
        <f t="shared" si="23"/>
        <v>506045.95489834354</v>
      </c>
      <c r="J102" s="17">
        <f t="shared" si="23"/>
        <v>503515.72512385185</v>
      </c>
      <c r="K102" s="17">
        <f t="shared" si="23"/>
        <v>500998.14649823256</v>
      </c>
      <c r="L102" s="17">
        <f t="shared" si="23"/>
        <v>498493.15576574137</v>
      </c>
      <c r="M102" s="17">
        <f t="shared" si="23"/>
        <v>496000.68998691265</v>
      </c>
      <c r="N102" s="17">
        <f t="shared" si="23"/>
        <v>493520.68653697806</v>
      </c>
      <c r="O102" s="17">
        <f t="shared" si="23"/>
        <v>491053.08310429315</v>
      </c>
      <c r="P102" s="17">
        <f t="shared" si="23"/>
        <v>488597.81768877164</v>
      </c>
      <c r="Q102" s="17">
        <f t="shared" si="23"/>
        <v>486154.82860032783</v>
      </c>
      <c r="R102" s="17">
        <f t="shared" si="23"/>
        <v>483724.05445732619</v>
      </c>
      <c r="S102" s="17">
        <f t="shared" si="23"/>
        <v>481305.43418503954</v>
      </c>
      <c r="T102" s="17">
        <f t="shared" si="23"/>
        <v>478898.90701411437</v>
      </c>
      <c r="U102" s="17">
        <f t="shared" si="23"/>
        <v>476504.41247904376</v>
      </c>
      <c r="V102" s="17">
        <f t="shared" si="23"/>
        <v>474121.89041664853</v>
      </c>
      <c r="W102" s="17">
        <f t="shared" si="23"/>
        <v>471751.28096456523</v>
      </c>
      <c r="X102" s="17">
        <f t="shared" si="23"/>
        <v>469392.52455974242</v>
      </c>
      <c r="Y102" s="17">
        <f t="shared" si="23"/>
        <v>467045.56193694368</v>
      </c>
      <c r="Z102" s="17">
        <f>'Reopening Activities'!Z36*$D102</f>
        <v>0</v>
      </c>
    </row>
    <row r="103" spans="2:26" x14ac:dyDescent="0.3">
      <c r="B103" s="9" t="s">
        <v>79</v>
      </c>
      <c r="C103" s="6">
        <f>'DY 22 &amp; DY 23 Assumptions'!C50</f>
        <v>0</v>
      </c>
      <c r="D103" s="18">
        <f>'DY 22 &amp; DY 23 Assumptions'!I50</f>
        <v>40.233600000000003</v>
      </c>
      <c r="E103" s="9"/>
      <c r="F103" s="17"/>
      <c r="G103" s="17"/>
      <c r="H103" s="17"/>
      <c r="I103" s="17"/>
      <c r="J103" s="17"/>
      <c r="K103" s="17"/>
      <c r="L103" s="17"/>
      <c r="M103" s="17"/>
      <c r="N103" s="17"/>
      <c r="O103" s="17"/>
      <c r="P103" s="17"/>
      <c r="Q103" s="17"/>
      <c r="R103" s="17"/>
      <c r="S103" s="17"/>
      <c r="T103" s="17"/>
      <c r="U103" s="17"/>
      <c r="V103" s="17"/>
      <c r="W103" s="17"/>
      <c r="X103" s="17"/>
      <c r="Y103" s="17"/>
      <c r="Z103" s="17"/>
    </row>
    <row r="104" spans="2:26" x14ac:dyDescent="0.3">
      <c r="B104" s="1" t="s">
        <v>28</v>
      </c>
      <c r="C104" s="46">
        <f>'DY 22 &amp; DY 23 Assumptions'!C51</f>
        <v>119350</v>
      </c>
      <c r="D104" s="14"/>
      <c r="E104" s="1"/>
      <c r="F104" s="122"/>
      <c r="G104" s="122"/>
      <c r="H104" s="122"/>
      <c r="I104" s="122"/>
      <c r="J104" s="122"/>
      <c r="K104" s="122"/>
      <c r="L104" s="122"/>
      <c r="M104" s="122"/>
      <c r="N104" s="122"/>
      <c r="O104" s="122"/>
      <c r="P104" s="122"/>
      <c r="Q104" s="122"/>
      <c r="R104" s="122"/>
      <c r="S104" s="122"/>
      <c r="T104" s="122"/>
      <c r="U104" s="122"/>
      <c r="V104" s="122"/>
      <c r="W104" s="122"/>
      <c r="X104" s="122"/>
      <c r="Y104" s="122"/>
      <c r="Z104" s="1"/>
    </row>
    <row r="105" spans="2:26" x14ac:dyDescent="0.3">
      <c r="B105" s="9" t="s">
        <v>27</v>
      </c>
      <c r="C105" s="6">
        <f>'DY 22 &amp; DY 23 Assumptions'!C52</f>
        <v>5525.4629629629626</v>
      </c>
      <c r="D105" s="18">
        <f>'DY 22 &amp; DY 23 Assumptions'!I52</f>
        <v>71.4208</v>
      </c>
      <c r="E105" s="9"/>
      <c r="F105" s="17">
        <f t="shared" ref="F105:Y105" si="24">F41*$D105</f>
        <v>342970.48783392267</v>
      </c>
      <c r="G105" s="17">
        <f t="shared" si="24"/>
        <v>341255.63539475302</v>
      </c>
      <c r="H105" s="17">
        <f t="shared" si="24"/>
        <v>339549.35721777927</v>
      </c>
      <c r="I105" s="17">
        <f t="shared" si="24"/>
        <v>337851.61043169041</v>
      </c>
      <c r="J105" s="17">
        <f t="shared" si="24"/>
        <v>336162.35237953195</v>
      </c>
      <c r="K105" s="17">
        <f t="shared" si="24"/>
        <v>334481.54061763431</v>
      </c>
      <c r="L105" s="17">
        <f t="shared" si="24"/>
        <v>332809.13291454612</v>
      </c>
      <c r="M105" s="17">
        <f t="shared" si="24"/>
        <v>331145.08724997338</v>
      </c>
      <c r="N105" s="17">
        <f t="shared" si="24"/>
        <v>329489.36181372352</v>
      </c>
      <c r="O105" s="17">
        <f t="shared" si="24"/>
        <v>327841.91500465485</v>
      </c>
      <c r="P105" s="17">
        <f t="shared" si="24"/>
        <v>326202.70542963158</v>
      </c>
      <c r="Q105" s="17">
        <f t="shared" si="24"/>
        <v>324571.69190248341</v>
      </c>
      <c r="R105" s="17">
        <f t="shared" si="24"/>
        <v>322948.83344297099</v>
      </c>
      <c r="S105" s="17">
        <f t="shared" si="24"/>
        <v>321334.08927575615</v>
      </c>
      <c r="T105" s="17">
        <f t="shared" si="24"/>
        <v>319727.41882937739</v>
      </c>
      <c r="U105" s="17">
        <f t="shared" si="24"/>
        <v>318128.78173523053</v>
      </c>
      <c r="V105" s="17">
        <f t="shared" si="24"/>
        <v>316538.13782655436</v>
      </c>
      <c r="W105" s="17">
        <f t="shared" si="24"/>
        <v>314955.44713742158</v>
      </c>
      <c r="X105" s="17">
        <f t="shared" si="24"/>
        <v>313380.66990173451</v>
      </c>
      <c r="Y105" s="17">
        <f t="shared" si="24"/>
        <v>311813.76655222586</v>
      </c>
      <c r="Z105" s="17">
        <f>'Reopening Activities'!Z38*$D105</f>
        <v>0</v>
      </c>
    </row>
    <row r="106" spans="2:26" x14ac:dyDescent="0.3">
      <c r="B106" s="9" t="s">
        <v>19</v>
      </c>
      <c r="C106" s="6">
        <f>'DY 22 &amp; DY 23 Assumptions'!C53</f>
        <v>6630.5555555555547</v>
      </c>
      <c r="D106" s="18">
        <f>'DY 22 &amp; DY 23 Assumptions'!I53</f>
        <v>61.9696</v>
      </c>
      <c r="E106" s="9"/>
      <c r="F106" s="17">
        <f t="shared" ref="F106:Y106" si="25">F42*$D106</f>
        <v>357101.75091076642</v>
      </c>
      <c r="G106" s="17">
        <f t="shared" si="25"/>
        <v>355316.24215621257</v>
      </c>
      <c r="H106" s="17">
        <f t="shared" si="25"/>
        <v>353539.6609454315</v>
      </c>
      <c r="I106" s="17">
        <f t="shared" si="25"/>
        <v>351771.9626407043</v>
      </c>
      <c r="J106" s="17">
        <f t="shared" si="25"/>
        <v>350013.10282750078</v>
      </c>
      <c r="K106" s="17">
        <f t="shared" si="25"/>
        <v>348263.03731336328</v>
      </c>
      <c r="L106" s="17">
        <f t="shared" si="25"/>
        <v>346521.72212679643</v>
      </c>
      <c r="M106" s="17">
        <f t="shared" si="25"/>
        <v>344789.11351616244</v>
      </c>
      <c r="N106" s="17">
        <f t="shared" si="25"/>
        <v>343065.16794858163</v>
      </c>
      <c r="O106" s="17">
        <f t="shared" si="25"/>
        <v>341349.84210883873</v>
      </c>
      <c r="P106" s="17">
        <f t="shared" si="25"/>
        <v>339643.09289829456</v>
      </c>
      <c r="Q106" s="17">
        <f t="shared" si="25"/>
        <v>337944.87743380311</v>
      </c>
      <c r="R106" s="17">
        <f t="shared" si="25"/>
        <v>336255.15304663411</v>
      </c>
      <c r="S106" s="17">
        <f t="shared" si="25"/>
        <v>334573.87728140096</v>
      </c>
      <c r="T106" s="17">
        <f t="shared" si="25"/>
        <v>332901.00789499393</v>
      </c>
      <c r="U106" s="17">
        <f t="shared" si="25"/>
        <v>331236.50285551901</v>
      </c>
      <c r="V106" s="17">
        <f t="shared" si="25"/>
        <v>329580.32034124143</v>
      </c>
      <c r="W106" s="17">
        <f t="shared" si="25"/>
        <v>327932.41873953515</v>
      </c>
      <c r="X106" s="17">
        <f t="shared" si="25"/>
        <v>326292.75664583751</v>
      </c>
      <c r="Y106" s="17">
        <f t="shared" si="25"/>
        <v>324661.29286260833</v>
      </c>
      <c r="Z106" s="17">
        <f>'Reopening Activities'!Z39*$D106</f>
        <v>0</v>
      </c>
    </row>
    <row r="107" spans="2:26" x14ac:dyDescent="0.3">
      <c r="B107" s="9" t="s">
        <v>15</v>
      </c>
      <c r="C107" s="6">
        <f>'DY 22 &amp; DY 23 Assumptions'!C54</f>
        <v>25417.129629629631</v>
      </c>
      <c r="D107" s="18">
        <f>'DY 22 &amp; DY 23 Assumptions'!I54</f>
        <v>58.599200000000003</v>
      </c>
      <c r="E107" s="9"/>
      <c r="F107" s="17">
        <f t="shared" ref="F107:Y107" si="26">F43*$D107</f>
        <v>1294438.9109211457</v>
      </c>
      <c r="G107" s="17">
        <f t="shared" si="26"/>
        <v>1287966.7163665399</v>
      </c>
      <c r="H107" s="17">
        <f t="shared" si="26"/>
        <v>1281526.8827847072</v>
      </c>
      <c r="I107" s="17">
        <f t="shared" si="26"/>
        <v>1275119.2483707836</v>
      </c>
      <c r="J107" s="17">
        <f t="shared" si="26"/>
        <v>1268743.6521289297</v>
      </c>
      <c r="K107" s="17">
        <f t="shared" si="26"/>
        <v>1262399.9338682853</v>
      </c>
      <c r="L107" s="17">
        <f t="shared" si="26"/>
        <v>1256087.9341989439</v>
      </c>
      <c r="M107" s="17">
        <f t="shared" si="26"/>
        <v>1249807.494527949</v>
      </c>
      <c r="N107" s="17">
        <f t="shared" si="26"/>
        <v>1243558.4570553093</v>
      </c>
      <c r="O107" s="17">
        <f t="shared" si="26"/>
        <v>1237340.664770033</v>
      </c>
      <c r="P107" s="17">
        <f t="shared" si="26"/>
        <v>1231153.9614461826</v>
      </c>
      <c r="Q107" s="17">
        <f t="shared" si="26"/>
        <v>1224998.1916389517</v>
      </c>
      <c r="R107" s="17">
        <f t="shared" si="26"/>
        <v>1218873.2006807569</v>
      </c>
      <c r="S107" s="17">
        <f t="shared" si="26"/>
        <v>1212778.834677353</v>
      </c>
      <c r="T107" s="17">
        <f t="shared" si="26"/>
        <v>1206714.9405039663</v>
      </c>
      <c r="U107" s="17">
        <f t="shared" si="26"/>
        <v>1200681.3658014464</v>
      </c>
      <c r="V107" s="17">
        <f t="shared" si="26"/>
        <v>1194677.9589724392</v>
      </c>
      <c r="W107" s="17">
        <f t="shared" si="26"/>
        <v>1188704.5691775768</v>
      </c>
      <c r="X107" s="17">
        <f t="shared" si="26"/>
        <v>1182761.046331689</v>
      </c>
      <c r="Y107" s="17">
        <f t="shared" si="26"/>
        <v>1176847.2411000305</v>
      </c>
      <c r="Z107" s="17">
        <f>'Reopening Activities'!Z40*$D107</f>
        <v>0</v>
      </c>
    </row>
    <row r="108" spans="2:26" x14ac:dyDescent="0.3">
      <c r="B108" s="9" t="s">
        <v>16</v>
      </c>
      <c r="C108" s="6">
        <f>'DY 22 &amp; DY 23 Assumptions'!C55</f>
        <v>54149.537037037036</v>
      </c>
      <c r="D108" s="18">
        <f>'DY 22 &amp; DY 23 Assumptions'!I55</f>
        <v>52.632800000000003</v>
      </c>
      <c r="E108" s="9"/>
      <c r="F108" s="17">
        <f t="shared" ref="F108:Y108" si="27">F44*$D108</f>
        <v>2476934.8915475579</v>
      </c>
      <c r="G108" s="17">
        <f t="shared" si="27"/>
        <v>2464550.2170898202</v>
      </c>
      <c r="H108" s="17">
        <f t="shared" si="27"/>
        <v>2452227.4660043712</v>
      </c>
      <c r="I108" s="17">
        <f t="shared" si="27"/>
        <v>2439966.3286743495</v>
      </c>
      <c r="J108" s="17">
        <f t="shared" si="27"/>
        <v>2427766.4970309776</v>
      </c>
      <c r="K108" s="17">
        <f t="shared" si="27"/>
        <v>2415627.6645458229</v>
      </c>
      <c r="L108" s="17">
        <f t="shared" si="27"/>
        <v>2403549.5262230937</v>
      </c>
      <c r="M108" s="17">
        <f t="shared" si="27"/>
        <v>2391531.7785919784</v>
      </c>
      <c r="N108" s="17">
        <f t="shared" si="27"/>
        <v>2379574.1196990185</v>
      </c>
      <c r="O108" s="17">
        <f t="shared" si="27"/>
        <v>2367676.2491005235</v>
      </c>
      <c r="P108" s="17">
        <f t="shared" si="27"/>
        <v>2355837.8678550208</v>
      </c>
      <c r="Q108" s="17">
        <f t="shared" si="27"/>
        <v>2344058.6785157458</v>
      </c>
      <c r="R108" s="17">
        <f t="shared" si="27"/>
        <v>2332338.3851231672</v>
      </c>
      <c r="S108" s="17">
        <f t="shared" si="27"/>
        <v>2320676.6931975512</v>
      </c>
      <c r="T108" s="17">
        <f t="shared" si="27"/>
        <v>2309073.3097315636</v>
      </c>
      <c r="U108" s="17">
        <f t="shared" si="27"/>
        <v>2297527.9431829057</v>
      </c>
      <c r="V108" s="17">
        <f t="shared" si="27"/>
        <v>2286040.3034669911</v>
      </c>
      <c r="W108" s="17">
        <f t="shared" si="27"/>
        <v>2274610.1019496564</v>
      </c>
      <c r="X108" s="17">
        <f t="shared" si="27"/>
        <v>2263237.0514399083</v>
      </c>
      <c r="Y108" s="17">
        <f t="shared" si="27"/>
        <v>2251920.8661827086</v>
      </c>
      <c r="Z108" s="17">
        <f>'Reopening Activities'!Z41*$D108</f>
        <v>0</v>
      </c>
    </row>
    <row r="109" spans="2:26" x14ac:dyDescent="0.3">
      <c r="B109" s="9" t="s">
        <v>20</v>
      </c>
      <c r="C109" s="6">
        <f>'DY 22 &amp; DY 23 Assumptions'!C56</f>
        <v>27627.314814814814</v>
      </c>
      <c r="D109" s="18">
        <f>'DY 22 &amp; DY 23 Assumptions'!I56</f>
        <v>47.159200000000006</v>
      </c>
      <c r="E109" s="9"/>
      <c r="F109" s="17">
        <f t="shared" ref="F109:Y109" si="28">F45*$D109</f>
        <v>1132318.1643063035</v>
      </c>
      <c r="G109" s="17">
        <f t="shared" si="28"/>
        <v>1126656.5734847719</v>
      </c>
      <c r="H109" s="17">
        <f t="shared" si="28"/>
        <v>1121023.2906173482</v>
      </c>
      <c r="I109" s="17">
        <f t="shared" si="28"/>
        <v>1115418.1741642614</v>
      </c>
      <c r="J109" s="17">
        <f t="shared" si="28"/>
        <v>1109841.0832934401</v>
      </c>
      <c r="K109" s="17">
        <f t="shared" si="28"/>
        <v>1104291.877876973</v>
      </c>
      <c r="L109" s="17">
        <f t="shared" si="28"/>
        <v>1098770.4184875879</v>
      </c>
      <c r="M109" s="17">
        <f t="shared" si="28"/>
        <v>1093276.56639515</v>
      </c>
      <c r="N109" s="17">
        <f t="shared" si="28"/>
        <v>1087810.1835631742</v>
      </c>
      <c r="O109" s="17">
        <f t="shared" si="28"/>
        <v>1082371.1326453583</v>
      </c>
      <c r="P109" s="17">
        <f t="shared" si="28"/>
        <v>1076959.2769821316</v>
      </c>
      <c r="Q109" s="17">
        <f t="shared" si="28"/>
        <v>1071574.4805972211</v>
      </c>
      <c r="R109" s="17">
        <f t="shared" si="28"/>
        <v>1066216.6081942348</v>
      </c>
      <c r="S109" s="17">
        <f t="shared" si="28"/>
        <v>1060885.5251532637</v>
      </c>
      <c r="T109" s="17">
        <f t="shared" si="28"/>
        <v>1055581.0975274974</v>
      </c>
      <c r="U109" s="17">
        <f t="shared" si="28"/>
        <v>1050303.1920398599</v>
      </c>
      <c r="V109" s="17">
        <f t="shared" si="28"/>
        <v>1045051.6760796607</v>
      </c>
      <c r="W109" s="17">
        <f t="shared" si="28"/>
        <v>1039826.4176992623</v>
      </c>
      <c r="X109" s="17">
        <f t="shared" si="28"/>
        <v>1034627.285610766</v>
      </c>
      <c r="Y109" s="17">
        <f t="shared" si="28"/>
        <v>1029454.1491827122</v>
      </c>
      <c r="Z109" s="17">
        <f>'Reopening Activities'!Z42*$D109</f>
        <v>0</v>
      </c>
    </row>
    <row r="110" spans="2:26" x14ac:dyDescent="0.3">
      <c r="B110" s="9" t="s">
        <v>79</v>
      </c>
      <c r="C110" s="6">
        <f>'DY 22 &amp; DY 23 Assumptions'!C57</f>
        <v>0</v>
      </c>
      <c r="D110" s="18">
        <f>'DY 22 &amp; DY 23 Assumptions'!I57</f>
        <v>32.7624</v>
      </c>
      <c r="E110" s="9"/>
      <c r="F110" s="124"/>
      <c r="G110" s="17"/>
      <c r="H110" s="17"/>
      <c r="I110" s="17"/>
      <c r="J110" s="17"/>
      <c r="K110" s="17"/>
      <c r="L110" s="17"/>
      <c r="M110" s="17"/>
      <c r="N110" s="17"/>
      <c r="O110" s="17"/>
      <c r="P110" s="17"/>
      <c r="Q110" s="17"/>
      <c r="R110" s="17"/>
      <c r="S110" s="17"/>
      <c r="T110" s="17"/>
      <c r="U110" s="17"/>
      <c r="V110" s="17"/>
      <c r="W110" s="17"/>
      <c r="X110" s="17"/>
      <c r="Y110" s="17"/>
      <c r="Z110" s="17"/>
    </row>
    <row r="111" spans="2:26" x14ac:dyDescent="0.3">
      <c r="B111" s="5" t="s">
        <v>29</v>
      </c>
      <c r="C111" s="6">
        <f>'DY 22 &amp; DY 23 Assumptions'!C58</f>
        <v>40000</v>
      </c>
      <c r="D111" s="7"/>
      <c r="E111" s="24">
        <f>SUM(G111:AA111)</f>
        <v>43139040.242490634</v>
      </c>
      <c r="F111" s="64"/>
      <c r="G111" s="40">
        <f t="shared" ref="G111:Z111" si="29">SUM(G112:G113)</f>
        <v>6470856.0363735966</v>
      </c>
      <c r="H111" s="40">
        <f t="shared" si="29"/>
        <v>6111364.0343528409</v>
      </c>
      <c r="I111" s="40">
        <f t="shared" si="29"/>
        <v>6111364.0343528409</v>
      </c>
      <c r="J111" s="40">
        <f t="shared" si="29"/>
        <v>6111364.0343528409</v>
      </c>
      <c r="K111" s="40">
        <f t="shared" si="29"/>
        <v>6111364.0343528409</v>
      </c>
      <c r="L111" s="40">
        <f t="shared" si="29"/>
        <v>6111364.0343528409</v>
      </c>
      <c r="M111" s="40">
        <f t="shared" si="29"/>
        <v>6111364.0343528409</v>
      </c>
      <c r="N111" s="40">
        <f t="shared" si="29"/>
        <v>0</v>
      </c>
      <c r="O111" s="40">
        <f t="shared" si="29"/>
        <v>0</v>
      </c>
      <c r="P111" s="40">
        <f t="shared" si="29"/>
        <v>0</v>
      </c>
      <c r="Q111" s="40">
        <f t="shared" si="29"/>
        <v>0</v>
      </c>
      <c r="R111" s="40">
        <f t="shared" si="29"/>
        <v>0</v>
      </c>
      <c r="S111" s="40">
        <f t="shared" si="29"/>
        <v>0</v>
      </c>
      <c r="T111" s="40">
        <f t="shared" si="29"/>
        <v>0</v>
      </c>
      <c r="U111" s="40">
        <f t="shared" si="29"/>
        <v>0</v>
      </c>
      <c r="V111" s="40">
        <f t="shared" si="29"/>
        <v>0</v>
      </c>
      <c r="W111" s="40">
        <f t="shared" si="29"/>
        <v>0</v>
      </c>
      <c r="X111" s="40">
        <f t="shared" si="29"/>
        <v>0</v>
      </c>
      <c r="Y111" s="40">
        <f t="shared" si="29"/>
        <v>0</v>
      </c>
      <c r="Z111" s="40">
        <f t="shared" si="29"/>
        <v>0</v>
      </c>
    </row>
    <row r="112" spans="2:26" x14ac:dyDescent="0.3">
      <c r="B112" s="1" t="s">
        <v>30</v>
      </c>
      <c r="C112" s="6">
        <f>'DY 22 &amp; DY 23 Assumptions'!C59</f>
        <v>10000</v>
      </c>
      <c r="D112" s="18">
        <f>'DY 22 &amp; DY 23 Assumptions'!I65</f>
        <v>56.988800000000005</v>
      </c>
      <c r="E112" s="9"/>
      <c r="F112" s="66"/>
      <c r="G112" s="17">
        <f>(E48*D112)*0.15</f>
        <v>1834945.5726685286</v>
      </c>
      <c r="H112" s="17">
        <f>((E48*D112)-G112)/6</f>
        <v>1733004.1519647215</v>
      </c>
      <c r="I112" s="17">
        <f t="shared" ref="I112:M113" si="30">H112</f>
        <v>1733004.1519647215</v>
      </c>
      <c r="J112" s="17">
        <f t="shared" si="30"/>
        <v>1733004.1519647215</v>
      </c>
      <c r="K112" s="17">
        <f t="shared" si="30"/>
        <v>1733004.1519647215</v>
      </c>
      <c r="L112" s="17">
        <f t="shared" si="30"/>
        <v>1733004.1519647215</v>
      </c>
      <c r="M112" s="17">
        <f t="shared" si="30"/>
        <v>1733004.1519647215</v>
      </c>
      <c r="O112" s="17"/>
      <c r="P112" s="17"/>
      <c r="Q112" s="17"/>
      <c r="R112" s="17"/>
      <c r="S112" s="17"/>
      <c r="T112" s="17"/>
      <c r="U112" s="17"/>
      <c r="V112" s="17"/>
      <c r="W112" s="17">
        <f>'Reopening Activities'!V44*$D112</f>
        <v>0</v>
      </c>
      <c r="X112" s="17">
        <f>'Reopening Activities'!W44*$D112</f>
        <v>0</v>
      </c>
      <c r="Y112" s="17">
        <f>'Reopening Activities'!X44*$D112</f>
        <v>0</v>
      </c>
      <c r="Z112" s="17">
        <f>'Reopening Activities'!Y44*$D112</f>
        <v>0</v>
      </c>
    </row>
    <row r="113" spans="2:26" x14ac:dyDescent="0.3">
      <c r="B113" s="1" t="s">
        <v>32</v>
      </c>
      <c r="C113" s="6">
        <f>'DY 22 &amp; DY 23 Assumptions'!C67</f>
        <v>30000</v>
      </c>
      <c r="D113" s="18">
        <f>'DY 22 &amp; DY 23 Assumptions'!I73</f>
        <v>61.705600000000004</v>
      </c>
      <c r="E113" s="9"/>
      <c r="F113" s="66"/>
      <c r="G113" s="17">
        <f>(E49*D113)*0.15</f>
        <v>4635910.4637050675</v>
      </c>
      <c r="H113" s="17">
        <f>((E49*D113)-G113)/6</f>
        <v>4378359.8823881196</v>
      </c>
      <c r="I113" s="17">
        <f t="shared" si="30"/>
        <v>4378359.8823881196</v>
      </c>
      <c r="J113" s="17">
        <f t="shared" si="30"/>
        <v>4378359.8823881196</v>
      </c>
      <c r="K113" s="17">
        <f t="shared" si="30"/>
        <v>4378359.8823881196</v>
      </c>
      <c r="L113" s="17">
        <f t="shared" si="30"/>
        <v>4378359.8823881196</v>
      </c>
      <c r="M113" s="17">
        <f t="shared" si="30"/>
        <v>4378359.8823881196</v>
      </c>
      <c r="O113" s="17"/>
      <c r="P113" s="17"/>
      <c r="Q113" s="17"/>
      <c r="R113" s="17"/>
      <c r="S113" s="17"/>
      <c r="T113" s="17"/>
      <c r="U113" s="17"/>
      <c r="V113" s="17"/>
      <c r="W113" s="17">
        <f>'Reopening Activities'!V45*$D113</f>
        <v>0</v>
      </c>
      <c r="X113" s="17">
        <f>'Reopening Activities'!W45*$D113</f>
        <v>0</v>
      </c>
      <c r="Y113" s="17">
        <f>'Reopening Activities'!X45*$D113</f>
        <v>0</v>
      </c>
      <c r="Z113" s="17">
        <f>'Reopening Activities'!Y45*$D113</f>
        <v>0</v>
      </c>
    </row>
    <row r="114" spans="2:26" x14ac:dyDescent="0.3">
      <c r="B114" s="13" t="s">
        <v>33</v>
      </c>
      <c r="C114" s="6">
        <f>'DY 22 &amp; DY 23 Assumptions'!C75</f>
        <v>141000</v>
      </c>
      <c r="D114" s="7"/>
      <c r="E114" s="24">
        <f>SUM(F114:AA114)</f>
        <v>54899638.032725208</v>
      </c>
      <c r="F114" s="73">
        <f t="shared" ref="F114:Z114" si="31">SUM(F116:F125)</f>
        <v>8234945.7049087808</v>
      </c>
      <c r="G114" s="73">
        <f t="shared" si="31"/>
        <v>7777448.7213027375</v>
      </c>
      <c r="H114" s="73">
        <f t="shared" si="31"/>
        <v>7777448.7213027375</v>
      </c>
      <c r="I114" s="73">
        <f t="shared" si="31"/>
        <v>7777448.7213027375</v>
      </c>
      <c r="J114" s="73">
        <f t="shared" si="31"/>
        <v>7777448.7213027375</v>
      </c>
      <c r="K114" s="73">
        <f t="shared" si="31"/>
        <v>7777448.7213027375</v>
      </c>
      <c r="L114" s="73">
        <f t="shared" si="31"/>
        <v>7777448.7213027375</v>
      </c>
      <c r="M114" s="73">
        <f t="shared" si="31"/>
        <v>0</v>
      </c>
      <c r="N114" s="73">
        <f t="shared" si="31"/>
        <v>0</v>
      </c>
      <c r="O114" s="73">
        <f t="shared" si="31"/>
        <v>0</v>
      </c>
      <c r="P114" s="73">
        <f t="shared" si="31"/>
        <v>0</v>
      </c>
      <c r="Q114" s="73">
        <f t="shared" si="31"/>
        <v>0</v>
      </c>
      <c r="R114" s="73">
        <f t="shared" si="31"/>
        <v>0</v>
      </c>
      <c r="S114" s="73">
        <f t="shared" si="31"/>
        <v>0</v>
      </c>
      <c r="T114" s="73">
        <f t="shared" si="31"/>
        <v>0</v>
      </c>
      <c r="U114" s="73">
        <f t="shared" si="31"/>
        <v>0</v>
      </c>
      <c r="V114" s="73">
        <f t="shared" si="31"/>
        <v>0</v>
      </c>
      <c r="W114" s="73">
        <f t="shared" si="31"/>
        <v>0</v>
      </c>
      <c r="X114" s="73">
        <f t="shared" si="31"/>
        <v>0</v>
      </c>
      <c r="Y114" s="73">
        <f t="shared" si="31"/>
        <v>0</v>
      </c>
      <c r="Z114" s="73">
        <f t="shared" si="31"/>
        <v>0</v>
      </c>
    </row>
    <row r="115" spans="2:26" x14ac:dyDescent="0.3">
      <c r="B115" s="1" t="s">
        <v>34</v>
      </c>
      <c r="C115" s="46">
        <f>'DY 22 &amp; DY 23 Assumptions'!C76</f>
        <v>42500</v>
      </c>
      <c r="D115" s="14"/>
      <c r="E115" s="1"/>
      <c r="F115" s="16"/>
      <c r="G115" s="16"/>
      <c r="H115" s="16"/>
      <c r="I115" s="16"/>
      <c r="J115" s="16"/>
      <c r="K115" s="16"/>
      <c r="L115" s="16"/>
      <c r="M115" s="16"/>
      <c r="N115" s="16"/>
      <c r="O115" s="16"/>
      <c r="P115" s="16"/>
      <c r="Q115" s="16"/>
      <c r="R115" s="16"/>
      <c r="S115" s="16"/>
      <c r="T115" s="16"/>
      <c r="U115" s="16"/>
      <c r="V115" s="16"/>
      <c r="W115" s="16"/>
      <c r="X115" s="16"/>
      <c r="Y115" s="16"/>
      <c r="Z115" s="16"/>
    </row>
    <row r="116" spans="2:26" x14ac:dyDescent="0.3">
      <c r="B116" s="9" t="s">
        <v>14</v>
      </c>
      <c r="C116" s="6">
        <f>'DY 22 &amp; DY 23 Assumptions'!C77</f>
        <v>3510.0689684704639</v>
      </c>
      <c r="D116" s="18">
        <f>'DY 22 &amp; DY 23 Assumptions'!I77</f>
        <v>50.987200000000001</v>
      </c>
      <c r="E116" s="9"/>
      <c r="F116" s="17">
        <f>(E52*D116)*0.15</f>
        <v>243749.01200508798</v>
      </c>
      <c r="G116" s="17">
        <f>((E52*D116)-F116)/6</f>
        <v>230207.40022702757</v>
      </c>
      <c r="H116" s="17">
        <f t="shared" ref="H116:L119" si="32">G116</f>
        <v>230207.40022702757</v>
      </c>
      <c r="I116" s="17">
        <f t="shared" si="32"/>
        <v>230207.40022702757</v>
      </c>
      <c r="J116" s="17">
        <f t="shared" si="32"/>
        <v>230207.40022702757</v>
      </c>
      <c r="K116" s="17">
        <f t="shared" si="32"/>
        <v>230207.40022702757</v>
      </c>
      <c r="L116" s="17">
        <f t="shared" si="32"/>
        <v>230207.40022702757</v>
      </c>
      <c r="M116" s="17">
        <v>0</v>
      </c>
      <c r="N116" s="17">
        <v>0</v>
      </c>
      <c r="O116" s="17">
        <v>0</v>
      </c>
      <c r="P116" s="17">
        <v>0</v>
      </c>
      <c r="Q116" s="17">
        <v>0</v>
      </c>
      <c r="R116" s="17">
        <v>0</v>
      </c>
      <c r="S116" s="17">
        <v>0</v>
      </c>
      <c r="T116" s="17">
        <v>0</v>
      </c>
      <c r="U116" s="17">
        <v>0</v>
      </c>
      <c r="V116" s="17">
        <f>'Reopening Activities'!U48*$D116</f>
        <v>0</v>
      </c>
      <c r="W116" s="17">
        <f>'Reopening Activities'!V48*$D116</f>
        <v>0</v>
      </c>
      <c r="X116" s="17">
        <f>'Reopening Activities'!W48*$D116</f>
        <v>0</v>
      </c>
      <c r="Y116" s="17">
        <f>'Reopening Activities'!X48*$D116</f>
        <v>0</v>
      </c>
      <c r="Z116" s="17">
        <f>'Reopening Activities'!Y48*$D116</f>
        <v>0</v>
      </c>
    </row>
    <row r="117" spans="2:26" x14ac:dyDescent="0.3">
      <c r="B117" s="9" t="s">
        <v>15</v>
      </c>
      <c r="C117" s="6">
        <f>'DY 22 &amp; DY 23 Assumptions'!C78</f>
        <v>2711.3609101860147</v>
      </c>
      <c r="D117" s="18">
        <f>'DY 22 &amp; DY 23 Assumptions'!I78</f>
        <v>51.788000000000004</v>
      </c>
      <c r="E117" s="9"/>
      <c r="F117" s="17">
        <f>(E53*D117)*0.15</f>
        <v>186484.84998852268</v>
      </c>
      <c r="G117" s="17">
        <f>((E53*D117)-F117)/6</f>
        <v>176124.58054471586</v>
      </c>
      <c r="H117" s="17">
        <f t="shared" si="32"/>
        <v>176124.58054471586</v>
      </c>
      <c r="I117" s="17">
        <f t="shared" si="32"/>
        <v>176124.58054471586</v>
      </c>
      <c r="J117" s="17">
        <f t="shared" si="32"/>
        <v>176124.58054471586</v>
      </c>
      <c r="K117" s="17">
        <f t="shared" si="32"/>
        <v>176124.58054471586</v>
      </c>
      <c r="L117" s="17">
        <f t="shared" si="32"/>
        <v>176124.58054471586</v>
      </c>
      <c r="M117" s="17">
        <v>0</v>
      </c>
      <c r="N117" s="17">
        <v>0</v>
      </c>
      <c r="O117" s="17">
        <v>0</v>
      </c>
      <c r="P117" s="17">
        <v>0</v>
      </c>
      <c r="Q117" s="17">
        <v>0</v>
      </c>
      <c r="R117" s="17">
        <v>0</v>
      </c>
      <c r="S117" s="17">
        <v>0</v>
      </c>
      <c r="T117" s="17">
        <v>0</v>
      </c>
      <c r="U117" s="17">
        <v>0</v>
      </c>
      <c r="V117" s="17">
        <f>'Reopening Activities'!U49*$D117</f>
        <v>0</v>
      </c>
      <c r="W117" s="17">
        <f>'Reopening Activities'!V49*$D117</f>
        <v>0</v>
      </c>
      <c r="X117" s="17">
        <f>'Reopening Activities'!W49*$D117</f>
        <v>0</v>
      </c>
      <c r="Y117" s="17">
        <f>'Reopening Activities'!X49*$D117</f>
        <v>0</v>
      </c>
      <c r="Z117" s="17">
        <f>'Reopening Activities'!Y49*$D117</f>
        <v>0</v>
      </c>
    </row>
    <row r="118" spans="2:26" x14ac:dyDescent="0.3">
      <c r="B118" s="9" t="s">
        <v>16</v>
      </c>
      <c r="C118" s="6">
        <f>'DY 22 &amp; DY 23 Assumptions'!C79</f>
        <v>6293.923494905488</v>
      </c>
      <c r="D118" s="18">
        <f>'DY 22 &amp; DY 23 Assumptions'!I79</f>
        <v>46.068000000000005</v>
      </c>
      <c r="E118" s="9"/>
      <c r="F118" s="17">
        <f>(E54*D118)*0.15</f>
        <v>397654.20902481751</v>
      </c>
      <c r="G118" s="17">
        <f>((E54*D118)-F118)/6</f>
        <v>375562.3085234387</v>
      </c>
      <c r="H118" s="17">
        <f t="shared" si="32"/>
        <v>375562.3085234387</v>
      </c>
      <c r="I118" s="17">
        <f t="shared" si="32"/>
        <v>375562.3085234387</v>
      </c>
      <c r="J118" s="17">
        <f t="shared" si="32"/>
        <v>375562.3085234387</v>
      </c>
      <c r="K118" s="17">
        <f t="shared" si="32"/>
        <v>375562.3085234387</v>
      </c>
      <c r="L118" s="17">
        <f t="shared" si="32"/>
        <v>375562.3085234387</v>
      </c>
      <c r="M118" s="17">
        <v>0</v>
      </c>
      <c r="N118" s="17">
        <v>0</v>
      </c>
      <c r="O118" s="17">
        <v>0</v>
      </c>
      <c r="P118" s="17">
        <v>0</v>
      </c>
      <c r="Q118" s="17">
        <v>0</v>
      </c>
      <c r="R118" s="17">
        <v>0</v>
      </c>
      <c r="S118" s="17">
        <v>0</v>
      </c>
      <c r="T118" s="17">
        <v>0</v>
      </c>
      <c r="U118" s="17">
        <v>0</v>
      </c>
      <c r="V118" s="17">
        <f>'Reopening Activities'!U50*$D118</f>
        <v>0</v>
      </c>
      <c r="W118" s="17">
        <f>'Reopening Activities'!V50*$D118</f>
        <v>0</v>
      </c>
      <c r="X118" s="17">
        <f>'Reopening Activities'!W50*$D118</f>
        <v>0</v>
      </c>
      <c r="Y118" s="17">
        <f>'Reopening Activities'!X50*$D118</f>
        <v>0</v>
      </c>
      <c r="Z118" s="17">
        <f>'Reopening Activities'!Y50*$D118</f>
        <v>0</v>
      </c>
    </row>
    <row r="119" spans="2:26" x14ac:dyDescent="0.3">
      <c r="B119" s="9" t="s">
        <v>20</v>
      </c>
      <c r="C119" s="6">
        <f>'DY 22 &amp; DY 23 Assumptions'!C80</f>
        <v>29984.559963418011</v>
      </c>
      <c r="D119" s="18">
        <f>'DY 22 &amp; DY 23 Assumptions'!I80</f>
        <v>44.369599999999998</v>
      </c>
      <c r="E119" s="9"/>
      <c r="F119" s="17">
        <f>(E55*D119)*0.15</f>
        <v>1718246.6232063018</v>
      </c>
      <c r="G119" s="17">
        <f>((E55*D119)-F119)/6</f>
        <v>1622788.4774726182</v>
      </c>
      <c r="H119" s="17">
        <f t="shared" si="32"/>
        <v>1622788.4774726182</v>
      </c>
      <c r="I119" s="17">
        <f t="shared" si="32"/>
        <v>1622788.4774726182</v>
      </c>
      <c r="J119" s="17">
        <f t="shared" si="32"/>
        <v>1622788.4774726182</v>
      </c>
      <c r="K119" s="17">
        <f t="shared" si="32"/>
        <v>1622788.4774726182</v>
      </c>
      <c r="L119" s="17">
        <f t="shared" si="32"/>
        <v>1622788.4774726182</v>
      </c>
      <c r="M119" s="17">
        <v>0</v>
      </c>
      <c r="N119" s="17">
        <v>0</v>
      </c>
      <c r="O119" s="17">
        <v>0</v>
      </c>
      <c r="P119" s="17">
        <v>0</v>
      </c>
      <c r="Q119" s="17">
        <v>0</v>
      </c>
      <c r="R119" s="17">
        <v>0</v>
      </c>
      <c r="S119" s="17">
        <v>0</v>
      </c>
      <c r="T119" s="17">
        <v>0</v>
      </c>
      <c r="U119" s="17">
        <v>0</v>
      </c>
      <c r="V119" s="17">
        <f>'Reopening Activities'!U51*$D119</f>
        <v>0</v>
      </c>
      <c r="W119" s="17">
        <f>'Reopening Activities'!V51*$D119</f>
        <v>0</v>
      </c>
      <c r="X119" s="17">
        <f>'Reopening Activities'!W51*$D119</f>
        <v>0</v>
      </c>
      <c r="Y119" s="17">
        <f>'Reopening Activities'!X51*$D119</f>
        <v>0</v>
      </c>
      <c r="Z119" s="17">
        <f>'Reopening Activities'!Y51*$D119</f>
        <v>0</v>
      </c>
    </row>
    <row r="120" spans="2:26" x14ac:dyDescent="0.3">
      <c r="B120" s="9" t="s">
        <v>79</v>
      </c>
      <c r="C120" s="6">
        <f>'DY 22 &amp; DY 23 Assumptions'!C81</f>
        <v>0</v>
      </c>
      <c r="D120" s="18">
        <f>'DY 22 &amp; DY 23 Assumptions'!I81</f>
        <v>35.991999999999997</v>
      </c>
      <c r="E120" s="9"/>
      <c r="F120" s="17"/>
      <c r="G120" s="17"/>
      <c r="H120" s="17"/>
      <c r="I120" s="17"/>
      <c r="J120" s="17"/>
      <c r="K120" s="17"/>
      <c r="L120" s="17"/>
      <c r="M120" s="17"/>
      <c r="N120" s="17"/>
      <c r="O120" s="17"/>
      <c r="P120" s="17"/>
      <c r="Q120" s="17"/>
      <c r="R120" s="17"/>
      <c r="S120" s="17"/>
      <c r="T120" s="17"/>
      <c r="U120" s="17"/>
      <c r="V120" s="17"/>
      <c r="W120" s="17"/>
      <c r="X120" s="17"/>
      <c r="Y120" s="17"/>
      <c r="Z120" s="17"/>
    </row>
    <row r="121" spans="2:26" x14ac:dyDescent="0.3">
      <c r="B121" s="1" t="s">
        <v>36</v>
      </c>
      <c r="C121" s="46">
        <f>'DY 22 &amp; DY 23 Assumptions'!C82</f>
        <v>98500</v>
      </c>
      <c r="D121" s="14"/>
      <c r="E121" s="1"/>
      <c r="F121" s="16"/>
      <c r="G121" s="16"/>
      <c r="H121" s="16"/>
      <c r="I121" s="16"/>
      <c r="J121" s="16"/>
      <c r="K121" s="16"/>
      <c r="L121" s="16"/>
      <c r="M121" s="16"/>
      <c r="N121" s="16"/>
      <c r="O121" s="16"/>
      <c r="P121" s="16"/>
      <c r="Q121" s="16"/>
      <c r="R121" s="16"/>
      <c r="S121" s="16"/>
      <c r="T121" s="16"/>
      <c r="U121" s="16"/>
      <c r="V121" s="16"/>
      <c r="W121" s="16"/>
      <c r="X121" s="16"/>
      <c r="Y121" s="16"/>
      <c r="Z121" s="16"/>
    </row>
    <row r="122" spans="2:26" x14ac:dyDescent="0.3">
      <c r="B122" s="9" t="s">
        <v>19</v>
      </c>
      <c r="C122" s="6">
        <f>'DY 22 &amp; DY 23 Assumptions'!C83</f>
        <v>3725.0836216779608</v>
      </c>
      <c r="D122" s="18">
        <f>'DY 22 &amp; DY 23 Assumptions'!I83</f>
        <v>54.7624</v>
      </c>
      <c r="E122" s="9"/>
      <c r="F122" s="17">
        <f>(E58*D122)*0.15</f>
        <v>263314.26811323885</v>
      </c>
      <c r="G122" s="17">
        <f>((E58*D122)-F122)/6</f>
        <v>248685.69766250337</v>
      </c>
      <c r="H122" s="17">
        <f t="shared" ref="H122:L125" si="33">G122</f>
        <v>248685.69766250337</v>
      </c>
      <c r="I122" s="17">
        <f t="shared" si="33"/>
        <v>248685.69766250337</v>
      </c>
      <c r="J122" s="17">
        <f t="shared" si="33"/>
        <v>248685.69766250337</v>
      </c>
      <c r="K122" s="17">
        <f t="shared" si="33"/>
        <v>248685.69766250337</v>
      </c>
      <c r="L122" s="17">
        <f t="shared" si="33"/>
        <v>248685.69766250337</v>
      </c>
      <c r="M122" s="17">
        <v>0</v>
      </c>
      <c r="N122" s="17">
        <v>0</v>
      </c>
      <c r="O122" s="17">
        <v>0</v>
      </c>
      <c r="P122" s="17">
        <v>0</v>
      </c>
      <c r="Q122" s="17">
        <v>0</v>
      </c>
      <c r="R122" s="17">
        <v>0</v>
      </c>
      <c r="S122" s="17">
        <v>0</v>
      </c>
      <c r="T122" s="17">
        <v>0</v>
      </c>
      <c r="U122" s="17">
        <v>0</v>
      </c>
      <c r="V122" s="17">
        <f>'Reopening Activities'!U53*$D122</f>
        <v>0</v>
      </c>
      <c r="W122" s="17">
        <f>'Reopening Activities'!V53*$D122</f>
        <v>0</v>
      </c>
      <c r="X122" s="17">
        <f>'Reopening Activities'!W53*$D122</f>
        <v>0</v>
      </c>
      <c r="Y122" s="17">
        <f>'Reopening Activities'!X53*$D122</f>
        <v>0</v>
      </c>
      <c r="Z122" s="17">
        <f>'Reopening Activities'!Y53*$D122</f>
        <v>0</v>
      </c>
    </row>
    <row r="123" spans="2:26" x14ac:dyDescent="0.3">
      <c r="B123" s="9" t="s">
        <v>15</v>
      </c>
      <c r="C123" s="6">
        <f>'DY 22 &amp; DY 23 Assumptions'!C84</f>
        <v>2900.7261215581789</v>
      </c>
      <c r="D123" s="18">
        <f>'DY 22 &amp; DY 23 Assumptions'!I84</f>
        <v>51.937600000000003</v>
      </c>
      <c r="E123" s="9"/>
      <c r="F123" s="17">
        <f>(E59*D123)*0.15</f>
        <v>192699.23042225678</v>
      </c>
      <c r="G123" s="17">
        <f>((E59*D123)-F123)/6</f>
        <v>181993.7176210203</v>
      </c>
      <c r="H123" s="17">
        <f t="shared" si="33"/>
        <v>181993.7176210203</v>
      </c>
      <c r="I123" s="17">
        <f t="shared" si="33"/>
        <v>181993.7176210203</v>
      </c>
      <c r="J123" s="17">
        <f t="shared" si="33"/>
        <v>181993.7176210203</v>
      </c>
      <c r="K123" s="17">
        <f t="shared" si="33"/>
        <v>181993.7176210203</v>
      </c>
      <c r="L123" s="17">
        <f t="shared" si="33"/>
        <v>181993.7176210203</v>
      </c>
      <c r="M123" s="17">
        <v>0</v>
      </c>
      <c r="N123" s="17">
        <v>0</v>
      </c>
      <c r="O123" s="17">
        <v>0</v>
      </c>
      <c r="P123" s="17">
        <v>0</v>
      </c>
      <c r="Q123" s="17">
        <v>0</v>
      </c>
      <c r="R123" s="17">
        <v>0</v>
      </c>
      <c r="S123" s="17">
        <v>0</v>
      </c>
      <c r="T123" s="17">
        <v>0</v>
      </c>
      <c r="U123" s="17">
        <v>0</v>
      </c>
      <c r="V123" s="17">
        <f>'Reopening Activities'!U54*$D123</f>
        <v>0</v>
      </c>
      <c r="W123" s="17">
        <f>'Reopening Activities'!V54*$D123</f>
        <v>0</v>
      </c>
      <c r="X123" s="17">
        <f>'Reopening Activities'!W54*$D123</f>
        <v>0</v>
      </c>
      <c r="Y123" s="17">
        <f>'Reopening Activities'!X54*$D123</f>
        <v>0</v>
      </c>
      <c r="Z123" s="17">
        <f>'Reopening Activities'!Y54*$D123</f>
        <v>0</v>
      </c>
    </row>
    <row r="124" spans="2:26" x14ac:dyDescent="0.3">
      <c r="B124" s="9" t="s">
        <v>16</v>
      </c>
      <c r="C124" s="6">
        <f>'DY 22 &amp; DY 23 Assumptions'!C85</f>
        <v>10751.188097911489</v>
      </c>
      <c r="D124" s="18">
        <f>'DY 22 &amp; DY 23 Assumptions'!I85</f>
        <v>46.736800000000002</v>
      </c>
      <c r="E124" s="9"/>
      <c r="F124" s="17">
        <f>(E60*D124)*0.15</f>
        <v>640113.58530582266</v>
      </c>
      <c r="G124" s="17">
        <f>((E60*D124)-F124)/6</f>
        <v>604551.71945549932</v>
      </c>
      <c r="H124" s="17">
        <f t="shared" si="33"/>
        <v>604551.71945549932</v>
      </c>
      <c r="I124" s="17">
        <f t="shared" si="33"/>
        <v>604551.71945549932</v>
      </c>
      <c r="J124" s="17">
        <f t="shared" si="33"/>
        <v>604551.71945549932</v>
      </c>
      <c r="K124" s="17">
        <f t="shared" si="33"/>
        <v>604551.71945549932</v>
      </c>
      <c r="L124" s="17">
        <f t="shared" si="33"/>
        <v>604551.71945549932</v>
      </c>
      <c r="M124" s="17">
        <v>0</v>
      </c>
      <c r="N124" s="17">
        <v>0</v>
      </c>
      <c r="O124" s="17">
        <v>0</v>
      </c>
      <c r="P124" s="17">
        <v>0</v>
      </c>
      <c r="Q124" s="17">
        <v>0</v>
      </c>
      <c r="R124" s="17">
        <v>0</v>
      </c>
      <c r="S124" s="17">
        <v>0</v>
      </c>
      <c r="T124" s="17">
        <v>0</v>
      </c>
      <c r="U124" s="17">
        <v>0</v>
      </c>
      <c r="V124" s="17">
        <f>'Reopening Activities'!U55*$D124</f>
        <v>0</v>
      </c>
      <c r="W124" s="17">
        <f>'Reopening Activities'!V55*$D124</f>
        <v>0</v>
      </c>
      <c r="X124" s="17">
        <f>'Reopening Activities'!W55*$D124</f>
        <v>0</v>
      </c>
      <c r="Y124" s="17">
        <f>'Reopening Activities'!X55*$D124</f>
        <v>0</v>
      </c>
      <c r="Z124" s="17">
        <f>'Reopening Activities'!Y55*$D124</f>
        <v>0</v>
      </c>
    </row>
    <row r="125" spans="2:26" x14ac:dyDescent="0.3">
      <c r="B125" s="9" t="s">
        <v>20</v>
      </c>
      <c r="C125" s="6">
        <f>'DY 22 &amp; DY 23 Assumptions'!C86</f>
        <v>81122.967960242124</v>
      </c>
      <c r="D125" s="18">
        <f>'DY 22 &amp; DY 23 Assumptions'!I86</f>
        <v>41.914400000000001</v>
      </c>
      <c r="E125" s="9"/>
      <c r="F125" s="17">
        <f>(E61*D125)*0.15</f>
        <v>4592683.9268427324</v>
      </c>
      <c r="G125" s="17">
        <f>((E61*D125)-F125)/6</f>
        <v>4337534.819795914</v>
      </c>
      <c r="H125" s="17">
        <f t="shared" si="33"/>
        <v>4337534.819795914</v>
      </c>
      <c r="I125" s="17">
        <f t="shared" si="33"/>
        <v>4337534.819795914</v>
      </c>
      <c r="J125" s="17">
        <f t="shared" si="33"/>
        <v>4337534.819795914</v>
      </c>
      <c r="K125" s="17">
        <f t="shared" si="33"/>
        <v>4337534.819795914</v>
      </c>
      <c r="L125" s="17">
        <f t="shared" si="33"/>
        <v>4337534.819795914</v>
      </c>
      <c r="M125" s="17">
        <v>0</v>
      </c>
      <c r="N125" s="17">
        <v>0</v>
      </c>
      <c r="O125" s="17">
        <v>0</v>
      </c>
      <c r="P125" s="17">
        <v>0</v>
      </c>
      <c r="Q125" s="17">
        <v>0</v>
      </c>
      <c r="R125" s="17">
        <v>0</v>
      </c>
      <c r="S125" s="17">
        <v>0</v>
      </c>
      <c r="T125" s="17">
        <v>0</v>
      </c>
      <c r="U125" s="17">
        <v>0</v>
      </c>
      <c r="V125" s="17">
        <f>'Reopening Activities'!U56*$D125</f>
        <v>0</v>
      </c>
      <c r="W125" s="17">
        <f>'Reopening Activities'!V56*$D125</f>
        <v>0</v>
      </c>
      <c r="X125" s="17">
        <f>'Reopening Activities'!W56*$D125</f>
        <v>0</v>
      </c>
      <c r="Y125" s="17">
        <f>'Reopening Activities'!X56*$D125</f>
        <v>0</v>
      </c>
      <c r="Z125" s="17">
        <f>'Reopening Activities'!Y56*$D125</f>
        <v>0</v>
      </c>
    </row>
    <row r="126" spans="2:26" x14ac:dyDescent="0.3">
      <c r="B126" s="9" t="s">
        <v>79</v>
      </c>
      <c r="C126" s="6">
        <f>'DY 22 &amp; DY 23 Assumptions'!C87</f>
        <v>0</v>
      </c>
      <c r="D126" s="18">
        <f>'DY 22 &amp; DY 23 Assumptions'!I87</f>
        <v>29.312800000000003</v>
      </c>
      <c r="E126" s="9"/>
      <c r="F126" s="17"/>
      <c r="G126" s="17"/>
      <c r="H126" s="17"/>
      <c r="I126" s="17"/>
      <c r="J126" s="17"/>
      <c r="K126" s="17"/>
      <c r="L126" s="17"/>
      <c r="M126" s="17"/>
      <c r="N126" s="17"/>
      <c r="O126" s="17"/>
      <c r="P126" s="17"/>
      <c r="Q126" s="17"/>
      <c r="R126" s="17"/>
      <c r="S126" s="17"/>
      <c r="T126" s="17"/>
      <c r="U126" s="17"/>
      <c r="V126" s="17"/>
      <c r="W126" s="17"/>
      <c r="X126" s="17"/>
      <c r="Y126" s="17"/>
      <c r="Z126" s="17"/>
    </row>
    <row r="127" spans="2:26" x14ac:dyDescent="0.3">
      <c r="B127" s="5" t="s">
        <v>40</v>
      </c>
      <c r="C127" s="6">
        <f>E63</f>
        <v>3500000</v>
      </c>
      <c r="D127" s="39">
        <f>'DY 22 &amp; DY 23 Assumptions'!I90</f>
        <v>52.63</v>
      </c>
      <c r="E127" s="24">
        <f>SUM(G127:AA127)</f>
        <v>3131485000</v>
      </c>
      <c r="F127" s="40">
        <v>0</v>
      </c>
      <c r="G127" s="40">
        <v>0</v>
      </c>
      <c r="H127" s="40">
        <v>0</v>
      </c>
      <c r="I127" s="40">
        <f>I63*'DY 22 &amp; DY 23 Assumptions'!I90</f>
        <v>184205000</v>
      </c>
      <c r="J127" s="40">
        <f>J63*'DY 22 &amp; DY 23 Assumptions'!J90</f>
        <v>184205000</v>
      </c>
      <c r="K127" s="40">
        <f>K63*'DY 22 &amp; DY 23 Assumptions'!K90</f>
        <v>184205000</v>
      </c>
      <c r="L127" s="40">
        <f>L63*'DY 22 &amp; DY 23 Assumptions'!L90</f>
        <v>184205000</v>
      </c>
      <c r="M127" s="40">
        <f>M63*'DY 22 &amp; DY 23 Assumptions'!M90</f>
        <v>184205000</v>
      </c>
      <c r="N127" s="40">
        <f>N63*'DY 22 &amp; DY 23 Assumptions'!N90</f>
        <v>184205000</v>
      </c>
      <c r="O127" s="40">
        <f>O63*'DY 22 &amp; DY 23 Assumptions'!O90</f>
        <v>184205000</v>
      </c>
      <c r="P127" s="40">
        <f>P63*'DY 22 &amp; DY 23 Assumptions'!P90</f>
        <v>184205000</v>
      </c>
      <c r="Q127" s="40">
        <f>Q63*'DY 22 &amp; DY 23 Assumptions'!Q90</f>
        <v>184205000</v>
      </c>
      <c r="R127" s="40">
        <f>R63*'DY 22 &amp; DY 23 Assumptions'!R90</f>
        <v>184205000</v>
      </c>
      <c r="S127" s="40">
        <f>S63*'DY 22 &amp; DY 23 Assumptions'!S90</f>
        <v>184205000</v>
      </c>
      <c r="T127" s="40">
        <f>T63*'DY 22 &amp; DY 23 Assumptions'!T90</f>
        <v>184205000</v>
      </c>
      <c r="U127" s="40">
        <f>U63*'DY 22 &amp; DY 23 Assumptions'!U90</f>
        <v>184205000</v>
      </c>
      <c r="V127" s="40">
        <f>V63*'DY 22 &amp; DY 23 Assumptions'!V90</f>
        <v>184205000</v>
      </c>
      <c r="W127" s="40">
        <f>W63*'DY 22 &amp; DY 23 Assumptions'!W90</f>
        <v>184205000</v>
      </c>
      <c r="X127" s="40">
        <f>X63*'DY 22 &amp; DY 23 Assumptions'!X90</f>
        <v>184205000</v>
      </c>
      <c r="Y127" s="40">
        <f>Y63*'DY 22 &amp; DY 23 Assumptions'!Y90</f>
        <v>184205000</v>
      </c>
      <c r="Z127" s="40">
        <f>Z63*'DY 22 &amp; DY 23 Assumptions'!Z90</f>
        <v>0</v>
      </c>
    </row>
    <row r="128" spans="2:26" x14ac:dyDescent="0.3">
      <c r="B128" s="5" t="s">
        <v>41</v>
      </c>
      <c r="C128" s="6">
        <f>E64</f>
        <v>1056570</v>
      </c>
      <c r="D128" s="39">
        <f>'DY 22 &amp; DY 23 Assumptions'!I91</f>
        <v>71.62</v>
      </c>
      <c r="E128" s="24">
        <f>SUM(G128:AA128)</f>
        <v>1236223781.9975872</v>
      </c>
      <c r="F128" s="40">
        <v>0</v>
      </c>
      <c r="G128" s="40">
        <v>0</v>
      </c>
      <c r="H128" s="40">
        <v>0</v>
      </c>
      <c r="I128" s="40">
        <f>I64*'DY 22 &amp; DY 23 Assumptions'!I91</f>
        <v>75671543.400000006</v>
      </c>
      <c r="J128" s="40">
        <f>J64*'DY 22 &amp; DY 23 Assumptions'!J91</f>
        <v>75293185.682999998</v>
      </c>
      <c r="K128" s="40">
        <f>K64*'DY 22 &amp; DY 23 Assumptions'!K91</f>
        <v>74916719.754584998</v>
      </c>
      <c r="L128" s="40">
        <f>L64*'DY 22 &amp; DY 23 Assumptions'!L91</f>
        <v>74542136.15581207</v>
      </c>
      <c r="M128" s="40">
        <f>M64*'DY 22 &amp; DY 23 Assumptions'!M91</f>
        <v>74169425.475033015</v>
      </c>
      <c r="N128" s="40">
        <f>N64*'DY 22 &amp; DY 23 Assumptions'!N91</f>
        <v>73798578.347657844</v>
      </c>
      <c r="O128" s="40">
        <f>O64*'DY 22 &amp; DY 23 Assumptions'!O91</f>
        <v>73429585.455919564</v>
      </c>
      <c r="P128" s="40">
        <f>P64*'DY 22 &amp; DY 23 Assumptions'!P91</f>
        <v>73062437.528639957</v>
      </c>
      <c r="Q128" s="40">
        <f>Q64*'DY 22 &amp; DY 23 Assumptions'!Q91</f>
        <v>72697125.340996757</v>
      </c>
      <c r="R128" s="40">
        <f>R64*'DY 22 &amp; DY 23 Assumptions'!R91</f>
        <v>72333639.714291766</v>
      </c>
      <c r="S128" s="40">
        <f>S64*'DY 22 &amp; DY 23 Assumptions'!S91</f>
        <v>71971971.515720323</v>
      </c>
      <c r="T128" s="40">
        <f>T64*'DY 22 &amp; DY 23 Assumptions'!T91</f>
        <v>71612111.658141717</v>
      </c>
      <c r="U128" s="40">
        <f>U64*'DY 22 &amp; DY 23 Assumptions'!U91</f>
        <v>71254051.099851012</v>
      </c>
      <c r="V128" s="40">
        <f>V64*'DY 22 &amp; DY 23 Assumptions'!V91</f>
        <v>70897780.844351754</v>
      </c>
      <c r="W128" s="40">
        <f>W64*'DY 22 &amp; DY 23 Assumptions'!W91</f>
        <v>70543291.940129995</v>
      </c>
      <c r="X128" s="40">
        <f>X64*'DY 22 &amp; DY 23 Assumptions'!X91</f>
        <v>70190575.480429351</v>
      </c>
      <c r="Y128" s="40">
        <f>Y64*'DY 22 &amp; DY 23 Assumptions'!Y91</f>
        <v>69839622.603027195</v>
      </c>
      <c r="Z128" s="40">
        <f>Z64*'DY 22 &amp; DY 23 Assumptions'!Z91</f>
        <v>0</v>
      </c>
    </row>
    <row r="129" spans="2:26" x14ac:dyDescent="0.3">
      <c r="B129" s="5" t="s">
        <v>42</v>
      </c>
      <c r="C129" s="6">
        <f>E65</f>
        <v>80623</v>
      </c>
      <c r="D129" s="39">
        <f>'DY 22 &amp; DY 23 Assumptions'!I92</f>
        <v>91.19</v>
      </c>
      <c r="E129" s="24">
        <f>SUM(G129:AA129)</f>
        <v>120107650.68009253</v>
      </c>
      <c r="F129" s="40">
        <v>0</v>
      </c>
      <c r="G129" s="40">
        <v>0</v>
      </c>
      <c r="H129" s="40">
        <v>0</v>
      </c>
      <c r="I129" s="40">
        <f>I65*'DY 22 &amp; DY 23 Assumptions'!I92</f>
        <v>7352011.3700000001</v>
      </c>
      <c r="J129" s="40">
        <f>J65*'DY 22 &amp; DY 23 Assumptions'!J92</f>
        <v>7315251.3131499989</v>
      </c>
      <c r="K129" s="40">
        <f>K65*'DY 22 &amp; DY 23 Assumptions'!K92</f>
        <v>7278675.0565842502</v>
      </c>
      <c r="L129" s="40">
        <f>L65*'DY 22 &amp; DY 23 Assumptions'!L92</f>
        <v>7242281.6813013284</v>
      </c>
      <c r="M129" s="40">
        <f>M65*'DY 22 &amp; DY 23 Assumptions'!M92</f>
        <v>7206070.2728948211</v>
      </c>
      <c r="N129" s="40">
        <f>N65*'DY 22 &amp; DY 23 Assumptions'!N92</f>
        <v>7170039.9215303473</v>
      </c>
      <c r="O129" s="40">
        <f>O65*'DY 22 &amp; DY 23 Assumptions'!O92</f>
        <v>7134189.7219226956</v>
      </c>
      <c r="P129" s="40">
        <f>P65*'DY 22 &amp; DY 23 Assumptions'!P92</f>
        <v>7098518.7733130828</v>
      </c>
      <c r="Q129" s="40">
        <f>Q65*'DY 22 &amp; DY 23 Assumptions'!Q92</f>
        <v>7063026.1794465166</v>
      </c>
      <c r="R129" s="40">
        <f>R65*'DY 22 &amp; DY 23 Assumptions'!R92</f>
        <v>7027711.0485492833</v>
      </c>
      <c r="S129" s="40">
        <f>S65*'DY 22 &amp; DY 23 Assumptions'!S92</f>
        <v>6992572.4933065372</v>
      </c>
      <c r="T129" s="40">
        <f>T65*'DY 22 &amp; DY 23 Assumptions'!T92</f>
        <v>6957609.6308400044</v>
      </c>
      <c r="U129" s="40">
        <f>U65*'DY 22 &amp; DY 23 Assumptions'!U92</f>
        <v>6922821.5826858049</v>
      </c>
      <c r="V129" s="40">
        <f>V65*'DY 22 &amp; DY 23 Assumptions'!V92</f>
        <v>6888207.474772376</v>
      </c>
      <c r="W129" s="40">
        <f>W65*'DY 22 &amp; DY 23 Assumptions'!W92</f>
        <v>6853766.4373985138</v>
      </c>
      <c r="X129" s="40">
        <f>X65*'DY 22 &amp; DY 23 Assumptions'!X92</f>
        <v>6819497.6052115215</v>
      </c>
      <c r="Y129" s="40">
        <f>Y65*'DY 22 &amp; DY 23 Assumptions'!Y92</f>
        <v>6785400.1171854632</v>
      </c>
      <c r="Z129" s="40">
        <f>Z65*'DY 22 &amp; DY 23 Assumptions'!Z92</f>
        <v>0</v>
      </c>
    </row>
  </sheetData>
  <printOptions horizontalCentered="1" verticalCentered="1"/>
  <pageMargins left="0.7" right="0.7" top="0.75" bottom="0.75" header="0.3" footer="0.3"/>
  <pageSetup scale="29" orientation="landscape" r:id="rId1"/>
  <headerFooter>
    <oddHeader>&amp;A</oddHeader>
  </headerFooter>
  <rowBreaks count="1" manualBreakCount="1">
    <brk id="6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E8942-874B-4033-8589-4D4DEB953984}">
  <dimension ref="A1:W111"/>
  <sheetViews>
    <sheetView topLeftCell="A82" zoomScaleNormal="100" workbookViewId="0">
      <selection activeCell="H104" sqref="H104"/>
    </sheetView>
  </sheetViews>
  <sheetFormatPr defaultRowHeight="14.4" x14ac:dyDescent="0.3"/>
  <cols>
    <col min="1" max="1" width="32.6640625" bestFit="1" customWidth="1"/>
    <col min="2" max="2" width="26.33203125" bestFit="1" customWidth="1"/>
    <col min="3" max="3" width="16.44140625" bestFit="1" customWidth="1"/>
    <col min="4" max="4" width="25.33203125" bestFit="1" customWidth="1"/>
    <col min="5" max="5" width="15.21875" customWidth="1"/>
    <col min="6" max="6" width="15.6640625" bestFit="1" customWidth="1"/>
    <col min="7" max="23" width="11.21875" bestFit="1" customWidth="1"/>
  </cols>
  <sheetData>
    <row r="1" spans="1:23" ht="18" x14ac:dyDescent="0.35">
      <c r="A1" s="211"/>
      <c r="B1" s="211"/>
      <c r="C1" s="211"/>
      <c r="D1" s="211"/>
      <c r="E1" s="211"/>
      <c r="F1" s="211"/>
      <c r="G1" s="211"/>
      <c r="H1" s="211"/>
      <c r="I1" s="211"/>
      <c r="J1" s="211"/>
      <c r="K1" s="211"/>
      <c r="L1" s="211"/>
      <c r="M1" s="211"/>
    </row>
    <row r="2" spans="1:23" ht="18" x14ac:dyDescent="0.35">
      <c r="A2" s="211"/>
      <c r="B2" s="211"/>
      <c r="C2" s="211"/>
      <c r="D2" s="211"/>
      <c r="E2" s="211"/>
      <c r="F2" s="211"/>
      <c r="G2" s="211"/>
      <c r="H2" s="211"/>
      <c r="I2" s="211"/>
      <c r="J2" s="211"/>
      <c r="K2" s="211"/>
      <c r="L2" s="211"/>
      <c r="M2" s="211"/>
    </row>
    <row r="3" spans="1:23" ht="54" x14ac:dyDescent="0.35">
      <c r="A3" s="212"/>
      <c r="B3" s="213" t="s">
        <v>83</v>
      </c>
      <c r="C3" s="213" t="s">
        <v>84</v>
      </c>
      <c r="D3" s="213" t="s">
        <v>85</v>
      </c>
      <c r="E3" s="213" t="s">
        <v>86</v>
      </c>
      <c r="F3" s="213" t="s">
        <v>74</v>
      </c>
      <c r="G3" s="213" t="s">
        <v>87</v>
      </c>
      <c r="H3" s="213" t="s">
        <v>88</v>
      </c>
      <c r="I3" s="213" t="s">
        <v>89</v>
      </c>
      <c r="J3" s="213" t="s">
        <v>90</v>
      </c>
      <c r="K3" s="213" t="s">
        <v>91</v>
      </c>
      <c r="L3" s="213" t="s">
        <v>92</v>
      </c>
      <c r="M3" s="213" t="s">
        <v>93</v>
      </c>
      <c r="N3" s="213" t="s">
        <v>261</v>
      </c>
      <c r="O3" s="213" t="s">
        <v>262</v>
      </c>
      <c r="P3" s="213" t="s">
        <v>263</v>
      </c>
      <c r="Q3" s="213" t="s">
        <v>264</v>
      </c>
      <c r="R3" s="213" t="s">
        <v>265</v>
      </c>
      <c r="S3" s="213" t="s">
        <v>266</v>
      </c>
      <c r="T3" s="213" t="s">
        <v>267</v>
      </c>
      <c r="U3" s="213" t="s">
        <v>268</v>
      </c>
      <c r="V3" s="213" t="s">
        <v>269</v>
      </c>
      <c r="W3" s="213" t="s">
        <v>270</v>
      </c>
    </row>
    <row r="4" spans="1:23" ht="18" x14ac:dyDescent="0.35">
      <c r="A4" s="214" t="s">
        <v>77</v>
      </c>
      <c r="B4" s="215">
        <v>667000</v>
      </c>
      <c r="C4" s="216">
        <f>C6+C13+C26+C43+C58+C75+C90+C91+C92</f>
        <v>3482000</v>
      </c>
      <c r="D4" s="215">
        <v>667000</v>
      </c>
      <c r="E4" s="216">
        <f>E6+E13+E26+E43+E58+E75+E90+E91+E92</f>
        <v>3482000</v>
      </c>
      <c r="F4" s="216"/>
      <c r="G4" s="216"/>
      <c r="H4" s="216"/>
      <c r="I4" s="216"/>
      <c r="J4" s="216"/>
      <c r="K4" s="216"/>
      <c r="L4" s="216"/>
      <c r="M4" s="216"/>
      <c r="N4" s="216"/>
      <c r="O4" s="216"/>
      <c r="P4" s="216"/>
      <c r="Q4" s="216"/>
      <c r="R4" s="216"/>
      <c r="S4" s="216"/>
      <c r="T4" s="216"/>
      <c r="U4" s="216"/>
      <c r="V4" s="216"/>
      <c r="W4" s="216"/>
    </row>
    <row r="5" spans="1:23" ht="18" x14ac:dyDescent="0.35">
      <c r="A5" s="217" t="s">
        <v>5</v>
      </c>
      <c r="B5" s="217"/>
      <c r="C5" s="218">
        <f>C6+C13+C26+C43+C58+C75</f>
        <v>667000</v>
      </c>
      <c r="D5" s="217"/>
      <c r="E5" s="218">
        <f>E6+E13+E26+E43+E58+E75</f>
        <v>667000</v>
      </c>
      <c r="F5" s="216"/>
      <c r="G5" s="216"/>
      <c r="H5" s="216"/>
      <c r="I5" s="216"/>
      <c r="J5" s="216"/>
      <c r="K5" s="216"/>
      <c r="L5" s="216"/>
      <c r="M5" s="216"/>
      <c r="N5" s="216"/>
      <c r="O5" s="216"/>
      <c r="P5" s="216"/>
      <c r="Q5" s="216"/>
      <c r="R5" s="216"/>
      <c r="S5" s="216"/>
      <c r="T5" s="216"/>
      <c r="U5" s="216"/>
      <c r="V5" s="216"/>
      <c r="W5" s="216"/>
    </row>
    <row r="6" spans="1:23" ht="18" x14ac:dyDescent="0.35">
      <c r="A6" s="217" t="s">
        <v>6</v>
      </c>
      <c r="B6" s="219">
        <v>0.2</v>
      </c>
      <c r="C6" s="220">
        <f>B4*B6</f>
        <v>133400</v>
      </c>
      <c r="D6" s="219">
        <v>0.2</v>
      </c>
      <c r="E6" s="220">
        <f>D4*D6</f>
        <v>133400</v>
      </c>
      <c r="F6" s="220"/>
      <c r="G6" s="221"/>
      <c r="H6" s="221"/>
      <c r="I6" s="221"/>
      <c r="J6" s="221"/>
      <c r="K6" s="221"/>
      <c r="L6" s="221"/>
      <c r="M6" s="221"/>
      <c r="N6" s="221"/>
      <c r="O6" s="221"/>
      <c r="P6" s="221"/>
      <c r="Q6" s="221"/>
      <c r="R6" s="221"/>
      <c r="S6" s="221"/>
      <c r="T6" s="221"/>
      <c r="U6" s="221"/>
      <c r="V6" s="221"/>
      <c r="W6" s="221"/>
    </row>
    <row r="7" spans="1:23" ht="18" x14ac:dyDescent="0.35">
      <c r="A7" s="222" t="s">
        <v>7</v>
      </c>
      <c r="B7" s="223"/>
      <c r="C7" s="224">
        <f>C6*0.3</f>
        <v>40020</v>
      </c>
      <c r="D7" s="223"/>
      <c r="E7" s="224">
        <f>E6*0.3</f>
        <v>40020</v>
      </c>
      <c r="F7" s="224"/>
      <c r="G7" s="225"/>
      <c r="H7" s="225"/>
      <c r="I7" s="225"/>
      <c r="J7" s="225"/>
      <c r="K7" s="225"/>
      <c r="L7" s="225"/>
      <c r="M7" s="225"/>
      <c r="N7" s="225"/>
      <c r="O7" s="225"/>
      <c r="P7" s="225"/>
      <c r="Q7" s="225"/>
      <c r="R7" s="225"/>
      <c r="S7" s="225"/>
      <c r="T7" s="225"/>
      <c r="U7" s="225"/>
      <c r="V7" s="225"/>
      <c r="W7" s="225"/>
    </row>
    <row r="8" spans="1:23" ht="18" x14ac:dyDescent="0.35">
      <c r="A8" s="212" t="s">
        <v>8</v>
      </c>
      <c r="B8" s="226">
        <v>0.38</v>
      </c>
      <c r="C8" s="224">
        <f>$C$7*$B$8</f>
        <v>15207.6</v>
      </c>
      <c r="D8" s="226">
        <v>0.38</v>
      </c>
      <c r="E8" s="224">
        <f>$E$7*$D$8</f>
        <v>15207.6</v>
      </c>
      <c r="F8" s="227">
        <v>0.14884</v>
      </c>
      <c r="G8" s="228">
        <f>'DY 22 &amp; DY 23 Assumptions'!I8*'Future Plan Assumptions'!$B$101</f>
        <v>66.325248000000002</v>
      </c>
      <c r="H8" s="228">
        <f t="shared" ref="H8:W8" si="0">G8*$B$101</f>
        <v>63.67223808</v>
      </c>
      <c r="I8" s="228">
        <f t="shared" si="0"/>
        <v>61.125348556799999</v>
      </c>
      <c r="J8" s="228">
        <f t="shared" si="0"/>
        <v>58.680334614527993</v>
      </c>
      <c r="K8" s="228">
        <f t="shared" si="0"/>
        <v>56.333121229946869</v>
      </c>
      <c r="L8" s="228">
        <f t="shared" si="0"/>
        <v>54.079796380748995</v>
      </c>
      <c r="M8" s="228">
        <f t="shared" si="0"/>
        <v>51.916604525519034</v>
      </c>
      <c r="N8" s="228">
        <f t="shared" si="0"/>
        <v>49.839940344498274</v>
      </c>
      <c r="O8" s="228">
        <f t="shared" si="0"/>
        <v>47.846342730718341</v>
      </c>
      <c r="P8" s="228">
        <f t="shared" si="0"/>
        <v>45.932489021489609</v>
      </c>
      <c r="Q8" s="228">
        <f t="shared" si="0"/>
        <v>44.095189460630024</v>
      </c>
      <c r="R8" s="228">
        <f t="shared" si="0"/>
        <v>42.331381882204823</v>
      </c>
      <c r="S8" s="228">
        <f t="shared" si="0"/>
        <v>40.638126606916629</v>
      </c>
      <c r="T8" s="228">
        <f t="shared" si="0"/>
        <v>39.012601542639963</v>
      </c>
      <c r="U8" s="228">
        <f t="shared" si="0"/>
        <v>37.452097480934363</v>
      </c>
      <c r="V8" s="228">
        <f t="shared" si="0"/>
        <v>35.954013581696984</v>
      </c>
      <c r="W8" s="228">
        <f t="shared" si="0"/>
        <v>34.5158530384291</v>
      </c>
    </row>
    <row r="9" spans="1:23" ht="18" x14ac:dyDescent="0.35">
      <c r="A9" s="212" t="s">
        <v>9</v>
      </c>
      <c r="B9" s="226">
        <v>0.62</v>
      </c>
      <c r="C9" s="224">
        <f>$C$7*$B$9</f>
        <v>24812.400000000001</v>
      </c>
      <c r="D9" s="226">
        <v>0.62</v>
      </c>
      <c r="E9" s="224">
        <f>$E$7*$D$9</f>
        <v>24812.400000000001</v>
      </c>
      <c r="F9" s="227">
        <v>0.15130000000000002</v>
      </c>
      <c r="G9" s="228">
        <f>'DY 22 &amp; DY 23 Assumptions'!I9*'Future Plan Assumptions'!$B$101</f>
        <v>56.086272000000001</v>
      </c>
      <c r="H9" s="228">
        <f t="shared" ref="H9:W9" si="1">G9*$B$101</f>
        <v>53.842821119999996</v>
      </c>
      <c r="I9" s="228">
        <f t="shared" si="1"/>
        <v>51.689108275199992</v>
      </c>
      <c r="J9" s="228">
        <f t="shared" si="1"/>
        <v>49.621543944191991</v>
      </c>
      <c r="K9" s="228">
        <f t="shared" si="1"/>
        <v>47.636682186424309</v>
      </c>
      <c r="L9" s="228">
        <f t="shared" si="1"/>
        <v>45.731214898967337</v>
      </c>
      <c r="M9" s="228">
        <f t="shared" si="1"/>
        <v>43.901966303008642</v>
      </c>
      <c r="N9" s="228">
        <f t="shared" si="1"/>
        <v>42.145887650888298</v>
      </c>
      <c r="O9" s="228">
        <f t="shared" si="1"/>
        <v>40.460052144852767</v>
      </c>
      <c r="P9" s="228">
        <f t="shared" si="1"/>
        <v>38.841650059058658</v>
      </c>
      <c r="Q9" s="228">
        <f t="shared" si="1"/>
        <v>37.28798405669631</v>
      </c>
      <c r="R9" s="228">
        <f t="shared" si="1"/>
        <v>35.796464694428458</v>
      </c>
      <c r="S9" s="228">
        <f t="shared" si="1"/>
        <v>34.364606106651316</v>
      </c>
      <c r="T9" s="228">
        <f t="shared" si="1"/>
        <v>32.990021862385262</v>
      </c>
      <c r="U9" s="228">
        <f t="shared" si="1"/>
        <v>31.670420987889852</v>
      </c>
      <c r="V9" s="228">
        <f t="shared" si="1"/>
        <v>30.403604148374257</v>
      </c>
      <c r="W9" s="228">
        <f t="shared" si="1"/>
        <v>29.187459982439286</v>
      </c>
    </row>
    <row r="10" spans="1:23" ht="18" x14ac:dyDescent="0.35">
      <c r="A10" s="222" t="s">
        <v>10</v>
      </c>
      <c r="B10" s="223"/>
      <c r="C10" s="224">
        <f>C6*0.7</f>
        <v>93380</v>
      </c>
      <c r="D10" s="223"/>
      <c r="E10" s="224">
        <f>E6*0.7</f>
        <v>93380</v>
      </c>
      <c r="F10" s="224"/>
      <c r="G10" s="229"/>
      <c r="H10" s="229"/>
      <c r="I10" s="229"/>
      <c r="J10" s="229"/>
      <c r="K10" s="229"/>
      <c r="L10" s="229"/>
      <c r="M10" s="229"/>
      <c r="N10" s="229"/>
      <c r="O10" s="229"/>
      <c r="P10" s="229"/>
      <c r="Q10" s="229"/>
      <c r="R10" s="229"/>
      <c r="S10" s="229"/>
      <c r="T10" s="229"/>
      <c r="U10" s="229"/>
      <c r="V10" s="229"/>
      <c r="W10" s="229"/>
    </row>
    <row r="11" spans="1:23" ht="18" x14ac:dyDescent="0.35">
      <c r="A11" s="212" t="s">
        <v>11</v>
      </c>
      <c r="B11" s="226">
        <v>0.38</v>
      </c>
      <c r="C11" s="224">
        <f>$C$10*B11</f>
        <v>35484.400000000001</v>
      </c>
      <c r="D11" s="226">
        <v>0.38</v>
      </c>
      <c r="E11" s="224">
        <f>$E$10*D11</f>
        <v>35484.400000000001</v>
      </c>
      <c r="F11" s="227">
        <v>0.13464999999999999</v>
      </c>
      <c r="G11" s="228">
        <f>'DY 22 &amp; DY 23 Assumptions'!I11*'Future Plan Assumptions'!$B$101</f>
        <v>69.510143999999997</v>
      </c>
      <c r="H11" s="228">
        <f t="shared" ref="H11:W11" si="2">G11*$B$101</f>
        <v>66.729738239999989</v>
      </c>
      <c r="I11" s="228">
        <f t="shared" si="2"/>
        <v>64.060548710399985</v>
      </c>
      <c r="J11" s="228">
        <f t="shared" si="2"/>
        <v>61.498126761983983</v>
      </c>
      <c r="K11" s="228">
        <f t="shared" si="2"/>
        <v>59.038201691504618</v>
      </c>
      <c r="L11" s="228">
        <f t="shared" si="2"/>
        <v>56.67667362384443</v>
      </c>
      <c r="M11" s="228">
        <f t="shared" si="2"/>
        <v>54.409606678890647</v>
      </c>
      <c r="N11" s="228">
        <f t="shared" si="2"/>
        <v>52.233222411735021</v>
      </c>
      <c r="O11" s="228">
        <f t="shared" si="2"/>
        <v>50.143893515265617</v>
      </c>
      <c r="P11" s="228">
        <f t="shared" si="2"/>
        <v>48.138137774654993</v>
      </c>
      <c r="Q11" s="228">
        <f t="shared" si="2"/>
        <v>46.212612263668788</v>
      </c>
      <c r="R11" s="228">
        <f t="shared" si="2"/>
        <v>44.364107773122036</v>
      </c>
      <c r="S11" s="228">
        <f t="shared" si="2"/>
        <v>42.589543462197156</v>
      </c>
      <c r="T11" s="228">
        <f t="shared" si="2"/>
        <v>40.885961723709265</v>
      </c>
      <c r="U11" s="228">
        <f t="shared" si="2"/>
        <v>39.250523254760893</v>
      </c>
      <c r="V11" s="228">
        <f t="shared" si="2"/>
        <v>37.680502324570455</v>
      </c>
      <c r="W11" s="228">
        <f t="shared" si="2"/>
        <v>36.173282231587635</v>
      </c>
    </row>
    <row r="12" spans="1:23" ht="18" x14ac:dyDescent="0.35">
      <c r="A12" s="212" t="s">
        <v>9</v>
      </c>
      <c r="B12" s="226">
        <v>0.62</v>
      </c>
      <c r="C12" s="224">
        <f>$C$10*B12</f>
        <v>57895.6</v>
      </c>
      <c r="D12" s="226">
        <v>0.62</v>
      </c>
      <c r="E12" s="224">
        <f>$E$10*D12</f>
        <v>57895.6</v>
      </c>
      <c r="F12" s="227">
        <v>0.13319</v>
      </c>
      <c r="G12" s="228">
        <f>'DY 22 &amp; DY 23 Assumptions'!I12*'Future Plan Assumptions'!$B$101</f>
        <v>60.732671999999994</v>
      </c>
      <c r="H12" s="228">
        <f t="shared" ref="H12:W12" si="3">G12*$B$101</f>
        <v>58.303365119999995</v>
      </c>
      <c r="I12" s="228">
        <f t="shared" si="3"/>
        <v>55.971230515199991</v>
      </c>
      <c r="J12" s="228">
        <f t="shared" si="3"/>
        <v>53.732381294591988</v>
      </c>
      <c r="K12" s="228">
        <f t="shared" si="3"/>
        <v>51.583086042808304</v>
      </c>
      <c r="L12" s="228">
        <f t="shared" si="3"/>
        <v>49.51976260109597</v>
      </c>
      <c r="M12" s="228">
        <f t="shared" si="3"/>
        <v>47.538972097052131</v>
      </c>
      <c r="N12" s="228">
        <f t="shared" si="3"/>
        <v>45.637413213170042</v>
      </c>
      <c r="O12" s="228">
        <f t="shared" si="3"/>
        <v>43.811916684643236</v>
      </c>
      <c r="P12" s="228">
        <f t="shared" si="3"/>
        <v>42.059440017257508</v>
      </c>
      <c r="Q12" s="228">
        <f t="shared" si="3"/>
        <v>40.377062416567206</v>
      </c>
      <c r="R12" s="228">
        <f t="shared" si="3"/>
        <v>38.761979919904519</v>
      </c>
      <c r="S12" s="228">
        <f t="shared" si="3"/>
        <v>37.211500723108337</v>
      </c>
      <c r="T12" s="228">
        <f t="shared" si="3"/>
        <v>35.723040694184</v>
      </c>
      <c r="U12" s="228">
        <f t="shared" si="3"/>
        <v>34.294119066416641</v>
      </c>
      <c r="V12" s="228">
        <f t="shared" si="3"/>
        <v>32.922354303759974</v>
      </c>
      <c r="W12" s="228">
        <f t="shared" si="3"/>
        <v>31.605460131609576</v>
      </c>
    </row>
    <row r="13" spans="1:23" ht="18" x14ac:dyDescent="0.35">
      <c r="A13" s="217" t="s">
        <v>12</v>
      </c>
      <c r="B13" s="219">
        <v>0.2</v>
      </c>
      <c r="C13" s="220">
        <f>B4*B13</f>
        <v>133400</v>
      </c>
      <c r="D13" s="219">
        <v>0.2</v>
      </c>
      <c r="E13" s="220">
        <f>D4*D13</f>
        <v>133400</v>
      </c>
      <c r="F13" s="220"/>
      <c r="G13" s="221"/>
      <c r="H13" s="221"/>
      <c r="I13" s="221"/>
      <c r="J13" s="221"/>
      <c r="K13" s="221"/>
      <c r="L13" s="221"/>
      <c r="M13" s="221"/>
      <c r="N13" s="221"/>
      <c r="O13" s="221"/>
      <c r="P13" s="221"/>
      <c r="Q13" s="221"/>
      <c r="R13" s="221"/>
      <c r="S13" s="221"/>
      <c r="T13" s="221"/>
      <c r="U13" s="221"/>
      <c r="V13" s="221"/>
      <c r="W13" s="221"/>
    </row>
    <row r="14" spans="1:23" ht="18" x14ac:dyDescent="0.35">
      <c r="A14" s="222" t="s">
        <v>13</v>
      </c>
      <c r="B14" s="223"/>
      <c r="C14" s="224">
        <f>C13*0.3</f>
        <v>40020</v>
      </c>
      <c r="D14" s="223"/>
      <c r="E14" s="224">
        <f>E13*0.3</f>
        <v>40020</v>
      </c>
      <c r="F14" s="224"/>
      <c r="G14" s="229"/>
      <c r="H14" s="229"/>
      <c r="I14" s="229"/>
      <c r="J14" s="229"/>
      <c r="K14" s="229"/>
      <c r="L14" s="229"/>
      <c r="M14" s="229"/>
      <c r="N14" s="229"/>
      <c r="O14" s="229"/>
      <c r="P14" s="229"/>
      <c r="Q14" s="229"/>
      <c r="R14" s="229"/>
      <c r="S14" s="229"/>
      <c r="T14" s="229"/>
      <c r="U14" s="229"/>
      <c r="V14" s="229"/>
      <c r="W14" s="229"/>
    </row>
    <row r="15" spans="1:23" ht="18" x14ac:dyDescent="0.35">
      <c r="A15" s="212" t="s">
        <v>14</v>
      </c>
      <c r="B15" s="226">
        <v>8.2589858081657974E-2</v>
      </c>
      <c r="C15" s="224">
        <f>$C$14*B15</f>
        <v>3305.2461204279521</v>
      </c>
      <c r="D15" s="226">
        <v>8.2589858081657974E-2</v>
      </c>
      <c r="E15" s="224">
        <f>$E$14*D15</f>
        <v>3305.2461204279521</v>
      </c>
      <c r="F15" s="227">
        <v>0.15196999999999999</v>
      </c>
      <c r="G15" s="228">
        <f>'DY 22 &amp; DY 23 Assumptions'!I15*'Future Plan Assumptions'!$B$101</f>
        <v>48.947712000000003</v>
      </c>
      <c r="H15" s="228">
        <f t="shared" ref="H15:W15" si="4">G15*$B$101</f>
        <v>46.989803520000002</v>
      </c>
      <c r="I15" s="228">
        <f t="shared" si="4"/>
        <v>45.110211379200003</v>
      </c>
      <c r="J15" s="228">
        <f t="shared" si="4"/>
        <v>43.305802924032001</v>
      </c>
      <c r="K15" s="228">
        <f t="shared" si="4"/>
        <v>41.573570807070716</v>
      </c>
      <c r="L15" s="228">
        <f t="shared" si="4"/>
        <v>39.910627974787886</v>
      </c>
      <c r="M15" s="228">
        <f t="shared" si="4"/>
        <v>38.314202855796367</v>
      </c>
      <c r="N15" s="228">
        <f t="shared" si="4"/>
        <v>36.78163474156451</v>
      </c>
      <c r="O15" s="228">
        <f t="shared" si="4"/>
        <v>35.310369351901926</v>
      </c>
      <c r="P15" s="228">
        <f t="shared" si="4"/>
        <v>33.89795457782585</v>
      </c>
      <c r="Q15" s="228">
        <f t="shared" si="4"/>
        <v>32.542036394712817</v>
      </c>
      <c r="R15" s="228">
        <f t="shared" si="4"/>
        <v>31.240354938924302</v>
      </c>
      <c r="S15" s="228">
        <f t="shared" si="4"/>
        <v>29.990740741367329</v>
      </c>
      <c r="T15" s="228">
        <f t="shared" si="4"/>
        <v>28.791111111712635</v>
      </c>
      <c r="U15" s="228">
        <f t="shared" si="4"/>
        <v>27.639466667244129</v>
      </c>
      <c r="V15" s="228">
        <f t="shared" si="4"/>
        <v>26.533888000554363</v>
      </c>
      <c r="W15" s="228">
        <f t="shared" si="4"/>
        <v>25.472532480532188</v>
      </c>
    </row>
    <row r="16" spans="1:23" ht="18" x14ac:dyDescent="0.35">
      <c r="A16" s="212" t="s">
        <v>15</v>
      </c>
      <c r="B16" s="226">
        <v>6.3796727298494463E-2</v>
      </c>
      <c r="C16" s="224">
        <f>$C$14*B16</f>
        <v>2553.1450264857485</v>
      </c>
      <c r="D16" s="226">
        <v>6.3796727298494463E-2</v>
      </c>
      <c r="E16" s="224">
        <f>$E$14*D16</f>
        <v>2553.1450264857485</v>
      </c>
      <c r="F16" s="227">
        <v>0.14819000000000002</v>
      </c>
      <c r="G16" s="228">
        <f>'DY 22 &amp; DY 23 Assumptions'!I16*'Future Plan Assumptions'!$B$101</f>
        <v>49.716480000000004</v>
      </c>
      <c r="H16" s="228">
        <f t="shared" ref="H16:W16" si="5">G16*$B$101</f>
        <v>47.727820800000003</v>
      </c>
      <c r="I16" s="228">
        <f t="shared" si="5"/>
        <v>45.818707967999998</v>
      </c>
      <c r="J16" s="228">
        <f t="shared" si="5"/>
        <v>43.985959649279998</v>
      </c>
      <c r="K16" s="228">
        <f t="shared" si="5"/>
        <v>42.226521263308797</v>
      </c>
      <c r="L16" s="228">
        <f t="shared" si="5"/>
        <v>40.537460412776447</v>
      </c>
      <c r="M16" s="228">
        <f t="shared" si="5"/>
        <v>38.915961996265388</v>
      </c>
      <c r="N16" s="228">
        <f t="shared" si="5"/>
        <v>37.359323516414769</v>
      </c>
      <c r="O16" s="228">
        <f t="shared" si="5"/>
        <v>35.864950575758179</v>
      </c>
      <c r="P16" s="228">
        <f t="shared" si="5"/>
        <v>34.430352552727854</v>
      </c>
      <c r="Q16" s="228">
        <f t="shared" si="5"/>
        <v>33.053138450618739</v>
      </c>
      <c r="R16" s="228">
        <f t="shared" si="5"/>
        <v>31.731012912593989</v>
      </c>
      <c r="S16" s="228">
        <f t="shared" si="5"/>
        <v>30.461772396090229</v>
      </c>
      <c r="T16" s="228">
        <f t="shared" si="5"/>
        <v>29.24330150024662</v>
      </c>
      <c r="U16" s="228">
        <f t="shared" si="5"/>
        <v>28.073569440236753</v>
      </c>
      <c r="V16" s="228">
        <f t="shared" si="5"/>
        <v>26.950626662627283</v>
      </c>
      <c r="W16" s="228">
        <f t="shared" si="5"/>
        <v>25.872601596122191</v>
      </c>
    </row>
    <row r="17" spans="1:23" ht="18" x14ac:dyDescent="0.35">
      <c r="A17" s="212" t="s">
        <v>16</v>
      </c>
      <c r="B17" s="226">
        <v>0.14809231752718796</v>
      </c>
      <c r="C17" s="224">
        <f>$C$14*B17</f>
        <v>5926.6545474380619</v>
      </c>
      <c r="D17" s="226">
        <v>0.14809231752718796</v>
      </c>
      <c r="E17" s="224">
        <f>$E$14*D17</f>
        <v>5926.6545474380619</v>
      </c>
      <c r="F17" s="227">
        <v>0.15303</v>
      </c>
      <c r="G17" s="228">
        <f>'DY 22 &amp; DY 23 Assumptions'!I17*'Future Plan Assumptions'!$B$101</f>
        <v>44.225280000000005</v>
      </c>
      <c r="H17" s="228">
        <f t="shared" ref="H17:W17" si="6">G17*$B$101</f>
        <v>42.456268800000004</v>
      </c>
      <c r="I17" s="228">
        <f t="shared" si="6"/>
        <v>40.758018048000004</v>
      </c>
      <c r="J17" s="228">
        <f t="shared" si="6"/>
        <v>39.127697326080003</v>
      </c>
      <c r="K17" s="228">
        <f t="shared" si="6"/>
        <v>37.562589433036798</v>
      </c>
      <c r="L17" s="228">
        <f t="shared" si="6"/>
        <v>36.060085855715322</v>
      </c>
      <c r="M17" s="228">
        <f t="shared" si="6"/>
        <v>34.617682421486705</v>
      </c>
      <c r="N17" s="228">
        <f t="shared" si="6"/>
        <v>33.232975124627238</v>
      </c>
      <c r="O17" s="228">
        <f t="shared" si="6"/>
        <v>31.903656119642147</v>
      </c>
      <c r="P17" s="228">
        <f t="shared" si="6"/>
        <v>30.627509874856461</v>
      </c>
      <c r="Q17" s="228">
        <f t="shared" si="6"/>
        <v>29.4024094798622</v>
      </c>
      <c r="R17" s="228">
        <f t="shared" si="6"/>
        <v>28.22631310066771</v>
      </c>
      <c r="S17" s="228">
        <f t="shared" si="6"/>
        <v>27.097260576641002</v>
      </c>
      <c r="T17" s="228">
        <f t="shared" si="6"/>
        <v>26.013370153575362</v>
      </c>
      <c r="U17" s="228">
        <f t="shared" si="6"/>
        <v>24.972835347432348</v>
      </c>
      <c r="V17" s="228">
        <f t="shared" si="6"/>
        <v>23.973921933535053</v>
      </c>
      <c r="W17" s="228">
        <f t="shared" si="6"/>
        <v>23.014965056193649</v>
      </c>
    </row>
    <row r="18" spans="1:23" ht="18" x14ac:dyDescent="0.35">
      <c r="A18" s="212" t="s">
        <v>17</v>
      </c>
      <c r="B18" s="226">
        <v>0.7055190579627767</v>
      </c>
      <c r="C18" s="224">
        <f>$C$14*B18</f>
        <v>28234.872699670323</v>
      </c>
      <c r="D18" s="226">
        <v>0.7055190579627767</v>
      </c>
      <c r="E18" s="224">
        <f>$E$14*D18</f>
        <v>28234.872699670323</v>
      </c>
      <c r="F18" s="227">
        <v>0.14410999999999999</v>
      </c>
      <c r="G18" s="228">
        <f>'DY 22 &amp; DY 23 Assumptions'!I18*'Future Plan Assumptions'!$B$101</f>
        <v>42.594815999999994</v>
      </c>
      <c r="H18" s="228">
        <f t="shared" ref="H18:W18" si="7">G18*$B$101</f>
        <v>40.891023359999991</v>
      </c>
      <c r="I18" s="228">
        <f t="shared" si="7"/>
        <v>39.25538242559999</v>
      </c>
      <c r="J18" s="228">
        <f t="shared" si="7"/>
        <v>37.685167128575991</v>
      </c>
      <c r="K18" s="228">
        <f t="shared" si="7"/>
        <v>36.177760443432952</v>
      </c>
      <c r="L18" s="228">
        <f t="shared" si="7"/>
        <v>34.730650025695631</v>
      </c>
      <c r="M18" s="228">
        <f t="shared" si="7"/>
        <v>33.341424024667802</v>
      </c>
      <c r="N18" s="228">
        <f t="shared" si="7"/>
        <v>32.007767063681086</v>
      </c>
      <c r="O18" s="228">
        <f t="shared" si="7"/>
        <v>30.727456381133841</v>
      </c>
      <c r="P18" s="228">
        <f t="shared" si="7"/>
        <v>29.498358125888487</v>
      </c>
      <c r="Q18" s="228">
        <f t="shared" si="7"/>
        <v>28.318423800852948</v>
      </c>
      <c r="R18" s="228">
        <f t="shared" si="7"/>
        <v>27.185686848818829</v>
      </c>
      <c r="S18" s="228">
        <f t="shared" si="7"/>
        <v>26.098259374866075</v>
      </c>
      <c r="T18" s="228">
        <f t="shared" si="7"/>
        <v>25.05432899987143</v>
      </c>
      <c r="U18" s="228">
        <f t="shared" si="7"/>
        <v>24.052155839876573</v>
      </c>
      <c r="V18" s="228">
        <f t="shared" si="7"/>
        <v>23.09006960628151</v>
      </c>
      <c r="W18" s="228">
        <f t="shared" si="7"/>
        <v>22.166466822030248</v>
      </c>
    </row>
    <row r="19" spans="1:23" ht="18" x14ac:dyDescent="0.35">
      <c r="A19" s="212" t="s">
        <v>79</v>
      </c>
      <c r="B19" s="226">
        <v>0</v>
      </c>
      <c r="C19" s="224">
        <f>$C$14*B19</f>
        <v>0</v>
      </c>
      <c r="D19" s="226">
        <v>0</v>
      </c>
      <c r="E19" s="224">
        <f>$E$14*D19</f>
        <v>0</v>
      </c>
      <c r="F19" s="227"/>
      <c r="G19" s="228">
        <f>'DY 22 &amp; DY 23 Assumptions'!I19*'Future Plan Assumptions'!$B$101</f>
        <v>34.552319999999995</v>
      </c>
      <c r="H19" s="228"/>
      <c r="I19" s="228"/>
      <c r="J19" s="228"/>
      <c r="K19" s="228"/>
      <c r="L19" s="228"/>
      <c r="M19" s="228"/>
      <c r="N19" s="229"/>
      <c r="O19" s="229"/>
      <c r="P19" s="229"/>
      <c r="Q19" s="229"/>
      <c r="R19" s="229"/>
      <c r="S19" s="229"/>
      <c r="T19" s="229"/>
      <c r="U19" s="229"/>
      <c r="V19" s="229"/>
      <c r="W19" s="229"/>
    </row>
    <row r="20" spans="1:23" ht="18" x14ac:dyDescent="0.35">
      <c r="A20" s="222" t="s">
        <v>18</v>
      </c>
      <c r="B20" s="223"/>
      <c r="C20" s="224">
        <f>C13*0.7</f>
        <v>93380</v>
      </c>
      <c r="D20" s="223"/>
      <c r="E20" s="224">
        <f>E13*0.7</f>
        <v>93380</v>
      </c>
      <c r="F20" s="224"/>
      <c r="G20" s="229"/>
      <c r="H20" s="229"/>
      <c r="I20" s="229"/>
      <c r="J20" s="229"/>
      <c r="K20" s="229"/>
      <c r="L20" s="229"/>
      <c r="M20" s="229"/>
      <c r="N20" s="229"/>
      <c r="O20" s="229"/>
      <c r="P20" s="229"/>
      <c r="Q20" s="229"/>
      <c r="R20" s="229"/>
      <c r="S20" s="229"/>
      <c r="T20" s="229"/>
      <c r="U20" s="229"/>
      <c r="V20" s="229"/>
      <c r="W20" s="229"/>
    </row>
    <row r="21" spans="1:23" ht="18" x14ac:dyDescent="0.35">
      <c r="A21" s="212" t="s">
        <v>19</v>
      </c>
      <c r="B21" s="226">
        <v>3.7818107834294019E-2</v>
      </c>
      <c r="C21" s="224">
        <f>$C$20*B21</f>
        <v>3531.4549095663756</v>
      </c>
      <c r="D21" s="226">
        <v>3.7818107834294019E-2</v>
      </c>
      <c r="E21" s="224">
        <f>$E$20*D21</f>
        <v>3531.4549095663756</v>
      </c>
      <c r="F21" s="227">
        <v>0.14305999999999999</v>
      </c>
      <c r="G21" s="228">
        <f>'DY 22 &amp; DY 23 Assumptions'!I21*'Future Plan Assumptions'!$B$101</f>
        <v>52.571903999999996</v>
      </c>
      <c r="H21" s="228">
        <f t="shared" ref="H21:W21" si="8">G21*$B$101</f>
        <v>50.469027839999995</v>
      </c>
      <c r="I21" s="228">
        <f t="shared" si="8"/>
        <v>48.450266726399995</v>
      </c>
      <c r="J21" s="228">
        <f t="shared" si="8"/>
        <v>46.512256057343997</v>
      </c>
      <c r="K21" s="228">
        <f t="shared" si="8"/>
        <v>44.651765815050233</v>
      </c>
      <c r="L21" s="228">
        <f t="shared" si="8"/>
        <v>42.865695182448221</v>
      </c>
      <c r="M21" s="228">
        <f t="shared" si="8"/>
        <v>41.151067375150291</v>
      </c>
      <c r="N21" s="228">
        <f t="shared" si="8"/>
        <v>39.505024680144281</v>
      </c>
      <c r="O21" s="228">
        <f t="shared" si="8"/>
        <v>37.92482369293851</v>
      </c>
      <c r="P21" s="228">
        <f t="shared" si="8"/>
        <v>36.40783074522097</v>
      </c>
      <c r="Q21" s="228">
        <f t="shared" si="8"/>
        <v>34.951517515412128</v>
      </c>
      <c r="R21" s="228">
        <f t="shared" si="8"/>
        <v>33.553456814795645</v>
      </c>
      <c r="S21" s="228">
        <f t="shared" si="8"/>
        <v>32.21131854220382</v>
      </c>
      <c r="T21" s="228">
        <f t="shared" si="8"/>
        <v>30.922865800515666</v>
      </c>
      <c r="U21" s="228">
        <f t="shared" si="8"/>
        <v>29.685951168495038</v>
      </c>
      <c r="V21" s="228">
        <f t="shared" si="8"/>
        <v>28.498513121755234</v>
      </c>
      <c r="W21" s="228">
        <f t="shared" si="8"/>
        <v>27.358572596885026</v>
      </c>
    </row>
    <row r="22" spans="1:23" ht="18" x14ac:dyDescent="0.35">
      <c r="A22" s="212" t="s">
        <v>15</v>
      </c>
      <c r="B22" s="226">
        <v>2.9448996157951057E-2</v>
      </c>
      <c r="C22" s="224">
        <f>$C$20*B22</f>
        <v>2749.9472612294699</v>
      </c>
      <c r="D22" s="226">
        <v>2.9448996157951057E-2</v>
      </c>
      <c r="E22" s="224">
        <f>$E$20*D22</f>
        <v>2749.9472612294699</v>
      </c>
      <c r="F22" s="227">
        <v>0.14176</v>
      </c>
      <c r="G22" s="228">
        <f>'DY 22 &amp; DY 23 Assumptions'!I22*'Future Plan Assumptions'!$B$101</f>
        <v>49.860095999999999</v>
      </c>
      <c r="H22" s="228">
        <f t="shared" ref="H22:W22" si="9">G22*$B$101</f>
        <v>47.865692159999995</v>
      </c>
      <c r="I22" s="228">
        <f t="shared" si="9"/>
        <v>45.951064473599992</v>
      </c>
      <c r="J22" s="228">
        <f t="shared" si="9"/>
        <v>44.113021894655994</v>
      </c>
      <c r="K22" s="228">
        <f t="shared" si="9"/>
        <v>42.348501018869754</v>
      </c>
      <c r="L22" s="228">
        <f t="shared" si="9"/>
        <v>40.654560978114965</v>
      </c>
      <c r="M22" s="228">
        <f t="shared" si="9"/>
        <v>39.028378538990367</v>
      </c>
      <c r="N22" s="228">
        <f t="shared" si="9"/>
        <v>37.467243397430749</v>
      </c>
      <c r="O22" s="228">
        <f t="shared" si="9"/>
        <v>35.96855366153352</v>
      </c>
      <c r="P22" s="228">
        <f t="shared" si="9"/>
        <v>34.529811515072176</v>
      </c>
      <c r="Q22" s="228">
        <f t="shared" si="9"/>
        <v>33.148619054469286</v>
      </c>
      <c r="R22" s="228">
        <f t="shared" si="9"/>
        <v>31.822674292290515</v>
      </c>
      <c r="S22" s="228">
        <f t="shared" si="9"/>
        <v>30.549767320598892</v>
      </c>
      <c r="T22" s="228">
        <f t="shared" si="9"/>
        <v>29.327776627774934</v>
      </c>
      <c r="U22" s="228">
        <f t="shared" si="9"/>
        <v>28.154665562663936</v>
      </c>
      <c r="V22" s="228">
        <f t="shared" si="9"/>
        <v>27.028478940157378</v>
      </c>
      <c r="W22" s="228">
        <f t="shared" si="9"/>
        <v>25.947339782551083</v>
      </c>
    </row>
    <row r="23" spans="1:23" ht="18" x14ac:dyDescent="0.35">
      <c r="A23" s="212" t="s">
        <v>16</v>
      </c>
      <c r="B23" s="226">
        <v>0.1091491177452943</v>
      </c>
      <c r="C23" s="224">
        <f>$C$20*B23</f>
        <v>10192.344615055583</v>
      </c>
      <c r="D23" s="226">
        <v>0.1091491177452943</v>
      </c>
      <c r="E23" s="224">
        <f>$E$20*D23</f>
        <v>10192.344615055583</v>
      </c>
      <c r="F23" s="227">
        <v>0.14119000000000001</v>
      </c>
      <c r="G23" s="228">
        <f>'DY 22 &amp; DY 23 Assumptions'!I23*'Future Plan Assumptions'!$B$101</f>
        <v>44.867328000000001</v>
      </c>
      <c r="H23" s="228">
        <f t="shared" ref="H23:W23" si="10">G23*$B$101</f>
        <v>43.072634879999995</v>
      </c>
      <c r="I23" s="228">
        <f t="shared" si="10"/>
        <v>41.349729484799994</v>
      </c>
      <c r="J23" s="228">
        <f t="shared" si="10"/>
        <v>39.695740305407995</v>
      </c>
      <c r="K23" s="228">
        <f t="shared" si="10"/>
        <v>38.107910693191677</v>
      </c>
      <c r="L23" s="228">
        <f t="shared" si="10"/>
        <v>36.583594265464008</v>
      </c>
      <c r="M23" s="228">
        <f t="shared" si="10"/>
        <v>35.120250494845443</v>
      </c>
      <c r="N23" s="228">
        <f t="shared" si="10"/>
        <v>33.715440475051622</v>
      </c>
      <c r="O23" s="228">
        <f t="shared" si="10"/>
        <v>32.366822856049559</v>
      </c>
      <c r="P23" s="228">
        <f t="shared" si="10"/>
        <v>31.072149941807577</v>
      </c>
      <c r="Q23" s="228">
        <f t="shared" si="10"/>
        <v>29.829263944135274</v>
      </c>
      <c r="R23" s="228">
        <f t="shared" si="10"/>
        <v>28.636093386369861</v>
      </c>
      <c r="S23" s="228">
        <f t="shared" si="10"/>
        <v>27.490649650915067</v>
      </c>
      <c r="T23" s="228">
        <f t="shared" si="10"/>
        <v>26.391023664878464</v>
      </c>
      <c r="U23" s="228">
        <f t="shared" si="10"/>
        <v>25.335382718283324</v>
      </c>
      <c r="V23" s="228">
        <f t="shared" si="10"/>
        <v>24.321967409551991</v>
      </c>
      <c r="W23" s="228">
        <f t="shared" si="10"/>
        <v>23.349088713169913</v>
      </c>
    </row>
    <row r="24" spans="1:23" ht="18" x14ac:dyDescent="0.35">
      <c r="A24" s="212" t="s">
        <v>17</v>
      </c>
      <c r="B24" s="226">
        <v>0.82358343106844789</v>
      </c>
      <c r="C24" s="224">
        <f>$C$20*B24</f>
        <v>76906.220793171669</v>
      </c>
      <c r="D24" s="226">
        <v>0.82358343106844789</v>
      </c>
      <c r="E24" s="224">
        <f>$E$20*D24</f>
        <v>76906.220793171669</v>
      </c>
      <c r="F24" s="227">
        <v>0.1497</v>
      </c>
      <c r="G24" s="228">
        <f>'DY 22 &amp; DY 23 Assumptions'!I24*'Future Plan Assumptions'!$B$101</f>
        <v>40.237823999999996</v>
      </c>
      <c r="H24" s="228">
        <f t="shared" ref="H24:W24" si="11">G24*$B$101</f>
        <v>38.628311039999993</v>
      </c>
      <c r="I24" s="228">
        <f t="shared" si="11"/>
        <v>37.083178598399989</v>
      </c>
      <c r="J24" s="228">
        <f t="shared" si="11"/>
        <v>35.599851454463987</v>
      </c>
      <c r="K24" s="228">
        <f t="shared" si="11"/>
        <v>34.17585739628543</v>
      </c>
      <c r="L24" s="228">
        <f t="shared" si="11"/>
        <v>32.808823100434012</v>
      </c>
      <c r="M24" s="228">
        <f t="shared" si="11"/>
        <v>31.496470176416651</v>
      </c>
      <c r="N24" s="228">
        <f t="shared" si="11"/>
        <v>30.236611369359984</v>
      </c>
      <c r="O24" s="228">
        <f t="shared" si="11"/>
        <v>29.027146914585582</v>
      </c>
      <c r="P24" s="228">
        <f t="shared" si="11"/>
        <v>27.866061038002158</v>
      </c>
      <c r="Q24" s="228">
        <f t="shared" si="11"/>
        <v>26.751418596482072</v>
      </c>
      <c r="R24" s="228">
        <f t="shared" si="11"/>
        <v>25.681361852622789</v>
      </c>
      <c r="S24" s="228">
        <f t="shared" si="11"/>
        <v>24.654107378517878</v>
      </c>
      <c r="T24" s="228">
        <f t="shared" si="11"/>
        <v>23.66794308337716</v>
      </c>
      <c r="U24" s="228">
        <f t="shared" si="11"/>
        <v>22.721225360042073</v>
      </c>
      <c r="V24" s="228">
        <f t="shared" si="11"/>
        <v>21.812376345640388</v>
      </c>
      <c r="W24" s="228">
        <f t="shared" si="11"/>
        <v>20.939881291814771</v>
      </c>
    </row>
    <row r="25" spans="1:23" ht="18" x14ac:dyDescent="0.35">
      <c r="A25" s="212" t="s">
        <v>79</v>
      </c>
      <c r="B25" s="226">
        <v>0</v>
      </c>
      <c r="C25" s="224">
        <f>$C$20*B25</f>
        <v>0</v>
      </c>
      <c r="D25" s="226">
        <v>0</v>
      </c>
      <c r="E25" s="224">
        <f>$E$20*D25</f>
        <v>0</v>
      </c>
      <c r="F25" s="227"/>
      <c r="G25" s="228">
        <f>'DY 22 &amp; DY 23 Assumptions'!I25*'Future Plan Assumptions'!$B$101</f>
        <v>28.140288000000002</v>
      </c>
      <c r="H25" s="228">
        <f t="shared" ref="H25:W25" si="12">G25*$B$101</f>
        <v>27.014676480000002</v>
      </c>
      <c r="I25" s="228">
        <f t="shared" si="12"/>
        <v>25.934089420799999</v>
      </c>
      <c r="J25" s="228">
        <f t="shared" si="12"/>
        <v>24.896725843967999</v>
      </c>
      <c r="K25" s="228">
        <f t="shared" si="12"/>
        <v>23.90085681020928</v>
      </c>
      <c r="L25" s="228">
        <f t="shared" si="12"/>
        <v>22.94482253780091</v>
      </c>
      <c r="M25" s="228">
        <f t="shared" si="12"/>
        <v>22.027029636288873</v>
      </c>
      <c r="N25" s="228">
        <f t="shared" si="12"/>
        <v>21.145948450837317</v>
      </c>
      <c r="O25" s="228">
        <f t="shared" si="12"/>
        <v>20.300110512803823</v>
      </c>
      <c r="P25" s="228">
        <f t="shared" si="12"/>
        <v>19.48810609229167</v>
      </c>
      <c r="Q25" s="228">
        <f t="shared" si="12"/>
        <v>18.708581848600002</v>
      </c>
      <c r="R25" s="228">
        <f t="shared" si="12"/>
        <v>17.960238574656</v>
      </c>
      <c r="S25" s="228">
        <f t="shared" si="12"/>
        <v>17.241829031669759</v>
      </c>
      <c r="T25" s="228">
        <f t="shared" si="12"/>
        <v>16.55215587040297</v>
      </c>
      <c r="U25" s="228">
        <f t="shared" si="12"/>
        <v>15.890069635586851</v>
      </c>
      <c r="V25" s="228">
        <f t="shared" si="12"/>
        <v>15.254466850163377</v>
      </c>
      <c r="W25" s="228">
        <f t="shared" si="12"/>
        <v>14.644288176156842</v>
      </c>
    </row>
    <row r="26" spans="1:23" ht="18" x14ac:dyDescent="0.35">
      <c r="A26" s="217" t="s">
        <v>21</v>
      </c>
      <c r="B26" s="219">
        <v>0.3</v>
      </c>
      <c r="C26" s="220">
        <f>B4*B26</f>
        <v>200100</v>
      </c>
      <c r="D26" s="219">
        <v>0.3</v>
      </c>
      <c r="E26" s="220">
        <f>D4*D26</f>
        <v>200100</v>
      </c>
      <c r="F26" s="220"/>
      <c r="G26" s="221"/>
      <c r="H26" s="221"/>
      <c r="I26" s="221"/>
      <c r="J26" s="221"/>
      <c r="K26" s="221"/>
      <c r="L26" s="221"/>
      <c r="M26" s="221"/>
      <c r="N26" s="229"/>
      <c r="O26" s="229"/>
      <c r="P26" s="229"/>
      <c r="Q26" s="229"/>
      <c r="R26" s="229"/>
      <c r="S26" s="229"/>
      <c r="T26" s="229"/>
      <c r="U26" s="229"/>
      <c r="V26" s="229"/>
      <c r="W26" s="229"/>
    </row>
    <row r="27" spans="1:23" ht="18" x14ac:dyDescent="0.35">
      <c r="A27" s="222" t="s">
        <v>22</v>
      </c>
      <c r="B27" s="226">
        <v>0.3</v>
      </c>
      <c r="C27" s="224">
        <f>C26*0.3</f>
        <v>60030</v>
      </c>
      <c r="D27" s="226">
        <v>0.3</v>
      </c>
      <c r="E27" s="224">
        <f>E26*0.3</f>
        <v>60030</v>
      </c>
      <c r="F27" s="227">
        <v>0.16907</v>
      </c>
      <c r="G27" s="229"/>
      <c r="H27" s="229"/>
      <c r="I27" s="229"/>
      <c r="J27" s="229"/>
      <c r="K27" s="229"/>
      <c r="L27" s="229"/>
      <c r="M27" s="229"/>
      <c r="N27" s="229"/>
      <c r="O27" s="229"/>
      <c r="P27" s="229"/>
      <c r="Q27" s="229"/>
      <c r="R27" s="229"/>
      <c r="S27" s="229"/>
      <c r="T27" s="229"/>
      <c r="U27" s="229"/>
      <c r="V27" s="229"/>
      <c r="W27" s="229"/>
    </row>
    <row r="28" spans="1:23" ht="18" x14ac:dyDescent="0.35">
      <c r="A28" s="212" t="s">
        <v>8</v>
      </c>
      <c r="B28" s="226">
        <v>0</v>
      </c>
      <c r="C28" s="224">
        <v>0</v>
      </c>
      <c r="D28" s="226"/>
      <c r="E28" s="224">
        <v>0</v>
      </c>
      <c r="F28" s="227">
        <v>0.16907</v>
      </c>
      <c r="G28" s="228">
        <f>'DY 22 &amp; DY 23 Assumptions'!I28*'Future Plan Assumptions'!$B$101</f>
        <v>0</v>
      </c>
      <c r="H28" s="228">
        <f t="shared" ref="H28:H34" si="13">G28*$B$101</f>
        <v>0</v>
      </c>
      <c r="I28" s="228">
        <f>'DY 22 &amp; DY 23 Assumptions'!K28*'Future Plan Assumptions'!$B$101</f>
        <v>0</v>
      </c>
      <c r="J28" s="228">
        <f t="shared" ref="J28:J34" si="14">I28*$B$101</f>
        <v>0</v>
      </c>
      <c r="K28" s="228">
        <f>'DY 22 &amp; DY 23 Assumptions'!M28*'Future Plan Assumptions'!$B$101</f>
        <v>0</v>
      </c>
      <c r="L28" s="228">
        <f t="shared" ref="L28:L34" si="15">K28*$B$101</f>
        <v>0</v>
      </c>
      <c r="M28" s="228">
        <f>'DY 22 &amp; DY 23 Assumptions'!O28*'Future Plan Assumptions'!$B$101</f>
        <v>0</v>
      </c>
      <c r="N28" s="228">
        <f t="shared" ref="N28:W28" si="16">M28*$B$101</f>
        <v>0</v>
      </c>
      <c r="O28" s="228">
        <f t="shared" si="16"/>
        <v>0</v>
      </c>
      <c r="P28" s="228">
        <f t="shared" si="16"/>
        <v>0</v>
      </c>
      <c r="Q28" s="228">
        <f t="shared" si="16"/>
        <v>0</v>
      </c>
      <c r="R28" s="228">
        <f t="shared" si="16"/>
        <v>0</v>
      </c>
      <c r="S28" s="228">
        <f t="shared" si="16"/>
        <v>0</v>
      </c>
      <c r="T28" s="228">
        <f t="shared" si="16"/>
        <v>0</v>
      </c>
      <c r="U28" s="228">
        <f t="shared" si="16"/>
        <v>0</v>
      </c>
      <c r="V28" s="228">
        <f t="shared" si="16"/>
        <v>0</v>
      </c>
      <c r="W28" s="228">
        <f t="shared" si="16"/>
        <v>0</v>
      </c>
    </row>
    <row r="29" spans="1:23" ht="18" x14ac:dyDescent="0.35">
      <c r="A29" s="212" t="s">
        <v>9</v>
      </c>
      <c r="B29" s="226">
        <v>0</v>
      </c>
      <c r="C29" s="224">
        <v>0</v>
      </c>
      <c r="D29" s="226"/>
      <c r="E29" s="224">
        <v>0</v>
      </c>
      <c r="F29" s="227">
        <v>0.16907</v>
      </c>
      <c r="G29" s="228">
        <f>'DY 22 &amp; DY 23 Assumptions'!I29*'Future Plan Assumptions'!$B$101</f>
        <v>47.503103999999993</v>
      </c>
      <c r="H29" s="228">
        <f t="shared" si="13"/>
        <v>45.602979839999989</v>
      </c>
      <c r="I29" s="228">
        <f t="shared" ref="I29:I34" si="17">H29*$B$101</f>
        <v>43.778860646399991</v>
      </c>
      <c r="J29" s="228">
        <f t="shared" si="14"/>
        <v>42.02770622054399</v>
      </c>
      <c r="K29" s="228">
        <f t="shared" ref="K29:K34" si="18">J29*$B$101</f>
        <v>40.346597971722233</v>
      </c>
      <c r="L29" s="228">
        <f t="shared" si="15"/>
        <v>38.732734052853338</v>
      </c>
      <c r="M29" s="228">
        <f t="shared" ref="M29:M34" si="19">L29*$B$101</f>
        <v>37.183424690739201</v>
      </c>
      <c r="N29" s="228">
        <f t="shared" ref="N29:W29" si="20">M29*$B$101</f>
        <v>35.696087703109633</v>
      </c>
      <c r="O29" s="228">
        <f t="shared" si="20"/>
        <v>34.268244194985243</v>
      </c>
      <c r="P29" s="228">
        <f t="shared" si="20"/>
        <v>32.897514427185833</v>
      </c>
      <c r="Q29" s="228">
        <f t="shared" si="20"/>
        <v>31.5816138500984</v>
      </c>
      <c r="R29" s="228">
        <f t="shared" si="20"/>
        <v>30.318349296094464</v>
      </c>
      <c r="S29" s="228">
        <f t="shared" si="20"/>
        <v>29.105615324250685</v>
      </c>
      <c r="T29" s="228">
        <f t="shared" si="20"/>
        <v>27.941390711280658</v>
      </c>
      <c r="U29" s="228">
        <f t="shared" si="20"/>
        <v>26.82373508282943</v>
      </c>
      <c r="V29" s="228">
        <f t="shared" si="20"/>
        <v>25.750785679516252</v>
      </c>
      <c r="W29" s="228">
        <f t="shared" si="20"/>
        <v>24.720754252335603</v>
      </c>
    </row>
    <row r="30" spans="1:23" ht="18" x14ac:dyDescent="0.35">
      <c r="A30" s="212" t="s">
        <v>19</v>
      </c>
      <c r="B30" s="226">
        <v>0</v>
      </c>
      <c r="C30" s="224">
        <v>0</v>
      </c>
      <c r="D30" s="226"/>
      <c r="E30" s="224">
        <v>0</v>
      </c>
      <c r="F30" s="227">
        <v>0.16907</v>
      </c>
      <c r="G30" s="228">
        <f>'DY 22 &amp; DY 23 Assumptions'!I30*'Future Plan Assumptions'!$B$101</f>
        <v>50.003711999999993</v>
      </c>
      <c r="H30" s="228">
        <f t="shared" si="13"/>
        <v>48.003563519999993</v>
      </c>
      <c r="I30" s="228">
        <f t="shared" si="17"/>
        <v>46.083420979199992</v>
      </c>
      <c r="J30" s="228">
        <f t="shared" si="14"/>
        <v>44.240084140031989</v>
      </c>
      <c r="K30" s="228">
        <f t="shared" si="18"/>
        <v>42.470480774430705</v>
      </c>
      <c r="L30" s="228">
        <f t="shared" si="15"/>
        <v>40.771661543453476</v>
      </c>
      <c r="M30" s="228">
        <f t="shared" si="19"/>
        <v>39.140795081715332</v>
      </c>
      <c r="N30" s="228">
        <f t="shared" ref="N30:W30" si="21">M30*$B$101</f>
        <v>37.575163278446716</v>
      </c>
      <c r="O30" s="228">
        <f t="shared" si="21"/>
        <v>36.072156747308846</v>
      </c>
      <c r="P30" s="228">
        <f t="shared" si="21"/>
        <v>34.62927047741649</v>
      </c>
      <c r="Q30" s="228">
        <f t="shared" si="21"/>
        <v>33.244099658319833</v>
      </c>
      <c r="R30" s="228">
        <f t="shared" si="21"/>
        <v>31.91433567198704</v>
      </c>
      <c r="S30" s="228">
        <f t="shared" si="21"/>
        <v>30.637762245107556</v>
      </c>
      <c r="T30" s="228">
        <f t="shared" si="21"/>
        <v>29.412251755303252</v>
      </c>
      <c r="U30" s="228">
        <f t="shared" si="21"/>
        <v>28.23576168509112</v>
      </c>
      <c r="V30" s="228">
        <f t="shared" si="21"/>
        <v>27.106331217687472</v>
      </c>
      <c r="W30" s="228">
        <f t="shared" si="21"/>
        <v>26.022077968979971</v>
      </c>
    </row>
    <row r="31" spans="1:23" ht="18" x14ac:dyDescent="0.35">
      <c r="A31" s="212" t="s">
        <v>15</v>
      </c>
      <c r="B31" s="226">
        <v>0</v>
      </c>
      <c r="C31" s="224">
        <v>0</v>
      </c>
      <c r="D31" s="226"/>
      <c r="E31" s="224">
        <v>0</v>
      </c>
      <c r="F31" s="227">
        <v>0.16907</v>
      </c>
      <c r="G31" s="228">
        <f>'DY 22 &amp; DY 23 Assumptions'!I31*'Future Plan Assumptions'!$B$101</f>
        <v>51.406080000000003</v>
      </c>
      <c r="H31" s="228">
        <f t="shared" si="13"/>
        <v>49.349836799999999</v>
      </c>
      <c r="I31" s="228">
        <f t="shared" si="17"/>
        <v>47.375843327999995</v>
      </c>
      <c r="J31" s="228">
        <f t="shared" si="14"/>
        <v>45.480809594879993</v>
      </c>
      <c r="K31" s="228">
        <f t="shared" si="18"/>
        <v>43.66157721108479</v>
      </c>
      <c r="L31" s="228">
        <f t="shared" si="15"/>
        <v>41.915114122641398</v>
      </c>
      <c r="M31" s="228">
        <f t="shared" si="19"/>
        <v>40.238509557735739</v>
      </c>
      <c r="N31" s="228">
        <f t="shared" ref="N31:W31" si="22">M31*$B$101</f>
        <v>38.628969175426306</v>
      </c>
      <c r="O31" s="228">
        <f t="shared" si="22"/>
        <v>37.083810408409249</v>
      </c>
      <c r="P31" s="228">
        <f t="shared" si="22"/>
        <v>35.600457992072876</v>
      </c>
      <c r="Q31" s="228">
        <f t="shared" si="22"/>
        <v>34.176439672389961</v>
      </c>
      <c r="R31" s="228">
        <f t="shared" si="22"/>
        <v>32.809382085494363</v>
      </c>
      <c r="S31" s="228">
        <f t="shared" si="22"/>
        <v>31.497006802074587</v>
      </c>
      <c r="T31" s="228">
        <f t="shared" si="22"/>
        <v>30.237126529991603</v>
      </c>
      <c r="U31" s="228">
        <f t="shared" si="22"/>
        <v>29.027641468791938</v>
      </c>
      <c r="V31" s="228">
        <f t="shared" si="22"/>
        <v>27.866535810040258</v>
      </c>
      <c r="W31" s="228">
        <f t="shared" si="22"/>
        <v>26.751874377638647</v>
      </c>
    </row>
    <row r="32" spans="1:23" ht="18" x14ac:dyDescent="0.35">
      <c r="A32" s="212" t="s">
        <v>16</v>
      </c>
      <c r="B32" s="226">
        <v>0</v>
      </c>
      <c r="C32" s="224">
        <v>0</v>
      </c>
      <c r="D32" s="226"/>
      <c r="E32" s="224">
        <v>0</v>
      </c>
      <c r="F32" s="227">
        <v>0.16907</v>
      </c>
      <c r="G32" s="228">
        <f>'DY 22 &amp; DY 23 Assumptions'!I32*'Future Plan Assumptions'!$B$101</f>
        <v>48.339455999999998</v>
      </c>
      <c r="H32" s="228">
        <f t="shared" si="13"/>
        <v>46.405877759999996</v>
      </c>
      <c r="I32" s="228">
        <f t="shared" si="17"/>
        <v>44.549642649599996</v>
      </c>
      <c r="J32" s="228">
        <f t="shared" si="14"/>
        <v>42.767656943615997</v>
      </c>
      <c r="K32" s="228">
        <f t="shared" si="18"/>
        <v>41.056950665871355</v>
      </c>
      <c r="L32" s="228">
        <f t="shared" si="15"/>
        <v>39.4146726392365</v>
      </c>
      <c r="M32" s="228">
        <f t="shared" si="19"/>
        <v>37.838085733667036</v>
      </c>
      <c r="N32" s="228">
        <f t="shared" ref="N32:W32" si="23">M32*$B$101</f>
        <v>36.324562304320352</v>
      </c>
      <c r="O32" s="228">
        <f t="shared" si="23"/>
        <v>34.871579812147537</v>
      </c>
      <c r="P32" s="228">
        <f t="shared" si="23"/>
        <v>33.476716619661637</v>
      </c>
      <c r="Q32" s="228">
        <f t="shared" si="23"/>
        <v>32.13764795487517</v>
      </c>
      <c r="R32" s="228">
        <f t="shared" si="23"/>
        <v>30.852142036680164</v>
      </c>
      <c r="S32" s="228">
        <f t="shared" si="23"/>
        <v>29.618056355212957</v>
      </c>
      <c r="T32" s="228">
        <f t="shared" si="23"/>
        <v>28.433334101004437</v>
      </c>
      <c r="U32" s="228">
        <f t="shared" si="23"/>
        <v>27.29600073696426</v>
      </c>
      <c r="V32" s="228">
        <f t="shared" si="23"/>
        <v>26.204160707485688</v>
      </c>
      <c r="W32" s="228">
        <f t="shared" si="23"/>
        <v>25.15599427918626</v>
      </c>
    </row>
    <row r="33" spans="1:23" ht="18" x14ac:dyDescent="0.35">
      <c r="A33" s="212" t="s">
        <v>20</v>
      </c>
      <c r="B33" s="226">
        <v>1</v>
      </c>
      <c r="C33" s="224">
        <v>60030</v>
      </c>
      <c r="D33" s="226"/>
      <c r="E33" s="224">
        <v>60030</v>
      </c>
      <c r="F33" s="227">
        <v>0.16907</v>
      </c>
      <c r="G33" s="228">
        <f>'DY 22 &amp; DY 23 Assumptions'!I33*'Future Plan Assumptions'!$B$101</f>
        <v>43.355136000000002</v>
      </c>
      <c r="H33" s="228">
        <f t="shared" si="13"/>
        <v>41.620930559999998</v>
      </c>
      <c r="I33" s="228">
        <f t="shared" si="17"/>
        <v>39.956093337599995</v>
      </c>
      <c r="J33" s="228">
        <f t="shared" si="14"/>
        <v>38.357849604095996</v>
      </c>
      <c r="K33" s="228">
        <f t="shared" si="18"/>
        <v>36.823535619932152</v>
      </c>
      <c r="L33" s="228">
        <f t="shared" si="15"/>
        <v>35.350594195134867</v>
      </c>
      <c r="M33" s="228">
        <f t="shared" si="19"/>
        <v>33.936570427329471</v>
      </c>
      <c r="N33" s="228">
        <f t="shared" ref="N33:W33" si="24">M33*$B$101</f>
        <v>32.579107610236292</v>
      </c>
      <c r="O33" s="228">
        <f t="shared" si="24"/>
        <v>31.275943305826839</v>
      </c>
      <c r="P33" s="228">
        <f t="shared" si="24"/>
        <v>30.024905573593763</v>
      </c>
      <c r="Q33" s="228">
        <f t="shared" si="24"/>
        <v>28.823909350650013</v>
      </c>
      <c r="R33" s="228">
        <f t="shared" si="24"/>
        <v>27.670952976624012</v>
      </c>
      <c r="S33" s="228">
        <f t="shared" si="24"/>
        <v>26.564114857559051</v>
      </c>
      <c r="T33" s="228">
        <f t="shared" si="24"/>
        <v>25.501550263256689</v>
      </c>
      <c r="U33" s="228">
        <f t="shared" si="24"/>
        <v>24.481488252726422</v>
      </c>
      <c r="V33" s="228">
        <f t="shared" si="24"/>
        <v>23.502228722617364</v>
      </c>
      <c r="W33" s="228">
        <f t="shared" si="24"/>
        <v>22.562139573712667</v>
      </c>
    </row>
    <row r="34" spans="1:23" ht="18" x14ac:dyDescent="0.35">
      <c r="A34" s="212" t="s">
        <v>23</v>
      </c>
      <c r="B34" s="226">
        <v>0</v>
      </c>
      <c r="C34" s="224">
        <v>0</v>
      </c>
      <c r="D34" s="226"/>
      <c r="E34" s="224">
        <v>0</v>
      </c>
      <c r="F34" s="227">
        <v>0.16907</v>
      </c>
      <c r="G34" s="228">
        <f>'DY 22 &amp; DY 23 Assumptions'!I34*'Future Plan Assumptions'!$B$101</f>
        <v>38.438399999999994</v>
      </c>
      <c r="H34" s="228">
        <f t="shared" si="13"/>
        <v>36.900863999999991</v>
      </c>
      <c r="I34" s="228">
        <f t="shared" si="17"/>
        <v>35.424829439999989</v>
      </c>
      <c r="J34" s="228">
        <f t="shared" si="14"/>
        <v>34.007836262399991</v>
      </c>
      <c r="K34" s="228">
        <f t="shared" si="18"/>
        <v>32.64752281190399</v>
      </c>
      <c r="L34" s="228">
        <f t="shared" si="15"/>
        <v>31.341621899427828</v>
      </c>
      <c r="M34" s="228">
        <f t="shared" si="19"/>
        <v>30.087957023450713</v>
      </c>
      <c r="N34" s="228">
        <f t="shared" ref="N34:W34" si="25">M34*$B$101</f>
        <v>28.884438742512682</v>
      </c>
      <c r="O34" s="228">
        <f t="shared" si="25"/>
        <v>27.729061192812175</v>
      </c>
      <c r="P34" s="228">
        <f t="shared" si="25"/>
        <v>26.619898745099686</v>
      </c>
      <c r="Q34" s="228">
        <f t="shared" si="25"/>
        <v>25.555102795295699</v>
      </c>
      <c r="R34" s="228">
        <f t="shared" si="25"/>
        <v>24.532898683483872</v>
      </c>
      <c r="S34" s="228">
        <f t="shared" si="25"/>
        <v>23.551582736144518</v>
      </c>
      <c r="T34" s="228">
        <f t="shared" si="25"/>
        <v>22.609519426698736</v>
      </c>
      <c r="U34" s="228">
        <f t="shared" si="25"/>
        <v>21.705138649630786</v>
      </c>
      <c r="V34" s="228">
        <f t="shared" si="25"/>
        <v>20.836933103645553</v>
      </c>
      <c r="W34" s="228">
        <f t="shared" si="25"/>
        <v>20.003455779499731</v>
      </c>
    </row>
    <row r="35" spans="1:23" ht="18" x14ac:dyDescent="0.35">
      <c r="A35" s="222" t="s">
        <v>24</v>
      </c>
      <c r="B35" s="226">
        <v>0.7</v>
      </c>
      <c r="C35" s="224">
        <f>C26*0.7</f>
        <v>140070</v>
      </c>
      <c r="D35" s="226">
        <v>0.7</v>
      </c>
      <c r="E35" s="224">
        <f>E26*0.7</f>
        <v>140070</v>
      </c>
      <c r="F35" s="227">
        <v>0.16907</v>
      </c>
      <c r="G35" s="229"/>
      <c r="H35" s="229"/>
      <c r="I35" s="229"/>
      <c r="J35" s="229"/>
      <c r="K35" s="229"/>
      <c r="L35" s="229"/>
      <c r="M35" s="229"/>
      <c r="N35" s="229"/>
      <c r="O35" s="229"/>
      <c r="P35" s="229"/>
      <c r="Q35" s="229"/>
      <c r="R35" s="229"/>
      <c r="S35" s="229"/>
      <c r="T35" s="229"/>
      <c r="U35" s="229"/>
      <c r="V35" s="229"/>
      <c r="W35" s="229"/>
    </row>
    <row r="36" spans="1:23" ht="18" x14ac:dyDescent="0.35">
      <c r="A36" s="212" t="s">
        <v>8</v>
      </c>
      <c r="B36" s="226">
        <v>0</v>
      </c>
      <c r="C36" s="224">
        <v>0</v>
      </c>
      <c r="D36" s="226"/>
      <c r="E36" s="224">
        <v>0</v>
      </c>
      <c r="F36" s="227">
        <v>0.16907</v>
      </c>
      <c r="G36" s="228">
        <f>'DY 22 &amp; DY 23 Assumptions'!I36*'Future Plan Assumptions'!$B$101</f>
        <v>0</v>
      </c>
      <c r="H36" s="228">
        <f t="shared" ref="H36:W36" si="26">G36*$B$101</f>
        <v>0</v>
      </c>
      <c r="I36" s="228">
        <f t="shared" si="26"/>
        <v>0</v>
      </c>
      <c r="J36" s="228">
        <f t="shared" si="26"/>
        <v>0</v>
      </c>
      <c r="K36" s="228">
        <f t="shared" si="26"/>
        <v>0</v>
      </c>
      <c r="L36" s="228">
        <f t="shared" si="26"/>
        <v>0</v>
      </c>
      <c r="M36" s="228">
        <f t="shared" si="26"/>
        <v>0</v>
      </c>
      <c r="N36" s="228">
        <f t="shared" si="26"/>
        <v>0</v>
      </c>
      <c r="O36" s="228">
        <f t="shared" si="26"/>
        <v>0</v>
      </c>
      <c r="P36" s="228">
        <f t="shared" si="26"/>
        <v>0</v>
      </c>
      <c r="Q36" s="228">
        <f t="shared" si="26"/>
        <v>0</v>
      </c>
      <c r="R36" s="228">
        <f t="shared" si="26"/>
        <v>0</v>
      </c>
      <c r="S36" s="228">
        <f t="shared" si="26"/>
        <v>0</v>
      </c>
      <c r="T36" s="228">
        <f t="shared" si="26"/>
        <v>0</v>
      </c>
      <c r="U36" s="228">
        <f t="shared" si="26"/>
        <v>0</v>
      </c>
      <c r="V36" s="228">
        <f t="shared" si="26"/>
        <v>0</v>
      </c>
      <c r="W36" s="228">
        <f t="shared" si="26"/>
        <v>0</v>
      </c>
    </row>
    <row r="37" spans="1:23" ht="18" x14ac:dyDescent="0.35">
      <c r="A37" s="212" t="s">
        <v>9</v>
      </c>
      <c r="B37" s="226">
        <v>0</v>
      </c>
      <c r="C37" s="224">
        <v>0</v>
      </c>
      <c r="D37" s="226"/>
      <c r="E37" s="224">
        <v>0</v>
      </c>
      <c r="F37" s="227">
        <v>0.16907</v>
      </c>
      <c r="G37" s="228">
        <f>'DY 22 &amp; DY 23 Assumptions'!I37*'Future Plan Assumptions'!$B$101</f>
        <v>51.988991999999996</v>
      </c>
      <c r="H37" s="228">
        <f t="shared" ref="H37:W37" si="27">G37*$B$101</f>
        <v>49.909432319999993</v>
      </c>
      <c r="I37" s="228">
        <f t="shared" si="27"/>
        <v>47.913055027199995</v>
      </c>
      <c r="J37" s="228">
        <f t="shared" si="27"/>
        <v>45.996532826111995</v>
      </c>
      <c r="K37" s="228">
        <f t="shared" si="27"/>
        <v>44.156671513067515</v>
      </c>
      <c r="L37" s="228">
        <f t="shared" si="27"/>
        <v>42.390404652544809</v>
      </c>
      <c r="M37" s="228">
        <f t="shared" si="27"/>
        <v>40.694788466443015</v>
      </c>
      <c r="N37" s="228">
        <f t="shared" si="27"/>
        <v>39.06699692778529</v>
      </c>
      <c r="O37" s="228">
        <f t="shared" si="27"/>
        <v>37.504317050673876</v>
      </c>
      <c r="P37" s="228">
        <f t="shared" si="27"/>
        <v>36.004144368646919</v>
      </c>
      <c r="Q37" s="228">
        <f t="shared" si="27"/>
        <v>34.563978593901041</v>
      </c>
      <c r="R37" s="228">
        <f t="shared" si="27"/>
        <v>33.181419450145</v>
      </c>
      <c r="S37" s="228">
        <f t="shared" si="27"/>
        <v>31.8541626721392</v>
      </c>
      <c r="T37" s="228">
        <f t="shared" si="27"/>
        <v>30.579996165253633</v>
      </c>
      <c r="U37" s="228">
        <f t="shared" si="27"/>
        <v>29.356796318643486</v>
      </c>
      <c r="V37" s="228">
        <f t="shared" si="27"/>
        <v>28.182524465897746</v>
      </c>
      <c r="W37" s="228">
        <f t="shared" si="27"/>
        <v>27.055223487261834</v>
      </c>
    </row>
    <row r="38" spans="1:23" ht="18" x14ac:dyDescent="0.35">
      <c r="A38" s="212" t="s">
        <v>19</v>
      </c>
      <c r="B38" s="226">
        <v>0</v>
      </c>
      <c r="C38" s="224">
        <v>0</v>
      </c>
      <c r="D38" s="226"/>
      <c r="E38" s="224">
        <v>0</v>
      </c>
      <c r="F38" s="227">
        <v>0.16907</v>
      </c>
      <c r="G38" s="228">
        <f>'DY 22 &amp; DY 23 Assumptions'!I38*'Future Plan Assumptions'!$B$101</f>
        <v>54.396672000000002</v>
      </c>
      <c r="H38" s="228">
        <f t="shared" ref="H38:W38" si="28">G38*$B$101</f>
        <v>52.220805120000001</v>
      </c>
      <c r="I38" s="228">
        <f t="shared" si="28"/>
        <v>50.131972915200002</v>
      </c>
      <c r="J38" s="228">
        <f t="shared" si="28"/>
        <v>48.126693998592003</v>
      </c>
      <c r="K38" s="228">
        <f t="shared" si="28"/>
        <v>46.201626238648323</v>
      </c>
      <c r="L38" s="228">
        <f t="shared" si="28"/>
        <v>44.353561189102386</v>
      </c>
      <c r="M38" s="228">
        <f t="shared" si="28"/>
        <v>42.579418741538291</v>
      </c>
      <c r="N38" s="228">
        <f t="shared" si="28"/>
        <v>40.876241991876761</v>
      </c>
      <c r="O38" s="228">
        <f t="shared" si="28"/>
        <v>39.24119231220169</v>
      </c>
      <c r="P38" s="228">
        <f t="shared" si="28"/>
        <v>37.671544619713622</v>
      </c>
      <c r="Q38" s="228">
        <f t="shared" si="28"/>
        <v>36.164682834925074</v>
      </c>
      <c r="R38" s="228">
        <f t="shared" si="28"/>
        <v>34.71809552152807</v>
      </c>
      <c r="S38" s="228">
        <f t="shared" si="28"/>
        <v>33.329371700666947</v>
      </c>
      <c r="T38" s="228">
        <f t="shared" si="28"/>
        <v>31.996196832640269</v>
      </c>
      <c r="U38" s="228">
        <f t="shared" si="28"/>
        <v>30.716348959334656</v>
      </c>
      <c r="V38" s="228">
        <f t="shared" si="28"/>
        <v>29.487695000961267</v>
      </c>
      <c r="W38" s="228">
        <f t="shared" si="28"/>
        <v>28.308187200922816</v>
      </c>
    </row>
    <row r="39" spans="1:23" ht="18" x14ac:dyDescent="0.35">
      <c r="A39" s="212" t="s">
        <v>15</v>
      </c>
      <c r="B39" s="226">
        <v>0</v>
      </c>
      <c r="C39" s="224">
        <v>0</v>
      </c>
      <c r="D39" s="226"/>
      <c r="E39" s="224">
        <v>0</v>
      </c>
      <c r="F39" s="227">
        <v>0.16907</v>
      </c>
      <c r="G39" s="228">
        <f>'DY 22 &amp; DY 23 Assumptions'!I39*'Future Plan Assumptions'!$B$101</f>
        <v>55.106304000000002</v>
      </c>
      <c r="H39" s="228">
        <f t="shared" ref="H39:W39" si="29">G39*$B$101</f>
        <v>52.902051839999999</v>
      </c>
      <c r="I39" s="228">
        <f t="shared" si="29"/>
        <v>50.785969766399994</v>
      </c>
      <c r="J39" s="228">
        <f t="shared" si="29"/>
        <v>48.75453097574399</v>
      </c>
      <c r="K39" s="228">
        <f t="shared" si="29"/>
        <v>46.804349736714229</v>
      </c>
      <c r="L39" s="228">
        <f t="shared" si="29"/>
        <v>44.932175747245658</v>
      </c>
      <c r="M39" s="228">
        <f t="shared" si="29"/>
        <v>43.134888717355828</v>
      </c>
      <c r="N39" s="228">
        <f t="shared" si="29"/>
        <v>41.409493168661591</v>
      </c>
      <c r="O39" s="228">
        <f t="shared" si="29"/>
        <v>39.753113441915126</v>
      </c>
      <c r="P39" s="228">
        <f t="shared" si="29"/>
        <v>38.162988904238517</v>
      </c>
      <c r="Q39" s="228">
        <f t="shared" si="29"/>
        <v>36.636469348068978</v>
      </c>
      <c r="R39" s="228">
        <f t="shared" si="29"/>
        <v>35.171010574146216</v>
      </c>
      <c r="S39" s="228">
        <f t="shared" si="29"/>
        <v>33.764170151180366</v>
      </c>
      <c r="T39" s="228">
        <f t="shared" si="29"/>
        <v>32.413603345133147</v>
      </c>
      <c r="U39" s="228">
        <f t="shared" si="29"/>
        <v>31.11705921132782</v>
      </c>
      <c r="V39" s="228">
        <f t="shared" si="29"/>
        <v>29.872376842874708</v>
      </c>
      <c r="W39" s="228">
        <f t="shared" si="29"/>
        <v>28.677481769159719</v>
      </c>
    </row>
    <row r="40" spans="1:23" ht="18" x14ac:dyDescent="0.35">
      <c r="A40" s="212" t="s">
        <v>16</v>
      </c>
      <c r="B40" s="226">
        <v>0</v>
      </c>
      <c r="C40" s="224">
        <v>0</v>
      </c>
      <c r="D40" s="226"/>
      <c r="E40" s="224">
        <v>0</v>
      </c>
      <c r="F40" s="227">
        <v>0.16907</v>
      </c>
      <c r="G40" s="228">
        <f>'DY 22 &amp; DY 23 Assumptions'!I40*'Future Plan Assumptions'!$B$101</f>
        <v>52.453631999999999</v>
      </c>
      <c r="H40" s="228">
        <f t="shared" ref="H40:W40" si="30">G40*$B$101</f>
        <v>50.355486719999995</v>
      </c>
      <c r="I40" s="228">
        <f t="shared" si="30"/>
        <v>48.341267251199994</v>
      </c>
      <c r="J40" s="228">
        <f t="shared" si="30"/>
        <v>46.40761656115199</v>
      </c>
      <c r="K40" s="228">
        <f t="shared" si="30"/>
        <v>44.551311898705912</v>
      </c>
      <c r="L40" s="228">
        <f t="shared" si="30"/>
        <v>42.769259422757671</v>
      </c>
      <c r="M40" s="228">
        <f t="shared" si="30"/>
        <v>41.058489045847359</v>
      </c>
      <c r="N40" s="228">
        <f t="shared" si="30"/>
        <v>39.416149484013467</v>
      </c>
      <c r="O40" s="228">
        <f t="shared" si="30"/>
        <v>37.839503504652924</v>
      </c>
      <c r="P40" s="228">
        <f t="shared" si="30"/>
        <v>36.325923364466803</v>
      </c>
      <c r="Q40" s="228">
        <f t="shared" si="30"/>
        <v>34.872886429888126</v>
      </c>
      <c r="R40" s="228">
        <f t="shared" si="30"/>
        <v>33.477970972692603</v>
      </c>
      <c r="S40" s="228">
        <f t="shared" si="30"/>
        <v>32.138852133784894</v>
      </c>
      <c r="T40" s="228">
        <f t="shared" si="30"/>
        <v>30.853298048433498</v>
      </c>
      <c r="U40" s="228">
        <f t="shared" si="30"/>
        <v>29.619166126496157</v>
      </c>
      <c r="V40" s="228">
        <f t="shared" si="30"/>
        <v>28.434399481436309</v>
      </c>
      <c r="W40" s="228">
        <f t="shared" si="30"/>
        <v>27.297023502178856</v>
      </c>
    </row>
    <row r="41" spans="1:23" ht="18" x14ac:dyDescent="0.35">
      <c r="A41" s="212" t="s">
        <v>20</v>
      </c>
      <c r="B41" s="226">
        <v>1</v>
      </c>
      <c r="C41" s="224">
        <v>140070</v>
      </c>
      <c r="D41" s="226"/>
      <c r="E41" s="224">
        <v>140070</v>
      </c>
      <c r="F41" s="227">
        <v>0.16907</v>
      </c>
      <c r="G41" s="228">
        <f>'DY 22 &amp; DY 23 Assumptions'!I41*'Future Plan Assumptions'!$B$101</f>
        <v>46.886400000000002</v>
      </c>
      <c r="H41" s="228">
        <f t="shared" ref="H41:W41" si="31">G41*$B$101</f>
        <v>45.010944000000002</v>
      </c>
      <c r="I41" s="228">
        <f t="shared" si="31"/>
        <v>43.210506240000001</v>
      </c>
      <c r="J41" s="228">
        <f t="shared" si="31"/>
        <v>41.482085990400002</v>
      </c>
      <c r="K41" s="228">
        <f t="shared" si="31"/>
        <v>39.822802550783997</v>
      </c>
      <c r="L41" s="228">
        <f t="shared" si="31"/>
        <v>38.229890448752634</v>
      </c>
      <c r="M41" s="228">
        <f t="shared" si="31"/>
        <v>36.700694830802526</v>
      </c>
      <c r="N41" s="228">
        <f t="shared" si="31"/>
        <v>35.232667037570423</v>
      </c>
      <c r="O41" s="228">
        <f t="shared" si="31"/>
        <v>33.823360356067603</v>
      </c>
      <c r="P41" s="228">
        <f t="shared" si="31"/>
        <v>32.470425941824899</v>
      </c>
      <c r="Q41" s="228">
        <f t="shared" si="31"/>
        <v>31.171608904151903</v>
      </c>
      <c r="R41" s="228">
        <f t="shared" si="31"/>
        <v>29.924744547985824</v>
      </c>
      <c r="S41" s="228">
        <f t="shared" si="31"/>
        <v>28.72775476606639</v>
      </c>
      <c r="T41" s="228">
        <f t="shared" si="31"/>
        <v>27.578644575423734</v>
      </c>
      <c r="U41" s="228">
        <f t="shared" si="31"/>
        <v>26.475498792406785</v>
      </c>
      <c r="V41" s="228">
        <f t="shared" si="31"/>
        <v>25.416478840710514</v>
      </c>
      <c r="W41" s="228">
        <f t="shared" si="31"/>
        <v>24.399819687082093</v>
      </c>
    </row>
    <row r="42" spans="1:23" ht="18" x14ac:dyDescent="0.35">
      <c r="A42" s="212" t="s">
        <v>23</v>
      </c>
      <c r="B42" s="223">
        <v>0</v>
      </c>
      <c r="C42" s="224">
        <v>0</v>
      </c>
      <c r="D42" s="226"/>
      <c r="E42" s="224">
        <v>0</v>
      </c>
      <c r="F42" s="227">
        <v>0.16907</v>
      </c>
      <c r="G42" s="228">
        <f>'DY 22 &amp; DY 23 Assumptions'!I42*'Future Plan Assumptions'!$B$101</f>
        <v>40.364543999999995</v>
      </c>
      <c r="H42" s="228">
        <f t="shared" ref="H42:W42" si="32">G42*$B$101</f>
        <v>38.749962239999995</v>
      </c>
      <c r="I42" s="228">
        <f t="shared" si="32"/>
        <v>37.199963750399995</v>
      </c>
      <c r="J42" s="228">
        <f t="shared" si="32"/>
        <v>35.711965200383993</v>
      </c>
      <c r="K42" s="228">
        <f t="shared" si="32"/>
        <v>34.283486592368632</v>
      </c>
      <c r="L42" s="228">
        <f t="shared" si="32"/>
        <v>32.912147128673887</v>
      </c>
      <c r="M42" s="228">
        <f t="shared" si="32"/>
        <v>31.59566124352693</v>
      </c>
      <c r="N42" s="228">
        <f t="shared" si="32"/>
        <v>30.331834793785852</v>
      </c>
      <c r="O42" s="228">
        <f t="shared" si="32"/>
        <v>29.118561402034416</v>
      </c>
      <c r="P42" s="228">
        <f t="shared" si="32"/>
        <v>27.953818945953039</v>
      </c>
      <c r="Q42" s="228">
        <f t="shared" si="32"/>
        <v>26.835666188114917</v>
      </c>
      <c r="R42" s="228">
        <f t="shared" si="32"/>
        <v>25.762239540590318</v>
      </c>
      <c r="S42" s="228">
        <f t="shared" si="32"/>
        <v>24.731749958966706</v>
      </c>
      <c r="T42" s="228">
        <f t="shared" si="32"/>
        <v>23.742479960608037</v>
      </c>
      <c r="U42" s="228">
        <f t="shared" si="32"/>
        <v>22.792780762183714</v>
      </c>
      <c r="V42" s="228">
        <f t="shared" si="32"/>
        <v>21.881069531696365</v>
      </c>
      <c r="W42" s="228">
        <f t="shared" si="32"/>
        <v>21.005826750428511</v>
      </c>
    </row>
    <row r="43" spans="1:23" ht="18" x14ac:dyDescent="0.35">
      <c r="A43" s="217" t="s">
        <v>25</v>
      </c>
      <c r="B43" s="219">
        <v>0.15</v>
      </c>
      <c r="C43" s="220">
        <f>B4*B43</f>
        <v>100050</v>
      </c>
      <c r="D43" s="219">
        <v>0.15</v>
      </c>
      <c r="E43" s="220">
        <f>D4*D43</f>
        <v>100050</v>
      </c>
      <c r="F43" s="220"/>
      <c r="G43" s="221"/>
      <c r="H43" s="221"/>
      <c r="I43" s="221"/>
      <c r="J43" s="221"/>
      <c r="K43" s="221"/>
      <c r="L43" s="221"/>
      <c r="M43" s="221"/>
      <c r="N43" s="229"/>
      <c r="O43" s="229"/>
      <c r="P43" s="229"/>
      <c r="Q43" s="229"/>
      <c r="R43" s="229"/>
      <c r="S43" s="229"/>
      <c r="T43" s="229"/>
      <c r="U43" s="229"/>
      <c r="V43" s="229"/>
      <c r="W43" s="229"/>
    </row>
    <row r="44" spans="1:23" ht="18" x14ac:dyDescent="0.35">
      <c r="A44" s="222" t="s">
        <v>26</v>
      </c>
      <c r="B44" s="223"/>
      <c r="C44" s="224">
        <f>C43*0.3</f>
        <v>30015</v>
      </c>
      <c r="D44" s="223"/>
      <c r="E44" s="224">
        <f>E43*0.3</f>
        <v>30015</v>
      </c>
      <c r="F44" s="230"/>
      <c r="G44" s="229"/>
      <c r="H44" s="229"/>
      <c r="I44" s="229"/>
      <c r="J44" s="229"/>
      <c r="K44" s="229"/>
      <c r="L44" s="229"/>
      <c r="M44" s="229"/>
      <c r="N44" s="228">
        <f t="shared" ref="N44:W44" si="33">M44*$B$101</f>
        <v>0</v>
      </c>
      <c r="O44" s="228">
        <f t="shared" si="33"/>
        <v>0</v>
      </c>
      <c r="P44" s="228">
        <f t="shared" si="33"/>
        <v>0</v>
      </c>
      <c r="Q44" s="228">
        <f t="shared" si="33"/>
        <v>0</v>
      </c>
      <c r="R44" s="228">
        <f t="shared" si="33"/>
        <v>0</v>
      </c>
      <c r="S44" s="228">
        <f t="shared" si="33"/>
        <v>0</v>
      </c>
      <c r="T44" s="228">
        <f t="shared" si="33"/>
        <v>0</v>
      </c>
      <c r="U44" s="228">
        <f t="shared" si="33"/>
        <v>0</v>
      </c>
      <c r="V44" s="228">
        <f t="shared" si="33"/>
        <v>0</v>
      </c>
      <c r="W44" s="228">
        <f t="shared" si="33"/>
        <v>0</v>
      </c>
    </row>
    <row r="45" spans="1:23" ht="18" x14ac:dyDescent="0.35">
      <c r="A45" s="212" t="s">
        <v>27</v>
      </c>
      <c r="B45" s="226">
        <v>4.6296296296296294E-2</v>
      </c>
      <c r="C45" s="224">
        <f t="shared" ref="C45:C50" si="34">$C$44*B45</f>
        <v>1389.5833333333333</v>
      </c>
      <c r="D45" s="226">
        <v>4.6296296296296294E-2</v>
      </c>
      <c r="E45" s="224">
        <f t="shared" ref="E45:E50" si="35">$E$44*D45</f>
        <v>1389.5833333333333</v>
      </c>
      <c r="F45" s="227">
        <v>0.16907</v>
      </c>
      <c r="G45" s="228">
        <f>'DY 22 &amp; DY 23 Assumptions'!I45*'Future Plan Assumptions'!$B$101</f>
        <v>63.31776</v>
      </c>
      <c r="H45" s="228">
        <f t="shared" ref="H45:M50" si="36">G45*$B$101</f>
        <v>60.785049600000001</v>
      </c>
      <c r="I45" s="228">
        <f t="shared" si="36"/>
        <v>58.353647615999996</v>
      </c>
      <c r="J45" s="228">
        <f t="shared" si="36"/>
        <v>56.019501711359993</v>
      </c>
      <c r="K45" s="228">
        <f t="shared" si="36"/>
        <v>53.778721642905595</v>
      </c>
      <c r="L45" s="228">
        <f t="shared" si="36"/>
        <v>51.627572777189371</v>
      </c>
      <c r="M45" s="228">
        <f t="shared" si="36"/>
        <v>49.562469866101793</v>
      </c>
      <c r="N45" s="228">
        <f t="shared" ref="N45:W45" si="37">M45*$B$101</f>
        <v>47.57997107145772</v>
      </c>
      <c r="O45" s="228">
        <f t="shared" si="37"/>
        <v>45.676772228599411</v>
      </c>
      <c r="P45" s="228">
        <f t="shared" si="37"/>
        <v>43.849701339455436</v>
      </c>
      <c r="Q45" s="228">
        <f t="shared" si="37"/>
        <v>42.095713285877217</v>
      </c>
      <c r="R45" s="228">
        <f t="shared" si="37"/>
        <v>40.411884754442127</v>
      </c>
      <c r="S45" s="228">
        <f t="shared" si="37"/>
        <v>38.795409364264444</v>
      </c>
      <c r="T45" s="228">
        <f t="shared" si="37"/>
        <v>37.243592989693866</v>
      </c>
      <c r="U45" s="228">
        <f t="shared" si="37"/>
        <v>35.753849270106109</v>
      </c>
      <c r="V45" s="228">
        <f t="shared" si="37"/>
        <v>34.32369529930186</v>
      </c>
      <c r="W45" s="228">
        <f t="shared" si="37"/>
        <v>32.950747487329785</v>
      </c>
    </row>
    <row r="46" spans="1:23" ht="18" x14ac:dyDescent="0.35">
      <c r="A46" s="212" t="s">
        <v>19</v>
      </c>
      <c r="B46" s="226">
        <v>5.5555555555555552E-2</v>
      </c>
      <c r="C46" s="224">
        <f t="shared" si="34"/>
        <v>1667.5</v>
      </c>
      <c r="D46" s="226">
        <v>5.5555555555555552E-2</v>
      </c>
      <c r="E46" s="224">
        <f t="shared" si="35"/>
        <v>1667.5</v>
      </c>
      <c r="F46" s="227">
        <v>0.16907</v>
      </c>
      <c r="G46" s="228">
        <f>'DY 22 &amp; DY 23 Assumptions'!I46*'Future Plan Assumptions'!$B$101</f>
        <v>55.39353599999999</v>
      </c>
      <c r="H46" s="228">
        <f t="shared" si="36"/>
        <v>53.177794559999988</v>
      </c>
      <c r="I46" s="228">
        <f t="shared" si="36"/>
        <v>51.050682777599988</v>
      </c>
      <c r="J46" s="228">
        <f t="shared" si="36"/>
        <v>49.008655466495988</v>
      </c>
      <c r="K46" s="228">
        <f t="shared" si="36"/>
        <v>47.048309247836144</v>
      </c>
      <c r="L46" s="228">
        <f t="shared" si="36"/>
        <v>45.166376877922694</v>
      </c>
      <c r="M46" s="228">
        <f t="shared" si="36"/>
        <v>43.359721802805787</v>
      </c>
      <c r="N46" s="228">
        <f t="shared" ref="N46:W46" si="38">M46*$B$101</f>
        <v>41.625332930693553</v>
      </c>
      <c r="O46" s="228">
        <f t="shared" si="38"/>
        <v>39.960319613465806</v>
      </c>
      <c r="P46" s="228">
        <f t="shared" si="38"/>
        <v>38.361906828927175</v>
      </c>
      <c r="Q46" s="228">
        <f t="shared" si="38"/>
        <v>36.827430555770086</v>
      </c>
      <c r="R46" s="228">
        <f t="shared" si="38"/>
        <v>35.35433333353928</v>
      </c>
      <c r="S46" s="228">
        <f t="shared" si="38"/>
        <v>33.940160000197707</v>
      </c>
      <c r="T46" s="228">
        <f t="shared" si="38"/>
        <v>32.582553600189797</v>
      </c>
      <c r="U46" s="228">
        <f t="shared" si="38"/>
        <v>31.279251456182205</v>
      </c>
      <c r="V46" s="228">
        <f t="shared" si="38"/>
        <v>30.028081397934915</v>
      </c>
      <c r="W46" s="228">
        <f t="shared" si="38"/>
        <v>28.826958142017517</v>
      </c>
    </row>
    <row r="47" spans="1:23" ht="18" x14ac:dyDescent="0.35">
      <c r="A47" s="212" t="s">
        <v>15</v>
      </c>
      <c r="B47" s="226">
        <v>0.21296296296296297</v>
      </c>
      <c r="C47" s="224">
        <f t="shared" si="34"/>
        <v>6392.083333333333</v>
      </c>
      <c r="D47" s="226">
        <v>0.21296296296296297</v>
      </c>
      <c r="E47" s="224">
        <f t="shared" si="35"/>
        <v>6392.083333333333</v>
      </c>
      <c r="F47" s="227">
        <v>0.16907</v>
      </c>
      <c r="G47" s="228">
        <f>'DY 22 &amp; DY 23 Assumptions'!I47*'Future Plan Assumptions'!$B$101</f>
        <v>56.094720000000002</v>
      </c>
      <c r="H47" s="228">
        <f t="shared" si="36"/>
        <v>53.850931199999998</v>
      </c>
      <c r="I47" s="228">
        <f t="shared" si="36"/>
        <v>51.696893951999996</v>
      </c>
      <c r="J47" s="228">
        <f t="shared" si="36"/>
        <v>49.629018193919997</v>
      </c>
      <c r="K47" s="228">
        <f t="shared" si="36"/>
        <v>47.643857466163198</v>
      </c>
      <c r="L47" s="228">
        <f t="shared" si="36"/>
        <v>45.73810316751667</v>
      </c>
      <c r="M47" s="228">
        <f t="shared" si="36"/>
        <v>43.908579040816001</v>
      </c>
      <c r="N47" s="228">
        <f t="shared" ref="N47:W47" si="39">M47*$B$101</f>
        <v>42.152235879183358</v>
      </c>
      <c r="O47" s="228">
        <f t="shared" si="39"/>
        <v>40.466146444016026</v>
      </c>
      <c r="P47" s="228">
        <f t="shared" si="39"/>
        <v>38.847500586255386</v>
      </c>
      <c r="Q47" s="228">
        <f t="shared" si="39"/>
        <v>37.293600562805167</v>
      </c>
      <c r="R47" s="228">
        <f t="shared" si="39"/>
        <v>35.80185654029296</v>
      </c>
      <c r="S47" s="228">
        <f t="shared" si="39"/>
        <v>34.369782278681242</v>
      </c>
      <c r="T47" s="228">
        <f t="shared" si="39"/>
        <v>32.994990987533988</v>
      </c>
      <c r="U47" s="228">
        <f t="shared" si="39"/>
        <v>31.675191348032627</v>
      </c>
      <c r="V47" s="228">
        <f t="shared" si="39"/>
        <v>30.408183694111319</v>
      </c>
      <c r="W47" s="228">
        <f t="shared" si="39"/>
        <v>29.191856346346864</v>
      </c>
    </row>
    <row r="48" spans="1:23" ht="18" x14ac:dyDescent="0.35">
      <c r="A48" s="212" t="s">
        <v>16</v>
      </c>
      <c r="B48" s="226">
        <v>0.45370370370370372</v>
      </c>
      <c r="C48" s="224">
        <f t="shared" si="34"/>
        <v>13617.916666666668</v>
      </c>
      <c r="D48" s="226">
        <v>0.45370370370370372</v>
      </c>
      <c r="E48" s="224">
        <f t="shared" si="35"/>
        <v>13617.916666666668</v>
      </c>
      <c r="F48" s="227">
        <v>0.16907</v>
      </c>
      <c r="G48" s="228">
        <f>'DY 22 &amp; DY 23 Assumptions'!I48*'Future Plan Assumptions'!$B$101</f>
        <v>49.792511999999995</v>
      </c>
      <c r="H48" s="228">
        <f t="shared" si="36"/>
        <v>47.800811519999996</v>
      </c>
      <c r="I48" s="228">
        <f t="shared" si="36"/>
        <v>45.888779059199997</v>
      </c>
      <c r="J48" s="228">
        <f t="shared" si="36"/>
        <v>44.053227896831999</v>
      </c>
      <c r="K48" s="228">
        <f t="shared" si="36"/>
        <v>42.29109878095872</v>
      </c>
      <c r="L48" s="228">
        <f t="shared" si="36"/>
        <v>40.599454829720372</v>
      </c>
      <c r="M48" s="228">
        <f t="shared" si="36"/>
        <v>38.975476636531553</v>
      </c>
      <c r="N48" s="228">
        <f t="shared" ref="N48:W48" si="40">M48*$B$101</f>
        <v>37.416457571070289</v>
      </c>
      <c r="O48" s="228">
        <f t="shared" si="40"/>
        <v>35.919799268227479</v>
      </c>
      <c r="P48" s="228">
        <f t="shared" si="40"/>
        <v>34.483007297498375</v>
      </c>
      <c r="Q48" s="228">
        <f t="shared" si="40"/>
        <v>33.103687005598438</v>
      </c>
      <c r="R48" s="228">
        <f t="shared" si="40"/>
        <v>31.779539525374499</v>
      </c>
      <c r="S48" s="228">
        <f t="shared" si="40"/>
        <v>30.508357944359517</v>
      </c>
      <c r="T48" s="228">
        <f t="shared" si="40"/>
        <v>29.288023626585137</v>
      </c>
      <c r="U48" s="228">
        <f t="shared" si="40"/>
        <v>28.11650268152173</v>
      </c>
      <c r="V48" s="228">
        <f t="shared" si="40"/>
        <v>26.991842574260861</v>
      </c>
      <c r="W48" s="228">
        <f t="shared" si="40"/>
        <v>25.912168871290426</v>
      </c>
    </row>
    <row r="49" spans="1:23" ht="18" x14ac:dyDescent="0.35">
      <c r="A49" s="212" t="s">
        <v>17</v>
      </c>
      <c r="B49" s="226">
        <v>0.23148148148148148</v>
      </c>
      <c r="C49" s="224">
        <f t="shared" si="34"/>
        <v>6947.916666666667</v>
      </c>
      <c r="D49" s="226">
        <v>0.23148148148148148</v>
      </c>
      <c r="E49" s="224">
        <f t="shared" si="35"/>
        <v>6947.916666666667</v>
      </c>
      <c r="F49" s="227">
        <v>0.16907</v>
      </c>
      <c r="G49" s="228">
        <f>'DY 22 &amp; DY 23 Assumptions'!I49*'Future Plan Assumptions'!$B$101</f>
        <v>47.925503999999997</v>
      </c>
      <c r="H49" s="228">
        <f t="shared" si="36"/>
        <v>46.008483839999997</v>
      </c>
      <c r="I49" s="228">
        <f t="shared" si="36"/>
        <v>44.168144486399996</v>
      </c>
      <c r="J49" s="228">
        <f t="shared" si="36"/>
        <v>42.401418706943993</v>
      </c>
      <c r="K49" s="228">
        <f t="shared" si="36"/>
        <v>40.705361958666231</v>
      </c>
      <c r="L49" s="228">
        <f t="shared" si="36"/>
        <v>39.077147480319582</v>
      </c>
      <c r="M49" s="228">
        <f t="shared" si="36"/>
        <v>37.514061581106795</v>
      </c>
      <c r="N49" s="228">
        <f t="shared" ref="N49:W49" si="41">M49*$B$101</f>
        <v>36.013499117862523</v>
      </c>
      <c r="O49" s="228">
        <f t="shared" si="41"/>
        <v>34.57295915314802</v>
      </c>
      <c r="P49" s="228">
        <f t="shared" si="41"/>
        <v>33.190040787022099</v>
      </c>
      <c r="Q49" s="228">
        <f t="shared" si="41"/>
        <v>31.862439155541214</v>
      </c>
      <c r="R49" s="228">
        <f t="shared" si="41"/>
        <v>30.587941589319563</v>
      </c>
      <c r="S49" s="228">
        <f t="shared" si="41"/>
        <v>29.364423925746777</v>
      </c>
      <c r="T49" s="228">
        <f t="shared" si="41"/>
        <v>28.189846968716907</v>
      </c>
      <c r="U49" s="228">
        <f t="shared" si="41"/>
        <v>27.06225308996823</v>
      </c>
      <c r="V49" s="228">
        <f t="shared" si="41"/>
        <v>25.979762966369499</v>
      </c>
      <c r="W49" s="228">
        <f t="shared" si="41"/>
        <v>24.940572447714718</v>
      </c>
    </row>
    <row r="50" spans="1:23" ht="18" x14ac:dyDescent="0.35">
      <c r="A50" s="212" t="s">
        <v>79</v>
      </c>
      <c r="B50" s="226">
        <v>0</v>
      </c>
      <c r="C50" s="224">
        <f t="shared" si="34"/>
        <v>0</v>
      </c>
      <c r="D50" s="226">
        <v>0</v>
      </c>
      <c r="E50" s="224">
        <f t="shared" si="35"/>
        <v>0</v>
      </c>
      <c r="F50" s="227"/>
      <c r="G50" s="228">
        <f>'DY 22 &amp; DY 23 Assumptions'!I50*'Future Plan Assumptions'!$B$101</f>
        <v>38.624256000000003</v>
      </c>
      <c r="H50" s="228">
        <f t="shared" si="36"/>
        <v>37.079285759999998</v>
      </c>
      <c r="I50" s="228">
        <f t="shared" si="36"/>
        <v>35.596114329599999</v>
      </c>
      <c r="J50" s="228">
        <f t="shared" si="36"/>
        <v>34.172269756416</v>
      </c>
      <c r="K50" s="228">
        <f t="shared" si="36"/>
        <v>32.80537896615936</v>
      </c>
      <c r="L50" s="228">
        <f t="shared" si="36"/>
        <v>31.493163807512985</v>
      </c>
      <c r="M50" s="228">
        <f t="shared" si="36"/>
        <v>30.233437255212465</v>
      </c>
      <c r="N50" s="228">
        <f t="shared" ref="N50:W50" si="42">M50*$B$101</f>
        <v>29.024099765003964</v>
      </c>
      <c r="O50" s="228">
        <f t="shared" si="42"/>
        <v>27.863135774403805</v>
      </c>
      <c r="P50" s="228">
        <f t="shared" si="42"/>
        <v>26.74861034342765</v>
      </c>
      <c r="Q50" s="228">
        <f t="shared" si="42"/>
        <v>25.678665929690542</v>
      </c>
      <c r="R50" s="228">
        <f t="shared" si="42"/>
        <v>24.651519292502918</v>
      </c>
      <c r="S50" s="228">
        <f t="shared" si="42"/>
        <v>23.665458520802801</v>
      </c>
      <c r="T50" s="228">
        <f t="shared" si="42"/>
        <v>22.718840179970687</v>
      </c>
      <c r="U50" s="228">
        <f t="shared" si="42"/>
        <v>21.810086572771858</v>
      </c>
      <c r="V50" s="228">
        <f t="shared" si="42"/>
        <v>20.937683109860984</v>
      </c>
      <c r="W50" s="228">
        <f t="shared" si="42"/>
        <v>20.100175785466543</v>
      </c>
    </row>
    <row r="51" spans="1:23" ht="18" x14ac:dyDescent="0.35">
      <c r="A51" s="222" t="s">
        <v>28</v>
      </c>
      <c r="B51" s="231"/>
      <c r="C51" s="224">
        <f>C43*0.7</f>
        <v>70035</v>
      </c>
      <c r="D51" s="231"/>
      <c r="E51" s="224">
        <f>E43*0.7</f>
        <v>70035</v>
      </c>
      <c r="F51" s="232"/>
      <c r="G51" s="229"/>
      <c r="H51" s="229"/>
      <c r="I51" s="229"/>
      <c r="J51" s="229"/>
      <c r="K51" s="229"/>
      <c r="L51" s="229"/>
      <c r="M51" s="229"/>
      <c r="N51" s="229"/>
      <c r="O51" s="229"/>
      <c r="P51" s="229"/>
      <c r="Q51" s="229"/>
      <c r="R51" s="229"/>
      <c r="S51" s="229"/>
      <c r="T51" s="229"/>
      <c r="U51" s="229"/>
      <c r="V51" s="229"/>
      <c r="W51" s="229"/>
    </row>
    <row r="52" spans="1:23" ht="18" x14ac:dyDescent="0.35">
      <c r="A52" s="212" t="s">
        <v>27</v>
      </c>
      <c r="B52" s="226">
        <v>4.6296296296296294E-2</v>
      </c>
      <c r="C52" s="224">
        <f t="shared" ref="C52:C57" si="43">$C$51*B52</f>
        <v>3242.3611111111109</v>
      </c>
      <c r="D52" s="226">
        <v>4.6296296296296294E-2</v>
      </c>
      <c r="E52" s="224">
        <f t="shared" ref="E52:E57" si="44">$E$51*D52</f>
        <v>3242.3611111111109</v>
      </c>
      <c r="F52" s="227">
        <v>0.16907</v>
      </c>
      <c r="G52" s="228">
        <f>'DY 22 &amp; DY 23 Assumptions'!I52*'Future Plan Assumptions'!$B$101</f>
        <v>68.563968000000003</v>
      </c>
      <c r="H52" s="228">
        <f t="shared" ref="H52:W52" si="45">G52*$B$101</f>
        <v>65.821409279999997</v>
      </c>
      <c r="I52" s="228">
        <f t="shared" si="45"/>
        <v>63.188552908799998</v>
      </c>
      <c r="J52" s="228">
        <f t="shared" si="45"/>
        <v>60.661010792447996</v>
      </c>
      <c r="K52" s="228">
        <f t="shared" si="45"/>
        <v>58.234570360750077</v>
      </c>
      <c r="L52" s="228">
        <f t="shared" si="45"/>
        <v>55.905187546320072</v>
      </c>
      <c r="M52" s="228">
        <f t="shared" si="45"/>
        <v>53.668980044467268</v>
      </c>
      <c r="N52" s="228">
        <f t="shared" si="45"/>
        <v>51.522220842688576</v>
      </c>
      <c r="O52" s="228">
        <f t="shared" si="45"/>
        <v>49.461332008981032</v>
      </c>
      <c r="P52" s="228">
        <f t="shared" si="45"/>
        <v>47.482878728621792</v>
      </c>
      <c r="Q52" s="228">
        <f t="shared" si="45"/>
        <v>45.583563579476916</v>
      </c>
      <c r="R52" s="228">
        <f t="shared" si="45"/>
        <v>43.760221036297835</v>
      </c>
      <c r="S52" s="228">
        <f t="shared" si="45"/>
        <v>42.009812194845921</v>
      </c>
      <c r="T52" s="228">
        <f t="shared" si="45"/>
        <v>40.329419707052082</v>
      </c>
      <c r="U52" s="228">
        <f t="shared" si="45"/>
        <v>38.71624291877</v>
      </c>
      <c r="V52" s="228">
        <f t="shared" si="45"/>
        <v>37.167593202019198</v>
      </c>
      <c r="W52" s="228">
        <f t="shared" si="45"/>
        <v>35.680889473938429</v>
      </c>
    </row>
    <row r="53" spans="1:23" ht="18" x14ac:dyDescent="0.35">
      <c r="A53" s="212" t="s">
        <v>19</v>
      </c>
      <c r="B53" s="226">
        <v>5.5555555555555552E-2</v>
      </c>
      <c r="C53" s="224">
        <f t="shared" si="43"/>
        <v>3890.833333333333</v>
      </c>
      <c r="D53" s="226">
        <v>5.5555555555555552E-2</v>
      </c>
      <c r="E53" s="224">
        <f t="shared" si="44"/>
        <v>3890.833333333333</v>
      </c>
      <c r="F53" s="227">
        <v>0.16907</v>
      </c>
      <c r="G53" s="228">
        <f>'DY 22 &amp; DY 23 Assumptions'!I53*'Future Plan Assumptions'!$B$101</f>
        <v>59.490815999999995</v>
      </c>
      <c r="H53" s="228">
        <f t="shared" ref="H53:W53" si="46">G53*$B$101</f>
        <v>57.111183359999991</v>
      </c>
      <c r="I53" s="228">
        <f t="shared" si="46"/>
        <v>54.826736025599992</v>
      </c>
      <c r="J53" s="228">
        <f t="shared" si="46"/>
        <v>52.633666584575991</v>
      </c>
      <c r="K53" s="228">
        <f t="shared" si="46"/>
        <v>50.528319921192953</v>
      </c>
      <c r="L53" s="228">
        <f t="shared" si="46"/>
        <v>48.507187124345236</v>
      </c>
      <c r="M53" s="228">
        <f t="shared" si="46"/>
        <v>46.566899639371428</v>
      </c>
      <c r="N53" s="228">
        <f t="shared" si="46"/>
        <v>44.704223653796568</v>
      </c>
      <c r="O53" s="228">
        <f t="shared" si="46"/>
        <v>42.916054707644705</v>
      </c>
      <c r="P53" s="228">
        <f t="shared" si="46"/>
        <v>41.199412519338914</v>
      </c>
      <c r="Q53" s="228">
        <f t="shared" si="46"/>
        <v>39.551436018565354</v>
      </c>
      <c r="R53" s="228">
        <f t="shared" si="46"/>
        <v>37.969378577822738</v>
      </c>
      <c r="S53" s="228">
        <f t="shared" si="46"/>
        <v>36.450603434709826</v>
      </c>
      <c r="T53" s="228">
        <f t="shared" si="46"/>
        <v>34.992579297321434</v>
      </c>
      <c r="U53" s="228">
        <f t="shared" si="46"/>
        <v>33.592876125428575</v>
      </c>
      <c r="V53" s="228">
        <f t="shared" si="46"/>
        <v>32.249161080411433</v>
      </c>
      <c r="W53" s="228">
        <f t="shared" si="46"/>
        <v>30.959194637194976</v>
      </c>
    </row>
    <row r="54" spans="1:23" ht="18" x14ac:dyDescent="0.35">
      <c r="A54" s="212" t="s">
        <v>15</v>
      </c>
      <c r="B54" s="226">
        <v>0.21296296296296297</v>
      </c>
      <c r="C54" s="224">
        <f t="shared" si="43"/>
        <v>14914.861111111111</v>
      </c>
      <c r="D54" s="226">
        <v>0.21296296296296297</v>
      </c>
      <c r="E54" s="224">
        <f t="shared" si="44"/>
        <v>14914.861111111111</v>
      </c>
      <c r="F54" s="227">
        <v>0.16907</v>
      </c>
      <c r="G54" s="228">
        <f>'DY 22 &amp; DY 23 Assumptions'!I54*'Future Plan Assumptions'!$B$101</f>
        <v>56.255231999999999</v>
      </c>
      <c r="H54" s="228">
        <f t="shared" ref="H54:W54" si="47">G54*$B$101</f>
        <v>54.005022719999999</v>
      </c>
      <c r="I54" s="228">
        <f t="shared" si="47"/>
        <v>51.844821811199999</v>
      </c>
      <c r="J54" s="228">
        <f t="shared" si="47"/>
        <v>49.771028938751996</v>
      </c>
      <c r="K54" s="228">
        <f t="shared" si="47"/>
        <v>47.780187781201917</v>
      </c>
      <c r="L54" s="228">
        <f t="shared" si="47"/>
        <v>45.868980269953838</v>
      </c>
      <c r="M54" s="228">
        <f t="shared" si="47"/>
        <v>44.034221059155684</v>
      </c>
      <c r="N54" s="228">
        <f t="shared" si="47"/>
        <v>42.272852216789452</v>
      </c>
      <c r="O54" s="228">
        <f t="shared" si="47"/>
        <v>40.581938128117876</v>
      </c>
      <c r="P54" s="228">
        <f t="shared" si="47"/>
        <v>38.958660602993163</v>
      </c>
      <c r="Q54" s="228">
        <f t="shared" si="47"/>
        <v>37.400314178873437</v>
      </c>
      <c r="R54" s="228">
        <f t="shared" si="47"/>
        <v>35.904301611718495</v>
      </c>
      <c r="S54" s="228">
        <f t="shared" si="47"/>
        <v>34.468129547249752</v>
      </c>
      <c r="T54" s="228">
        <f t="shared" si="47"/>
        <v>33.089404365359762</v>
      </c>
      <c r="U54" s="228">
        <f t="shared" si="47"/>
        <v>31.765828190745371</v>
      </c>
      <c r="V54" s="228">
        <f t="shared" si="47"/>
        <v>30.495195063115556</v>
      </c>
      <c r="W54" s="228">
        <f t="shared" si="47"/>
        <v>29.275387260590932</v>
      </c>
    </row>
    <row r="55" spans="1:23" ht="18" x14ac:dyDescent="0.35">
      <c r="A55" s="212" t="s">
        <v>16</v>
      </c>
      <c r="B55" s="226">
        <v>0.45370370370370372</v>
      </c>
      <c r="C55" s="224">
        <f t="shared" si="43"/>
        <v>31775.138888888891</v>
      </c>
      <c r="D55" s="226">
        <v>0.45370370370370372</v>
      </c>
      <c r="E55" s="224">
        <f t="shared" si="44"/>
        <v>31775.138888888891</v>
      </c>
      <c r="F55" s="227">
        <v>0.16907</v>
      </c>
      <c r="G55" s="228">
        <f>'DY 22 &amp; DY 23 Assumptions'!I55*'Future Plan Assumptions'!$B$101</f>
        <v>50.527487999999998</v>
      </c>
      <c r="H55" s="228">
        <f t="shared" ref="H55:W55" si="48">G55*$B$101</f>
        <v>48.506388479999998</v>
      </c>
      <c r="I55" s="228">
        <f t="shared" si="48"/>
        <v>46.566132940799996</v>
      </c>
      <c r="J55" s="228">
        <f t="shared" si="48"/>
        <v>44.703487623167995</v>
      </c>
      <c r="K55" s="228">
        <f t="shared" si="48"/>
        <v>42.915348118241276</v>
      </c>
      <c r="L55" s="228">
        <f t="shared" si="48"/>
        <v>41.198734193511626</v>
      </c>
      <c r="M55" s="228">
        <f t="shared" si="48"/>
        <v>39.55078482577116</v>
      </c>
      <c r="N55" s="228">
        <f t="shared" si="48"/>
        <v>37.968753432740314</v>
      </c>
      <c r="O55" s="228">
        <f t="shared" si="48"/>
        <v>36.450003295430697</v>
      </c>
      <c r="P55" s="228">
        <f t="shared" si="48"/>
        <v>34.992003163613468</v>
      </c>
      <c r="Q55" s="228">
        <f t="shared" si="48"/>
        <v>33.59232303706893</v>
      </c>
      <c r="R55" s="228">
        <f t="shared" si="48"/>
        <v>32.248630115586174</v>
      </c>
      <c r="S55" s="228">
        <f t="shared" si="48"/>
        <v>30.958684910962727</v>
      </c>
      <c r="T55" s="228">
        <f t="shared" si="48"/>
        <v>29.720337514524218</v>
      </c>
      <c r="U55" s="228">
        <f t="shared" si="48"/>
        <v>28.531524013943248</v>
      </c>
      <c r="V55" s="228">
        <f t="shared" si="48"/>
        <v>27.390263053385517</v>
      </c>
      <c r="W55" s="228">
        <f t="shared" si="48"/>
        <v>26.294652531250097</v>
      </c>
    </row>
    <row r="56" spans="1:23" ht="18" x14ac:dyDescent="0.35">
      <c r="A56" s="212" t="s">
        <v>17</v>
      </c>
      <c r="B56" s="226">
        <v>0.23148148148148148</v>
      </c>
      <c r="C56" s="224">
        <f t="shared" si="43"/>
        <v>16211.805555555555</v>
      </c>
      <c r="D56" s="226">
        <v>0.23148148148148148</v>
      </c>
      <c r="E56" s="224">
        <f t="shared" si="44"/>
        <v>16211.805555555555</v>
      </c>
      <c r="F56" s="227">
        <v>0.16907</v>
      </c>
      <c r="G56" s="228">
        <f>'DY 22 &amp; DY 23 Assumptions'!I56*'Future Plan Assumptions'!$B$101</f>
        <v>45.272832000000001</v>
      </c>
      <c r="H56" s="228">
        <f t="shared" ref="H56:W56" si="49">G56*$B$101</f>
        <v>43.46191872</v>
      </c>
      <c r="I56" s="228">
        <f t="shared" si="49"/>
        <v>41.723441971199996</v>
      </c>
      <c r="J56" s="228">
        <f t="shared" si="49"/>
        <v>40.054504292351993</v>
      </c>
      <c r="K56" s="228">
        <f t="shared" si="49"/>
        <v>38.452324120657913</v>
      </c>
      <c r="L56" s="228">
        <f t="shared" si="49"/>
        <v>36.914231155831594</v>
      </c>
      <c r="M56" s="228">
        <f t="shared" si="49"/>
        <v>35.437661909598326</v>
      </c>
      <c r="N56" s="228">
        <f t="shared" si="49"/>
        <v>34.020155433214391</v>
      </c>
      <c r="O56" s="228">
        <f t="shared" si="49"/>
        <v>32.659349215885811</v>
      </c>
      <c r="P56" s="228">
        <f t="shared" si="49"/>
        <v>31.352975247250377</v>
      </c>
      <c r="Q56" s="228">
        <f t="shared" si="49"/>
        <v>30.098856237360362</v>
      </c>
      <c r="R56" s="228">
        <f t="shared" si="49"/>
        <v>28.894901987865946</v>
      </c>
      <c r="S56" s="228">
        <f t="shared" si="49"/>
        <v>27.739105908351309</v>
      </c>
      <c r="T56" s="228">
        <f t="shared" si="49"/>
        <v>26.629541672017258</v>
      </c>
      <c r="U56" s="228">
        <f t="shared" si="49"/>
        <v>25.564360005136567</v>
      </c>
      <c r="V56" s="228">
        <f t="shared" si="49"/>
        <v>24.541785604931103</v>
      </c>
      <c r="W56" s="228">
        <f t="shared" si="49"/>
        <v>23.560114180733859</v>
      </c>
    </row>
    <row r="57" spans="1:23" ht="18" x14ac:dyDescent="0.35">
      <c r="A57" s="212" t="s">
        <v>79</v>
      </c>
      <c r="B57" s="226">
        <v>0</v>
      </c>
      <c r="C57" s="224">
        <f t="shared" si="43"/>
        <v>0</v>
      </c>
      <c r="D57" s="226">
        <v>0</v>
      </c>
      <c r="E57" s="224">
        <f t="shared" si="44"/>
        <v>0</v>
      </c>
      <c r="F57" s="227"/>
      <c r="G57" s="228">
        <f>'DY 22 &amp; DY 23 Assumptions'!I57*'Future Plan Assumptions'!$B$101</f>
        <v>31.451903999999999</v>
      </c>
      <c r="H57" s="228">
        <f t="shared" ref="H57:W57" si="50">G57*$B$101</f>
        <v>30.193827839999997</v>
      </c>
      <c r="I57" s="228">
        <f t="shared" si="50"/>
        <v>28.986074726399995</v>
      </c>
      <c r="J57" s="228">
        <f t="shared" si="50"/>
        <v>27.826631737343995</v>
      </c>
      <c r="K57" s="228">
        <f t="shared" si="50"/>
        <v>26.713566467850235</v>
      </c>
      <c r="L57" s="228">
        <f t="shared" si="50"/>
        <v>25.645023809136223</v>
      </c>
      <c r="M57" s="228">
        <f t="shared" si="50"/>
        <v>24.619222856770772</v>
      </c>
      <c r="N57" s="228">
        <f t="shared" si="50"/>
        <v>23.634453942499942</v>
      </c>
      <c r="O57" s="228">
        <f t="shared" si="50"/>
        <v>22.689075784799943</v>
      </c>
      <c r="P57" s="228">
        <f t="shared" si="50"/>
        <v>21.781512753407945</v>
      </c>
      <c r="Q57" s="228">
        <f t="shared" si="50"/>
        <v>20.910252243271625</v>
      </c>
      <c r="R57" s="228">
        <f t="shared" si="50"/>
        <v>20.07384215354076</v>
      </c>
      <c r="S57" s="228">
        <f t="shared" si="50"/>
        <v>19.270888467399129</v>
      </c>
      <c r="T57" s="228">
        <f t="shared" si="50"/>
        <v>18.500052928703163</v>
      </c>
      <c r="U57" s="228">
        <f t="shared" si="50"/>
        <v>17.760050811555036</v>
      </c>
      <c r="V57" s="228">
        <f t="shared" si="50"/>
        <v>17.049648779092834</v>
      </c>
      <c r="W57" s="228">
        <f t="shared" si="50"/>
        <v>16.36766282792912</v>
      </c>
    </row>
    <row r="58" spans="1:23" ht="18" x14ac:dyDescent="0.35">
      <c r="A58" s="217" t="s">
        <v>29</v>
      </c>
      <c r="B58" s="219">
        <v>0.05</v>
      </c>
      <c r="C58" s="220">
        <f>B4*B58</f>
        <v>33350</v>
      </c>
      <c r="D58" s="219">
        <v>0.05</v>
      </c>
      <c r="E58" s="220">
        <f>D4*D58</f>
        <v>33350</v>
      </c>
      <c r="F58" s="217"/>
      <c r="G58" s="221"/>
      <c r="H58" s="221"/>
      <c r="I58" s="221"/>
      <c r="J58" s="221"/>
      <c r="K58" s="221"/>
      <c r="L58" s="221"/>
      <c r="M58" s="221"/>
      <c r="N58" s="229"/>
      <c r="O58" s="229"/>
      <c r="P58" s="229"/>
      <c r="Q58" s="229"/>
      <c r="R58" s="229"/>
      <c r="S58" s="229"/>
      <c r="T58" s="229"/>
      <c r="U58" s="229"/>
      <c r="V58" s="229"/>
      <c r="W58" s="229"/>
    </row>
    <row r="59" spans="1:23" ht="18" x14ac:dyDescent="0.35">
      <c r="A59" s="222" t="s">
        <v>30</v>
      </c>
      <c r="B59" s="226">
        <v>0.3</v>
      </c>
      <c r="C59" s="224">
        <f>C58*0.3</f>
        <v>10005</v>
      </c>
      <c r="D59" s="226">
        <v>0.3</v>
      </c>
      <c r="E59" s="224">
        <f>E58*0.3</f>
        <v>10005</v>
      </c>
      <c r="F59" s="227">
        <v>0.16907</v>
      </c>
      <c r="G59" s="229"/>
      <c r="H59" s="229"/>
      <c r="I59" s="229"/>
      <c r="J59" s="229"/>
      <c r="K59" s="229"/>
      <c r="L59" s="229"/>
      <c r="M59" s="229"/>
      <c r="N59" s="229"/>
      <c r="O59" s="229"/>
      <c r="P59" s="229"/>
      <c r="Q59" s="229"/>
      <c r="R59" s="229"/>
      <c r="S59" s="229"/>
      <c r="T59" s="229"/>
      <c r="U59" s="229"/>
      <c r="V59" s="229"/>
      <c r="W59" s="229"/>
    </row>
    <row r="60" spans="1:23" ht="18" x14ac:dyDescent="0.35">
      <c r="A60" s="212" t="s">
        <v>8</v>
      </c>
      <c r="B60" s="226">
        <v>0</v>
      </c>
      <c r="C60" s="224">
        <v>0</v>
      </c>
      <c r="D60" s="226"/>
      <c r="E60" s="224">
        <v>0</v>
      </c>
      <c r="F60" s="227">
        <v>0.16907</v>
      </c>
      <c r="G60" s="228">
        <f>'DY 22 &amp; DY 23 Assumptions'!I60*'Future Plan Assumptions'!$B$101</f>
        <v>0</v>
      </c>
      <c r="H60" s="228">
        <f t="shared" ref="H60:M66" si="51">G60*0.96</f>
        <v>0</v>
      </c>
      <c r="I60" s="228">
        <f t="shared" si="51"/>
        <v>0</v>
      </c>
      <c r="J60" s="228">
        <f t="shared" si="51"/>
        <v>0</v>
      </c>
      <c r="K60" s="228">
        <f t="shared" si="51"/>
        <v>0</v>
      </c>
      <c r="L60" s="228">
        <f t="shared" si="51"/>
        <v>0</v>
      </c>
      <c r="M60" s="228">
        <f t="shared" si="51"/>
        <v>0</v>
      </c>
      <c r="N60" s="228">
        <f t="shared" ref="N60:W60" si="52">M60*$B$101</f>
        <v>0</v>
      </c>
      <c r="O60" s="228">
        <f t="shared" si="52"/>
        <v>0</v>
      </c>
      <c r="P60" s="228">
        <f t="shared" si="52"/>
        <v>0</v>
      </c>
      <c r="Q60" s="228">
        <f t="shared" si="52"/>
        <v>0</v>
      </c>
      <c r="R60" s="228">
        <f t="shared" si="52"/>
        <v>0</v>
      </c>
      <c r="S60" s="228">
        <f t="shared" si="52"/>
        <v>0</v>
      </c>
      <c r="T60" s="228">
        <f t="shared" si="52"/>
        <v>0</v>
      </c>
      <c r="U60" s="228">
        <f t="shared" si="52"/>
        <v>0</v>
      </c>
      <c r="V60" s="228">
        <f t="shared" si="52"/>
        <v>0</v>
      </c>
      <c r="W60" s="228">
        <f t="shared" si="52"/>
        <v>0</v>
      </c>
    </row>
    <row r="61" spans="1:23" ht="18" x14ac:dyDescent="0.35">
      <c r="A61" s="212" t="s">
        <v>9</v>
      </c>
      <c r="B61" s="226">
        <v>0</v>
      </c>
      <c r="C61" s="224">
        <v>0</v>
      </c>
      <c r="D61" s="226"/>
      <c r="E61" s="224">
        <v>0</v>
      </c>
      <c r="F61" s="227">
        <v>0.16907</v>
      </c>
      <c r="G61" s="228">
        <f>'DY 22 &amp; DY 23 Assumptions'!I61*'Future Plan Assumptions'!$B$101</f>
        <v>60.48767999999999</v>
      </c>
      <c r="H61" s="228">
        <f t="shared" si="51"/>
        <v>58.068172799999985</v>
      </c>
      <c r="I61" s="228">
        <f t="shared" si="51"/>
        <v>55.745445887999985</v>
      </c>
      <c r="J61" s="228">
        <f t="shared" si="51"/>
        <v>53.515628052479983</v>
      </c>
      <c r="K61" s="228">
        <f t="shared" si="51"/>
        <v>51.375002930380781</v>
      </c>
      <c r="L61" s="228">
        <f t="shared" si="51"/>
        <v>49.320002813165544</v>
      </c>
      <c r="M61" s="228">
        <f t="shared" si="51"/>
        <v>47.347202700638924</v>
      </c>
      <c r="N61" s="228">
        <f t="shared" ref="N61:W61" si="53">M61*$B$101</f>
        <v>45.453314592613367</v>
      </c>
      <c r="O61" s="228">
        <f t="shared" si="53"/>
        <v>43.635182008908828</v>
      </c>
      <c r="P61" s="228">
        <f t="shared" si="53"/>
        <v>41.889774728552474</v>
      </c>
      <c r="Q61" s="228">
        <f t="shared" si="53"/>
        <v>40.214183739410373</v>
      </c>
      <c r="R61" s="228">
        <f t="shared" si="53"/>
        <v>38.605616389833955</v>
      </c>
      <c r="S61" s="228">
        <f t="shared" si="53"/>
        <v>37.061391734240594</v>
      </c>
      <c r="T61" s="228">
        <f t="shared" si="53"/>
        <v>35.578936064870966</v>
      </c>
      <c r="U61" s="228">
        <f t="shared" si="53"/>
        <v>34.155778622276124</v>
      </c>
      <c r="V61" s="228">
        <f t="shared" si="53"/>
        <v>32.789547477385078</v>
      </c>
      <c r="W61" s="228">
        <f t="shared" si="53"/>
        <v>31.477965578289673</v>
      </c>
    </row>
    <row r="62" spans="1:23" ht="18" x14ac:dyDescent="0.35">
      <c r="A62" s="212" t="s">
        <v>19</v>
      </c>
      <c r="B62" s="226">
        <v>0</v>
      </c>
      <c r="C62" s="224">
        <v>0</v>
      </c>
      <c r="D62" s="226"/>
      <c r="E62" s="224">
        <v>0</v>
      </c>
      <c r="F62" s="227">
        <v>0.16907</v>
      </c>
      <c r="G62" s="228">
        <f>'DY 22 &amp; DY 23 Assumptions'!I62*'Future Plan Assumptions'!$B$101</f>
        <v>63.647231999999995</v>
      </c>
      <c r="H62" s="228">
        <f t="shared" si="51"/>
        <v>61.101342719999991</v>
      </c>
      <c r="I62" s="228">
        <f t="shared" si="51"/>
        <v>58.657289011199993</v>
      </c>
      <c r="J62" s="228">
        <f t="shared" si="51"/>
        <v>56.310997450751991</v>
      </c>
      <c r="K62" s="228">
        <f t="shared" si="51"/>
        <v>54.058557552721908</v>
      </c>
      <c r="L62" s="228">
        <f t="shared" si="51"/>
        <v>51.896215250613032</v>
      </c>
      <c r="M62" s="228">
        <f t="shared" si="51"/>
        <v>49.82036664058851</v>
      </c>
      <c r="N62" s="228">
        <f t="shared" ref="N62:W62" si="54">M62*$B$101</f>
        <v>47.827551974964969</v>
      </c>
      <c r="O62" s="228">
        <f t="shared" si="54"/>
        <v>45.914449895966371</v>
      </c>
      <c r="P62" s="228">
        <f t="shared" si="54"/>
        <v>44.077871900127711</v>
      </c>
      <c r="Q62" s="228">
        <f t="shared" si="54"/>
        <v>42.314757024122599</v>
      </c>
      <c r="R62" s="228">
        <f t="shared" si="54"/>
        <v>40.622166743157692</v>
      </c>
      <c r="S62" s="228">
        <f t="shared" si="54"/>
        <v>38.997280073431384</v>
      </c>
      <c r="T62" s="228">
        <f t="shared" si="54"/>
        <v>37.437388870494125</v>
      </c>
      <c r="U62" s="228">
        <f t="shared" si="54"/>
        <v>35.939893315674361</v>
      </c>
      <c r="V62" s="228">
        <f t="shared" si="54"/>
        <v>34.502297583047387</v>
      </c>
      <c r="W62" s="228">
        <f t="shared" si="54"/>
        <v>33.122205679725489</v>
      </c>
    </row>
    <row r="63" spans="1:23" ht="18" x14ac:dyDescent="0.35">
      <c r="A63" s="212" t="s">
        <v>15</v>
      </c>
      <c r="B63" s="226">
        <v>0</v>
      </c>
      <c r="C63" s="224">
        <v>0</v>
      </c>
      <c r="D63" s="226"/>
      <c r="E63" s="224">
        <v>0</v>
      </c>
      <c r="F63" s="227">
        <v>0.16907</v>
      </c>
      <c r="G63" s="228">
        <f>'DY 22 &amp; DY 23 Assumptions'!I63*'Future Plan Assumptions'!$B$101</f>
        <v>65.277695999999992</v>
      </c>
      <c r="H63" s="228">
        <f t="shared" si="51"/>
        <v>62.666588159999989</v>
      </c>
      <c r="I63" s="228">
        <f t="shared" si="51"/>
        <v>60.159924633599985</v>
      </c>
      <c r="J63" s="228">
        <f t="shared" si="51"/>
        <v>57.753527648255982</v>
      </c>
      <c r="K63" s="228">
        <f t="shared" si="51"/>
        <v>55.44338654232574</v>
      </c>
      <c r="L63" s="228">
        <f t="shared" si="51"/>
        <v>53.225651080632709</v>
      </c>
      <c r="M63" s="228">
        <f t="shared" si="51"/>
        <v>51.096625037407399</v>
      </c>
      <c r="N63" s="228">
        <f t="shared" ref="N63:W63" si="55">M63*$B$101</f>
        <v>49.052760035911099</v>
      </c>
      <c r="O63" s="228">
        <f t="shared" si="55"/>
        <v>47.090649634474651</v>
      </c>
      <c r="P63" s="228">
        <f t="shared" si="55"/>
        <v>45.20702364909566</v>
      </c>
      <c r="Q63" s="228">
        <f t="shared" si="55"/>
        <v>43.39874270313183</v>
      </c>
      <c r="R63" s="228">
        <f t="shared" si="55"/>
        <v>41.662792995006555</v>
      </c>
      <c r="S63" s="228">
        <f t="shared" si="55"/>
        <v>39.996281275206293</v>
      </c>
      <c r="T63" s="228">
        <f t="shared" si="55"/>
        <v>38.39643002419804</v>
      </c>
      <c r="U63" s="228">
        <f t="shared" si="55"/>
        <v>36.860572823230115</v>
      </c>
      <c r="V63" s="228">
        <f t="shared" si="55"/>
        <v>35.386149910300908</v>
      </c>
      <c r="W63" s="228">
        <f t="shared" si="55"/>
        <v>33.970703913888869</v>
      </c>
    </row>
    <row r="64" spans="1:23" ht="18" x14ac:dyDescent="0.35">
      <c r="A64" s="212" t="s">
        <v>16</v>
      </c>
      <c r="B64" s="226">
        <v>0</v>
      </c>
      <c r="C64" s="224">
        <v>0</v>
      </c>
      <c r="D64" s="226"/>
      <c r="E64" s="224">
        <v>0</v>
      </c>
      <c r="F64" s="227">
        <v>0.16907</v>
      </c>
      <c r="G64" s="228">
        <f>'DY 22 &amp; DY 23 Assumptions'!I64*'Future Plan Assumptions'!$B$101</f>
        <v>61.222656000000001</v>
      </c>
      <c r="H64" s="228">
        <f t="shared" si="51"/>
        <v>58.773749760000001</v>
      </c>
      <c r="I64" s="228">
        <f t="shared" si="51"/>
        <v>56.422799769599997</v>
      </c>
      <c r="J64" s="228">
        <f t="shared" si="51"/>
        <v>54.165887778815993</v>
      </c>
      <c r="K64" s="228">
        <f t="shared" si="51"/>
        <v>51.999252267663351</v>
      </c>
      <c r="L64" s="228">
        <f t="shared" si="51"/>
        <v>49.919282176956813</v>
      </c>
      <c r="M64" s="228">
        <f t="shared" si="51"/>
        <v>47.922510889878538</v>
      </c>
      <c r="N64" s="228">
        <f t="shared" ref="N64:W64" si="56">M64*$B$101</f>
        <v>46.005610454283392</v>
      </c>
      <c r="O64" s="228">
        <f t="shared" si="56"/>
        <v>44.165386036112054</v>
      </c>
      <c r="P64" s="228">
        <f t="shared" si="56"/>
        <v>42.398770594667567</v>
      </c>
      <c r="Q64" s="228">
        <f t="shared" si="56"/>
        <v>40.702819770880865</v>
      </c>
      <c r="R64" s="228">
        <f t="shared" si="56"/>
        <v>39.074706980045626</v>
      </c>
      <c r="S64" s="228">
        <f t="shared" si="56"/>
        <v>37.511718700843801</v>
      </c>
      <c r="T64" s="228">
        <f t="shared" si="56"/>
        <v>36.011249952810047</v>
      </c>
      <c r="U64" s="228">
        <f t="shared" si="56"/>
        <v>34.570799954697641</v>
      </c>
      <c r="V64" s="228">
        <f t="shared" si="56"/>
        <v>33.187967956509738</v>
      </c>
      <c r="W64" s="228">
        <f t="shared" si="56"/>
        <v>31.860449238249348</v>
      </c>
    </row>
    <row r="65" spans="1:23" ht="18" x14ac:dyDescent="0.35">
      <c r="A65" s="212" t="s">
        <v>20</v>
      </c>
      <c r="B65" s="226">
        <v>1</v>
      </c>
      <c r="C65" s="224">
        <v>10005</v>
      </c>
      <c r="D65" s="226"/>
      <c r="E65" s="224">
        <v>10005</v>
      </c>
      <c r="F65" s="227">
        <v>0.16907</v>
      </c>
      <c r="G65" s="228">
        <f>'DY 22 &amp; DY 23 Assumptions'!I65*'Future Plan Assumptions'!$B$101</f>
        <v>54.709248000000002</v>
      </c>
      <c r="H65" s="228">
        <f t="shared" si="51"/>
        <v>52.520878080000003</v>
      </c>
      <c r="I65" s="228">
        <f t="shared" si="51"/>
        <v>50.420042956800003</v>
      </c>
      <c r="J65" s="228">
        <f t="shared" si="51"/>
        <v>48.403241238528004</v>
      </c>
      <c r="K65" s="228">
        <f t="shared" si="51"/>
        <v>46.467111588986882</v>
      </c>
      <c r="L65" s="228">
        <f t="shared" si="51"/>
        <v>44.608427125427404</v>
      </c>
      <c r="M65" s="228">
        <f t="shared" si="51"/>
        <v>42.824090040410304</v>
      </c>
      <c r="N65" s="228">
        <f t="shared" ref="N65:W65" si="57">M65*$B$101</f>
        <v>41.111126438793889</v>
      </c>
      <c r="O65" s="228">
        <f t="shared" si="57"/>
        <v>39.466681381242132</v>
      </c>
      <c r="P65" s="228">
        <f t="shared" si="57"/>
        <v>37.888014125992449</v>
      </c>
      <c r="Q65" s="228">
        <f t="shared" si="57"/>
        <v>36.372493560952748</v>
      </c>
      <c r="R65" s="228">
        <f t="shared" si="57"/>
        <v>34.917593818514639</v>
      </c>
      <c r="S65" s="228">
        <f t="shared" si="57"/>
        <v>33.520890065774054</v>
      </c>
      <c r="T65" s="228">
        <f t="shared" si="57"/>
        <v>32.180054463143094</v>
      </c>
      <c r="U65" s="228">
        <f t="shared" si="57"/>
        <v>30.892852284617369</v>
      </c>
      <c r="V65" s="228">
        <f t="shared" si="57"/>
        <v>29.657138193232672</v>
      </c>
      <c r="W65" s="228">
        <f t="shared" si="57"/>
        <v>28.470852665503365</v>
      </c>
    </row>
    <row r="66" spans="1:23" ht="18" x14ac:dyDescent="0.35">
      <c r="A66" s="212" t="s">
        <v>23</v>
      </c>
      <c r="B66" s="226">
        <v>0</v>
      </c>
      <c r="C66" s="224">
        <v>0</v>
      </c>
      <c r="D66" s="226"/>
      <c r="E66" s="224">
        <v>0</v>
      </c>
      <c r="F66" s="227">
        <v>0.16907</v>
      </c>
      <c r="G66" s="228">
        <f>'DY 22 &amp; DY 23 Assumptions'!I66*'Future Plan Assumptions'!$B$101</f>
        <v>48.026879999999998</v>
      </c>
      <c r="H66" s="228">
        <f t="shared" si="51"/>
        <v>46.105804799999994</v>
      </c>
      <c r="I66" s="228">
        <f t="shared" si="51"/>
        <v>44.261572607999994</v>
      </c>
      <c r="J66" s="228">
        <f t="shared" si="51"/>
        <v>42.491109703679996</v>
      </c>
      <c r="K66" s="228">
        <f t="shared" si="51"/>
        <v>40.791465315532797</v>
      </c>
      <c r="L66" s="228">
        <f t="shared" si="51"/>
        <v>39.159806702911482</v>
      </c>
      <c r="M66" s="228">
        <f t="shared" si="51"/>
        <v>37.593414434795022</v>
      </c>
      <c r="N66" s="228">
        <f t="shared" ref="N66:W66" si="58">M66*$B$101</f>
        <v>36.089677857403217</v>
      </c>
      <c r="O66" s="228">
        <f t="shared" si="58"/>
        <v>34.646090743107088</v>
      </c>
      <c r="P66" s="228">
        <f t="shared" si="58"/>
        <v>33.260247113382803</v>
      </c>
      <c r="Q66" s="228">
        <f t="shared" si="58"/>
        <v>31.929837228847489</v>
      </c>
      <c r="R66" s="228">
        <f t="shared" si="58"/>
        <v>30.652643739693588</v>
      </c>
      <c r="S66" s="228">
        <f t="shared" si="58"/>
        <v>29.426537990105842</v>
      </c>
      <c r="T66" s="228">
        <f t="shared" si="58"/>
        <v>28.249476470501609</v>
      </c>
      <c r="U66" s="228">
        <f t="shared" si="58"/>
        <v>27.119497411681543</v>
      </c>
      <c r="V66" s="228">
        <f t="shared" si="58"/>
        <v>26.034717515214279</v>
      </c>
      <c r="W66" s="228">
        <f t="shared" si="58"/>
        <v>24.993328814605707</v>
      </c>
    </row>
    <row r="67" spans="1:23" ht="18" x14ac:dyDescent="0.35">
      <c r="A67" s="222" t="s">
        <v>32</v>
      </c>
      <c r="B67" s="226">
        <v>0.7</v>
      </c>
      <c r="C67" s="224">
        <f>C58*0.7</f>
        <v>23345</v>
      </c>
      <c r="D67" s="226">
        <v>0.7</v>
      </c>
      <c r="E67" s="224">
        <f>E58*0.7</f>
        <v>23345</v>
      </c>
      <c r="F67" s="227">
        <v>0.16907</v>
      </c>
      <c r="G67" s="229"/>
      <c r="H67" s="229"/>
      <c r="I67" s="229"/>
      <c r="J67" s="229"/>
      <c r="K67" s="229"/>
      <c r="L67" s="229"/>
      <c r="M67" s="229"/>
      <c r="N67" s="229"/>
      <c r="O67" s="229"/>
      <c r="P67" s="229"/>
      <c r="Q67" s="229"/>
      <c r="R67" s="229"/>
      <c r="S67" s="229"/>
      <c r="T67" s="229"/>
      <c r="U67" s="229"/>
      <c r="V67" s="229"/>
      <c r="W67" s="229"/>
    </row>
    <row r="68" spans="1:23" ht="18" x14ac:dyDescent="0.35">
      <c r="A68" s="212" t="s">
        <v>8</v>
      </c>
      <c r="B68" s="226">
        <v>0</v>
      </c>
      <c r="C68" s="224">
        <v>0</v>
      </c>
      <c r="D68" s="226"/>
      <c r="E68" s="224">
        <v>0</v>
      </c>
      <c r="F68" s="227">
        <v>0.16907</v>
      </c>
      <c r="G68" s="228">
        <f>'DY 22 &amp; DY 23 Assumptions'!I68*'Future Plan Assumptions'!$B$101</f>
        <v>0</v>
      </c>
      <c r="H68" s="228">
        <f t="shared" ref="H68:M74" si="59">G68*0.96</f>
        <v>0</v>
      </c>
      <c r="I68" s="228">
        <f t="shared" si="59"/>
        <v>0</v>
      </c>
      <c r="J68" s="228">
        <f t="shared" si="59"/>
        <v>0</v>
      </c>
      <c r="K68" s="228">
        <f t="shared" si="59"/>
        <v>0</v>
      </c>
      <c r="L68" s="228">
        <f t="shared" si="59"/>
        <v>0</v>
      </c>
      <c r="M68" s="228">
        <f t="shared" si="59"/>
        <v>0</v>
      </c>
      <c r="N68" s="228">
        <f t="shared" ref="N68:W68" si="60">M68*$B$101</f>
        <v>0</v>
      </c>
      <c r="O68" s="228">
        <f t="shared" si="60"/>
        <v>0</v>
      </c>
      <c r="P68" s="228">
        <f t="shared" si="60"/>
        <v>0</v>
      </c>
      <c r="Q68" s="228">
        <f t="shared" si="60"/>
        <v>0</v>
      </c>
      <c r="R68" s="228">
        <f t="shared" si="60"/>
        <v>0</v>
      </c>
      <c r="S68" s="228">
        <f t="shared" si="60"/>
        <v>0</v>
      </c>
      <c r="T68" s="228">
        <f t="shared" si="60"/>
        <v>0</v>
      </c>
      <c r="U68" s="228">
        <f t="shared" si="60"/>
        <v>0</v>
      </c>
      <c r="V68" s="228">
        <f t="shared" si="60"/>
        <v>0</v>
      </c>
      <c r="W68" s="228">
        <f t="shared" si="60"/>
        <v>0</v>
      </c>
    </row>
    <row r="69" spans="1:23" ht="18" x14ac:dyDescent="0.35">
      <c r="A69" s="212" t="s">
        <v>9</v>
      </c>
      <c r="B69" s="226">
        <v>0</v>
      </c>
      <c r="C69" s="224">
        <v>0</v>
      </c>
      <c r="D69" s="226"/>
      <c r="E69" s="224">
        <v>0</v>
      </c>
      <c r="F69" s="227">
        <v>0.16907</v>
      </c>
      <c r="G69" s="228">
        <f>'DY 22 &amp; DY 23 Assumptions'!I69*'Future Plan Assumptions'!$B$101</f>
        <v>66.122495999999998</v>
      </c>
      <c r="H69" s="228">
        <f t="shared" si="59"/>
        <v>63.477596159999997</v>
      </c>
      <c r="I69" s="228">
        <f t="shared" si="59"/>
        <v>60.938492313599994</v>
      </c>
      <c r="J69" s="228">
        <f t="shared" si="59"/>
        <v>58.500952621055994</v>
      </c>
      <c r="K69" s="228">
        <f t="shared" si="59"/>
        <v>56.160914516213751</v>
      </c>
      <c r="L69" s="228">
        <f t="shared" si="59"/>
        <v>53.914477935565202</v>
      </c>
      <c r="M69" s="228">
        <f t="shared" si="59"/>
        <v>51.757898818142593</v>
      </c>
      <c r="N69" s="228">
        <f t="shared" ref="N69:W69" si="61">M69*$B$101</f>
        <v>49.687582865416886</v>
      </c>
      <c r="O69" s="228">
        <f t="shared" si="61"/>
        <v>47.700079550800211</v>
      </c>
      <c r="P69" s="228">
        <f t="shared" si="61"/>
        <v>45.7920763687682</v>
      </c>
      <c r="Q69" s="228">
        <f t="shared" si="61"/>
        <v>43.960393314017473</v>
      </c>
      <c r="R69" s="228">
        <f t="shared" si="61"/>
        <v>42.201977581456774</v>
      </c>
      <c r="S69" s="228">
        <f t="shared" si="61"/>
        <v>40.513898478198499</v>
      </c>
      <c r="T69" s="228">
        <f t="shared" si="61"/>
        <v>38.893342539070559</v>
      </c>
      <c r="U69" s="228">
        <f t="shared" si="61"/>
        <v>37.337608837507737</v>
      </c>
      <c r="V69" s="228">
        <f t="shared" si="61"/>
        <v>35.844104484007424</v>
      </c>
      <c r="W69" s="228">
        <f t="shared" si="61"/>
        <v>34.410340304647129</v>
      </c>
    </row>
    <row r="70" spans="1:23" ht="18" x14ac:dyDescent="0.35">
      <c r="A70" s="212" t="s">
        <v>19</v>
      </c>
      <c r="B70" s="226">
        <v>0</v>
      </c>
      <c r="C70" s="224">
        <v>0</v>
      </c>
      <c r="D70" s="226"/>
      <c r="E70" s="224">
        <v>0</v>
      </c>
      <c r="F70" s="227">
        <v>0.16907</v>
      </c>
      <c r="G70" s="228">
        <f>'DY 22 &amp; DY 23 Assumptions'!I70*'Future Plan Assumptions'!$B$101</f>
        <v>69.408767999999995</v>
      </c>
      <c r="H70" s="228">
        <f t="shared" si="59"/>
        <v>66.632417279999999</v>
      </c>
      <c r="I70" s="228">
        <f t="shared" si="59"/>
        <v>63.967120588799993</v>
      </c>
      <c r="J70" s="228">
        <f t="shared" si="59"/>
        <v>61.408435765247994</v>
      </c>
      <c r="K70" s="228">
        <f t="shared" si="59"/>
        <v>58.952098334638073</v>
      </c>
      <c r="L70" s="228">
        <f t="shared" si="59"/>
        <v>56.594014401252551</v>
      </c>
      <c r="M70" s="228">
        <f t="shared" si="59"/>
        <v>54.330253825202448</v>
      </c>
      <c r="N70" s="228">
        <f t="shared" ref="N70:W70" si="62">M70*$B$101</f>
        <v>52.157043672194348</v>
      </c>
      <c r="O70" s="228">
        <f t="shared" si="62"/>
        <v>50.07076192530657</v>
      </c>
      <c r="P70" s="228">
        <f t="shared" si="62"/>
        <v>48.067931448294303</v>
      </c>
      <c r="Q70" s="228">
        <f t="shared" si="62"/>
        <v>46.14521419036253</v>
      </c>
      <c r="R70" s="228">
        <f t="shared" si="62"/>
        <v>44.299405622748026</v>
      </c>
      <c r="S70" s="228">
        <f t="shared" si="62"/>
        <v>42.527429397838105</v>
      </c>
      <c r="T70" s="228">
        <f t="shared" si="62"/>
        <v>40.826332221924581</v>
      </c>
      <c r="U70" s="228">
        <f t="shared" si="62"/>
        <v>39.193278933047594</v>
      </c>
      <c r="V70" s="228">
        <f t="shared" si="62"/>
        <v>37.625547775725686</v>
      </c>
      <c r="W70" s="228">
        <f t="shared" si="62"/>
        <v>36.12052586469666</v>
      </c>
    </row>
    <row r="71" spans="1:23" ht="18" x14ac:dyDescent="0.35">
      <c r="A71" s="212" t="s">
        <v>15</v>
      </c>
      <c r="B71" s="226">
        <v>0</v>
      </c>
      <c r="C71" s="224">
        <v>0</v>
      </c>
      <c r="D71" s="226"/>
      <c r="E71" s="224">
        <v>0</v>
      </c>
      <c r="F71" s="227">
        <v>0.16907</v>
      </c>
      <c r="G71" s="228">
        <f>'DY 22 &amp; DY 23 Assumptions'!I71*'Future Plan Assumptions'!$B$101</f>
        <v>70.473215999999994</v>
      </c>
      <c r="H71" s="228">
        <f t="shared" si="59"/>
        <v>67.654287359999998</v>
      </c>
      <c r="I71" s="228">
        <f t="shared" si="59"/>
        <v>64.948115865600002</v>
      </c>
      <c r="J71" s="228">
        <f t="shared" si="59"/>
        <v>62.350191230976002</v>
      </c>
      <c r="K71" s="228">
        <f t="shared" si="59"/>
        <v>59.856183581736957</v>
      </c>
      <c r="L71" s="228">
        <f t="shared" si="59"/>
        <v>57.46193623846748</v>
      </c>
      <c r="M71" s="228">
        <f t="shared" si="59"/>
        <v>55.163458788928779</v>
      </c>
      <c r="N71" s="228">
        <f t="shared" ref="N71:W71" si="63">M71*$B$101</f>
        <v>52.956920437371629</v>
      </c>
      <c r="O71" s="228">
        <f t="shared" si="63"/>
        <v>50.838643619876763</v>
      </c>
      <c r="P71" s="228">
        <f t="shared" si="63"/>
        <v>48.805097875081692</v>
      </c>
      <c r="Q71" s="228">
        <f t="shared" si="63"/>
        <v>46.852893960078426</v>
      </c>
      <c r="R71" s="228">
        <f t="shared" si="63"/>
        <v>44.97877820167529</v>
      </c>
      <c r="S71" s="228">
        <f t="shared" si="63"/>
        <v>43.179627073608273</v>
      </c>
      <c r="T71" s="228">
        <f t="shared" si="63"/>
        <v>41.452441990663942</v>
      </c>
      <c r="U71" s="228">
        <f t="shared" si="63"/>
        <v>39.794344311037385</v>
      </c>
      <c r="V71" s="228">
        <f t="shared" si="63"/>
        <v>38.202570538595886</v>
      </c>
      <c r="W71" s="228">
        <f t="shared" si="63"/>
        <v>36.674467717052046</v>
      </c>
    </row>
    <row r="72" spans="1:23" ht="18" x14ac:dyDescent="0.35">
      <c r="A72" s="212" t="s">
        <v>16</v>
      </c>
      <c r="B72" s="226">
        <v>0</v>
      </c>
      <c r="C72" s="224">
        <v>0</v>
      </c>
      <c r="D72" s="226"/>
      <c r="E72" s="224">
        <v>0</v>
      </c>
      <c r="F72" s="227">
        <v>0.16907</v>
      </c>
      <c r="G72" s="228">
        <f>'DY 22 &amp; DY 23 Assumptions'!I72*'Future Plan Assumptions'!$B$101</f>
        <v>66.899712000000008</v>
      </c>
      <c r="H72" s="228">
        <f t="shared" si="59"/>
        <v>64.223723520000007</v>
      </c>
      <c r="I72" s="228">
        <f t="shared" si="59"/>
        <v>61.654774579200001</v>
      </c>
      <c r="J72" s="228">
        <f t="shared" si="59"/>
        <v>59.188583596031997</v>
      </c>
      <c r="K72" s="228">
        <f t="shared" si="59"/>
        <v>56.821040252190713</v>
      </c>
      <c r="L72" s="228">
        <f t="shared" si="59"/>
        <v>54.548198642103081</v>
      </c>
      <c r="M72" s="228">
        <f t="shared" si="59"/>
        <v>52.366270696418958</v>
      </c>
      <c r="N72" s="228">
        <f t="shared" ref="N72:W72" si="64">M72*$B$101</f>
        <v>50.271619868562198</v>
      </c>
      <c r="O72" s="228">
        <f t="shared" si="64"/>
        <v>48.260755073819709</v>
      </c>
      <c r="P72" s="228">
        <f t="shared" si="64"/>
        <v>46.330324870866917</v>
      </c>
      <c r="Q72" s="228">
        <f t="shared" si="64"/>
        <v>44.477111876032239</v>
      </c>
      <c r="R72" s="228">
        <f t="shared" si="64"/>
        <v>42.698027400990945</v>
      </c>
      <c r="S72" s="228">
        <f t="shared" si="64"/>
        <v>40.990106304951304</v>
      </c>
      <c r="T72" s="228">
        <f t="shared" si="64"/>
        <v>39.350502052753249</v>
      </c>
      <c r="U72" s="228">
        <f t="shared" si="64"/>
        <v>37.776481970643118</v>
      </c>
      <c r="V72" s="228">
        <f t="shared" si="64"/>
        <v>36.265422691817392</v>
      </c>
      <c r="W72" s="228">
        <f t="shared" si="64"/>
        <v>34.814805784144696</v>
      </c>
    </row>
    <row r="73" spans="1:23" ht="18" x14ac:dyDescent="0.35">
      <c r="A73" s="212" t="s">
        <v>20</v>
      </c>
      <c r="B73" s="226">
        <v>1</v>
      </c>
      <c r="C73" s="224">
        <v>23345</v>
      </c>
      <c r="D73" s="226"/>
      <c r="E73" s="224">
        <v>23345</v>
      </c>
      <c r="F73" s="227">
        <v>0.16907</v>
      </c>
      <c r="G73" s="228">
        <f>'DY 22 &amp; DY 23 Assumptions'!I73*'Future Plan Assumptions'!$B$101</f>
        <v>59.237376000000005</v>
      </c>
      <c r="H73" s="228">
        <f t="shared" si="59"/>
        <v>56.867880960000001</v>
      </c>
      <c r="I73" s="228">
        <f t="shared" si="59"/>
        <v>54.593165721600002</v>
      </c>
      <c r="J73" s="228">
        <f t="shared" si="59"/>
        <v>52.409439092736001</v>
      </c>
      <c r="K73" s="228">
        <f t="shared" si="59"/>
        <v>50.313061529026562</v>
      </c>
      <c r="L73" s="228">
        <f t="shared" si="59"/>
        <v>48.3005390678655</v>
      </c>
      <c r="M73" s="228">
        <f t="shared" si="59"/>
        <v>46.368517505150876</v>
      </c>
      <c r="N73" s="228">
        <f t="shared" ref="N73:W73" si="65">M73*$B$101</f>
        <v>44.51377680494484</v>
      </c>
      <c r="O73" s="228">
        <f t="shared" si="65"/>
        <v>42.733225732747044</v>
      </c>
      <c r="P73" s="228">
        <f t="shared" si="65"/>
        <v>41.02389670343716</v>
      </c>
      <c r="Q73" s="228">
        <f t="shared" si="65"/>
        <v>39.382940835299671</v>
      </c>
      <c r="R73" s="228">
        <f t="shared" si="65"/>
        <v>37.807623201887679</v>
      </c>
      <c r="S73" s="228">
        <f t="shared" si="65"/>
        <v>36.295318273812171</v>
      </c>
      <c r="T73" s="228">
        <f t="shared" si="65"/>
        <v>34.843505542859681</v>
      </c>
      <c r="U73" s="228">
        <f t="shared" si="65"/>
        <v>33.449765321145293</v>
      </c>
      <c r="V73" s="228">
        <f t="shared" si="65"/>
        <v>32.111774708299478</v>
      </c>
      <c r="W73" s="228">
        <f t="shared" si="65"/>
        <v>30.8273037199675</v>
      </c>
    </row>
    <row r="74" spans="1:23" ht="18" x14ac:dyDescent="0.35">
      <c r="A74" s="212" t="s">
        <v>23</v>
      </c>
      <c r="B74" s="226">
        <v>0</v>
      </c>
      <c r="C74" s="224">
        <v>0</v>
      </c>
      <c r="D74" s="226"/>
      <c r="E74" s="224">
        <v>0</v>
      </c>
      <c r="F74" s="227">
        <v>0.16907</v>
      </c>
      <c r="G74" s="228">
        <f>'DY 22 &amp; DY 23 Assumptions'!I74*'Future Plan Assumptions'!$B$101</f>
        <v>50.214911999999998</v>
      </c>
      <c r="H74" s="228">
        <f t="shared" si="59"/>
        <v>48.206315519999997</v>
      </c>
      <c r="I74" s="228">
        <f t="shared" si="59"/>
        <v>46.278062899199995</v>
      </c>
      <c r="J74" s="228">
        <f t="shared" si="59"/>
        <v>44.426940383231994</v>
      </c>
      <c r="K74" s="228">
        <f t="shared" si="59"/>
        <v>42.649862767902711</v>
      </c>
      <c r="L74" s="228">
        <f t="shared" si="59"/>
        <v>40.943868257186601</v>
      </c>
      <c r="M74" s="228">
        <f t="shared" si="59"/>
        <v>39.306113526899132</v>
      </c>
      <c r="N74" s="228">
        <f t="shared" ref="N74:W74" si="66">M74*$B$101</f>
        <v>37.733868985823165</v>
      </c>
      <c r="O74" s="228">
        <f t="shared" si="66"/>
        <v>36.224514226390234</v>
      </c>
      <c r="P74" s="228">
        <f t="shared" si="66"/>
        <v>34.77553365733462</v>
      </c>
      <c r="Q74" s="228">
        <f t="shared" si="66"/>
        <v>33.384512311041235</v>
      </c>
      <c r="R74" s="228">
        <f t="shared" si="66"/>
        <v>32.049131818599584</v>
      </c>
      <c r="S74" s="228">
        <f t="shared" si="66"/>
        <v>30.767166545855599</v>
      </c>
      <c r="T74" s="228">
        <f t="shared" si="66"/>
        <v>29.536479884021375</v>
      </c>
      <c r="U74" s="228">
        <f t="shared" si="66"/>
        <v>28.35502068866052</v>
      </c>
      <c r="V74" s="228">
        <f t="shared" si="66"/>
        <v>27.220819861114098</v>
      </c>
      <c r="W74" s="228">
        <f t="shared" si="66"/>
        <v>26.131987066669534</v>
      </c>
    </row>
    <row r="75" spans="1:23" ht="18" x14ac:dyDescent="0.35">
      <c r="A75" s="233" t="s">
        <v>33</v>
      </c>
      <c r="B75" s="219">
        <v>0.1</v>
      </c>
      <c r="C75" s="220">
        <f>B4*B75</f>
        <v>66700</v>
      </c>
      <c r="D75" s="219">
        <v>0.1</v>
      </c>
      <c r="E75" s="220">
        <f>D4*D75</f>
        <v>66700</v>
      </c>
      <c r="F75" s="217"/>
      <c r="G75" s="221"/>
      <c r="H75" s="217"/>
      <c r="I75" s="217"/>
      <c r="J75" s="217"/>
      <c r="K75" s="217"/>
      <c r="L75" s="217"/>
      <c r="M75" s="217"/>
      <c r="N75" s="217"/>
      <c r="O75" s="217"/>
      <c r="P75" s="217"/>
      <c r="Q75" s="217"/>
      <c r="R75" s="217"/>
      <c r="S75" s="217"/>
      <c r="T75" s="217"/>
      <c r="U75" s="217"/>
      <c r="V75" s="217"/>
      <c r="W75" s="217"/>
    </row>
    <row r="76" spans="1:23" ht="18" x14ac:dyDescent="0.35">
      <c r="A76" s="222" t="s">
        <v>34</v>
      </c>
      <c r="B76" s="223"/>
      <c r="C76" s="224">
        <f>C75*0.3</f>
        <v>20010</v>
      </c>
      <c r="D76" s="223"/>
      <c r="E76" s="224">
        <f>E75*0.3</f>
        <v>20010</v>
      </c>
      <c r="F76" s="224"/>
      <c r="G76" s="229"/>
      <c r="H76" s="229"/>
      <c r="I76" s="229"/>
      <c r="J76" s="229"/>
      <c r="K76" s="229"/>
      <c r="L76" s="229"/>
      <c r="M76" s="229"/>
      <c r="N76" s="229"/>
      <c r="O76" s="229"/>
      <c r="P76" s="229"/>
      <c r="Q76" s="229"/>
      <c r="R76" s="229"/>
      <c r="S76" s="229"/>
      <c r="T76" s="229"/>
      <c r="U76" s="229"/>
      <c r="V76" s="229"/>
      <c r="W76" s="229"/>
    </row>
    <row r="77" spans="1:23" ht="18" x14ac:dyDescent="0.35">
      <c r="A77" s="212" t="s">
        <v>14</v>
      </c>
      <c r="B77" s="226">
        <v>8.2589858081657974E-2</v>
      </c>
      <c r="C77" s="224">
        <f>$C$76*B77</f>
        <v>1652.623060213976</v>
      </c>
      <c r="D77" s="226">
        <v>8.2589858081657974E-2</v>
      </c>
      <c r="E77" s="224">
        <f>$E$76*D77</f>
        <v>1652.623060213976</v>
      </c>
      <c r="F77" s="227">
        <v>0.15196999999999999</v>
      </c>
      <c r="G77" s="228">
        <f>'DY 22 &amp; DY 23 Assumptions'!I77*'Future Plan Assumptions'!$B$101</f>
        <v>48.947712000000003</v>
      </c>
      <c r="H77" s="228">
        <f t="shared" ref="H77:W77" si="67">G77*$B$101</f>
        <v>46.989803520000002</v>
      </c>
      <c r="I77" s="228">
        <f t="shared" si="67"/>
        <v>45.110211379200003</v>
      </c>
      <c r="J77" s="228">
        <f t="shared" si="67"/>
        <v>43.305802924032001</v>
      </c>
      <c r="K77" s="228">
        <f t="shared" si="67"/>
        <v>41.573570807070716</v>
      </c>
      <c r="L77" s="228">
        <f t="shared" si="67"/>
        <v>39.910627974787886</v>
      </c>
      <c r="M77" s="228">
        <f t="shared" si="67"/>
        <v>38.314202855796367</v>
      </c>
      <c r="N77" s="228">
        <f t="shared" si="67"/>
        <v>36.78163474156451</v>
      </c>
      <c r="O77" s="228">
        <f t="shared" si="67"/>
        <v>35.310369351901926</v>
      </c>
      <c r="P77" s="228">
        <f t="shared" si="67"/>
        <v>33.89795457782585</v>
      </c>
      <c r="Q77" s="228">
        <f t="shared" si="67"/>
        <v>32.542036394712817</v>
      </c>
      <c r="R77" s="228">
        <f t="shared" si="67"/>
        <v>31.240354938924302</v>
      </c>
      <c r="S77" s="228">
        <f t="shared" si="67"/>
        <v>29.990740741367329</v>
      </c>
      <c r="T77" s="228">
        <f t="shared" si="67"/>
        <v>28.791111111712635</v>
      </c>
      <c r="U77" s="228">
        <f t="shared" si="67"/>
        <v>27.639466667244129</v>
      </c>
      <c r="V77" s="228">
        <f t="shared" si="67"/>
        <v>26.533888000554363</v>
      </c>
      <c r="W77" s="228">
        <f t="shared" si="67"/>
        <v>25.472532480532188</v>
      </c>
    </row>
    <row r="78" spans="1:23" ht="18" x14ac:dyDescent="0.35">
      <c r="A78" s="212" t="s">
        <v>15</v>
      </c>
      <c r="B78" s="226">
        <v>6.3796727298494463E-2</v>
      </c>
      <c r="C78" s="224">
        <f>$C$76*B78</f>
        <v>1276.5725132428743</v>
      </c>
      <c r="D78" s="226">
        <v>6.3796727298494463E-2</v>
      </c>
      <c r="E78" s="224">
        <f>$E$76*D78</f>
        <v>1276.5725132428743</v>
      </c>
      <c r="F78" s="227">
        <v>0.14819000000000002</v>
      </c>
      <c r="G78" s="228">
        <f>'DY 22 &amp; DY 23 Assumptions'!I78*'Future Plan Assumptions'!$B$101</f>
        <v>49.716480000000004</v>
      </c>
      <c r="H78" s="228">
        <f t="shared" ref="H78:W78" si="68">G78*$B$101</f>
        <v>47.727820800000003</v>
      </c>
      <c r="I78" s="228">
        <f t="shared" si="68"/>
        <v>45.818707967999998</v>
      </c>
      <c r="J78" s="228">
        <f t="shared" si="68"/>
        <v>43.985959649279998</v>
      </c>
      <c r="K78" s="228">
        <f t="shared" si="68"/>
        <v>42.226521263308797</v>
      </c>
      <c r="L78" s="228">
        <f t="shared" si="68"/>
        <v>40.537460412776447</v>
      </c>
      <c r="M78" s="228">
        <f t="shared" si="68"/>
        <v>38.915961996265388</v>
      </c>
      <c r="N78" s="228">
        <f t="shared" si="68"/>
        <v>37.359323516414769</v>
      </c>
      <c r="O78" s="228">
        <f t="shared" si="68"/>
        <v>35.864950575758179</v>
      </c>
      <c r="P78" s="228">
        <f t="shared" si="68"/>
        <v>34.430352552727854</v>
      </c>
      <c r="Q78" s="228">
        <f t="shared" si="68"/>
        <v>33.053138450618739</v>
      </c>
      <c r="R78" s="228">
        <f t="shared" si="68"/>
        <v>31.731012912593989</v>
      </c>
      <c r="S78" s="228">
        <f t="shared" si="68"/>
        <v>30.461772396090229</v>
      </c>
      <c r="T78" s="228">
        <f t="shared" si="68"/>
        <v>29.24330150024662</v>
      </c>
      <c r="U78" s="228">
        <f t="shared" si="68"/>
        <v>28.073569440236753</v>
      </c>
      <c r="V78" s="228">
        <f t="shared" si="68"/>
        <v>26.950626662627283</v>
      </c>
      <c r="W78" s="228">
        <f t="shared" si="68"/>
        <v>25.872601596122191</v>
      </c>
    </row>
    <row r="79" spans="1:23" ht="18" x14ac:dyDescent="0.35">
      <c r="A79" s="212" t="s">
        <v>16</v>
      </c>
      <c r="B79" s="226">
        <v>0.14809231752718796</v>
      </c>
      <c r="C79" s="224">
        <f>$C$76*B79</f>
        <v>2963.3272737190309</v>
      </c>
      <c r="D79" s="226">
        <v>0.14809231752718796</v>
      </c>
      <c r="E79" s="224">
        <f>$E$76*D79</f>
        <v>2963.3272737190309</v>
      </c>
      <c r="F79" s="227">
        <v>0.15303</v>
      </c>
      <c r="G79" s="228">
        <f>'DY 22 &amp; DY 23 Assumptions'!I79*'Future Plan Assumptions'!$B$101</f>
        <v>44.225280000000005</v>
      </c>
      <c r="H79" s="228">
        <f t="shared" ref="H79:W79" si="69">G79*$B$101</f>
        <v>42.456268800000004</v>
      </c>
      <c r="I79" s="228">
        <f t="shared" si="69"/>
        <v>40.758018048000004</v>
      </c>
      <c r="J79" s="228">
        <f t="shared" si="69"/>
        <v>39.127697326080003</v>
      </c>
      <c r="K79" s="228">
        <f t="shared" si="69"/>
        <v>37.562589433036798</v>
      </c>
      <c r="L79" s="228">
        <f t="shared" si="69"/>
        <v>36.060085855715322</v>
      </c>
      <c r="M79" s="228">
        <f t="shared" si="69"/>
        <v>34.617682421486705</v>
      </c>
      <c r="N79" s="228">
        <f t="shared" si="69"/>
        <v>33.232975124627238</v>
      </c>
      <c r="O79" s="228">
        <f t="shared" si="69"/>
        <v>31.903656119642147</v>
      </c>
      <c r="P79" s="228">
        <f t="shared" si="69"/>
        <v>30.627509874856461</v>
      </c>
      <c r="Q79" s="228">
        <f t="shared" si="69"/>
        <v>29.4024094798622</v>
      </c>
      <c r="R79" s="228">
        <f t="shared" si="69"/>
        <v>28.22631310066771</v>
      </c>
      <c r="S79" s="228">
        <f t="shared" si="69"/>
        <v>27.097260576641002</v>
      </c>
      <c r="T79" s="228">
        <f t="shared" si="69"/>
        <v>26.013370153575362</v>
      </c>
      <c r="U79" s="228">
        <f t="shared" si="69"/>
        <v>24.972835347432348</v>
      </c>
      <c r="V79" s="228">
        <f t="shared" si="69"/>
        <v>23.973921933535053</v>
      </c>
      <c r="W79" s="228">
        <f t="shared" si="69"/>
        <v>23.014965056193649</v>
      </c>
    </row>
    <row r="80" spans="1:23" ht="18" x14ac:dyDescent="0.35">
      <c r="A80" s="212" t="s">
        <v>17</v>
      </c>
      <c r="B80" s="226">
        <v>0.7055190579627767</v>
      </c>
      <c r="C80" s="224">
        <f>$C$76*B80</f>
        <v>14117.436349835161</v>
      </c>
      <c r="D80" s="226">
        <v>0.7055190579627767</v>
      </c>
      <c r="E80" s="224">
        <f>$E$76*D80</f>
        <v>14117.436349835161</v>
      </c>
      <c r="F80" s="227">
        <v>0.14410999999999999</v>
      </c>
      <c r="G80" s="228">
        <f>'DY 22 &amp; DY 23 Assumptions'!I80*'Future Plan Assumptions'!$B$101</f>
        <v>42.594815999999994</v>
      </c>
      <c r="H80" s="228">
        <f t="shared" ref="H80:W80" si="70">G80*$B$101</f>
        <v>40.891023359999991</v>
      </c>
      <c r="I80" s="228">
        <f t="shared" si="70"/>
        <v>39.25538242559999</v>
      </c>
      <c r="J80" s="228">
        <f t="shared" si="70"/>
        <v>37.685167128575991</v>
      </c>
      <c r="K80" s="228">
        <f t="shared" si="70"/>
        <v>36.177760443432952</v>
      </c>
      <c r="L80" s="228">
        <f t="shared" si="70"/>
        <v>34.730650025695631</v>
      </c>
      <c r="M80" s="228">
        <f t="shared" si="70"/>
        <v>33.341424024667802</v>
      </c>
      <c r="N80" s="228">
        <f t="shared" si="70"/>
        <v>32.007767063681086</v>
      </c>
      <c r="O80" s="228">
        <f t="shared" si="70"/>
        <v>30.727456381133841</v>
      </c>
      <c r="P80" s="228">
        <f t="shared" si="70"/>
        <v>29.498358125888487</v>
      </c>
      <c r="Q80" s="228">
        <f t="shared" si="70"/>
        <v>28.318423800852948</v>
      </c>
      <c r="R80" s="228">
        <f t="shared" si="70"/>
        <v>27.185686848818829</v>
      </c>
      <c r="S80" s="228">
        <f t="shared" si="70"/>
        <v>26.098259374866075</v>
      </c>
      <c r="T80" s="228">
        <f t="shared" si="70"/>
        <v>25.05432899987143</v>
      </c>
      <c r="U80" s="228">
        <f t="shared" si="70"/>
        <v>24.052155839876573</v>
      </c>
      <c r="V80" s="228">
        <f t="shared" si="70"/>
        <v>23.09006960628151</v>
      </c>
      <c r="W80" s="228">
        <f t="shared" si="70"/>
        <v>22.166466822030248</v>
      </c>
    </row>
    <row r="81" spans="1:23" ht="18" x14ac:dyDescent="0.35">
      <c r="A81" s="212" t="s">
        <v>79</v>
      </c>
      <c r="B81" s="226">
        <v>0</v>
      </c>
      <c r="C81" s="224">
        <f>$C$76*B81</f>
        <v>0</v>
      </c>
      <c r="D81" s="226">
        <v>0</v>
      </c>
      <c r="E81" s="224">
        <f>$E$76*D81</f>
        <v>0</v>
      </c>
      <c r="F81" s="227"/>
      <c r="G81" s="228">
        <f>'DY 22 &amp; DY 23 Assumptions'!I81*'Future Plan Assumptions'!$B$101</f>
        <v>34.552319999999995</v>
      </c>
      <c r="H81" s="228">
        <f t="shared" ref="H81:W81" si="71">G81*$B$101</f>
        <v>33.170227199999992</v>
      </c>
      <c r="I81" s="228">
        <f t="shared" si="71"/>
        <v>31.843418111999991</v>
      </c>
      <c r="J81" s="228">
        <f t="shared" si="71"/>
        <v>30.569681387519992</v>
      </c>
      <c r="K81" s="228">
        <f t="shared" si="71"/>
        <v>29.346894132019191</v>
      </c>
      <c r="L81" s="228">
        <f t="shared" si="71"/>
        <v>28.173018366738422</v>
      </c>
      <c r="M81" s="228">
        <f t="shared" si="71"/>
        <v>27.046097632068882</v>
      </c>
      <c r="N81" s="228">
        <f t="shared" si="71"/>
        <v>25.964253726786126</v>
      </c>
      <c r="O81" s="228">
        <f t="shared" si="71"/>
        <v>24.925683577714679</v>
      </c>
      <c r="P81" s="228">
        <f t="shared" si="71"/>
        <v>23.928656234606091</v>
      </c>
      <c r="Q81" s="228">
        <f t="shared" si="71"/>
        <v>22.971509985221847</v>
      </c>
      <c r="R81" s="228">
        <f t="shared" si="71"/>
        <v>22.052649585812972</v>
      </c>
      <c r="S81" s="228">
        <f t="shared" si="71"/>
        <v>21.170543602380452</v>
      </c>
      <c r="T81" s="228">
        <f t="shared" si="71"/>
        <v>20.323721858285232</v>
      </c>
      <c r="U81" s="228">
        <f t="shared" si="71"/>
        <v>19.510772983953821</v>
      </c>
      <c r="V81" s="228">
        <f t="shared" si="71"/>
        <v>18.730342064595668</v>
      </c>
      <c r="W81" s="228">
        <f t="shared" si="71"/>
        <v>17.981128382011839</v>
      </c>
    </row>
    <row r="82" spans="1:23" ht="18" x14ac:dyDescent="0.35">
      <c r="A82" s="222" t="s">
        <v>36</v>
      </c>
      <c r="B82" s="223"/>
      <c r="C82" s="224">
        <f>C75*0.7</f>
        <v>46690</v>
      </c>
      <c r="D82" s="223"/>
      <c r="E82" s="224">
        <f>E75*0.7</f>
        <v>46690</v>
      </c>
      <c r="F82" s="224"/>
      <c r="G82" s="229"/>
      <c r="H82" s="229"/>
      <c r="I82" s="229"/>
      <c r="J82" s="229"/>
      <c r="K82" s="229"/>
      <c r="L82" s="229"/>
      <c r="M82" s="229"/>
      <c r="N82" s="229"/>
      <c r="O82" s="229"/>
      <c r="P82" s="229"/>
      <c r="Q82" s="229"/>
      <c r="R82" s="229"/>
      <c r="S82" s="229"/>
      <c r="T82" s="229"/>
      <c r="U82" s="229"/>
      <c r="V82" s="229"/>
      <c r="W82" s="229"/>
    </row>
    <row r="83" spans="1:23" ht="18" x14ac:dyDescent="0.35">
      <c r="A83" s="212" t="s">
        <v>19</v>
      </c>
      <c r="B83" s="226">
        <v>3.7818107834294019E-2</v>
      </c>
      <c r="C83" s="224">
        <f>$C$82*B83</f>
        <v>1765.7274547831878</v>
      </c>
      <c r="D83" s="226">
        <v>3.7818107834294019E-2</v>
      </c>
      <c r="E83" s="224">
        <f>$E$82*D83</f>
        <v>1765.7274547831878</v>
      </c>
      <c r="F83" s="227">
        <v>0.14305999999999999</v>
      </c>
      <c r="G83" s="228">
        <f>'DY 22 &amp; DY 23 Assumptions'!I83*'Future Plan Assumptions'!$B$101</f>
        <v>52.571903999999996</v>
      </c>
      <c r="H83" s="228">
        <f t="shared" ref="H83:W83" si="72">G83*$B$101</f>
        <v>50.469027839999995</v>
      </c>
      <c r="I83" s="228">
        <f t="shared" si="72"/>
        <v>48.450266726399995</v>
      </c>
      <c r="J83" s="228">
        <f t="shared" si="72"/>
        <v>46.512256057343997</v>
      </c>
      <c r="K83" s="228">
        <f t="shared" si="72"/>
        <v>44.651765815050233</v>
      </c>
      <c r="L83" s="228">
        <f t="shared" si="72"/>
        <v>42.865695182448221</v>
      </c>
      <c r="M83" s="228">
        <f t="shared" si="72"/>
        <v>41.151067375150291</v>
      </c>
      <c r="N83" s="228">
        <f t="shared" si="72"/>
        <v>39.505024680144281</v>
      </c>
      <c r="O83" s="228">
        <f t="shared" si="72"/>
        <v>37.92482369293851</v>
      </c>
      <c r="P83" s="228">
        <f t="shared" si="72"/>
        <v>36.40783074522097</v>
      </c>
      <c r="Q83" s="228">
        <f t="shared" si="72"/>
        <v>34.951517515412128</v>
      </c>
      <c r="R83" s="228">
        <f t="shared" si="72"/>
        <v>33.553456814795645</v>
      </c>
      <c r="S83" s="228">
        <f t="shared" si="72"/>
        <v>32.21131854220382</v>
      </c>
      <c r="T83" s="228">
        <f t="shared" si="72"/>
        <v>30.922865800515666</v>
      </c>
      <c r="U83" s="228">
        <f t="shared" si="72"/>
        <v>29.685951168495038</v>
      </c>
      <c r="V83" s="228">
        <f t="shared" si="72"/>
        <v>28.498513121755234</v>
      </c>
      <c r="W83" s="228">
        <f t="shared" si="72"/>
        <v>27.358572596885026</v>
      </c>
    </row>
    <row r="84" spans="1:23" ht="18" x14ac:dyDescent="0.35">
      <c r="A84" s="212" t="s">
        <v>15</v>
      </c>
      <c r="B84" s="226">
        <v>2.9448996157951057E-2</v>
      </c>
      <c r="C84" s="224">
        <f>$C$82*B84</f>
        <v>1374.9736306147349</v>
      </c>
      <c r="D84" s="226">
        <v>2.9448996157951057E-2</v>
      </c>
      <c r="E84" s="224">
        <f>$E$82*D84</f>
        <v>1374.9736306147349</v>
      </c>
      <c r="F84" s="227">
        <v>0.14176</v>
      </c>
      <c r="G84" s="228">
        <f>'DY 22 &amp; DY 23 Assumptions'!I84*'Future Plan Assumptions'!$B$101</f>
        <v>49.860095999999999</v>
      </c>
      <c r="H84" s="228">
        <f t="shared" ref="H84:W84" si="73">G84*$B$101</f>
        <v>47.865692159999995</v>
      </c>
      <c r="I84" s="228">
        <f t="shared" si="73"/>
        <v>45.951064473599992</v>
      </c>
      <c r="J84" s="228">
        <f t="shared" si="73"/>
        <v>44.113021894655994</v>
      </c>
      <c r="K84" s="228">
        <f t="shared" si="73"/>
        <v>42.348501018869754</v>
      </c>
      <c r="L84" s="228">
        <f t="shared" si="73"/>
        <v>40.654560978114965</v>
      </c>
      <c r="M84" s="228">
        <f t="shared" si="73"/>
        <v>39.028378538990367</v>
      </c>
      <c r="N84" s="228">
        <f t="shared" si="73"/>
        <v>37.467243397430749</v>
      </c>
      <c r="O84" s="228">
        <f t="shared" si="73"/>
        <v>35.96855366153352</v>
      </c>
      <c r="P84" s="228">
        <f t="shared" si="73"/>
        <v>34.529811515072176</v>
      </c>
      <c r="Q84" s="228">
        <f t="shared" si="73"/>
        <v>33.148619054469286</v>
      </c>
      <c r="R84" s="228">
        <f t="shared" si="73"/>
        <v>31.822674292290515</v>
      </c>
      <c r="S84" s="228">
        <f t="shared" si="73"/>
        <v>30.549767320598892</v>
      </c>
      <c r="T84" s="228">
        <f t="shared" si="73"/>
        <v>29.327776627774934</v>
      </c>
      <c r="U84" s="228">
        <f t="shared" si="73"/>
        <v>28.154665562663936</v>
      </c>
      <c r="V84" s="228">
        <f t="shared" si="73"/>
        <v>27.028478940157378</v>
      </c>
      <c r="W84" s="228">
        <f t="shared" si="73"/>
        <v>25.947339782551083</v>
      </c>
    </row>
    <row r="85" spans="1:23" ht="18" x14ac:dyDescent="0.35">
      <c r="A85" s="212" t="s">
        <v>16</v>
      </c>
      <c r="B85" s="226">
        <v>0.1091491177452943</v>
      </c>
      <c r="C85" s="224">
        <f>$C$82*B85</f>
        <v>5096.1723075277914</v>
      </c>
      <c r="D85" s="226">
        <v>0.1091491177452943</v>
      </c>
      <c r="E85" s="224">
        <f>$E$82*D85</f>
        <v>5096.1723075277914</v>
      </c>
      <c r="F85" s="227">
        <v>0.14119000000000001</v>
      </c>
      <c r="G85" s="228">
        <f>'DY 22 &amp; DY 23 Assumptions'!I85*'Future Plan Assumptions'!$B$101</f>
        <v>44.867328000000001</v>
      </c>
      <c r="H85" s="228">
        <f t="shared" ref="H85:W85" si="74">G85*$B$101</f>
        <v>43.072634879999995</v>
      </c>
      <c r="I85" s="228">
        <f t="shared" si="74"/>
        <v>41.349729484799994</v>
      </c>
      <c r="J85" s="228">
        <f t="shared" si="74"/>
        <v>39.695740305407995</v>
      </c>
      <c r="K85" s="228">
        <f t="shared" si="74"/>
        <v>38.107910693191677</v>
      </c>
      <c r="L85" s="228">
        <f t="shared" si="74"/>
        <v>36.583594265464008</v>
      </c>
      <c r="M85" s="228">
        <f t="shared" si="74"/>
        <v>35.120250494845443</v>
      </c>
      <c r="N85" s="228">
        <f t="shared" si="74"/>
        <v>33.715440475051622</v>
      </c>
      <c r="O85" s="228">
        <f t="shared" si="74"/>
        <v>32.366822856049559</v>
      </c>
      <c r="P85" s="228">
        <f t="shared" si="74"/>
        <v>31.072149941807577</v>
      </c>
      <c r="Q85" s="228">
        <f t="shared" si="74"/>
        <v>29.829263944135274</v>
      </c>
      <c r="R85" s="228">
        <f t="shared" si="74"/>
        <v>28.636093386369861</v>
      </c>
      <c r="S85" s="228">
        <f t="shared" si="74"/>
        <v>27.490649650915067</v>
      </c>
      <c r="T85" s="228">
        <f t="shared" si="74"/>
        <v>26.391023664878464</v>
      </c>
      <c r="U85" s="228">
        <f t="shared" si="74"/>
        <v>25.335382718283324</v>
      </c>
      <c r="V85" s="228">
        <f t="shared" si="74"/>
        <v>24.321967409551991</v>
      </c>
      <c r="W85" s="228">
        <f t="shared" si="74"/>
        <v>23.349088713169913</v>
      </c>
    </row>
    <row r="86" spans="1:23" ht="18" x14ac:dyDescent="0.35">
      <c r="A86" s="212" t="s">
        <v>17</v>
      </c>
      <c r="B86" s="226">
        <v>0.82358343106844789</v>
      </c>
      <c r="C86" s="224">
        <f>$C$82*B86</f>
        <v>38453.110396585835</v>
      </c>
      <c r="D86" s="226">
        <v>0.82358343106844789</v>
      </c>
      <c r="E86" s="224">
        <f>$E$82*D86</f>
        <v>38453.110396585835</v>
      </c>
      <c r="F86" s="227">
        <v>0.1497</v>
      </c>
      <c r="G86" s="228">
        <f>'DY 22 &amp; DY 23 Assumptions'!I86*'Future Plan Assumptions'!$B$101</f>
        <v>40.237823999999996</v>
      </c>
      <c r="H86" s="228">
        <f t="shared" ref="H86:W86" si="75">G86*$B$101</f>
        <v>38.628311039999993</v>
      </c>
      <c r="I86" s="228">
        <f t="shared" si="75"/>
        <v>37.083178598399989</v>
      </c>
      <c r="J86" s="228">
        <f t="shared" si="75"/>
        <v>35.599851454463987</v>
      </c>
      <c r="K86" s="228">
        <f t="shared" si="75"/>
        <v>34.17585739628543</v>
      </c>
      <c r="L86" s="228">
        <f t="shared" si="75"/>
        <v>32.808823100434012</v>
      </c>
      <c r="M86" s="228">
        <f t="shared" si="75"/>
        <v>31.496470176416651</v>
      </c>
      <c r="N86" s="228">
        <f t="shared" si="75"/>
        <v>30.236611369359984</v>
      </c>
      <c r="O86" s="228">
        <f t="shared" si="75"/>
        <v>29.027146914585582</v>
      </c>
      <c r="P86" s="228">
        <f t="shared" si="75"/>
        <v>27.866061038002158</v>
      </c>
      <c r="Q86" s="228">
        <f t="shared" si="75"/>
        <v>26.751418596482072</v>
      </c>
      <c r="R86" s="228">
        <f t="shared" si="75"/>
        <v>25.681361852622789</v>
      </c>
      <c r="S86" s="228">
        <f t="shared" si="75"/>
        <v>24.654107378517878</v>
      </c>
      <c r="T86" s="228">
        <f t="shared" si="75"/>
        <v>23.66794308337716</v>
      </c>
      <c r="U86" s="228">
        <f t="shared" si="75"/>
        <v>22.721225360042073</v>
      </c>
      <c r="V86" s="228">
        <f t="shared" si="75"/>
        <v>21.812376345640388</v>
      </c>
      <c r="W86" s="228">
        <f t="shared" si="75"/>
        <v>20.939881291814771</v>
      </c>
    </row>
    <row r="87" spans="1:23" ht="18" x14ac:dyDescent="0.35">
      <c r="A87" s="212" t="s">
        <v>79</v>
      </c>
      <c r="B87" s="226">
        <v>0</v>
      </c>
      <c r="C87" s="224">
        <f>$C$82*B87</f>
        <v>0</v>
      </c>
      <c r="D87" s="226">
        <v>0</v>
      </c>
      <c r="E87" s="224">
        <f>$E$82*D87</f>
        <v>0</v>
      </c>
      <c r="F87" s="227"/>
      <c r="G87" s="228">
        <f>'DY 22 &amp; DY 23 Assumptions'!I87*'Future Plan Assumptions'!$B$101</f>
        <v>28.140288000000002</v>
      </c>
      <c r="H87" s="228">
        <f t="shared" ref="H87:W87" si="76">G87*$B$101</f>
        <v>27.014676480000002</v>
      </c>
      <c r="I87" s="228">
        <f t="shared" si="76"/>
        <v>25.934089420799999</v>
      </c>
      <c r="J87" s="228">
        <f t="shared" si="76"/>
        <v>24.896725843967999</v>
      </c>
      <c r="K87" s="228">
        <f t="shared" si="76"/>
        <v>23.90085681020928</v>
      </c>
      <c r="L87" s="228">
        <f t="shared" si="76"/>
        <v>22.94482253780091</v>
      </c>
      <c r="M87" s="228">
        <f t="shared" si="76"/>
        <v>22.027029636288873</v>
      </c>
      <c r="N87" s="228">
        <f t="shared" si="76"/>
        <v>21.145948450837317</v>
      </c>
      <c r="O87" s="228">
        <f t="shared" si="76"/>
        <v>20.300110512803823</v>
      </c>
      <c r="P87" s="228">
        <f t="shared" si="76"/>
        <v>19.48810609229167</v>
      </c>
      <c r="Q87" s="228">
        <f t="shared" si="76"/>
        <v>18.708581848600002</v>
      </c>
      <c r="R87" s="228">
        <f t="shared" si="76"/>
        <v>17.960238574656</v>
      </c>
      <c r="S87" s="228">
        <f t="shared" si="76"/>
        <v>17.241829031669759</v>
      </c>
      <c r="T87" s="228">
        <f t="shared" si="76"/>
        <v>16.55215587040297</v>
      </c>
      <c r="U87" s="228">
        <f t="shared" si="76"/>
        <v>15.890069635586851</v>
      </c>
      <c r="V87" s="228">
        <f t="shared" si="76"/>
        <v>15.254466850163377</v>
      </c>
      <c r="W87" s="228">
        <f t="shared" si="76"/>
        <v>14.644288176156842</v>
      </c>
    </row>
    <row r="88" spans="1:23" ht="18" x14ac:dyDescent="0.35">
      <c r="A88" s="211"/>
      <c r="B88" s="211"/>
      <c r="C88" s="211"/>
      <c r="D88" s="211"/>
      <c r="E88" s="211"/>
      <c r="F88" s="211"/>
      <c r="G88" s="211"/>
      <c r="H88" s="211"/>
      <c r="I88" s="211"/>
      <c r="J88" s="211"/>
      <c r="K88" s="211"/>
      <c r="L88" s="211"/>
      <c r="M88" s="211"/>
    </row>
    <row r="89" spans="1:23" ht="18" x14ac:dyDescent="0.35">
      <c r="A89" s="232" t="s">
        <v>80</v>
      </c>
      <c r="B89" s="234"/>
      <c r="C89" s="235" t="s">
        <v>38</v>
      </c>
      <c r="D89" s="236"/>
      <c r="E89" s="235" t="s">
        <v>38</v>
      </c>
      <c r="F89" s="232"/>
      <c r="G89" s="311" t="s">
        <v>39</v>
      </c>
      <c r="H89" s="311"/>
      <c r="I89" s="311"/>
      <c r="J89" s="311"/>
      <c r="K89" s="311"/>
      <c r="L89" s="311"/>
      <c r="M89" s="311"/>
    </row>
    <row r="90" spans="1:23" ht="18" x14ac:dyDescent="0.35">
      <c r="A90" s="217" t="s">
        <v>40</v>
      </c>
      <c r="B90" s="217"/>
      <c r="C90" s="237">
        <v>1750000</v>
      </c>
      <c r="D90" s="217"/>
      <c r="E90" s="237">
        <v>1750000</v>
      </c>
      <c r="F90" s="217"/>
      <c r="G90" s="238">
        <f>G94-G93</f>
        <v>53.682600000000001</v>
      </c>
      <c r="H90" s="238">
        <f t="shared" ref="H90:W90" si="77">H94-H93</f>
        <v>53.682600000000001</v>
      </c>
      <c r="I90" s="238">
        <f t="shared" si="77"/>
        <v>53.682600000000001</v>
      </c>
      <c r="J90" s="238">
        <f t="shared" si="77"/>
        <v>53.682600000000001</v>
      </c>
      <c r="K90" s="238">
        <f t="shared" si="77"/>
        <v>53.682600000000001</v>
      </c>
      <c r="L90" s="238">
        <f t="shared" si="77"/>
        <v>53.682600000000001</v>
      </c>
      <c r="M90" s="238">
        <f t="shared" si="77"/>
        <v>53.682600000000001</v>
      </c>
      <c r="N90" s="238">
        <f t="shared" si="77"/>
        <v>53.682600000000001</v>
      </c>
      <c r="O90" s="238">
        <f t="shared" si="77"/>
        <v>53.682600000000001</v>
      </c>
      <c r="P90" s="238">
        <f t="shared" si="77"/>
        <v>53.682600000000001</v>
      </c>
      <c r="Q90" s="238">
        <f t="shared" si="77"/>
        <v>53.682600000000001</v>
      </c>
      <c r="R90" s="238">
        <f t="shared" si="77"/>
        <v>53.682600000000001</v>
      </c>
      <c r="S90" s="238">
        <f t="shared" si="77"/>
        <v>53.682600000000001</v>
      </c>
      <c r="T90" s="238">
        <f t="shared" si="77"/>
        <v>53.682600000000001</v>
      </c>
      <c r="U90" s="238">
        <f t="shared" si="77"/>
        <v>53.682600000000001</v>
      </c>
      <c r="V90" s="238">
        <f t="shared" si="77"/>
        <v>53.682600000000001</v>
      </c>
      <c r="W90" s="238">
        <f t="shared" si="77"/>
        <v>53.682600000000001</v>
      </c>
    </row>
    <row r="91" spans="1:23" ht="18" x14ac:dyDescent="0.35">
      <c r="A91" s="217" t="s">
        <v>41</v>
      </c>
      <c r="B91" s="217"/>
      <c r="C91" s="237">
        <v>1000000</v>
      </c>
      <c r="D91" s="217"/>
      <c r="E91" s="237">
        <v>1000000</v>
      </c>
      <c r="F91" s="217"/>
      <c r="G91" s="238">
        <f>G95-G93</f>
        <v>73.052400000000006</v>
      </c>
      <c r="H91" s="238">
        <f t="shared" ref="H91:W91" si="78">H95-H93</f>
        <v>73.052400000000006</v>
      </c>
      <c r="I91" s="238">
        <f t="shared" si="78"/>
        <v>73.052400000000006</v>
      </c>
      <c r="J91" s="238">
        <f t="shared" si="78"/>
        <v>73.052400000000006</v>
      </c>
      <c r="K91" s="238">
        <f t="shared" si="78"/>
        <v>73.052400000000006</v>
      </c>
      <c r="L91" s="238">
        <f t="shared" si="78"/>
        <v>73.052400000000006</v>
      </c>
      <c r="M91" s="238">
        <f t="shared" si="78"/>
        <v>73.052400000000006</v>
      </c>
      <c r="N91" s="238">
        <f t="shared" si="78"/>
        <v>73.052400000000006</v>
      </c>
      <c r="O91" s="238">
        <f t="shared" si="78"/>
        <v>73.052400000000006</v>
      </c>
      <c r="P91" s="238">
        <f t="shared" si="78"/>
        <v>73.052400000000006</v>
      </c>
      <c r="Q91" s="238">
        <f t="shared" si="78"/>
        <v>73.052400000000006</v>
      </c>
      <c r="R91" s="238">
        <f t="shared" si="78"/>
        <v>73.052400000000006</v>
      </c>
      <c r="S91" s="238">
        <f t="shared" si="78"/>
        <v>73.052400000000006</v>
      </c>
      <c r="T91" s="238">
        <f t="shared" si="78"/>
        <v>73.052400000000006</v>
      </c>
      <c r="U91" s="238">
        <f t="shared" si="78"/>
        <v>73.052400000000006</v>
      </c>
      <c r="V91" s="238">
        <f t="shared" si="78"/>
        <v>73.052400000000006</v>
      </c>
      <c r="W91" s="238">
        <f t="shared" si="78"/>
        <v>73.052400000000006</v>
      </c>
    </row>
    <row r="92" spans="1:23" ht="18" x14ac:dyDescent="0.35">
      <c r="A92" s="217" t="s">
        <v>42</v>
      </c>
      <c r="B92" s="217"/>
      <c r="C92" s="237">
        <v>65000</v>
      </c>
      <c r="D92" s="217"/>
      <c r="E92" s="237">
        <v>65000</v>
      </c>
      <c r="F92" s="217"/>
      <c r="G92" s="238">
        <f>G96-G93</f>
        <v>93.013800000000003</v>
      </c>
      <c r="H92" s="238">
        <f t="shared" ref="H92:W92" si="79">H96-H93</f>
        <v>93.013800000000003</v>
      </c>
      <c r="I92" s="238">
        <f t="shared" si="79"/>
        <v>93.013800000000003</v>
      </c>
      <c r="J92" s="238">
        <f t="shared" si="79"/>
        <v>93.013800000000003</v>
      </c>
      <c r="K92" s="238">
        <f t="shared" si="79"/>
        <v>93.013800000000003</v>
      </c>
      <c r="L92" s="238">
        <f t="shared" si="79"/>
        <v>93.013800000000003</v>
      </c>
      <c r="M92" s="238">
        <f t="shared" si="79"/>
        <v>93.013800000000003</v>
      </c>
      <c r="N92" s="238">
        <f t="shared" si="79"/>
        <v>93.013800000000003</v>
      </c>
      <c r="O92" s="238">
        <f t="shared" si="79"/>
        <v>93.013800000000003</v>
      </c>
      <c r="P92" s="238">
        <f t="shared" si="79"/>
        <v>93.013800000000003</v>
      </c>
      <c r="Q92" s="238">
        <f t="shared" si="79"/>
        <v>93.013800000000003</v>
      </c>
      <c r="R92" s="238">
        <f t="shared" si="79"/>
        <v>93.013800000000003</v>
      </c>
      <c r="S92" s="238">
        <f t="shared" si="79"/>
        <v>93.013800000000003</v>
      </c>
      <c r="T92" s="238">
        <f t="shared" si="79"/>
        <v>93.013800000000003</v>
      </c>
      <c r="U92" s="238">
        <f t="shared" si="79"/>
        <v>93.013800000000003</v>
      </c>
      <c r="V92" s="238">
        <f t="shared" si="79"/>
        <v>93.013800000000003</v>
      </c>
      <c r="W92" s="238">
        <f t="shared" si="79"/>
        <v>93.013800000000003</v>
      </c>
    </row>
    <row r="93" spans="1:23" ht="18" x14ac:dyDescent="0.35">
      <c r="A93" s="217" t="s">
        <v>274</v>
      </c>
      <c r="B93" s="211"/>
      <c r="C93" s="211"/>
      <c r="D93" s="211"/>
      <c r="E93" s="211"/>
      <c r="F93" s="211"/>
      <c r="G93" s="252">
        <f>'DY 22 &amp; DY 23 Assumptions'!J93</f>
        <v>0</v>
      </c>
      <c r="H93" s="252">
        <f>G93*$A$105</f>
        <v>0</v>
      </c>
      <c r="I93" s="252">
        <f t="shared" ref="I93:W93" si="80">H93*$A$105</f>
        <v>0</v>
      </c>
      <c r="J93" s="252">
        <f t="shared" si="80"/>
        <v>0</v>
      </c>
      <c r="K93" s="252">
        <f t="shared" si="80"/>
        <v>0</v>
      </c>
      <c r="L93" s="252">
        <f t="shared" si="80"/>
        <v>0</v>
      </c>
      <c r="M93" s="252">
        <f t="shared" si="80"/>
        <v>0</v>
      </c>
      <c r="N93" s="252">
        <f t="shared" si="80"/>
        <v>0</v>
      </c>
      <c r="O93" s="252">
        <f t="shared" si="80"/>
        <v>0</v>
      </c>
      <c r="P93" s="252">
        <f t="shared" si="80"/>
        <v>0</v>
      </c>
      <c r="Q93" s="252">
        <f t="shared" si="80"/>
        <v>0</v>
      </c>
      <c r="R93" s="252">
        <f t="shared" si="80"/>
        <v>0</v>
      </c>
      <c r="S93" s="252">
        <f t="shared" si="80"/>
        <v>0</v>
      </c>
      <c r="T93" s="252">
        <f t="shared" si="80"/>
        <v>0</v>
      </c>
      <c r="U93" s="252">
        <f t="shared" si="80"/>
        <v>0</v>
      </c>
      <c r="V93" s="252">
        <f t="shared" si="80"/>
        <v>0</v>
      </c>
      <c r="W93" s="252">
        <f t="shared" si="80"/>
        <v>0</v>
      </c>
    </row>
    <row r="94" spans="1:23" ht="18" x14ac:dyDescent="0.35">
      <c r="A94" s="217" t="s">
        <v>280</v>
      </c>
      <c r="B94" s="211"/>
      <c r="C94" s="211"/>
      <c r="D94" s="211"/>
      <c r="E94" s="211"/>
      <c r="F94" s="211"/>
      <c r="G94" s="250">
        <f>'DY 22 &amp; DY 23 Assumptions'!I94*1.02</f>
        <v>53.682600000000001</v>
      </c>
      <c r="H94" s="250">
        <f>G94*$A$111</f>
        <v>53.682600000000001</v>
      </c>
      <c r="I94" s="250">
        <f t="shared" ref="I94:W94" si="81">H94*$A$111</f>
        <v>53.682600000000001</v>
      </c>
      <c r="J94" s="250">
        <f t="shared" si="81"/>
        <v>53.682600000000001</v>
      </c>
      <c r="K94" s="250">
        <f t="shared" si="81"/>
        <v>53.682600000000001</v>
      </c>
      <c r="L94" s="250">
        <f t="shared" si="81"/>
        <v>53.682600000000001</v>
      </c>
      <c r="M94" s="250">
        <f t="shared" si="81"/>
        <v>53.682600000000001</v>
      </c>
      <c r="N94" s="250">
        <f t="shared" si="81"/>
        <v>53.682600000000001</v>
      </c>
      <c r="O94" s="250">
        <f t="shared" si="81"/>
        <v>53.682600000000001</v>
      </c>
      <c r="P94" s="250">
        <f t="shared" si="81"/>
        <v>53.682600000000001</v>
      </c>
      <c r="Q94" s="250">
        <f t="shared" si="81"/>
        <v>53.682600000000001</v>
      </c>
      <c r="R94" s="250">
        <f t="shared" si="81"/>
        <v>53.682600000000001</v>
      </c>
      <c r="S94" s="250">
        <f t="shared" si="81"/>
        <v>53.682600000000001</v>
      </c>
      <c r="T94" s="250">
        <f t="shared" si="81"/>
        <v>53.682600000000001</v>
      </c>
      <c r="U94" s="250">
        <f t="shared" si="81"/>
        <v>53.682600000000001</v>
      </c>
      <c r="V94" s="250">
        <f t="shared" si="81"/>
        <v>53.682600000000001</v>
      </c>
      <c r="W94" s="250">
        <f t="shared" si="81"/>
        <v>53.682600000000001</v>
      </c>
    </row>
    <row r="95" spans="1:23" ht="18" x14ac:dyDescent="0.35">
      <c r="A95" s="217" t="s">
        <v>281</v>
      </c>
      <c r="B95" s="211"/>
      <c r="C95" s="211"/>
      <c r="D95" s="211"/>
      <c r="E95" s="211"/>
      <c r="F95" s="211"/>
      <c r="G95" s="250">
        <f>'DY 22 &amp; DY 23 Assumptions'!I95*1.02</f>
        <v>73.052400000000006</v>
      </c>
      <c r="H95" s="250">
        <f t="shared" ref="H95:W96" si="82">G95*$A$111</f>
        <v>73.052400000000006</v>
      </c>
      <c r="I95" s="250">
        <f t="shared" si="82"/>
        <v>73.052400000000006</v>
      </c>
      <c r="J95" s="250">
        <f t="shared" si="82"/>
        <v>73.052400000000006</v>
      </c>
      <c r="K95" s="250">
        <f t="shared" si="82"/>
        <v>73.052400000000006</v>
      </c>
      <c r="L95" s="250">
        <f t="shared" si="82"/>
        <v>73.052400000000006</v>
      </c>
      <c r="M95" s="250">
        <f t="shared" si="82"/>
        <v>73.052400000000006</v>
      </c>
      <c r="N95" s="250">
        <f t="shared" si="82"/>
        <v>73.052400000000006</v>
      </c>
      <c r="O95" s="250">
        <f t="shared" si="82"/>
        <v>73.052400000000006</v>
      </c>
      <c r="P95" s="250">
        <f t="shared" si="82"/>
        <v>73.052400000000006</v>
      </c>
      <c r="Q95" s="250">
        <f t="shared" si="82"/>
        <v>73.052400000000006</v>
      </c>
      <c r="R95" s="250">
        <f t="shared" si="82"/>
        <v>73.052400000000006</v>
      </c>
      <c r="S95" s="250">
        <f t="shared" si="82"/>
        <v>73.052400000000006</v>
      </c>
      <c r="T95" s="250">
        <f t="shared" si="82"/>
        <v>73.052400000000006</v>
      </c>
      <c r="U95" s="250">
        <f t="shared" si="82"/>
        <v>73.052400000000006</v>
      </c>
      <c r="V95" s="250">
        <f t="shared" si="82"/>
        <v>73.052400000000006</v>
      </c>
      <c r="W95" s="250">
        <f t="shared" si="82"/>
        <v>73.052400000000006</v>
      </c>
    </row>
    <row r="96" spans="1:23" ht="18" x14ac:dyDescent="0.35">
      <c r="A96" s="217" t="s">
        <v>282</v>
      </c>
      <c r="B96" s="211"/>
      <c r="C96" s="211"/>
      <c r="D96" s="211"/>
      <c r="E96" s="211"/>
      <c r="F96" s="211"/>
      <c r="G96" s="250">
        <f>'DY 22 &amp; DY 23 Assumptions'!I96*1.02</f>
        <v>93.013800000000003</v>
      </c>
      <c r="H96" s="250">
        <f t="shared" si="82"/>
        <v>93.013800000000003</v>
      </c>
      <c r="I96" s="250">
        <f t="shared" si="82"/>
        <v>93.013800000000003</v>
      </c>
      <c r="J96" s="250">
        <f t="shared" si="82"/>
        <v>93.013800000000003</v>
      </c>
      <c r="K96" s="250">
        <f t="shared" si="82"/>
        <v>93.013800000000003</v>
      </c>
      <c r="L96" s="250">
        <f t="shared" si="82"/>
        <v>93.013800000000003</v>
      </c>
      <c r="M96" s="250">
        <f t="shared" si="82"/>
        <v>93.013800000000003</v>
      </c>
      <c r="N96" s="250">
        <f t="shared" si="82"/>
        <v>93.013800000000003</v>
      </c>
      <c r="O96" s="250">
        <f t="shared" si="82"/>
        <v>93.013800000000003</v>
      </c>
      <c r="P96" s="250">
        <f t="shared" si="82"/>
        <v>93.013800000000003</v>
      </c>
      <c r="Q96" s="250">
        <f t="shared" si="82"/>
        <v>93.013800000000003</v>
      </c>
      <c r="R96" s="250">
        <f t="shared" si="82"/>
        <v>93.013800000000003</v>
      </c>
      <c r="S96" s="250">
        <f t="shared" si="82"/>
        <v>93.013800000000003</v>
      </c>
      <c r="T96" s="250">
        <f t="shared" si="82"/>
        <v>93.013800000000003</v>
      </c>
      <c r="U96" s="250">
        <f t="shared" si="82"/>
        <v>93.013800000000003</v>
      </c>
      <c r="V96" s="250">
        <f t="shared" si="82"/>
        <v>93.013800000000003</v>
      </c>
      <c r="W96" s="250">
        <f t="shared" si="82"/>
        <v>93.013800000000003</v>
      </c>
    </row>
    <row r="97" spans="1:23" ht="18" x14ac:dyDescent="0.35">
      <c r="A97" s="211"/>
      <c r="B97" s="211"/>
      <c r="C97" s="211"/>
      <c r="D97" s="211"/>
      <c r="E97" s="211"/>
      <c r="F97" s="211"/>
      <c r="G97" s="250"/>
      <c r="H97" s="250"/>
      <c r="I97" s="250"/>
      <c r="J97" s="250"/>
      <c r="K97" s="250"/>
      <c r="L97" s="250"/>
      <c r="M97" s="250"/>
      <c r="N97" s="250"/>
      <c r="O97" s="250"/>
      <c r="P97" s="250"/>
      <c r="Q97" s="250"/>
      <c r="R97" s="250"/>
      <c r="S97" s="250"/>
      <c r="T97" s="250"/>
      <c r="U97" s="250"/>
      <c r="V97" s="250"/>
      <c r="W97" s="250"/>
    </row>
    <row r="98" spans="1:23" ht="18" x14ac:dyDescent="0.35">
      <c r="A98" s="211"/>
      <c r="B98" s="211"/>
      <c r="C98" s="211"/>
      <c r="D98" s="211"/>
      <c r="E98" s="211"/>
      <c r="F98" s="211"/>
      <c r="G98" s="250"/>
      <c r="H98" s="250"/>
      <c r="I98" s="250"/>
      <c r="J98" s="250"/>
      <c r="K98" s="250"/>
      <c r="L98" s="250"/>
      <c r="M98" s="250"/>
      <c r="N98" s="250"/>
      <c r="O98" s="250"/>
      <c r="P98" s="250"/>
      <c r="Q98" s="250"/>
      <c r="R98" s="250"/>
      <c r="S98" s="250"/>
      <c r="T98" s="250"/>
      <c r="U98" s="250"/>
      <c r="V98" s="250"/>
      <c r="W98" s="250"/>
    </row>
    <row r="99" spans="1:23" ht="18" x14ac:dyDescent="0.35">
      <c r="A99" s="211"/>
      <c r="B99" s="211"/>
      <c r="C99" s="211"/>
      <c r="D99" s="211"/>
      <c r="E99" s="211"/>
      <c r="F99" s="211"/>
      <c r="G99" s="211"/>
      <c r="H99" s="211"/>
      <c r="I99" s="211"/>
      <c r="J99" s="211"/>
      <c r="K99" s="211"/>
      <c r="L99" s="211"/>
      <c r="M99" s="211"/>
    </row>
    <row r="100" spans="1:23" ht="36" x14ac:dyDescent="0.35">
      <c r="A100" s="213" t="s">
        <v>81</v>
      </c>
      <c r="B100" s="213" t="s">
        <v>82</v>
      </c>
      <c r="C100" s="211"/>
      <c r="D100" s="232" t="s">
        <v>68</v>
      </c>
      <c r="E100" s="211"/>
      <c r="F100" s="211"/>
      <c r="G100" s="211"/>
      <c r="H100" s="211"/>
      <c r="I100" s="211"/>
      <c r="J100" s="211"/>
      <c r="K100" s="211"/>
      <c r="L100" s="211"/>
      <c r="M100" s="211"/>
    </row>
    <row r="101" spans="1:23" ht="18" x14ac:dyDescent="0.35">
      <c r="A101" s="212">
        <v>2022</v>
      </c>
      <c r="B101" s="212">
        <v>0.96</v>
      </c>
      <c r="C101" s="211"/>
      <c r="D101" s="212">
        <v>0.995</v>
      </c>
      <c r="E101" s="211"/>
      <c r="F101" s="211"/>
      <c r="G101" s="211"/>
      <c r="H101" s="211"/>
      <c r="I101" s="211"/>
      <c r="J101" s="211"/>
      <c r="K101" s="211"/>
      <c r="L101" s="211"/>
      <c r="M101" s="211"/>
    </row>
    <row r="104" spans="1:23" ht="36" x14ac:dyDescent="0.3">
      <c r="A104" s="213" t="s">
        <v>276</v>
      </c>
    </row>
    <row r="105" spans="1:23" x14ac:dyDescent="0.3">
      <c r="A105" s="9">
        <v>1.02</v>
      </c>
    </row>
    <row r="107" spans="1:23" ht="18" x14ac:dyDescent="0.3">
      <c r="A107" s="213" t="s">
        <v>277</v>
      </c>
    </row>
    <row r="108" spans="1:23" x14ac:dyDescent="0.3">
      <c r="A108" s="9">
        <v>48.5</v>
      </c>
    </row>
    <row r="110" spans="1:23" ht="36" x14ac:dyDescent="0.3">
      <c r="A110" s="213" t="s">
        <v>279</v>
      </c>
    </row>
    <row r="111" spans="1:23" x14ac:dyDescent="0.3">
      <c r="A111" s="9">
        <v>1</v>
      </c>
    </row>
  </sheetData>
  <mergeCells count="1">
    <mergeCell ref="G89:M89"/>
  </mergeCells>
  <printOptions horizontalCentered="1" verticalCentered="1"/>
  <pageMargins left="0.25" right="0.25" top="0.75" bottom="0.75" header="0.3" footer="0.3"/>
  <pageSetup scale="45" orientation="landscape" r:id="rId1"/>
  <headerFooter>
    <oddHeader>&amp;A</oddHeader>
  </headerFooter>
  <rowBreaks count="1" manualBreakCount="1">
    <brk id="57"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9CF8F-CB90-43DC-9558-C70942D73F5D}">
  <dimension ref="A1:K180"/>
  <sheetViews>
    <sheetView topLeftCell="A103" zoomScaleNormal="100" workbookViewId="0">
      <selection activeCell="I61" sqref="I61"/>
    </sheetView>
  </sheetViews>
  <sheetFormatPr defaultColWidth="20.21875" defaultRowHeight="14.4" x14ac:dyDescent="0.3"/>
  <cols>
    <col min="1" max="1" width="17.44140625" bestFit="1" customWidth="1"/>
    <col min="2" max="2" width="14" bestFit="1" customWidth="1"/>
    <col min="3" max="3" width="14.77734375" bestFit="1" customWidth="1"/>
    <col min="4" max="4" width="14.44140625" bestFit="1" customWidth="1"/>
    <col min="5" max="5" width="25.6640625" bestFit="1" customWidth="1"/>
    <col min="6" max="6" width="12.109375" bestFit="1" customWidth="1"/>
    <col min="8" max="8" width="14.21875" bestFit="1" customWidth="1"/>
    <col min="9" max="9" width="23.21875" bestFit="1" customWidth="1"/>
  </cols>
  <sheetData>
    <row r="1" spans="1:8" x14ac:dyDescent="0.3">
      <c r="A1" s="125" t="s">
        <v>94</v>
      </c>
    </row>
    <row r="2" spans="1:8" ht="43.2" x14ac:dyDescent="0.3">
      <c r="A2" s="54" t="s">
        <v>43</v>
      </c>
      <c r="B2" s="54" t="s">
        <v>95</v>
      </c>
      <c r="C2" s="54" t="s">
        <v>96</v>
      </c>
      <c r="D2" s="54" t="s">
        <v>97</v>
      </c>
      <c r="E2" s="54" t="s">
        <v>98</v>
      </c>
      <c r="F2" s="54" t="s">
        <v>99</v>
      </c>
      <c r="G2" s="54" t="s">
        <v>100</v>
      </c>
      <c r="H2" s="54" t="s">
        <v>101</v>
      </c>
    </row>
    <row r="3" spans="1:8" x14ac:dyDescent="0.3">
      <c r="A3" s="96"/>
      <c r="B3" s="96"/>
      <c r="C3" s="96"/>
      <c r="D3" s="96"/>
      <c r="E3" s="96"/>
      <c r="F3" s="96"/>
      <c r="G3" s="96"/>
      <c r="H3" s="96"/>
    </row>
    <row r="4" spans="1:8" x14ac:dyDescent="0.3">
      <c r="A4" s="99" t="s">
        <v>102</v>
      </c>
      <c r="B4" s="99" t="s">
        <v>103</v>
      </c>
      <c r="C4" s="100" t="s">
        <v>94</v>
      </c>
      <c r="D4" s="101">
        <v>0.13</v>
      </c>
      <c r="E4" s="177">
        <v>21152969.5</v>
      </c>
      <c r="F4" s="102">
        <f t="shared" ref="F4:F29" si="0">D4*E4</f>
        <v>2749886.0350000001</v>
      </c>
      <c r="G4" s="103">
        <v>1.8053999999999999</v>
      </c>
      <c r="H4" s="104">
        <f>E4*G4</f>
        <v>38189571.135299996</v>
      </c>
    </row>
    <row r="5" spans="1:8" x14ac:dyDescent="0.3">
      <c r="A5" s="100" t="s">
        <v>104</v>
      </c>
      <c r="B5" s="100" t="s">
        <v>102</v>
      </c>
      <c r="C5" s="100" t="s">
        <v>94</v>
      </c>
      <c r="D5" s="101">
        <v>0.14499999999999999</v>
      </c>
      <c r="E5" s="177">
        <v>29995819.886929087</v>
      </c>
      <c r="F5" s="102">
        <f t="shared" si="0"/>
        <v>4349393.8836047174</v>
      </c>
      <c r="G5" s="103">
        <v>1.8053999999999999</v>
      </c>
      <c r="H5" s="104">
        <f>E5*G5</f>
        <v>54154453.223861769</v>
      </c>
    </row>
    <row r="6" spans="1:8" x14ac:dyDescent="0.3">
      <c r="A6" s="100" t="s">
        <v>105</v>
      </c>
      <c r="B6" s="100" t="s">
        <v>104</v>
      </c>
      <c r="C6" s="100" t="s">
        <v>94</v>
      </c>
      <c r="D6" s="101">
        <v>0.16</v>
      </c>
      <c r="E6" s="177">
        <v>36810006</v>
      </c>
      <c r="F6" s="102">
        <f t="shared" si="0"/>
        <v>5889600.96</v>
      </c>
      <c r="G6" s="103">
        <v>1.8053999999999999</v>
      </c>
      <c r="H6" s="104">
        <f>E6*G6</f>
        <v>66456784.832399994</v>
      </c>
    </row>
    <row r="7" spans="1:8" x14ac:dyDescent="0.3">
      <c r="A7" s="100" t="s">
        <v>45</v>
      </c>
      <c r="B7" s="100" t="s">
        <v>105</v>
      </c>
      <c r="C7" s="100" t="s">
        <v>94</v>
      </c>
      <c r="D7" s="101">
        <v>0.17500000000000004</v>
      </c>
      <c r="E7" s="177">
        <f>35620834882/1000</f>
        <v>35620834.881999999</v>
      </c>
      <c r="F7" s="102">
        <f t="shared" si="0"/>
        <v>6233646.1043500016</v>
      </c>
      <c r="G7" s="103">
        <v>1.8053999999999999</v>
      </c>
      <c r="H7" s="104">
        <f>E7*G7</f>
        <v>64309855.295962796</v>
      </c>
    </row>
    <row r="8" spans="1:8" x14ac:dyDescent="0.3">
      <c r="A8" s="100" t="s">
        <v>46</v>
      </c>
      <c r="B8" s="100" t="s">
        <v>45</v>
      </c>
      <c r="C8" s="100" t="s">
        <v>94</v>
      </c>
      <c r="D8" s="101">
        <v>0.19000000000000006</v>
      </c>
      <c r="E8" s="177">
        <v>35458611</v>
      </c>
      <c r="F8" s="102">
        <f t="shared" si="0"/>
        <v>6737136.0900000017</v>
      </c>
      <c r="G8" s="167">
        <f>(G7*(1/3))+(G9*(2/3))</f>
        <v>3.652133333333333</v>
      </c>
      <c r="H8" s="104">
        <f>E8*G8</f>
        <v>129499575.18679999</v>
      </c>
    </row>
    <row r="9" spans="1:8" x14ac:dyDescent="0.3">
      <c r="A9" s="100" t="s">
        <v>47</v>
      </c>
      <c r="B9" s="100" t="s">
        <v>46</v>
      </c>
      <c r="C9" s="100" t="s">
        <v>94</v>
      </c>
      <c r="D9" s="101">
        <v>0.20500000000000007</v>
      </c>
      <c r="E9" s="177">
        <v>35074493</v>
      </c>
      <c r="F9" s="102">
        <f t="shared" si="0"/>
        <v>7190271.0650000023</v>
      </c>
      <c r="G9" s="103">
        <v>4.5754999999999999</v>
      </c>
      <c r="H9" s="104">
        <f t="shared" ref="H9:H29" si="1">G9*E9</f>
        <v>160483342.72150001</v>
      </c>
    </row>
    <row r="10" spans="1:8" x14ac:dyDescent="0.3">
      <c r="A10" s="99" t="s">
        <v>48</v>
      </c>
      <c r="B10" s="100" t="s">
        <v>47</v>
      </c>
      <c r="C10" s="100" t="s">
        <v>94</v>
      </c>
      <c r="D10" s="101">
        <v>0.22000000000000008</v>
      </c>
      <c r="E10" s="177">
        <v>34924843</v>
      </c>
      <c r="F10" s="102">
        <f t="shared" si="0"/>
        <v>7683465.4600000028</v>
      </c>
      <c r="G10" s="103">
        <v>4.5754999999999999</v>
      </c>
      <c r="H10" s="104">
        <f t="shared" si="1"/>
        <v>159798619.14649999</v>
      </c>
    </row>
    <row r="11" spans="1:8" x14ac:dyDescent="0.3">
      <c r="A11" s="99" t="s">
        <v>49</v>
      </c>
      <c r="B11" s="99" t="s">
        <v>48</v>
      </c>
      <c r="C11" s="100" t="s">
        <v>94</v>
      </c>
      <c r="D11" s="101">
        <v>0.2350000000000001</v>
      </c>
      <c r="E11" s="177">
        <v>34518654</v>
      </c>
      <c r="F11" s="102">
        <f t="shared" si="0"/>
        <v>8111883.6900000032</v>
      </c>
      <c r="G11" s="103">
        <v>4.5754999999999999</v>
      </c>
      <c r="H11" s="104">
        <f t="shared" si="1"/>
        <v>157940101.377</v>
      </c>
    </row>
    <row r="12" spans="1:8" x14ac:dyDescent="0.3">
      <c r="A12" s="99" t="s">
        <v>50</v>
      </c>
      <c r="B12" s="99" t="s">
        <v>49</v>
      </c>
      <c r="C12" s="100" t="s">
        <v>94</v>
      </c>
      <c r="D12" s="101">
        <v>0.25000000000000011</v>
      </c>
      <c r="E12" s="177">
        <v>34329725</v>
      </c>
      <c r="F12" s="102">
        <f t="shared" si="0"/>
        <v>8582431.2500000037</v>
      </c>
      <c r="G12" s="103">
        <v>4.5754999999999999</v>
      </c>
      <c r="H12" s="104">
        <f t="shared" si="1"/>
        <v>157075656.73749998</v>
      </c>
    </row>
    <row r="13" spans="1:8" x14ac:dyDescent="0.3">
      <c r="A13" s="100" t="s">
        <v>51</v>
      </c>
      <c r="B13" s="100" t="s">
        <v>50</v>
      </c>
      <c r="C13" s="100" t="s">
        <v>94</v>
      </c>
      <c r="D13" s="101">
        <v>0.28000000000000003</v>
      </c>
      <c r="E13" s="177">
        <v>34329725</v>
      </c>
      <c r="F13" s="102">
        <f t="shared" si="0"/>
        <v>9612323</v>
      </c>
      <c r="G13" s="103">
        <v>4.5754999999999999</v>
      </c>
      <c r="H13" s="104">
        <f t="shared" si="1"/>
        <v>157075656.73749998</v>
      </c>
    </row>
    <row r="14" spans="1:8" x14ac:dyDescent="0.3">
      <c r="A14" s="100" t="s">
        <v>52</v>
      </c>
      <c r="B14" s="100" t="s">
        <v>51</v>
      </c>
      <c r="C14" s="100" t="s">
        <v>94</v>
      </c>
      <c r="D14" s="101">
        <v>0.31</v>
      </c>
      <c r="E14" s="177">
        <v>34329725</v>
      </c>
      <c r="F14" s="102">
        <f t="shared" si="0"/>
        <v>10642214.75</v>
      </c>
      <c r="G14" s="103">
        <v>4.5754999999999999</v>
      </c>
      <c r="H14" s="104">
        <f t="shared" si="1"/>
        <v>157075656.73749998</v>
      </c>
    </row>
    <row r="15" spans="1:8" x14ac:dyDescent="0.3">
      <c r="A15" s="100" t="s">
        <v>53</v>
      </c>
      <c r="B15" s="100" t="s">
        <v>52</v>
      </c>
      <c r="C15" s="100" t="s">
        <v>94</v>
      </c>
      <c r="D15" s="101">
        <v>0.34</v>
      </c>
      <c r="E15" s="177">
        <v>34329725</v>
      </c>
      <c r="F15" s="102">
        <f t="shared" si="0"/>
        <v>11672106.5</v>
      </c>
      <c r="G15" s="103">
        <v>4.5754999999999999</v>
      </c>
      <c r="H15" s="104">
        <f t="shared" si="1"/>
        <v>157075656.73749998</v>
      </c>
    </row>
    <row r="16" spans="1:8" x14ac:dyDescent="0.3">
      <c r="A16" s="99" t="s">
        <v>54</v>
      </c>
      <c r="B16" s="100" t="s">
        <v>53</v>
      </c>
      <c r="C16" s="100" t="s">
        <v>94</v>
      </c>
      <c r="D16" s="101">
        <v>0.37</v>
      </c>
      <c r="E16" s="177">
        <v>34329725</v>
      </c>
      <c r="F16" s="102">
        <f t="shared" si="0"/>
        <v>12701998.25</v>
      </c>
      <c r="G16" s="103">
        <v>4.5754999999999999</v>
      </c>
      <c r="H16" s="104">
        <f t="shared" si="1"/>
        <v>157075656.73749998</v>
      </c>
    </row>
    <row r="17" spans="1:11" x14ac:dyDescent="0.3">
      <c r="A17" s="99" t="s">
        <v>55</v>
      </c>
      <c r="B17" s="99" t="s">
        <v>54</v>
      </c>
      <c r="C17" s="100" t="s">
        <v>94</v>
      </c>
      <c r="D17" s="101">
        <v>0.4</v>
      </c>
      <c r="E17" s="177">
        <v>34329725</v>
      </c>
      <c r="F17" s="102">
        <f t="shared" si="0"/>
        <v>13731890</v>
      </c>
      <c r="G17" s="103">
        <v>4.5754999999999999</v>
      </c>
      <c r="H17" s="104">
        <f t="shared" si="1"/>
        <v>157075656.73749998</v>
      </c>
    </row>
    <row r="18" spans="1:11" x14ac:dyDescent="0.3">
      <c r="A18" s="99" t="s">
        <v>56</v>
      </c>
      <c r="B18" s="99" t="s">
        <v>55</v>
      </c>
      <c r="C18" s="100" t="s">
        <v>94</v>
      </c>
      <c r="D18" s="101">
        <v>0.40902608000000001</v>
      </c>
      <c r="E18" s="177">
        <v>34329725</v>
      </c>
      <c r="F18" s="102">
        <f t="shared" si="0"/>
        <v>14041752.844228001</v>
      </c>
      <c r="G18" s="103">
        <v>4.5754999999999999</v>
      </c>
      <c r="H18" s="104">
        <f t="shared" si="1"/>
        <v>157075656.73749998</v>
      </c>
      <c r="K18" s="155"/>
    </row>
    <row r="19" spans="1:11" x14ac:dyDescent="0.3">
      <c r="A19" s="100" t="s">
        <v>57</v>
      </c>
      <c r="B19" s="100" t="s">
        <v>56</v>
      </c>
      <c r="C19" s="100" t="s">
        <v>94</v>
      </c>
      <c r="D19" s="101">
        <v>0.41825583530041599</v>
      </c>
      <c r="E19" s="177">
        <v>34329725</v>
      </c>
      <c r="F19" s="102">
        <f t="shared" si="0"/>
        <v>14358607.805508573</v>
      </c>
      <c r="G19" s="103">
        <v>4.5754999999999999</v>
      </c>
      <c r="H19" s="104">
        <f t="shared" si="1"/>
        <v>157075656.73749998</v>
      </c>
      <c r="K19" s="239"/>
    </row>
    <row r="20" spans="1:11" x14ac:dyDescent="0.3">
      <c r="A20" s="100" t="s">
        <v>58</v>
      </c>
      <c r="B20" s="100" t="s">
        <v>57</v>
      </c>
      <c r="C20" s="100" t="s">
        <v>94</v>
      </c>
      <c r="D20" s="101">
        <v>0.42769386187513697</v>
      </c>
      <c r="E20" s="177">
        <v>34329725</v>
      </c>
      <c r="F20" s="102">
        <f t="shared" si="0"/>
        <v>14682612.662361437</v>
      </c>
      <c r="G20" s="103">
        <v>4.5754999999999999</v>
      </c>
      <c r="H20" s="104">
        <f t="shared" si="1"/>
        <v>157075656.73749998</v>
      </c>
      <c r="K20" s="239"/>
    </row>
    <row r="21" spans="1:11" x14ac:dyDescent="0.3">
      <c r="A21" s="100" t="s">
        <v>59</v>
      </c>
      <c r="B21" s="100" t="s">
        <v>58</v>
      </c>
      <c r="C21" s="100" t="s">
        <v>94</v>
      </c>
      <c r="D21" s="101">
        <v>0.43734485940712181</v>
      </c>
      <c r="E21" s="177">
        <v>34329725</v>
      </c>
      <c r="F21" s="102">
        <f t="shared" si="0"/>
        <v>15013928.753610155</v>
      </c>
      <c r="G21" s="103">
        <v>4.5754999999999999</v>
      </c>
      <c r="H21" s="104">
        <f t="shared" si="1"/>
        <v>157075656.73749998</v>
      </c>
      <c r="K21" s="239"/>
    </row>
    <row r="22" spans="1:11" x14ac:dyDescent="0.3">
      <c r="A22" s="100" t="s">
        <v>60</v>
      </c>
      <c r="B22" s="100" t="s">
        <v>59</v>
      </c>
      <c r="C22" s="100" t="s">
        <v>94</v>
      </c>
      <c r="D22" s="101">
        <v>0.44721363362861538</v>
      </c>
      <c r="E22" s="177">
        <v>34329725</v>
      </c>
      <c r="F22" s="102">
        <f t="shared" si="0"/>
        <v>15352721.058721118</v>
      </c>
      <c r="G22" s="103">
        <v>4.5754999999999999</v>
      </c>
      <c r="H22" s="104">
        <f t="shared" si="1"/>
        <v>157075656.73749998</v>
      </c>
      <c r="K22" s="239"/>
    </row>
    <row r="23" spans="1:11" x14ac:dyDescent="0.3">
      <c r="A23" s="100" t="s">
        <v>61</v>
      </c>
      <c r="B23" s="100" t="s">
        <v>60</v>
      </c>
      <c r="C23" s="100" t="s">
        <v>94</v>
      </c>
      <c r="D23" s="101">
        <v>0.45730509871417185</v>
      </c>
      <c r="E23" s="177">
        <v>34329725</v>
      </c>
      <c r="F23" s="102">
        <f t="shared" si="0"/>
        <v>15699158.279955374</v>
      </c>
      <c r="G23" s="103">
        <v>4.5754999999999999</v>
      </c>
      <c r="H23" s="104">
        <f t="shared" si="1"/>
        <v>157075656.73749998</v>
      </c>
      <c r="K23" s="239"/>
    </row>
    <row r="24" spans="1:11" x14ac:dyDescent="0.3">
      <c r="A24" s="100" t="s">
        <v>62</v>
      </c>
      <c r="B24" s="100" t="s">
        <v>61</v>
      </c>
      <c r="C24" s="100" t="s">
        <v>94</v>
      </c>
      <c r="D24" s="101">
        <v>0.46762427972767689</v>
      </c>
      <c r="E24" s="177">
        <v>34329725</v>
      </c>
      <c r="F24" s="102">
        <f t="shared" si="0"/>
        <v>16053412.926374223</v>
      </c>
      <c r="G24" s="103">
        <v>4.5754999999999999</v>
      </c>
      <c r="H24" s="104">
        <f t="shared" si="1"/>
        <v>157075656.73749998</v>
      </c>
      <c r="K24" s="239"/>
    </row>
    <row r="25" spans="1:11" x14ac:dyDescent="0.3">
      <c r="A25" s="100" t="s">
        <v>63</v>
      </c>
      <c r="B25" s="100" t="s">
        <v>62</v>
      </c>
      <c r="C25" s="100" t="s">
        <v>94</v>
      </c>
      <c r="D25" s="101">
        <v>0.47817631512458803</v>
      </c>
      <c r="E25" s="177">
        <v>34329725</v>
      </c>
      <c r="F25" s="102">
        <f t="shared" si="0"/>
        <v>16415661.399740448</v>
      </c>
      <c r="G25" s="103">
        <v>4.5754999999999999</v>
      </c>
      <c r="H25" s="104">
        <f t="shared" si="1"/>
        <v>157075656.73749998</v>
      </c>
      <c r="K25" s="239"/>
    </row>
    <row r="26" spans="1:11" x14ac:dyDescent="0.3">
      <c r="A26" s="100" t="s">
        <v>64</v>
      </c>
      <c r="B26" s="100" t="s">
        <v>63</v>
      </c>
      <c r="C26" s="100" t="s">
        <v>94</v>
      </c>
      <c r="D26" s="101">
        <v>0.48896645931063754</v>
      </c>
      <c r="E26" s="177">
        <v>34329725</v>
      </c>
      <c r="F26" s="102">
        <f t="shared" si="0"/>
        <v>16786084.082357876</v>
      </c>
      <c r="G26" s="103">
        <v>4.5754999999999999</v>
      </c>
      <c r="H26" s="104">
        <f t="shared" si="1"/>
        <v>157075656.73749998</v>
      </c>
      <c r="K26" s="239"/>
    </row>
    <row r="27" spans="1:11" x14ac:dyDescent="0.3">
      <c r="A27" s="100" t="s">
        <v>65</v>
      </c>
      <c r="B27" s="100" t="s">
        <v>64</v>
      </c>
      <c r="C27" s="100" t="s">
        <v>94</v>
      </c>
      <c r="D27" s="101">
        <v>0.50000008525827411</v>
      </c>
      <c r="E27" s="177">
        <v>34329725</v>
      </c>
      <c r="F27" s="102">
        <f t="shared" si="0"/>
        <v>17164865.426893104</v>
      </c>
      <c r="G27" s="103">
        <v>4.5754999999999999</v>
      </c>
      <c r="H27" s="104">
        <f t="shared" si="1"/>
        <v>157075656.73749998</v>
      </c>
      <c r="K27" s="239"/>
    </row>
    <row r="28" spans="1:11" x14ac:dyDescent="0.3">
      <c r="A28" s="100" t="s">
        <v>66</v>
      </c>
      <c r="B28" s="100" t="s">
        <v>65</v>
      </c>
      <c r="C28" s="100" t="s">
        <v>94</v>
      </c>
      <c r="D28" s="101">
        <v>0.5</v>
      </c>
      <c r="E28" s="177">
        <v>34329725</v>
      </c>
      <c r="F28" s="102">
        <f t="shared" si="0"/>
        <v>17164862.5</v>
      </c>
      <c r="G28" s="103">
        <v>4.5754999999999999</v>
      </c>
      <c r="H28" s="104">
        <f t="shared" si="1"/>
        <v>157075656.73749998</v>
      </c>
      <c r="K28" s="239"/>
    </row>
    <row r="29" spans="1:11" x14ac:dyDescent="0.3">
      <c r="A29" s="100" t="s">
        <v>67</v>
      </c>
      <c r="B29" s="100" t="s">
        <v>66</v>
      </c>
      <c r="C29" s="100" t="s">
        <v>94</v>
      </c>
      <c r="D29" s="101">
        <v>0.5</v>
      </c>
      <c r="E29" s="177">
        <v>34329725</v>
      </c>
      <c r="F29" s="102">
        <f t="shared" si="0"/>
        <v>17164862.5</v>
      </c>
      <c r="G29" s="103">
        <v>4.5754999999999999</v>
      </c>
      <c r="H29" s="104">
        <f t="shared" si="1"/>
        <v>157075656.73749998</v>
      </c>
      <c r="K29" s="239"/>
    </row>
    <row r="38" spans="1:11" x14ac:dyDescent="0.3">
      <c r="A38" s="149"/>
      <c r="B38" s="149"/>
      <c r="C38" s="149"/>
      <c r="D38" s="150"/>
      <c r="F38" s="152"/>
      <c r="G38" s="153"/>
      <c r="H38" s="154"/>
      <c r="K38" s="155"/>
    </row>
    <row r="39" spans="1:11" x14ac:dyDescent="0.3">
      <c r="A39" s="149"/>
      <c r="B39" s="149"/>
      <c r="C39" s="149"/>
      <c r="D39" s="150"/>
      <c r="E39" s="151"/>
      <c r="F39" s="152"/>
      <c r="G39" s="153"/>
      <c r="H39" s="154"/>
    </row>
    <row r="40" spans="1:11" x14ac:dyDescent="0.3">
      <c r="A40" s="125" t="s">
        <v>106</v>
      </c>
      <c r="B40" s="98"/>
      <c r="C40" s="98"/>
      <c r="D40" s="98"/>
      <c r="E40" s="97"/>
      <c r="F40" s="97"/>
      <c r="G40" s="97"/>
      <c r="H40" s="97"/>
    </row>
    <row r="41" spans="1:11" ht="43.2" x14ac:dyDescent="0.3">
      <c r="A41" s="54" t="s">
        <v>43</v>
      </c>
      <c r="B41" s="54" t="s">
        <v>95</v>
      </c>
      <c r="C41" s="54" t="s">
        <v>96</v>
      </c>
      <c r="D41" s="54" t="s">
        <v>97</v>
      </c>
      <c r="E41" s="54" t="s">
        <v>107</v>
      </c>
      <c r="F41" s="54" t="s">
        <v>99</v>
      </c>
      <c r="G41" s="54" t="s">
        <v>100</v>
      </c>
      <c r="H41" s="54" t="s">
        <v>101</v>
      </c>
    </row>
    <row r="42" spans="1:11" x14ac:dyDescent="0.3">
      <c r="A42" s="96"/>
      <c r="B42" s="96"/>
      <c r="C42" s="96"/>
      <c r="D42" s="96"/>
      <c r="E42" s="96"/>
      <c r="F42" s="96"/>
      <c r="G42" s="96"/>
      <c r="H42" s="96"/>
    </row>
    <row r="43" spans="1:11" x14ac:dyDescent="0.3">
      <c r="A43" s="99" t="s">
        <v>102</v>
      </c>
      <c r="B43" s="99" t="s">
        <v>103</v>
      </c>
      <c r="C43" s="100" t="s">
        <v>106</v>
      </c>
      <c r="D43" s="101">
        <v>0.13</v>
      </c>
      <c r="E43" s="177">
        <v>54420529.400604993</v>
      </c>
      <c r="F43" s="102">
        <f t="shared" ref="F43:F68" si="2">D43*E43</f>
        <v>7074668.822078649</v>
      </c>
      <c r="G43" s="103">
        <v>1.8916999999999999</v>
      </c>
      <c r="H43" s="104">
        <f>G43*E43</f>
        <v>102947315.46712446</v>
      </c>
    </row>
    <row r="44" spans="1:11" x14ac:dyDescent="0.3">
      <c r="A44" s="100" t="s">
        <v>104</v>
      </c>
      <c r="B44" s="100" t="s">
        <v>102</v>
      </c>
      <c r="C44" s="100" t="s">
        <v>106</v>
      </c>
      <c r="D44" s="101">
        <v>0.14499999999999999</v>
      </c>
      <c r="E44" s="178">
        <v>71460380.10604766</v>
      </c>
      <c r="F44" s="102">
        <f t="shared" si="2"/>
        <v>10361755.11537691</v>
      </c>
      <c r="G44" s="103">
        <v>1.8916999999999999</v>
      </c>
      <c r="H44" s="104">
        <f>G44*E44</f>
        <v>135181601.04661036</v>
      </c>
    </row>
    <row r="45" spans="1:11" x14ac:dyDescent="0.3">
      <c r="A45" s="100" t="s">
        <v>105</v>
      </c>
      <c r="B45" s="100" t="s">
        <v>104</v>
      </c>
      <c r="C45" s="100" t="s">
        <v>106</v>
      </c>
      <c r="D45" s="101">
        <v>0.16</v>
      </c>
      <c r="E45" s="177">
        <v>88526985.316209987</v>
      </c>
      <c r="F45" s="102">
        <f t="shared" si="2"/>
        <v>14164317.650593597</v>
      </c>
      <c r="G45" s="103">
        <v>1.8916999999999999</v>
      </c>
      <c r="H45" s="104">
        <f>G45*E45</f>
        <v>167466498.12267444</v>
      </c>
    </row>
    <row r="46" spans="1:11" x14ac:dyDescent="0.3">
      <c r="A46" s="100" t="s">
        <v>45</v>
      </c>
      <c r="B46" s="100" t="s">
        <v>105</v>
      </c>
      <c r="C46" s="100" t="s">
        <v>106</v>
      </c>
      <c r="D46" s="101">
        <v>0.17500000000000004</v>
      </c>
      <c r="E46" s="177">
        <f>84760183147/1000</f>
        <v>84760183.147</v>
      </c>
      <c r="F46" s="102">
        <f t="shared" si="2"/>
        <v>14833032.050725004</v>
      </c>
      <c r="G46" s="103">
        <v>1.8916999999999999</v>
      </c>
      <c r="H46" s="104">
        <f>G46*E46</f>
        <v>160340838.45917991</v>
      </c>
    </row>
    <row r="47" spans="1:11" x14ac:dyDescent="0.3">
      <c r="A47" s="100" t="s">
        <v>46</v>
      </c>
      <c r="B47" s="100" t="s">
        <v>45</v>
      </c>
      <c r="C47" s="100" t="s">
        <v>106</v>
      </c>
      <c r="D47" s="101">
        <v>0.19000000000000006</v>
      </c>
      <c r="E47" s="177">
        <v>83931773.183280006</v>
      </c>
      <c r="F47" s="102">
        <f t="shared" si="2"/>
        <v>15947036.904823206</v>
      </c>
      <c r="G47" s="167">
        <f>(G46*(1/3))+(G48*(2/3))</f>
        <v>3.980433333333333</v>
      </c>
      <c r="H47" s="104">
        <f>G47*E47</f>
        <v>334084827.7045005</v>
      </c>
    </row>
    <row r="48" spans="1:11" x14ac:dyDescent="0.3">
      <c r="A48" s="100" t="s">
        <v>47</v>
      </c>
      <c r="B48" s="100" t="s">
        <v>46</v>
      </c>
      <c r="C48" s="100" t="s">
        <v>106</v>
      </c>
      <c r="D48" s="101">
        <v>0.20500000000000007</v>
      </c>
      <c r="E48" s="177">
        <v>84697301.866293222</v>
      </c>
      <c r="F48" s="102">
        <f t="shared" si="2"/>
        <v>17362946.882590115</v>
      </c>
      <c r="G48" s="103">
        <v>5.0247999999999999</v>
      </c>
      <c r="H48" s="104">
        <f t="shared" ref="H48:H68" si="3">G48*E48</f>
        <v>425587002.41775018</v>
      </c>
    </row>
    <row r="49" spans="1:8" x14ac:dyDescent="0.3">
      <c r="A49" s="99" t="s">
        <v>48</v>
      </c>
      <c r="B49" s="100" t="s">
        <v>47</v>
      </c>
      <c r="C49" s="100" t="s">
        <v>106</v>
      </c>
      <c r="D49" s="101">
        <v>0.22000000000000008</v>
      </c>
      <c r="E49" s="177">
        <v>85136938.969948083</v>
      </c>
      <c r="F49" s="102">
        <f t="shared" si="2"/>
        <v>18730126.573388584</v>
      </c>
      <c r="G49" s="103">
        <v>5.0247999999999999</v>
      </c>
      <c r="H49" s="104">
        <f t="shared" si="3"/>
        <v>427796090.93619514</v>
      </c>
    </row>
    <row r="50" spans="1:8" x14ac:dyDescent="0.3">
      <c r="A50" s="99" t="s">
        <v>49</v>
      </c>
      <c r="B50" s="99" t="s">
        <v>48</v>
      </c>
      <c r="C50" s="100" t="s">
        <v>106</v>
      </c>
      <c r="D50" s="101">
        <v>0.2350000000000001</v>
      </c>
      <c r="E50" s="177">
        <v>85134246.832616076</v>
      </c>
      <c r="F50" s="102">
        <f t="shared" si="2"/>
        <v>20006548.005664784</v>
      </c>
      <c r="G50" s="103">
        <v>5.0247999999999999</v>
      </c>
      <c r="H50" s="104">
        <f t="shared" si="3"/>
        <v>427782563.48452926</v>
      </c>
    </row>
    <row r="51" spans="1:8" x14ac:dyDescent="0.3">
      <c r="A51" s="99" t="s">
        <v>50</v>
      </c>
      <c r="B51" s="99" t="s">
        <v>49</v>
      </c>
      <c r="C51" s="100" t="s">
        <v>106</v>
      </c>
      <c r="D51" s="101">
        <v>0.25000000000000011</v>
      </c>
      <c r="E51" s="177">
        <v>84907690.950198874</v>
      </c>
      <c r="F51" s="102">
        <f t="shared" si="2"/>
        <v>21226922.73754973</v>
      </c>
      <c r="G51" s="103">
        <v>5.0247999999999999</v>
      </c>
      <c r="H51" s="104">
        <f t="shared" si="3"/>
        <v>426644165.48655927</v>
      </c>
    </row>
    <row r="52" spans="1:8" x14ac:dyDescent="0.3">
      <c r="A52" s="100" t="s">
        <v>51</v>
      </c>
      <c r="B52" s="100" t="s">
        <v>50</v>
      </c>
      <c r="C52" s="100" t="s">
        <v>106</v>
      </c>
      <c r="D52" s="101">
        <v>0.28000000000000003</v>
      </c>
      <c r="E52" s="177">
        <v>85035976.678153604</v>
      </c>
      <c r="F52" s="102">
        <f t="shared" si="2"/>
        <v>23810073.46988301</v>
      </c>
      <c r="G52" s="103">
        <v>5.0247999999999999</v>
      </c>
      <c r="H52" s="104">
        <f t="shared" si="3"/>
        <v>427288775.61238623</v>
      </c>
    </row>
    <row r="53" spans="1:8" x14ac:dyDescent="0.3">
      <c r="A53" s="100" t="s">
        <v>52</v>
      </c>
      <c r="B53" s="100" t="s">
        <v>51</v>
      </c>
      <c r="C53" s="100" t="s">
        <v>106</v>
      </c>
      <c r="D53" s="101">
        <v>0.31</v>
      </c>
      <c r="E53" s="177">
        <v>85385508.713880658</v>
      </c>
      <c r="F53" s="102">
        <f t="shared" si="2"/>
        <v>26469507.701303005</v>
      </c>
      <c r="G53" s="103">
        <v>5.0247999999999999</v>
      </c>
      <c r="H53" s="104">
        <f t="shared" si="3"/>
        <v>429045104.18550754</v>
      </c>
    </row>
    <row r="54" spans="1:8" x14ac:dyDescent="0.3">
      <c r="A54" s="100" t="s">
        <v>53</v>
      </c>
      <c r="B54" s="100" t="s">
        <v>52</v>
      </c>
      <c r="C54" s="100" t="s">
        <v>106</v>
      </c>
      <c r="D54" s="101">
        <v>0.34</v>
      </c>
      <c r="E54" s="177">
        <v>85957786.808547571</v>
      </c>
      <c r="F54" s="102">
        <f t="shared" si="2"/>
        <v>29225647.514906175</v>
      </c>
      <c r="G54" s="103">
        <v>5.0247999999999999</v>
      </c>
      <c r="H54" s="104">
        <f t="shared" si="3"/>
        <v>431920687.15558982</v>
      </c>
    </row>
    <row r="55" spans="1:8" x14ac:dyDescent="0.3">
      <c r="A55" s="99" t="s">
        <v>54</v>
      </c>
      <c r="B55" s="100" t="s">
        <v>53</v>
      </c>
      <c r="C55" s="100" t="s">
        <v>106</v>
      </c>
      <c r="D55" s="101">
        <v>0.37</v>
      </c>
      <c r="E55" s="177">
        <v>86103305.372110635</v>
      </c>
      <c r="F55" s="102">
        <f t="shared" si="2"/>
        <v>31858222.987680934</v>
      </c>
      <c r="G55" s="103">
        <v>5.0247999999999999</v>
      </c>
      <c r="H55" s="104">
        <f t="shared" si="3"/>
        <v>432651888.83378154</v>
      </c>
    </row>
    <row r="56" spans="1:8" x14ac:dyDescent="0.3">
      <c r="A56" s="99" t="s">
        <v>55</v>
      </c>
      <c r="B56" s="99" t="s">
        <v>54</v>
      </c>
      <c r="C56" s="100" t="s">
        <v>106</v>
      </c>
      <c r="D56" s="101">
        <v>0.4</v>
      </c>
      <c r="E56" s="177">
        <v>86473068.14964436</v>
      </c>
      <c r="F56" s="102">
        <f t="shared" si="2"/>
        <v>34589227.259857744</v>
      </c>
      <c r="G56" s="103">
        <v>5.0247999999999999</v>
      </c>
      <c r="H56" s="104">
        <f t="shared" si="3"/>
        <v>434509872.83833295</v>
      </c>
    </row>
    <row r="57" spans="1:8" x14ac:dyDescent="0.3">
      <c r="A57" s="99" t="s">
        <v>56</v>
      </c>
      <c r="B57" s="99" t="s">
        <v>55</v>
      </c>
      <c r="C57" s="100" t="s">
        <v>106</v>
      </c>
      <c r="D57" s="101">
        <v>0.40902608000000001</v>
      </c>
      <c r="E57" s="177">
        <v>86911268.241039068</v>
      </c>
      <c r="F57" s="102">
        <f t="shared" si="2"/>
        <v>35548975.356460705</v>
      </c>
      <c r="G57" s="103">
        <v>5.0247999999999999</v>
      </c>
      <c r="H57" s="104">
        <f t="shared" si="3"/>
        <v>436711740.6575731</v>
      </c>
    </row>
    <row r="58" spans="1:8" x14ac:dyDescent="0.3">
      <c r="A58" s="100" t="s">
        <v>57</v>
      </c>
      <c r="B58" s="100" t="s">
        <v>56</v>
      </c>
      <c r="C58" s="100" t="s">
        <v>106</v>
      </c>
      <c r="D58" s="101">
        <v>0.41825583530041599</v>
      </c>
      <c r="E58" s="177">
        <v>87723535.768783286</v>
      </c>
      <c r="F58" s="102">
        <f t="shared" si="2"/>
        <v>36690880.728478372</v>
      </c>
      <c r="G58" s="103">
        <v>5.0247999999999999</v>
      </c>
      <c r="H58" s="104">
        <f t="shared" si="3"/>
        <v>440793222.53098226</v>
      </c>
    </row>
    <row r="59" spans="1:8" x14ac:dyDescent="0.3">
      <c r="A59" s="100" t="s">
        <v>58</v>
      </c>
      <c r="B59" s="100" t="s">
        <v>57</v>
      </c>
      <c r="C59" s="100" t="s">
        <v>106</v>
      </c>
      <c r="D59" s="101">
        <v>0.42769386187513697</v>
      </c>
      <c r="E59" s="177">
        <v>87916896.270408347</v>
      </c>
      <c r="F59" s="102">
        <f t="shared" si="2"/>
        <v>37601516.889966771</v>
      </c>
      <c r="G59" s="103">
        <v>5.0247999999999999</v>
      </c>
      <c r="H59" s="104">
        <f t="shared" si="3"/>
        <v>441764820.37954783</v>
      </c>
    </row>
    <row r="60" spans="1:8" x14ac:dyDescent="0.3">
      <c r="A60" s="100" t="s">
        <v>59</v>
      </c>
      <c r="B60" s="100" t="s">
        <v>58</v>
      </c>
      <c r="C60" s="100" t="s">
        <v>106</v>
      </c>
      <c r="D60" s="101">
        <v>0.43734485940712181</v>
      </c>
      <c r="E60" s="177">
        <v>88252089.411697716</v>
      </c>
      <c r="F60" s="102">
        <f t="shared" si="2"/>
        <v>38596597.636143684</v>
      </c>
      <c r="G60" s="103">
        <v>5.0247999999999999</v>
      </c>
      <c r="H60" s="104">
        <f t="shared" si="3"/>
        <v>443449098.87589866</v>
      </c>
    </row>
    <row r="61" spans="1:8" x14ac:dyDescent="0.3">
      <c r="A61" s="100" t="s">
        <v>60</v>
      </c>
      <c r="B61" s="100" t="s">
        <v>59</v>
      </c>
      <c r="C61" s="100" t="s">
        <v>106</v>
      </c>
      <c r="D61" s="101">
        <v>0.44721363362861538</v>
      </c>
      <c r="E61" s="177">
        <v>88655613.041092038</v>
      </c>
      <c r="F61" s="102">
        <f t="shared" si="2"/>
        <v>39647998.849679232</v>
      </c>
      <c r="G61" s="103">
        <v>5.0247999999999999</v>
      </c>
      <c r="H61" s="104">
        <f t="shared" si="3"/>
        <v>445476724.40887928</v>
      </c>
    </row>
    <row r="62" spans="1:8" x14ac:dyDescent="0.3">
      <c r="A62" s="100" t="s">
        <v>61</v>
      </c>
      <c r="B62" s="100" t="s">
        <v>60</v>
      </c>
      <c r="C62" s="100" t="s">
        <v>106</v>
      </c>
      <c r="D62" s="101">
        <v>0.45730509871417185</v>
      </c>
      <c r="E62" s="177">
        <v>89183453.760884434</v>
      </c>
      <c r="F62" s="102">
        <f t="shared" si="2"/>
        <v>40784048.125792034</v>
      </c>
      <c r="G62" s="103">
        <v>5.0247999999999999</v>
      </c>
      <c r="H62" s="104">
        <f t="shared" si="3"/>
        <v>448129018.45769209</v>
      </c>
    </row>
    <row r="63" spans="1:8" x14ac:dyDescent="0.3">
      <c r="A63" s="100" t="s">
        <v>62</v>
      </c>
      <c r="B63" s="100" t="s">
        <v>61</v>
      </c>
      <c r="C63" s="100" t="s">
        <v>106</v>
      </c>
      <c r="D63" s="101">
        <v>0.46762427972767689</v>
      </c>
      <c r="E63" s="177">
        <v>89258881.982043803</v>
      </c>
      <c r="F63" s="102">
        <f t="shared" si="2"/>
        <v>41739620.396150947</v>
      </c>
      <c r="G63" s="103">
        <v>5.0247999999999999</v>
      </c>
      <c r="H63" s="104">
        <f t="shared" si="3"/>
        <v>448508030.18337369</v>
      </c>
    </row>
    <row r="64" spans="1:8" x14ac:dyDescent="0.3">
      <c r="A64" s="100" t="s">
        <v>63</v>
      </c>
      <c r="B64" s="100" t="s">
        <v>62</v>
      </c>
      <c r="C64" s="100" t="s">
        <v>106</v>
      </c>
      <c r="D64" s="101">
        <v>0.47817631512458791</v>
      </c>
      <c r="E64" s="177">
        <v>89620985.014682576</v>
      </c>
      <c r="F64" s="102">
        <f t="shared" si="2"/>
        <v>42854632.372156829</v>
      </c>
      <c r="G64" s="103">
        <v>5.0247999999999999</v>
      </c>
      <c r="H64" s="104">
        <f t="shared" si="3"/>
        <v>450327525.50177699</v>
      </c>
    </row>
    <row r="65" spans="1:11" x14ac:dyDescent="0.3">
      <c r="A65" s="100" t="s">
        <v>64</v>
      </c>
      <c r="B65" s="100" t="s">
        <v>63</v>
      </c>
      <c r="C65" s="100" t="s">
        <v>106</v>
      </c>
      <c r="D65" s="101">
        <v>0.48896645931063754</v>
      </c>
      <c r="E65" s="177">
        <v>89620985.014682576</v>
      </c>
      <c r="F65" s="102">
        <f t="shared" si="2"/>
        <v>43821655.722561046</v>
      </c>
      <c r="G65" s="103">
        <v>5.0247999999999999</v>
      </c>
      <c r="H65" s="104">
        <f t="shared" si="3"/>
        <v>450327525.50177699</v>
      </c>
    </row>
    <row r="66" spans="1:11" x14ac:dyDescent="0.3">
      <c r="A66" s="100" t="s">
        <v>65</v>
      </c>
      <c r="B66" s="100" t="s">
        <v>64</v>
      </c>
      <c r="C66" s="100" t="s">
        <v>106</v>
      </c>
      <c r="D66" s="101">
        <v>0.50000008525827411</v>
      </c>
      <c r="E66" s="177">
        <v>89620985.014682576</v>
      </c>
      <c r="F66" s="102">
        <f t="shared" si="2"/>
        <v>44810500.148271792</v>
      </c>
      <c r="G66" s="103">
        <v>5.0247999999999999</v>
      </c>
      <c r="H66" s="104">
        <f t="shared" si="3"/>
        <v>450327525.50177699</v>
      </c>
    </row>
    <row r="67" spans="1:11" x14ac:dyDescent="0.3">
      <c r="A67" s="100" t="s">
        <v>66</v>
      </c>
      <c r="B67" s="100" t="s">
        <v>65</v>
      </c>
      <c r="C67" s="100" t="s">
        <v>106</v>
      </c>
      <c r="D67" s="101">
        <v>0.5</v>
      </c>
      <c r="E67" s="177">
        <v>89620985.014682576</v>
      </c>
      <c r="F67" s="102">
        <f t="shared" si="2"/>
        <v>44810492.507341288</v>
      </c>
      <c r="G67" s="103">
        <v>5.0247999999999999</v>
      </c>
      <c r="H67" s="104">
        <f t="shared" si="3"/>
        <v>450327525.50177699</v>
      </c>
    </row>
    <row r="68" spans="1:11" x14ac:dyDescent="0.3">
      <c r="A68" s="100" t="s">
        <v>67</v>
      </c>
      <c r="B68" s="100" t="s">
        <v>66</v>
      </c>
      <c r="C68" s="100" t="s">
        <v>106</v>
      </c>
      <c r="D68" s="101">
        <v>0.5</v>
      </c>
      <c r="E68" s="177">
        <v>89620985.014682576</v>
      </c>
      <c r="F68" s="102">
        <f t="shared" si="2"/>
        <v>44810492.507341288</v>
      </c>
      <c r="G68" s="103">
        <v>5.0247999999999999</v>
      </c>
      <c r="H68" s="104">
        <f t="shared" si="3"/>
        <v>450327525.50177699</v>
      </c>
    </row>
    <row r="71" spans="1:11" x14ac:dyDescent="0.3">
      <c r="A71" s="149"/>
      <c r="B71" s="149"/>
      <c r="C71" s="149"/>
      <c r="D71" s="150"/>
      <c r="F71" s="152"/>
      <c r="G71" s="153"/>
      <c r="H71" s="154"/>
      <c r="K71" s="155"/>
    </row>
    <row r="72" spans="1:11" x14ac:dyDescent="0.3">
      <c r="A72" s="97"/>
      <c r="B72" s="97"/>
      <c r="C72" s="97"/>
      <c r="D72" s="97"/>
      <c r="E72" s="97"/>
    </row>
    <row r="73" spans="1:11" x14ac:dyDescent="0.3">
      <c r="A73" s="125" t="s">
        <v>108</v>
      </c>
      <c r="B73" s="98"/>
      <c r="C73" s="98"/>
      <c r="D73" s="98"/>
      <c r="E73" s="97"/>
      <c r="F73" s="97"/>
      <c r="G73" s="97"/>
      <c r="H73" s="97"/>
    </row>
    <row r="74" spans="1:11" ht="57.6" x14ac:dyDescent="0.3">
      <c r="A74" s="54" t="s">
        <v>43</v>
      </c>
      <c r="B74" s="54" t="s">
        <v>95</v>
      </c>
      <c r="C74" s="54" t="s">
        <v>96</v>
      </c>
      <c r="D74" s="54" t="s">
        <v>97</v>
      </c>
      <c r="E74" s="54" t="s">
        <v>109</v>
      </c>
      <c r="F74" s="54" t="s">
        <v>99</v>
      </c>
      <c r="G74" s="54" t="s">
        <v>100</v>
      </c>
      <c r="H74" s="54" t="s">
        <v>101</v>
      </c>
      <c r="I74" s="107" t="s">
        <v>110</v>
      </c>
    </row>
    <row r="75" spans="1:11" x14ac:dyDescent="0.3">
      <c r="A75" s="96"/>
      <c r="B75" s="96"/>
      <c r="C75" s="96"/>
      <c r="D75" s="96"/>
      <c r="E75" s="105">
        <f>26.0253830755776%</f>
        <v>0.26025383075577602</v>
      </c>
      <c r="F75" s="96"/>
      <c r="G75" s="96"/>
      <c r="H75" s="96"/>
      <c r="I75" s="108">
        <v>44348</v>
      </c>
    </row>
    <row r="76" spans="1:11" x14ac:dyDescent="0.3">
      <c r="A76" s="99" t="s">
        <v>102</v>
      </c>
      <c r="B76" s="99" t="s">
        <v>103</v>
      </c>
      <c r="C76" s="100" t="s">
        <v>108</v>
      </c>
      <c r="D76" s="101">
        <v>0.13</v>
      </c>
      <c r="E76" s="179">
        <v>539165</v>
      </c>
      <c r="F76" s="102">
        <f t="shared" ref="F76:F101" si="4">D76*E76</f>
        <v>70091.45</v>
      </c>
      <c r="G76" s="103">
        <v>1.2415</v>
      </c>
      <c r="H76" s="104">
        <f>G76*E76</f>
        <v>669373.34750000003</v>
      </c>
      <c r="I76" s="107"/>
    </row>
    <row r="77" spans="1:11" x14ac:dyDescent="0.3">
      <c r="A77" s="100" t="s">
        <v>104</v>
      </c>
      <c r="B77" s="100" t="s">
        <v>102</v>
      </c>
      <c r="C77" s="100" t="s">
        <v>108</v>
      </c>
      <c r="D77" s="101">
        <v>0.14499999999999999</v>
      </c>
      <c r="E77" s="179">
        <v>503181</v>
      </c>
      <c r="F77" s="102">
        <f t="shared" si="4"/>
        <v>72961.244999999995</v>
      </c>
      <c r="G77" s="103">
        <v>1.2415</v>
      </c>
      <c r="H77" s="104">
        <f>G77*E77</f>
        <v>624699.21149999998</v>
      </c>
    </row>
    <row r="78" spans="1:11" x14ac:dyDescent="0.3">
      <c r="A78" s="100" t="s">
        <v>105</v>
      </c>
      <c r="B78" s="100" t="s">
        <v>104</v>
      </c>
      <c r="C78" s="100" t="s">
        <v>108</v>
      </c>
      <c r="D78" s="101">
        <v>0.16</v>
      </c>
      <c r="E78" s="179">
        <v>528790.700064381</v>
      </c>
      <c r="F78" s="102">
        <f t="shared" si="4"/>
        <v>84606.512010300969</v>
      </c>
      <c r="G78" s="103">
        <v>1.2415</v>
      </c>
      <c r="H78" s="104">
        <f>G78*E78</f>
        <v>656493.65412992903</v>
      </c>
    </row>
    <row r="79" spans="1:11" x14ac:dyDescent="0.3">
      <c r="A79" s="100" t="s">
        <v>45</v>
      </c>
      <c r="B79" s="100" t="s">
        <v>105</v>
      </c>
      <c r="C79" s="100" t="s">
        <v>108</v>
      </c>
      <c r="D79" s="101">
        <v>0.17500000000000004</v>
      </c>
      <c r="E79" s="179">
        <v>471451.44980015844</v>
      </c>
      <c r="F79" s="102">
        <f t="shared" si="4"/>
        <v>82504.003715027749</v>
      </c>
      <c r="G79" s="103">
        <v>1.2415</v>
      </c>
      <c r="H79" s="104">
        <f>G79*E79</f>
        <v>585306.97492689674</v>
      </c>
      <c r="I79" s="109">
        <v>1811506.2838117136</v>
      </c>
    </row>
    <row r="80" spans="1:11" x14ac:dyDescent="0.3">
      <c r="A80" s="100" t="s">
        <v>46</v>
      </c>
      <c r="B80" s="100" t="s">
        <v>45</v>
      </c>
      <c r="C80" s="100" t="s">
        <v>108</v>
      </c>
      <c r="D80" s="101">
        <v>0.19000000000000006</v>
      </c>
      <c r="E80" s="179">
        <v>533051</v>
      </c>
      <c r="F80" s="102">
        <f t="shared" si="4"/>
        <v>101279.69000000003</v>
      </c>
      <c r="G80" s="167">
        <f>(G79*(1/3))+(G81*(2/3))</f>
        <v>2.1638333333333333</v>
      </c>
      <c r="H80" s="104">
        <f>E80*G80</f>
        <v>1153433.5221666666</v>
      </c>
      <c r="I80" s="110">
        <v>1936031</v>
      </c>
    </row>
    <row r="81" spans="1:9" x14ac:dyDescent="0.3">
      <c r="A81" s="100" t="s">
        <v>47</v>
      </c>
      <c r="B81" s="100" t="s">
        <v>46</v>
      </c>
      <c r="C81" s="100" t="s">
        <v>108</v>
      </c>
      <c r="D81" s="101">
        <v>0.20500000000000007</v>
      </c>
      <c r="E81" s="179">
        <v>530533</v>
      </c>
      <c r="F81" s="102">
        <f t="shared" si="4"/>
        <v>108759.26500000004</v>
      </c>
      <c r="G81" s="103">
        <v>2.625</v>
      </c>
      <c r="H81" s="104">
        <f t="shared" ref="H81:H101" si="5">G81*E81</f>
        <v>1392649.125</v>
      </c>
      <c r="I81" s="111">
        <v>1913299.2299400053</v>
      </c>
    </row>
    <row r="82" spans="1:9" x14ac:dyDescent="0.3">
      <c r="A82" s="99" t="s">
        <v>48</v>
      </c>
      <c r="B82" s="100" t="s">
        <v>47</v>
      </c>
      <c r="C82" s="100" t="s">
        <v>108</v>
      </c>
      <c r="D82" s="101">
        <v>0.22000000000000008</v>
      </c>
      <c r="E82" s="179">
        <v>530949</v>
      </c>
      <c r="F82" s="102">
        <f t="shared" si="4"/>
        <v>116808.78000000004</v>
      </c>
      <c r="G82" s="103">
        <v>2.625</v>
      </c>
      <c r="H82" s="104">
        <f t="shared" si="5"/>
        <v>1393741.125</v>
      </c>
      <c r="I82" s="111">
        <v>1985842.9875904245</v>
      </c>
    </row>
    <row r="83" spans="1:9" x14ac:dyDescent="0.3">
      <c r="A83" s="99" t="s">
        <v>49</v>
      </c>
      <c r="B83" s="99" t="s">
        <v>48</v>
      </c>
      <c r="C83" s="100" t="s">
        <v>108</v>
      </c>
      <c r="D83" s="101">
        <v>0.2350000000000001</v>
      </c>
      <c r="E83" s="179">
        <v>530479</v>
      </c>
      <c r="F83" s="102">
        <f t="shared" si="4"/>
        <v>124662.56500000005</v>
      </c>
      <c r="G83" s="103">
        <v>2.625</v>
      </c>
      <c r="H83" s="104">
        <f t="shared" si="5"/>
        <v>1392507.375</v>
      </c>
      <c r="I83" s="111">
        <v>2031361.7468766836</v>
      </c>
    </row>
    <row r="84" spans="1:9" x14ac:dyDescent="0.3">
      <c r="A84" s="99" t="s">
        <v>50</v>
      </c>
      <c r="B84" s="99" t="s">
        <v>49</v>
      </c>
      <c r="C84" s="100" t="s">
        <v>108</v>
      </c>
      <c r="D84" s="101">
        <v>0.25000000000000011</v>
      </c>
      <c r="E84" s="180">
        <v>530299</v>
      </c>
      <c r="F84" s="102">
        <f t="shared" si="4"/>
        <v>132574.75000000006</v>
      </c>
      <c r="G84" s="103">
        <v>2.625</v>
      </c>
      <c r="H84" s="104">
        <f t="shared" si="5"/>
        <v>1392034.875</v>
      </c>
      <c r="I84" s="111">
        <v>2031757.1150187554</v>
      </c>
    </row>
    <row r="85" spans="1:9" x14ac:dyDescent="0.3">
      <c r="A85" s="100" t="s">
        <v>51</v>
      </c>
      <c r="B85" s="100" t="s">
        <v>50</v>
      </c>
      <c r="C85" s="100" t="s">
        <v>108</v>
      </c>
      <c r="D85" s="101">
        <v>0.28000000000000003</v>
      </c>
      <c r="E85" s="180">
        <v>530381</v>
      </c>
      <c r="F85" s="102">
        <f t="shared" si="4"/>
        <v>148506.68000000002</v>
      </c>
      <c r="G85" s="103">
        <v>2.625</v>
      </c>
      <c r="H85" s="104">
        <f t="shared" si="5"/>
        <v>1392250.125</v>
      </c>
      <c r="I85" s="111">
        <v>2032902.5821294354</v>
      </c>
    </row>
    <row r="86" spans="1:9" x14ac:dyDescent="0.3">
      <c r="A86" s="100" t="s">
        <v>52</v>
      </c>
      <c r="B86" s="100" t="s">
        <v>51</v>
      </c>
      <c r="C86" s="100" t="s">
        <v>108</v>
      </c>
      <c r="D86" s="101">
        <v>0.31</v>
      </c>
      <c r="E86" s="180">
        <v>530798</v>
      </c>
      <c r="F86" s="102">
        <f t="shared" si="4"/>
        <v>164547.38</v>
      </c>
      <c r="G86" s="103">
        <v>2.625</v>
      </c>
      <c r="H86" s="104">
        <f t="shared" si="5"/>
        <v>1393344.75</v>
      </c>
      <c r="I86" s="111">
        <v>2034248.8457400231</v>
      </c>
    </row>
    <row r="87" spans="1:9" x14ac:dyDescent="0.3">
      <c r="A87" s="100" t="s">
        <v>53</v>
      </c>
      <c r="B87" s="100" t="s">
        <v>52</v>
      </c>
      <c r="C87" s="100" t="s">
        <v>108</v>
      </c>
      <c r="D87" s="101">
        <v>0.34</v>
      </c>
      <c r="E87" s="180">
        <v>531105</v>
      </c>
      <c r="F87" s="102">
        <f t="shared" si="4"/>
        <v>180575.7</v>
      </c>
      <c r="G87" s="103">
        <v>2.625</v>
      </c>
      <c r="H87" s="104">
        <f t="shared" si="5"/>
        <v>1394150.625</v>
      </c>
      <c r="I87" s="111">
        <v>2035436.7095460405</v>
      </c>
    </row>
    <row r="88" spans="1:9" x14ac:dyDescent="0.3">
      <c r="A88" s="99" t="s">
        <v>54</v>
      </c>
      <c r="B88" s="100" t="s">
        <v>53</v>
      </c>
      <c r="C88" s="100" t="s">
        <v>108</v>
      </c>
      <c r="D88" s="101">
        <v>0.37</v>
      </c>
      <c r="E88" s="180">
        <v>531451</v>
      </c>
      <c r="F88" s="102">
        <f t="shared" si="4"/>
        <v>196636.87</v>
      </c>
      <c r="G88" s="103">
        <v>2.625</v>
      </c>
      <c r="H88" s="104">
        <f t="shared" si="5"/>
        <v>1395058.875</v>
      </c>
      <c r="I88" s="111">
        <v>2036877.7836252931</v>
      </c>
    </row>
    <row r="89" spans="1:9" x14ac:dyDescent="0.3">
      <c r="A89" s="99" t="s">
        <v>55</v>
      </c>
      <c r="B89" s="99" t="s">
        <v>54</v>
      </c>
      <c r="C89" s="100" t="s">
        <v>108</v>
      </c>
      <c r="D89" s="101">
        <v>0.4</v>
      </c>
      <c r="E89" s="180">
        <v>531835</v>
      </c>
      <c r="F89" s="102">
        <f t="shared" si="4"/>
        <v>212734</v>
      </c>
      <c r="G89" s="103">
        <v>2.625</v>
      </c>
      <c r="H89" s="104">
        <f t="shared" si="5"/>
        <v>1396066.875</v>
      </c>
      <c r="I89" s="111">
        <v>2038203.8653873855</v>
      </c>
    </row>
    <row r="90" spans="1:9" x14ac:dyDescent="0.3">
      <c r="A90" s="99" t="s">
        <v>56</v>
      </c>
      <c r="B90" s="99" t="s">
        <v>55</v>
      </c>
      <c r="C90" s="100" t="s">
        <v>108</v>
      </c>
      <c r="D90" s="101">
        <v>0.40902608000000001</v>
      </c>
      <c r="E90" s="180">
        <v>532225</v>
      </c>
      <c r="F90" s="102">
        <f t="shared" si="4"/>
        <v>217693.905428</v>
      </c>
      <c r="G90" s="103">
        <v>2.625</v>
      </c>
      <c r="H90" s="104">
        <f t="shared" si="5"/>
        <v>1397090.625</v>
      </c>
      <c r="I90" s="111">
        <v>2039151.6884040157</v>
      </c>
    </row>
    <row r="91" spans="1:9" x14ac:dyDescent="0.3">
      <c r="A91" s="100" t="s">
        <v>57</v>
      </c>
      <c r="B91" s="100" t="s">
        <v>56</v>
      </c>
      <c r="C91" s="100" t="s">
        <v>108</v>
      </c>
      <c r="D91" s="101">
        <v>0.41825583530041599</v>
      </c>
      <c r="E91" s="180">
        <v>532458</v>
      </c>
      <c r="F91" s="102">
        <f t="shared" si="4"/>
        <v>222703.66555238891</v>
      </c>
      <c r="G91" s="103">
        <v>2.625</v>
      </c>
      <c r="H91" s="104">
        <f t="shared" si="5"/>
        <v>1397702.25</v>
      </c>
      <c r="I91" s="111">
        <v>2040028.7592896603</v>
      </c>
    </row>
    <row r="92" spans="1:9" x14ac:dyDescent="0.3">
      <c r="A92" s="100" t="s">
        <v>58</v>
      </c>
      <c r="B92" s="100" t="s">
        <v>57</v>
      </c>
      <c r="C92" s="100" t="s">
        <v>108</v>
      </c>
      <c r="D92" s="101">
        <v>0.42769386187513697</v>
      </c>
      <c r="E92" s="180">
        <v>532704</v>
      </c>
      <c r="F92" s="102">
        <f t="shared" si="4"/>
        <v>227834.23099633298</v>
      </c>
      <c r="G92" s="103">
        <v>2.625</v>
      </c>
      <c r="H92" s="104">
        <f t="shared" si="5"/>
        <v>1398348</v>
      </c>
      <c r="I92" s="111">
        <v>2040801.2574976794</v>
      </c>
    </row>
    <row r="93" spans="1:9" x14ac:dyDescent="0.3">
      <c r="A93" s="100" t="s">
        <v>59</v>
      </c>
      <c r="B93" s="100" t="s">
        <v>58</v>
      </c>
      <c r="C93" s="100" t="s">
        <v>108</v>
      </c>
      <c r="D93" s="101">
        <v>0.43734485940712181</v>
      </c>
      <c r="E93" s="180">
        <v>532834</v>
      </c>
      <c r="F93" s="102">
        <f t="shared" si="4"/>
        <v>233032.21081733433</v>
      </c>
      <c r="G93" s="103">
        <v>2.625</v>
      </c>
      <c r="H93" s="104">
        <f t="shared" si="5"/>
        <v>1398689.25</v>
      </c>
      <c r="I93" s="111">
        <v>2041559.7906517184</v>
      </c>
    </row>
    <row r="94" spans="1:9" x14ac:dyDescent="0.3">
      <c r="A94" s="100" t="s">
        <v>60</v>
      </c>
      <c r="B94" s="100" t="s">
        <v>59</v>
      </c>
      <c r="C94" s="100" t="s">
        <v>108</v>
      </c>
      <c r="D94" s="101">
        <v>0.44721363362861538</v>
      </c>
      <c r="E94" s="180">
        <v>533109</v>
      </c>
      <c r="F94" s="102">
        <f t="shared" si="4"/>
        <v>238413.61301011752</v>
      </c>
      <c r="G94" s="103">
        <v>2.625</v>
      </c>
      <c r="H94" s="104">
        <f t="shared" si="5"/>
        <v>1399411.125</v>
      </c>
      <c r="I94" s="111">
        <v>2042228.0448328247</v>
      </c>
    </row>
    <row r="95" spans="1:9" x14ac:dyDescent="0.3">
      <c r="A95" s="100" t="s">
        <v>61</v>
      </c>
      <c r="B95" s="100" t="s">
        <v>60</v>
      </c>
      <c r="C95" s="100" t="s">
        <v>108</v>
      </c>
      <c r="D95" s="101">
        <v>0.45730509871417185</v>
      </c>
      <c r="E95" s="180">
        <v>533256</v>
      </c>
      <c r="F95" s="102">
        <f t="shared" si="4"/>
        <v>243860.68771992443</v>
      </c>
      <c r="G95" s="103">
        <v>2.625</v>
      </c>
      <c r="H95" s="104">
        <f t="shared" si="5"/>
        <v>1399797</v>
      </c>
      <c r="I95" s="111">
        <v>2042622.4927971303</v>
      </c>
    </row>
    <row r="96" spans="1:9" x14ac:dyDescent="0.3">
      <c r="A96" s="100" t="s">
        <v>62</v>
      </c>
      <c r="B96" s="100" t="s">
        <v>61</v>
      </c>
      <c r="C96" s="100" t="s">
        <v>108</v>
      </c>
      <c r="D96" s="101">
        <v>0.46762427972767689</v>
      </c>
      <c r="E96" s="180">
        <v>533385</v>
      </c>
      <c r="F96" s="102">
        <f t="shared" si="4"/>
        <v>249423.77644254695</v>
      </c>
      <c r="G96" s="103">
        <v>2.625</v>
      </c>
      <c r="H96" s="104">
        <f t="shared" si="5"/>
        <v>1400135.625</v>
      </c>
      <c r="I96" s="111">
        <v>2043089.2737057647</v>
      </c>
    </row>
    <row r="97" spans="1:9" x14ac:dyDescent="0.3">
      <c r="A97" s="100" t="s">
        <v>63</v>
      </c>
      <c r="B97" s="100" t="s">
        <v>62</v>
      </c>
      <c r="C97" s="100" t="s">
        <v>108</v>
      </c>
      <c r="D97" s="101">
        <v>0.47817631512458791</v>
      </c>
      <c r="E97" s="180">
        <v>533475</v>
      </c>
      <c r="F97" s="102">
        <f t="shared" si="4"/>
        <v>255095.10971108955</v>
      </c>
      <c r="G97" s="103">
        <v>2.625</v>
      </c>
      <c r="H97" s="104">
        <f t="shared" si="5"/>
        <v>1400371.875</v>
      </c>
      <c r="I97" s="112">
        <v>2043809.8008337496</v>
      </c>
    </row>
    <row r="98" spans="1:9" x14ac:dyDescent="0.3">
      <c r="A98" s="100" t="s">
        <v>64</v>
      </c>
      <c r="B98" s="100" t="s">
        <v>63</v>
      </c>
      <c r="C98" s="100" t="s">
        <v>108</v>
      </c>
      <c r="D98" s="101">
        <v>0.48896645931063754</v>
      </c>
      <c r="E98" s="180">
        <v>533475</v>
      </c>
      <c r="F98" s="102">
        <f t="shared" si="4"/>
        <v>260851.38188074235</v>
      </c>
      <c r="G98" s="103">
        <v>2.625</v>
      </c>
      <c r="H98" s="104">
        <f t="shared" si="5"/>
        <v>1400371.875</v>
      </c>
      <c r="I98" s="154"/>
    </row>
    <row r="99" spans="1:9" x14ac:dyDescent="0.3">
      <c r="A99" s="100" t="s">
        <v>65</v>
      </c>
      <c r="B99" s="100" t="s">
        <v>64</v>
      </c>
      <c r="C99" s="100" t="s">
        <v>108</v>
      </c>
      <c r="D99" s="101">
        <v>0.50000008525827411</v>
      </c>
      <c r="E99" s="180">
        <v>533475</v>
      </c>
      <c r="F99" s="102">
        <f t="shared" si="4"/>
        <v>266737.5454831578</v>
      </c>
      <c r="G99" s="103">
        <v>2.625</v>
      </c>
      <c r="H99" s="104">
        <f t="shared" si="5"/>
        <v>1400371.875</v>
      </c>
    </row>
    <row r="100" spans="1:9" x14ac:dyDescent="0.3">
      <c r="A100" s="100" t="s">
        <v>66</v>
      </c>
      <c r="B100" s="100" t="s">
        <v>65</v>
      </c>
      <c r="C100" s="100" t="s">
        <v>108</v>
      </c>
      <c r="D100" s="101">
        <v>0.5</v>
      </c>
      <c r="E100" s="180">
        <v>533475</v>
      </c>
      <c r="F100" s="102">
        <f t="shared" si="4"/>
        <v>266737.5</v>
      </c>
      <c r="G100" s="103">
        <v>2.625</v>
      </c>
      <c r="H100" s="104">
        <f t="shared" si="5"/>
        <v>1400371.875</v>
      </c>
    </row>
    <row r="101" spans="1:9" x14ac:dyDescent="0.3">
      <c r="A101" s="100" t="s">
        <v>67</v>
      </c>
      <c r="B101" s="100" t="s">
        <v>66</v>
      </c>
      <c r="C101" s="100" t="s">
        <v>108</v>
      </c>
      <c r="D101" s="101">
        <v>0.5</v>
      </c>
      <c r="E101" s="180">
        <v>533475</v>
      </c>
      <c r="F101" s="102">
        <f t="shared" si="4"/>
        <v>266737.5</v>
      </c>
      <c r="G101" s="103">
        <v>2.625</v>
      </c>
      <c r="H101" s="104">
        <f t="shared" si="5"/>
        <v>1400371.875</v>
      </c>
    </row>
    <row r="103" spans="1:9" x14ac:dyDescent="0.3">
      <c r="A103" s="97"/>
      <c r="B103" s="97"/>
      <c r="C103" s="97"/>
      <c r="D103" s="97"/>
      <c r="E103" s="97"/>
    </row>
    <row r="104" spans="1:9" x14ac:dyDescent="0.3">
      <c r="A104" s="97"/>
      <c r="B104" s="97"/>
      <c r="C104" s="97"/>
      <c r="D104" s="97"/>
      <c r="E104" s="97"/>
    </row>
    <row r="105" spans="1:9" x14ac:dyDescent="0.3">
      <c r="A105" s="125" t="s">
        <v>111</v>
      </c>
      <c r="B105" s="98"/>
      <c r="C105" s="98"/>
      <c r="D105" s="98"/>
      <c r="E105" s="97"/>
      <c r="F105" s="97"/>
      <c r="G105" s="97"/>
      <c r="H105" s="97"/>
    </row>
    <row r="106" spans="1:9" ht="43.2" x14ac:dyDescent="0.3">
      <c r="A106" s="54" t="s">
        <v>43</v>
      </c>
      <c r="B106" s="54" t="s">
        <v>95</v>
      </c>
      <c r="C106" s="54" t="s">
        <v>96</v>
      </c>
      <c r="D106" s="54" t="s">
        <v>97</v>
      </c>
      <c r="E106" s="54" t="s">
        <v>107</v>
      </c>
      <c r="F106" s="54" t="s">
        <v>99</v>
      </c>
      <c r="G106" s="54" t="s">
        <v>100</v>
      </c>
      <c r="H106" s="54" t="s">
        <v>101</v>
      </c>
    </row>
    <row r="107" spans="1:9" x14ac:dyDescent="0.3">
      <c r="A107" s="96"/>
      <c r="B107" s="96"/>
      <c r="C107" s="96"/>
      <c r="D107" s="96"/>
      <c r="E107" s="96"/>
      <c r="F107" s="96"/>
      <c r="G107" s="96"/>
      <c r="H107" s="96"/>
    </row>
    <row r="108" spans="1:9" x14ac:dyDescent="0.3">
      <c r="A108" s="99" t="s">
        <v>102</v>
      </c>
      <c r="B108" s="99" t="s">
        <v>103</v>
      </c>
      <c r="C108" s="100" t="s">
        <v>112</v>
      </c>
      <c r="D108" s="101">
        <v>0.13</v>
      </c>
      <c r="E108" s="183">
        <f t="shared" ref="E108:E133" si="6">E43+E4+E76</f>
        <v>76112663.900604993</v>
      </c>
      <c r="F108" s="102">
        <f t="shared" ref="F108:F133" si="7">D108*E108</f>
        <v>9894646.3070786502</v>
      </c>
      <c r="G108" s="106">
        <f t="shared" ref="G108:G129" si="8">H108/E108</f>
        <v>1.8631099304986654</v>
      </c>
      <c r="H108" s="104">
        <f t="shared" ref="H108:H133" si="9">H43+H4+H76</f>
        <v>141806259.94992444</v>
      </c>
    </row>
    <row r="109" spans="1:9" x14ac:dyDescent="0.3">
      <c r="A109" s="100" t="s">
        <v>104</v>
      </c>
      <c r="B109" s="100" t="s">
        <v>102</v>
      </c>
      <c r="C109" s="100" t="s">
        <v>112</v>
      </c>
      <c r="D109" s="101">
        <v>0.14499999999999999</v>
      </c>
      <c r="E109" s="183">
        <f t="shared" si="6"/>
        <v>101959380.99297675</v>
      </c>
      <c r="F109" s="102">
        <f t="shared" si="7"/>
        <v>14784110.243981628</v>
      </c>
      <c r="G109" s="106">
        <f t="shared" si="8"/>
        <v>1.8631022631949592</v>
      </c>
      <c r="H109" s="104">
        <f t="shared" si="9"/>
        <v>189960753.4819721</v>
      </c>
    </row>
    <row r="110" spans="1:9" x14ac:dyDescent="0.3">
      <c r="A110" s="100" t="s">
        <v>105</v>
      </c>
      <c r="B110" s="100" t="s">
        <v>104</v>
      </c>
      <c r="C110" s="100" t="s">
        <v>112</v>
      </c>
      <c r="D110" s="101">
        <v>0.16</v>
      </c>
      <c r="E110" s="183">
        <f t="shared" si="6"/>
        <v>125865782.01627436</v>
      </c>
      <c r="F110" s="102">
        <f t="shared" si="7"/>
        <v>20138525.122603897</v>
      </c>
      <c r="G110" s="106">
        <f t="shared" si="8"/>
        <v>1.8637295446897024</v>
      </c>
      <c r="H110" s="104">
        <f t="shared" si="9"/>
        <v>234579776.60920435</v>
      </c>
    </row>
    <row r="111" spans="1:9" x14ac:dyDescent="0.3">
      <c r="A111" s="100" t="s">
        <v>45</v>
      </c>
      <c r="B111" s="100" t="s">
        <v>105</v>
      </c>
      <c r="C111" s="100" t="s">
        <v>112</v>
      </c>
      <c r="D111" s="101">
        <v>0.17500000000000004</v>
      </c>
      <c r="E111" s="183">
        <f t="shared" si="6"/>
        <v>120852469.47880016</v>
      </c>
      <c r="F111" s="102">
        <f t="shared" si="7"/>
        <v>21149182.158790033</v>
      </c>
      <c r="G111" s="106">
        <f t="shared" si="8"/>
        <v>1.8637269201154412</v>
      </c>
      <c r="H111" s="104">
        <f t="shared" si="9"/>
        <v>225236000.73006958</v>
      </c>
    </row>
    <row r="112" spans="1:9" x14ac:dyDescent="0.3">
      <c r="A112" s="100" t="s">
        <v>46</v>
      </c>
      <c r="B112" s="100" t="s">
        <v>45</v>
      </c>
      <c r="C112" s="100" t="s">
        <v>112</v>
      </c>
      <c r="D112" s="101">
        <v>0.19000000000000006</v>
      </c>
      <c r="E112" s="183">
        <f t="shared" si="6"/>
        <v>119923435.18328001</v>
      </c>
      <c r="F112" s="102">
        <f t="shared" si="7"/>
        <v>22785452.684823208</v>
      </c>
      <c r="G112" s="106">
        <f t="shared" si="8"/>
        <v>3.8752878926725569</v>
      </c>
      <c r="H112" s="104">
        <f t="shared" si="9"/>
        <v>464737836.41346717</v>
      </c>
    </row>
    <row r="113" spans="1:10" x14ac:dyDescent="0.3">
      <c r="A113" s="100" t="s">
        <v>47</v>
      </c>
      <c r="B113" s="100" t="s">
        <v>46</v>
      </c>
      <c r="C113" s="100" t="s">
        <v>112</v>
      </c>
      <c r="D113" s="101">
        <v>0.20500000000000007</v>
      </c>
      <c r="E113" s="183">
        <f t="shared" si="6"/>
        <v>120302327.86629322</v>
      </c>
      <c r="F113" s="102">
        <f t="shared" si="7"/>
        <v>24661977.212590121</v>
      </c>
      <c r="G113" s="106">
        <f t="shared" si="8"/>
        <v>4.883222167713746</v>
      </c>
      <c r="H113" s="104">
        <f t="shared" si="9"/>
        <v>587462994.26425016</v>
      </c>
    </row>
    <row r="114" spans="1:10" x14ac:dyDescent="0.3">
      <c r="A114" s="99" t="s">
        <v>48</v>
      </c>
      <c r="B114" s="100" t="s">
        <v>47</v>
      </c>
      <c r="C114" s="100" t="s">
        <v>112</v>
      </c>
      <c r="D114" s="101">
        <v>0.22000000000000008</v>
      </c>
      <c r="E114" s="183">
        <f t="shared" si="6"/>
        <v>120592730.96994808</v>
      </c>
      <c r="F114" s="102">
        <f t="shared" si="7"/>
        <v>26530400.81338859</v>
      </c>
      <c r="G114" s="106">
        <f t="shared" si="8"/>
        <v>4.8841123877895436</v>
      </c>
      <c r="H114" s="104">
        <f t="shared" si="9"/>
        <v>588988451.20769513</v>
      </c>
    </row>
    <row r="115" spans="1:10" x14ac:dyDescent="0.3">
      <c r="A115" s="99" t="s">
        <v>49</v>
      </c>
      <c r="B115" s="99" t="s">
        <v>48</v>
      </c>
      <c r="C115" s="100" t="s">
        <v>112</v>
      </c>
      <c r="D115" s="101">
        <v>0.2350000000000001</v>
      </c>
      <c r="E115" s="183">
        <f t="shared" si="6"/>
        <v>120183379.83261608</v>
      </c>
      <c r="F115" s="102">
        <f t="shared" si="7"/>
        <v>28243094.260664791</v>
      </c>
      <c r="G115" s="106">
        <f t="shared" si="8"/>
        <v>4.8851611017615468</v>
      </c>
      <c r="H115" s="104">
        <f t="shared" si="9"/>
        <v>587115172.23652923</v>
      </c>
      <c r="J115" s="182"/>
    </row>
    <row r="116" spans="1:10" x14ac:dyDescent="0.3">
      <c r="A116" s="99" t="s">
        <v>50</v>
      </c>
      <c r="B116" s="99" t="s">
        <v>49</v>
      </c>
      <c r="C116" s="100" t="s">
        <v>112</v>
      </c>
      <c r="D116" s="101">
        <v>0.25000000000000011</v>
      </c>
      <c r="E116" s="183">
        <f t="shared" si="6"/>
        <v>119767714.95019887</v>
      </c>
      <c r="F116" s="102">
        <f t="shared" si="7"/>
        <v>29941928.737549733</v>
      </c>
      <c r="G116" s="106">
        <f t="shared" si="8"/>
        <v>4.8853888323940815</v>
      </c>
      <c r="H116" s="104">
        <f t="shared" si="9"/>
        <v>585111857.09905922</v>
      </c>
    </row>
    <row r="117" spans="1:10" x14ac:dyDescent="0.3">
      <c r="A117" s="100" t="s">
        <v>51</v>
      </c>
      <c r="B117" s="100" t="s">
        <v>50</v>
      </c>
      <c r="C117" s="100" t="s">
        <v>112</v>
      </c>
      <c r="D117" s="101">
        <v>0.28000000000000003</v>
      </c>
      <c r="E117" s="183">
        <f t="shared" si="6"/>
        <v>119896082.6781536</v>
      </c>
      <c r="F117" s="102">
        <f t="shared" si="7"/>
        <v>33570903.149883009</v>
      </c>
      <c r="G117" s="106">
        <f t="shared" si="8"/>
        <v>4.8855364528237217</v>
      </c>
      <c r="H117" s="104">
        <f t="shared" si="9"/>
        <v>585756682.47488618</v>
      </c>
    </row>
    <row r="118" spans="1:10" x14ac:dyDescent="0.3">
      <c r="A118" s="100" t="s">
        <v>52</v>
      </c>
      <c r="B118" s="100" t="s">
        <v>51</v>
      </c>
      <c r="C118" s="100" t="s">
        <v>112</v>
      </c>
      <c r="D118" s="101">
        <v>0.31</v>
      </c>
      <c r="E118" s="183">
        <f t="shared" si="6"/>
        <v>120246031.71388066</v>
      </c>
      <c r="F118" s="102">
        <f t="shared" si="7"/>
        <v>37276269.831303</v>
      </c>
      <c r="G118" s="106">
        <f t="shared" si="8"/>
        <v>4.8859334258195526</v>
      </c>
      <c r="H118" s="104">
        <f t="shared" si="9"/>
        <v>587514105.67300749</v>
      </c>
    </row>
    <row r="119" spans="1:10" x14ac:dyDescent="0.3">
      <c r="A119" s="100" t="s">
        <v>53</v>
      </c>
      <c r="B119" s="100" t="s">
        <v>52</v>
      </c>
      <c r="C119" s="100" t="s">
        <v>112</v>
      </c>
      <c r="D119" s="101">
        <v>0.34</v>
      </c>
      <c r="E119" s="183">
        <f t="shared" si="6"/>
        <v>120818616.80854757</v>
      </c>
      <c r="F119" s="102">
        <f t="shared" si="7"/>
        <v>41078329.714906178</v>
      </c>
      <c r="G119" s="106">
        <f t="shared" si="8"/>
        <v>4.8865854461290388</v>
      </c>
      <c r="H119" s="104">
        <f t="shared" si="9"/>
        <v>590390494.51808977</v>
      </c>
    </row>
    <row r="120" spans="1:10" x14ac:dyDescent="0.3">
      <c r="A120" s="99" t="s">
        <v>54</v>
      </c>
      <c r="B120" s="100" t="s">
        <v>53</v>
      </c>
      <c r="C120" s="100" t="s">
        <v>112</v>
      </c>
      <c r="D120" s="101">
        <v>0.37</v>
      </c>
      <c r="E120" s="183">
        <f t="shared" si="6"/>
        <v>120964481.37211064</v>
      </c>
      <c r="F120" s="102">
        <f t="shared" si="7"/>
        <v>44756858.107680932</v>
      </c>
      <c r="G120" s="106">
        <f t="shared" si="8"/>
        <v>4.8867452473744892</v>
      </c>
      <c r="H120" s="104">
        <f t="shared" si="9"/>
        <v>591122604.44628155</v>
      </c>
    </row>
    <row r="121" spans="1:10" x14ac:dyDescent="0.3">
      <c r="A121" s="99" t="s">
        <v>55</v>
      </c>
      <c r="B121" s="99" t="s">
        <v>54</v>
      </c>
      <c r="C121" s="100" t="s">
        <v>112</v>
      </c>
      <c r="D121" s="101">
        <v>0.4</v>
      </c>
      <c r="E121" s="183">
        <f t="shared" si="6"/>
        <v>121334628.14964436</v>
      </c>
      <c r="F121" s="102">
        <f t="shared" si="7"/>
        <v>48533851.259857744</v>
      </c>
      <c r="G121" s="106">
        <f t="shared" si="8"/>
        <v>4.8871588061365072</v>
      </c>
      <c r="H121" s="104">
        <f t="shared" si="9"/>
        <v>592981596.45083296</v>
      </c>
    </row>
    <row r="122" spans="1:10" x14ac:dyDescent="0.3">
      <c r="A122" s="99" t="s">
        <v>56</v>
      </c>
      <c r="B122" s="99" t="s">
        <v>55</v>
      </c>
      <c r="C122" s="100" t="s">
        <v>112</v>
      </c>
      <c r="D122" s="101">
        <v>0.40902608000000001</v>
      </c>
      <c r="E122" s="183">
        <f t="shared" si="6"/>
        <v>121773218.24103907</v>
      </c>
      <c r="F122" s="102">
        <f t="shared" si="7"/>
        <v>49808422.106116705</v>
      </c>
      <c r="G122" s="106">
        <f t="shared" si="8"/>
        <v>4.8876468620707652</v>
      </c>
      <c r="H122" s="104">
        <f t="shared" si="9"/>
        <v>595184488.02007306</v>
      </c>
    </row>
    <row r="123" spans="1:10" x14ac:dyDescent="0.3">
      <c r="A123" s="100" t="s">
        <v>57</v>
      </c>
      <c r="B123" s="100" t="s">
        <v>56</v>
      </c>
      <c r="C123" s="100" t="s">
        <v>112</v>
      </c>
      <c r="D123" s="101">
        <v>0.41825583530041599</v>
      </c>
      <c r="E123" s="183">
        <f t="shared" si="6"/>
        <v>122585718.76878329</v>
      </c>
      <c r="F123" s="102">
        <f t="shared" si="7"/>
        <v>51272192.199539334</v>
      </c>
      <c r="G123" s="106">
        <f t="shared" si="8"/>
        <v>4.8885513544101906</v>
      </c>
      <c r="H123" s="104">
        <f t="shared" si="9"/>
        <v>599266581.51848221</v>
      </c>
    </row>
    <row r="124" spans="1:10" x14ac:dyDescent="0.3">
      <c r="A124" s="100" t="s">
        <v>58</v>
      </c>
      <c r="B124" s="100" t="s">
        <v>57</v>
      </c>
      <c r="C124" s="100" t="s">
        <v>112</v>
      </c>
      <c r="D124" s="101">
        <v>0.42769386187513697</v>
      </c>
      <c r="E124" s="183">
        <f t="shared" si="6"/>
        <v>122779325.27040835</v>
      </c>
      <c r="F124" s="102">
        <f t="shared" si="7"/>
        <v>52511963.78332454</v>
      </c>
      <c r="G124" s="106">
        <f t="shared" si="8"/>
        <v>4.8887613919940174</v>
      </c>
      <c r="H124" s="104">
        <f t="shared" si="9"/>
        <v>600238825.11704779</v>
      </c>
    </row>
    <row r="125" spans="1:10" x14ac:dyDescent="0.3">
      <c r="A125" s="100" t="s">
        <v>59</v>
      </c>
      <c r="B125" s="100" t="s">
        <v>58</v>
      </c>
      <c r="C125" s="100" t="s">
        <v>112</v>
      </c>
      <c r="D125" s="101">
        <v>0.43734485940712181</v>
      </c>
      <c r="E125" s="183">
        <f t="shared" si="6"/>
        <v>123114648.41169772</v>
      </c>
      <c r="F125" s="102">
        <f t="shared" si="7"/>
        <v>53843558.60057117</v>
      </c>
      <c r="G125" s="106">
        <f t="shared" si="8"/>
        <v>4.8891293816683392</v>
      </c>
      <c r="H125" s="104">
        <f t="shared" si="9"/>
        <v>601923444.86339867</v>
      </c>
    </row>
    <row r="126" spans="1:10" x14ac:dyDescent="0.3">
      <c r="A126" s="100" t="s">
        <v>60</v>
      </c>
      <c r="B126" s="100" t="s">
        <v>59</v>
      </c>
      <c r="C126" s="100" t="s">
        <v>112</v>
      </c>
      <c r="D126" s="101">
        <v>0.44721363362861538</v>
      </c>
      <c r="E126" s="183">
        <f t="shared" si="6"/>
        <v>123518447.04109204</v>
      </c>
      <c r="F126" s="102">
        <f t="shared" si="7"/>
        <v>55239133.521410465</v>
      </c>
      <c r="G126" s="106">
        <f t="shared" si="8"/>
        <v>4.8895675645149339</v>
      </c>
      <c r="H126" s="104">
        <f t="shared" si="9"/>
        <v>603951792.27137923</v>
      </c>
    </row>
    <row r="127" spans="1:10" x14ac:dyDescent="0.3">
      <c r="A127" s="100" t="s">
        <v>61</v>
      </c>
      <c r="B127" s="100" t="s">
        <v>60</v>
      </c>
      <c r="C127" s="100" t="s">
        <v>112</v>
      </c>
      <c r="D127" s="101">
        <v>0.45730509871417185</v>
      </c>
      <c r="E127" s="183">
        <f t="shared" si="6"/>
        <v>124046434.76088443</v>
      </c>
      <c r="F127" s="102">
        <f t="shared" si="7"/>
        <v>56727067.093467332</v>
      </c>
      <c r="G127" s="106">
        <f t="shared" si="8"/>
        <v>4.8901403201510849</v>
      </c>
      <c r="H127" s="104">
        <f t="shared" si="9"/>
        <v>606604472.1951921</v>
      </c>
    </row>
    <row r="128" spans="1:10" x14ac:dyDescent="0.3">
      <c r="A128" s="100" t="s">
        <v>62</v>
      </c>
      <c r="B128" s="100" t="s">
        <v>61</v>
      </c>
      <c r="C128" s="100" t="s">
        <v>112</v>
      </c>
      <c r="D128" s="101">
        <v>0.46762427972767689</v>
      </c>
      <c r="E128" s="183">
        <f t="shared" si="6"/>
        <v>124121991.9820438</v>
      </c>
      <c r="F128" s="102">
        <f t="shared" si="7"/>
        <v>58042457.098967724</v>
      </c>
      <c r="G128" s="106">
        <f t="shared" si="8"/>
        <v>4.8902197979040123</v>
      </c>
      <c r="H128" s="104">
        <f t="shared" si="9"/>
        <v>606983822.54587364</v>
      </c>
    </row>
    <row r="129" spans="1:8" x14ac:dyDescent="0.3">
      <c r="A129" s="100" t="s">
        <v>63</v>
      </c>
      <c r="B129" s="100" t="s">
        <v>62</v>
      </c>
      <c r="C129" s="100" t="s">
        <v>112</v>
      </c>
      <c r="D129" s="101">
        <v>0.47817631512458791</v>
      </c>
      <c r="E129" s="183">
        <f t="shared" si="6"/>
        <v>124484185.01468258</v>
      </c>
      <c r="F129" s="102">
        <f t="shared" si="7"/>
        <v>59525388.88160836</v>
      </c>
      <c r="G129" s="106">
        <f t="shared" si="8"/>
        <v>4.8906096307934241</v>
      </c>
      <c r="H129" s="104">
        <f t="shared" si="9"/>
        <v>608803554.11427701</v>
      </c>
    </row>
    <row r="130" spans="1:8" x14ac:dyDescent="0.3">
      <c r="A130" s="100" t="s">
        <v>64</v>
      </c>
      <c r="B130" s="100" t="s">
        <v>63</v>
      </c>
      <c r="C130" s="100" t="s">
        <v>112</v>
      </c>
      <c r="D130" s="101">
        <v>0.48896645931063754</v>
      </c>
      <c r="E130" s="183">
        <f t="shared" si="6"/>
        <v>124484185.01468258</v>
      </c>
      <c r="F130" s="102">
        <f t="shared" si="7"/>
        <v>60868591.18679966</v>
      </c>
      <c r="G130" s="106">
        <v>4.8906096307934241</v>
      </c>
      <c r="H130" s="104">
        <f t="shared" si="9"/>
        <v>608803554.11427701</v>
      </c>
    </row>
    <row r="131" spans="1:8" x14ac:dyDescent="0.3">
      <c r="A131" s="100" t="s">
        <v>65</v>
      </c>
      <c r="B131" s="100" t="s">
        <v>64</v>
      </c>
      <c r="C131" s="100" t="s">
        <v>112</v>
      </c>
      <c r="D131" s="101">
        <v>0.50000008525827411</v>
      </c>
      <c r="E131" s="183">
        <f t="shared" si="6"/>
        <v>124484185.01468258</v>
      </c>
      <c r="F131" s="102">
        <f t="shared" si="7"/>
        <v>62242103.120648056</v>
      </c>
      <c r="G131" s="106">
        <v>4.8906096307934241</v>
      </c>
      <c r="H131" s="104">
        <f t="shared" si="9"/>
        <v>608803554.11427701</v>
      </c>
    </row>
    <row r="132" spans="1:8" x14ac:dyDescent="0.3">
      <c r="A132" s="100" t="s">
        <v>66</v>
      </c>
      <c r="B132" s="100" t="s">
        <v>65</v>
      </c>
      <c r="C132" s="100" t="s">
        <v>112</v>
      </c>
      <c r="D132" s="101">
        <v>0.5</v>
      </c>
      <c r="E132" s="183">
        <f t="shared" si="6"/>
        <v>124484185.01468258</v>
      </c>
      <c r="F132" s="102">
        <f t="shared" si="7"/>
        <v>62242092.507341288</v>
      </c>
      <c r="G132" s="106">
        <v>4.8906096307934241</v>
      </c>
      <c r="H132" s="104">
        <f t="shared" si="9"/>
        <v>608803554.11427701</v>
      </c>
    </row>
    <row r="133" spans="1:8" x14ac:dyDescent="0.3">
      <c r="A133" s="100" t="s">
        <v>67</v>
      </c>
      <c r="B133" s="100" t="s">
        <v>66</v>
      </c>
      <c r="C133" s="100" t="s">
        <v>112</v>
      </c>
      <c r="D133" s="101">
        <v>0.5</v>
      </c>
      <c r="E133" s="183">
        <f t="shared" si="6"/>
        <v>124484185.01468258</v>
      </c>
      <c r="F133" s="102">
        <f t="shared" si="7"/>
        <v>62242092.507341288</v>
      </c>
      <c r="G133" s="106">
        <v>4.8906096307934241</v>
      </c>
      <c r="H133" s="104">
        <f t="shared" si="9"/>
        <v>608803554.11427701</v>
      </c>
    </row>
    <row r="153" spans="1:7" x14ac:dyDescent="0.3">
      <c r="A153" s="312" t="s">
        <v>272</v>
      </c>
      <c r="B153" s="312"/>
    </row>
    <row r="154" spans="1:7" x14ac:dyDescent="0.3">
      <c r="B154" s="115" t="s">
        <v>94</v>
      </c>
      <c r="C154" s="115" t="s">
        <v>106</v>
      </c>
      <c r="D154" s="115" t="s">
        <v>108</v>
      </c>
      <c r="E154" s="115" t="s">
        <v>113</v>
      </c>
    </row>
    <row r="155" spans="1:7" x14ac:dyDescent="0.3">
      <c r="B155" s="58">
        <v>36479342</v>
      </c>
      <c r="C155" s="58">
        <v>64071946</v>
      </c>
      <c r="D155" s="176">
        <v>13556</v>
      </c>
      <c r="E155" s="114">
        <f>SUM(B155:D155)</f>
        <v>100564844</v>
      </c>
    </row>
    <row r="157" spans="1:7" ht="28.8" x14ac:dyDescent="0.3">
      <c r="A157" s="54" t="s">
        <v>43</v>
      </c>
      <c r="B157" s="115" t="s">
        <v>94</v>
      </c>
      <c r="C157" s="115" t="s">
        <v>106</v>
      </c>
      <c r="D157" s="115" t="s">
        <v>108</v>
      </c>
      <c r="E157" s="156" t="s">
        <v>114</v>
      </c>
    </row>
    <row r="158" spans="1:7" x14ac:dyDescent="0.3">
      <c r="A158" s="100" t="s">
        <v>45</v>
      </c>
      <c r="B158" s="58">
        <v>127735489.63</v>
      </c>
      <c r="C158" s="58">
        <v>231935972.97999999</v>
      </c>
      <c r="D158" s="58">
        <v>474375.6574387094</v>
      </c>
      <c r="E158" s="113">
        <f t="shared" ref="E158:E180" si="10">B158+C158+D158</f>
        <v>360145838.26743871</v>
      </c>
      <c r="G158" s="117"/>
    </row>
    <row r="159" spans="1:7" x14ac:dyDescent="0.3">
      <c r="A159" s="100" t="s">
        <v>46</v>
      </c>
      <c r="B159" s="114">
        <f>'RPS Spend Model'!S33</f>
        <v>151287858.21586549</v>
      </c>
      <c r="C159" s="114">
        <f>'RPS Spend Model'!S61</f>
        <v>249200373.62610886</v>
      </c>
      <c r="D159" s="17">
        <f>'RPS Spend Model'!S89</f>
        <v>468270.90141703538</v>
      </c>
      <c r="E159" s="113">
        <f t="shared" si="10"/>
        <v>400956502.74339139</v>
      </c>
    </row>
    <row r="160" spans="1:7" x14ac:dyDescent="0.3">
      <c r="A160" s="100" t="s">
        <v>47</v>
      </c>
      <c r="B160" s="114">
        <f>'RPS Spend Model'!S34</f>
        <v>192369124.61704785</v>
      </c>
      <c r="C160" s="114">
        <f>'RPS Spend Model'!S62</f>
        <v>336191495.78353631</v>
      </c>
      <c r="D160" s="17">
        <f>'RPS Spend Model'!S90</f>
        <v>890176.7993558133</v>
      </c>
      <c r="E160" s="113">
        <f t="shared" si="10"/>
        <v>529450797.19993997</v>
      </c>
    </row>
    <row r="161" spans="1:5" x14ac:dyDescent="0.3">
      <c r="A161" s="99" t="s">
        <v>48</v>
      </c>
      <c r="B161" s="114">
        <f>'RPS Spend Model'!S35</f>
        <v>161713296.42536601</v>
      </c>
      <c r="C161" s="114">
        <f>'RPS Spend Model'!S63</f>
        <v>252156138.59137815</v>
      </c>
      <c r="D161" s="17">
        <f>'RPS Spend Model'!S91</f>
        <v>649908.25656021433</v>
      </c>
      <c r="E161" s="113">
        <f t="shared" si="10"/>
        <v>414519343.27330434</v>
      </c>
    </row>
    <row r="162" spans="1:5" x14ac:dyDescent="0.3">
      <c r="A162" s="99" t="s">
        <v>49</v>
      </c>
      <c r="B162" s="114">
        <f>'RPS Spend Model'!S36</f>
        <v>165538819.57143971</v>
      </c>
      <c r="C162" s="114">
        <f>'RPS Spend Model'!S64</f>
        <v>262666226.62241888</v>
      </c>
      <c r="D162" s="17">
        <f>'RPS Spend Model'!S92</f>
        <v>703318.67141996673</v>
      </c>
      <c r="E162" s="113">
        <f t="shared" si="10"/>
        <v>428908364.8652786</v>
      </c>
    </row>
    <row r="163" spans="1:5" x14ac:dyDescent="0.3">
      <c r="A163" s="99" t="s">
        <v>50</v>
      </c>
      <c r="B163" s="114">
        <f>'RPS Spend Model'!S37</f>
        <v>162808389.57215872</v>
      </c>
      <c r="C163" s="114">
        <f>'RPS Spend Model'!S65</f>
        <v>250486484.14213598</v>
      </c>
      <c r="D163" s="17">
        <f>'RPS Spend Model'!S93</f>
        <v>713510.33796075149</v>
      </c>
      <c r="E163" s="113">
        <f t="shared" si="10"/>
        <v>414008384.05225545</v>
      </c>
    </row>
    <row r="164" spans="1:5" x14ac:dyDescent="0.3">
      <c r="A164" s="100" t="s">
        <v>51</v>
      </c>
      <c r="B164" s="114">
        <f>'RPS Spend Model'!S38</f>
        <v>163325801.79857743</v>
      </c>
      <c r="C164" s="114">
        <f>'RPS Spend Model'!S66</f>
        <v>256852140.34356475</v>
      </c>
      <c r="D164" s="17">
        <f>'RPS Spend Model'!S94</f>
        <v>741702.34244912863</v>
      </c>
      <c r="E164" s="113">
        <f t="shared" si="10"/>
        <v>420919644.48459131</v>
      </c>
    </row>
    <row r="165" spans="1:5" x14ac:dyDescent="0.3">
      <c r="A165" s="100" t="s">
        <v>52</v>
      </c>
      <c r="B165" s="114">
        <f>'RPS Spend Model'!S39</f>
        <v>166310866.29814085</v>
      </c>
      <c r="C165" s="114">
        <f>'RPS Spend Model'!S67</f>
        <v>269673905.22424632</v>
      </c>
      <c r="D165" s="17">
        <f>'RPS Spend Model'!S95</f>
        <v>782209.04011545796</v>
      </c>
      <c r="E165" s="113">
        <f t="shared" si="10"/>
        <v>436766980.56250262</v>
      </c>
    </row>
    <row r="166" spans="1:5" x14ac:dyDescent="0.3">
      <c r="A166" s="100" t="s">
        <v>53</v>
      </c>
      <c r="B166" s="114">
        <f>'RPS Spend Model'!S40</f>
        <v>158185339.49594304</v>
      </c>
      <c r="C166" s="114">
        <f>'RPS Spend Model'!S68</f>
        <v>248319609.56339246</v>
      </c>
      <c r="D166" s="17">
        <f>'RPS Spend Model'!S96</f>
        <v>727419.33347812621</v>
      </c>
      <c r="E166" s="113">
        <f t="shared" si="10"/>
        <v>407232368.39281362</v>
      </c>
    </row>
    <row r="167" spans="1:5" x14ac:dyDescent="0.3">
      <c r="A167" s="99" t="s">
        <v>54</v>
      </c>
      <c r="B167" s="114">
        <f>'RPS Spend Model'!S41</f>
        <v>134746607.15366167</v>
      </c>
      <c r="C167" s="114">
        <f>'RPS Spend Model'!S69</f>
        <v>199233935.7494269</v>
      </c>
      <c r="D167" s="17">
        <f>'RPS Spend Model'!S97</f>
        <v>540584.27872783598</v>
      </c>
      <c r="E167" s="113">
        <f t="shared" si="10"/>
        <v>334521127.1818164</v>
      </c>
    </row>
    <row r="168" spans="1:5" x14ac:dyDescent="0.3">
      <c r="A168" s="99" t="s">
        <v>55</v>
      </c>
      <c r="B168" s="114">
        <f>'RPS Spend Model'!S42</f>
        <v>112382051.81585807</v>
      </c>
      <c r="C168" s="114">
        <f>'RPS Spend Model'!S70</f>
        <v>153868212.78582126</v>
      </c>
      <c r="D168" s="17">
        <f>'RPS Spend Model'!S98</f>
        <v>363976.60239328677</v>
      </c>
      <c r="E168" s="113">
        <f t="shared" si="10"/>
        <v>266614241.20407262</v>
      </c>
    </row>
    <row r="169" spans="1:5" x14ac:dyDescent="0.3">
      <c r="A169" s="99" t="s">
        <v>56</v>
      </c>
      <c r="B169" s="114">
        <f>'RPS Spend Model'!S43</f>
        <v>87162045.280903399</v>
      </c>
      <c r="C169" s="114">
        <f>'RPS Spend Model'!S71</f>
        <v>92822616.395416439</v>
      </c>
      <c r="D169" s="17">
        <f>'RPS Spend Model'!S99</f>
        <v>163604.17791740922</v>
      </c>
      <c r="E169" s="113">
        <f t="shared" si="10"/>
        <v>180148265.85423726</v>
      </c>
    </row>
    <row r="170" spans="1:5" x14ac:dyDescent="0.3">
      <c r="A170" s="100" t="s">
        <v>57</v>
      </c>
      <c r="B170" s="114">
        <f>'RPS Spend Model'!S44</f>
        <v>59972687.972524405</v>
      </c>
      <c r="C170" s="114">
        <f>'RPS Spend Model'!S72</f>
        <v>38798711.961548865</v>
      </c>
      <c r="D170" s="17">
        <f>'RPS Spend Model'!S100</f>
        <v>-10512.176088894252</v>
      </c>
      <c r="E170" s="113">
        <f t="shared" si="10"/>
        <v>98760887.75798437</v>
      </c>
    </row>
    <row r="171" spans="1:5" x14ac:dyDescent="0.3">
      <c r="A171" s="100" t="s">
        <v>58</v>
      </c>
      <c r="B171" s="114">
        <f>'RPS Spend Model'!S45</f>
        <v>32477168.468271106</v>
      </c>
      <c r="C171" s="114">
        <f>'RPS Spend Model'!S73</f>
        <v>-11955626.562014997</v>
      </c>
      <c r="D171" s="17">
        <f>'RPS Spend Model'!S101</f>
        <v>-186382.80853672861</v>
      </c>
      <c r="E171" s="113">
        <f t="shared" si="10"/>
        <v>20335159.097719382</v>
      </c>
    </row>
    <row r="172" spans="1:5" x14ac:dyDescent="0.3">
      <c r="A172" s="100" t="s">
        <v>59</v>
      </c>
      <c r="B172" s="114">
        <f>'RPS Spend Model'!S46</f>
        <v>23859383.28103283</v>
      </c>
      <c r="C172" s="114">
        <f>'RPS Spend Model'!S74</f>
        <v>-11799285.070923924</v>
      </c>
      <c r="D172" s="17">
        <f>'RPS Spend Model'!S102</f>
        <v>-78013.547618055949</v>
      </c>
      <c r="E172" s="113">
        <f t="shared" si="10"/>
        <v>11982084.66249085</v>
      </c>
    </row>
    <row r="173" spans="1:5" x14ac:dyDescent="0.3">
      <c r="A173" s="100" t="s">
        <v>60</v>
      </c>
      <c r="B173" s="114">
        <f>'RPS Spend Model'!S47</f>
        <v>22614478.805489004</v>
      </c>
      <c r="C173" s="114">
        <f>'RPS Spend Model'!S75</f>
        <v>9593584.0986947417</v>
      </c>
      <c r="D173" s="17">
        <f>'RPS Spend Model'!S103</f>
        <v>94780.892655408708</v>
      </c>
      <c r="E173" s="113">
        <f t="shared" si="10"/>
        <v>32302843.796839155</v>
      </c>
    </row>
    <row r="174" spans="1:5" x14ac:dyDescent="0.3">
      <c r="A174" s="100" t="s">
        <v>61</v>
      </c>
      <c r="B174" s="114">
        <f>'RPS Spend Model'!S48</f>
        <v>31495320.029079914</v>
      </c>
      <c r="C174" s="114">
        <f>'RPS Spend Model'!S76</f>
        <v>95832678.642219365</v>
      </c>
      <c r="D174" s="17">
        <f>'RPS Spend Model'!S104</f>
        <v>358890.99805605086</v>
      </c>
      <c r="E174" s="113">
        <f t="shared" si="10"/>
        <v>127686889.66935533</v>
      </c>
    </row>
    <row r="175" spans="1:5" x14ac:dyDescent="0.3">
      <c r="A175" s="100" t="s">
        <v>62</v>
      </c>
      <c r="B175" s="114">
        <f>'RPS Spend Model'!S49</f>
        <v>60335856.244125903</v>
      </c>
      <c r="C175" s="114">
        <f>'RPS Spend Model'!S77</f>
        <v>236392881.9861092</v>
      </c>
      <c r="D175" s="17">
        <f>'RPS Spend Model'!S105</f>
        <v>809562.30244315648</v>
      </c>
      <c r="E175" s="113">
        <f t="shared" si="10"/>
        <v>297538300.53267825</v>
      </c>
    </row>
    <row r="176" spans="1:5" x14ac:dyDescent="0.3">
      <c r="A176" s="100" t="s">
        <v>63</v>
      </c>
      <c r="B176" s="114">
        <f>'RPS Spend Model'!S50</f>
        <v>105273772.8833359</v>
      </c>
      <c r="C176" s="114">
        <f>'RPS Spend Model'!S78</f>
        <v>420020973.43127775</v>
      </c>
      <c r="D176" s="17">
        <f>'RPS Spend Model'!S106</f>
        <v>1400253.6132063009</v>
      </c>
      <c r="E176" s="113">
        <f t="shared" si="10"/>
        <v>526694999.92781997</v>
      </c>
    </row>
    <row r="177" spans="1:5" x14ac:dyDescent="0.3">
      <c r="A177" s="100" t="s">
        <v>64</v>
      </c>
      <c r="B177" s="114">
        <f>'RPS Spend Model'!S51</f>
        <v>181766394.90409261</v>
      </c>
      <c r="C177" s="114">
        <f>'RPS Spend Model'!S79</f>
        <v>652926440.58016872</v>
      </c>
      <c r="D177" s="17">
        <f>'RPS Spend Model'!S107</f>
        <v>2146566.511764498</v>
      </c>
      <c r="E177" s="113">
        <f t="shared" si="10"/>
        <v>836839401.9960258</v>
      </c>
    </row>
    <row r="178" spans="1:5" x14ac:dyDescent="0.3">
      <c r="A178" s="100" t="s">
        <v>65</v>
      </c>
      <c r="B178" s="114">
        <f>'RPS Spend Model'!S52</f>
        <v>276728480.58089089</v>
      </c>
      <c r="C178" s="114">
        <f>'RPS Spend Model'!S80</f>
        <v>934811345.99547505</v>
      </c>
      <c r="D178" s="17">
        <f>'RPS Spend Model'!S108</f>
        <v>3053113.0616325224</v>
      </c>
      <c r="E178" s="113">
        <f t="shared" si="10"/>
        <v>1214592939.6379986</v>
      </c>
    </row>
    <row r="179" spans="1:5" x14ac:dyDescent="0.3">
      <c r="A179" s="100" t="s">
        <v>66</v>
      </c>
      <c r="B179" s="114">
        <f>'RPS Spend Model'!S53</f>
        <v>389316589.66917491</v>
      </c>
      <c r="C179" s="114">
        <f>'RPS Spend Model'!S81</f>
        <v>1263438958.2723775</v>
      </c>
      <c r="D179" s="17">
        <f>'RPS Spend Model'!S109</f>
        <v>4112575.9138844009</v>
      </c>
      <c r="E179" s="113">
        <f t="shared" si="10"/>
        <v>1656868123.8554368</v>
      </c>
    </row>
    <row r="180" spans="1:5" x14ac:dyDescent="0.3">
      <c r="A180" s="100" t="s">
        <v>67</v>
      </c>
      <c r="B180" s="114">
        <f>'RPS Spend Model'!S54</f>
        <v>532594939.97736454</v>
      </c>
      <c r="C180" s="114">
        <f>'RPS Spend Model'!S82</f>
        <v>1673454465.8994544</v>
      </c>
      <c r="D180" s="17">
        <f>'RPS Spend Model'!S110</f>
        <v>5438294.9770271806</v>
      </c>
      <c r="E180" s="113">
        <f t="shared" si="10"/>
        <v>2211487700.8538461</v>
      </c>
    </row>
  </sheetData>
  <mergeCells count="1">
    <mergeCell ref="A153:B153"/>
  </mergeCells>
  <printOptions horizontalCentered="1" verticalCentered="1"/>
  <pageMargins left="0.25" right="0.25" top="0.75" bottom="0.75" header="0.3" footer="0.3"/>
  <pageSetup scale="85" orientation="landscape" r:id="rId1"/>
  <headerFooter>
    <oddHeader>&amp;A</oddHeader>
  </headerFooter>
  <rowBreaks count="4" manualBreakCount="4">
    <brk id="38" max="16383" man="1"/>
    <brk id="71" max="16383" man="1"/>
    <brk id="102" max="16383" man="1"/>
    <brk id="15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4D49F-52C0-4757-96DC-76C603A5B336}">
  <dimension ref="B3:AF83"/>
  <sheetViews>
    <sheetView zoomScale="110" zoomScaleNormal="110" workbookViewId="0"/>
  </sheetViews>
  <sheetFormatPr defaultColWidth="16.5546875" defaultRowHeight="14.4" x14ac:dyDescent="0.3"/>
  <sheetData>
    <row r="3" spans="2:32" x14ac:dyDescent="0.3">
      <c r="B3" s="313" t="s">
        <v>208</v>
      </c>
      <c r="C3" s="313"/>
      <c r="D3" s="313"/>
      <c r="J3" s="313" t="s">
        <v>209</v>
      </c>
      <c r="K3" s="313"/>
      <c r="L3" s="313"/>
      <c r="R3" s="313" t="s">
        <v>210</v>
      </c>
      <c r="S3" s="313"/>
      <c r="T3" s="313"/>
      <c r="Z3" s="313" t="s">
        <v>211</v>
      </c>
      <c r="AA3" s="313"/>
      <c r="AB3" s="313"/>
    </row>
    <row r="4" spans="2:32" ht="57.6" x14ac:dyDescent="0.3">
      <c r="B4" s="54" t="s">
        <v>43</v>
      </c>
      <c r="C4" s="54" t="s">
        <v>95</v>
      </c>
      <c r="D4" s="54" t="s">
        <v>212</v>
      </c>
      <c r="E4" s="54" t="s">
        <v>107</v>
      </c>
      <c r="F4" s="54" t="s">
        <v>99</v>
      </c>
      <c r="G4" s="54" t="s">
        <v>100</v>
      </c>
      <c r="H4" s="54" t="s">
        <v>101</v>
      </c>
      <c r="J4" s="54" t="s">
        <v>43</v>
      </c>
      <c r="K4" s="54" t="s">
        <v>95</v>
      </c>
      <c r="L4" s="54" t="s">
        <v>212</v>
      </c>
      <c r="M4" s="54" t="s">
        <v>107</v>
      </c>
      <c r="N4" s="54" t="s">
        <v>99</v>
      </c>
      <c r="O4" s="54" t="s">
        <v>100</v>
      </c>
      <c r="P4" s="54" t="s">
        <v>101</v>
      </c>
      <c r="R4" s="54" t="s">
        <v>43</v>
      </c>
      <c r="S4" s="54" t="s">
        <v>95</v>
      </c>
      <c r="T4" s="54" t="s">
        <v>212</v>
      </c>
      <c r="U4" s="54" t="s">
        <v>107</v>
      </c>
      <c r="V4" s="54" t="s">
        <v>99</v>
      </c>
      <c r="W4" s="54" t="s">
        <v>100</v>
      </c>
      <c r="X4" s="54" t="s">
        <v>101</v>
      </c>
      <c r="Z4" s="54" t="s">
        <v>43</v>
      </c>
      <c r="AA4" s="54" t="s">
        <v>95</v>
      </c>
      <c r="AB4" s="54" t="s">
        <v>212</v>
      </c>
      <c r="AC4" s="54" t="s">
        <v>107</v>
      </c>
      <c r="AD4" s="54" t="s">
        <v>99</v>
      </c>
      <c r="AE4" s="54" t="s">
        <v>100</v>
      </c>
      <c r="AF4" s="54" t="s">
        <v>101</v>
      </c>
    </row>
    <row r="5" spans="2:32" x14ac:dyDescent="0.3">
      <c r="B5" s="100" t="s">
        <v>45</v>
      </c>
      <c r="C5" s="170" t="s">
        <v>105</v>
      </c>
      <c r="D5" s="164">
        <f>'Collections and ACP'!D111</f>
        <v>0.17500000000000004</v>
      </c>
      <c r="E5" s="165">
        <f>'Collections and ACP'!E111</f>
        <v>120852469.47880016</v>
      </c>
      <c r="F5" s="165">
        <f>'Collections and ACP'!F111</f>
        <v>21149182.158790033</v>
      </c>
      <c r="G5" s="166">
        <f>'Collections and ACP'!G111</f>
        <v>1.8637269201154412</v>
      </c>
      <c r="H5" s="165">
        <f>'Collections and ACP'!H111</f>
        <v>225236000.73006958</v>
      </c>
      <c r="J5" s="100" t="s">
        <v>45</v>
      </c>
      <c r="K5" s="170" t="s">
        <v>105</v>
      </c>
      <c r="L5" s="164">
        <f>'Collections and ACP'!D7</f>
        <v>0.17500000000000004</v>
      </c>
      <c r="M5" s="165">
        <f>'Collections and ACP'!E7</f>
        <v>35620834.881999999</v>
      </c>
      <c r="N5" s="165">
        <f>'Collections and ACP'!F7</f>
        <v>6233646.1043500016</v>
      </c>
      <c r="O5" s="9">
        <f>'Collections and ACP'!G7</f>
        <v>1.8053999999999999</v>
      </c>
      <c r="P5" s="165">
        <f>'Collections and ACP'!H7</f>
        <v>64309855.295962796</v>
      </c>
      <c r="R5" s="100" t="s">
        <v>45</v>
      </c>
      <c r="S5" s="100" t="s">
        <v>105</v>
      </c>
      <c r="T5" s="164">
        <f>'Collections and ACP'!D46</f>
        <v>0.17500000000000004</v>
      </c>
      <c r="U5" s="165">
        <f>'Collections and ACP'!E46</f>
        <v>84760183.147</v>
      </c>
      <c r="V5" s="165">
        <f>'Collections and ACP'!F46</f>
        <v>14833032.050725004</v>
      </c>
      <c r="W5" s="169">
        <f>'Collections and ACP'!G46</f>
        <v>1.8916999999999999</v>
      </c>
      <c r="X5" s="165">
        <f>'Collections and ACP'!H46</f>
        <v>160340838.45917991</v>
      </c>
      <c r="Z5" s="100" t="s">
        <v>45</v>
      </c>
      <c r="AA5" s="100" t="s">
        <v>105</v>
      </c>
      <c r="AB5" s="164">
        <f>'Collections and ACP'!D79</f>
        <v>0.17500000000000004</v>
      </c>
      <c r="AC5" s="165">
        <f>'Collections and ACP'!E79</f>
        <v>471451.44980015844</v>
      </c>
      <c r="AD5" s="165">
        <f>'Collections and ACP'!F79</f>
        <v>82504.003715027749</v>
      </c>
      <c r="AE5" s="168">
        <f>'Collections and ACP'!G79</f>
        <v>1.2415</v>
      </c>
      <c r="AF5" s="165">
        <f>'Collections and ACP'!H79</f>
        <v>585306.97492689674</v>
      </c>
    </row>
    <row r="6" spans="2:32" x14ac:dyDescent="0.3">
      <c r="B6" s="100" t="s">
        <v>46</v>
      </c>
      <c r="C6" s="170" t="s">
        <v>45</v>
      </c>
      <c r="D6" s="164">
        <f>'Collections and ACP'!D112</f>
        <v>0.19000000000000006</v>
      </c>
      <c r="E6" s="165">
        <f>'Collections and ACP'!E112</f>
        <v>119923435.18328001</v>
      </c>
      <c r="F6" s="165">
        <f>'Collections and ACP'!F112</f>
        <v>22785452.684823208</v>
      </c>
      <c r="G6" s="166">
        <f>'Collections and ACP'!G112</f>
        <v>3.8752878926725569</v>
      </c>
      <c r="H6" s="165">
        <f>'Collections and ACP'!H112</f>
        <v>464737836.41346717</v>
      </c>
      <c r="J6" s="100" t="s">
        <v>46</v>
      </c>
      <c r="K6" s="170" t="s">
        <v>45</v>
      </c>
      <c r="L6" s="164">
        <f>'Collections and ACP'!D8</f>
        <v>0.19000000000000006</v>
      </c>
      <c r="M6" s="165">
        <f>'Collections and ACP'!E8</f>
        <v>35458611</v>
      </c>
      <c r="N6" s="165">
        <f>'Collections and ACP'!F8</f>
        <v>6737136.0900000017</v>
      </c>
      <c r="O6" s="168">
        <f>'Collections and ACP'!G8</f>
        <v>3.652133333333333</v>
      </c>
      <c r="P6" s="165">
        <f>'Collections and ACP'!H8</f>
        <v>129499575.18679999</v>
      </c>
      <c r="R6" s="100" t="s">
        <v>46</v>
      </c>
      <c r="S6" s="100" t="s">
        <v>45</v>
      </c>
      <c r="T6" s="164">
        <f>'Collections and ACP'!D47</f>
        <v>0.19000000000000006</v>
      </c>
      <c r="U6" s="165">
        <f>'Collections and ACP'!E47</f>
        <v>83931773.183280006</v>
      </c>
      <c r="V6" s="165">
        <f>'Collections and ACP'!F47</f>
        <v>15947036.904823206</v>
      </c>
      <c r="W6" s="169">
        <f>'Collections and ACP'!G47</f>
        <v>3.980433333333333</v>
      </c>
      <c r="X6" s="165">
        <f>'Collections and ACP'!H47</f>
        <v>334084827.7045005</v>
      </c>
      <c r="Z6" s="100" t="s">
        <v>46</v>
      </c>
      <c r="AA6" s="100" t="s">
        <v>45</v>
      </c>
      <c r="AB6" s="164">
        <f>'Collections and ACP'!D80</f>
        <v>0.19000000000000006</v>
      </c>
      <c r="AC6" s="165">
        <f>'Collections and ACP'!E80</f>
        <v>533051</v>
      </c>
      <c r="AD6" s="165">
        <f>'Collections and ACP'!F80</f>
        <v>101279.69000000003</v>
      </c>
      <c r="AE6" s="168">
        <f>'Collections and ACP'!G80</f>
        <v>2.1638333333333333</v>
      </c>
      <c r="AF6" s="165">
        <f>'Collections and ACP'!H80</f>
        <v>1153433.5221666666</v>
      </c>
    </row>
    <row r="7" spans="2:32" x14ac:dyDescent="0.3">
      <c r="B7" s="100" t="s">
        <v>47</v>
      </c>
      <c r="C7" s="170" t="s">
        <v>46</v>
      </c>
      <c r="D7" s="164">
        <f>'Collections and ACP'!D113</f>
        <v>0.20500000000000007</v>
      </c>
      <c r="E7" s="165">
        <f>'Collections and ACP'!E113</f>
        <v>120302327.86629322</v>
      </c>
      <c r="F7" s="165">
        <f>'Collections and ACP'!F113</f>
        <v>24661977.212590121</v>
      </c>
      <c r="G7" s="166">
        <f>'Collections and ACP'!G113</f>
        <v>4.883222167713746</v>
      </c>
      <c r="H7" s="165">
        <f>'Collections and ACP'!H113</f>
        <v>587462994.26425016</v>
      </c>
      <c r="J7" s="100" t="s">
        <v>47</v>
      </c>
      <c r="K7" s="170" t="s">
        <v>46</v>
      </c>
      <c r="L7" s="164">
        <f>'Collections and ACP'!D9</f>
        <v>0.20500000000000007</v>
      </c>
      <c r="M7" s="165">
        <f>'Collections and ACP'!E9</f>
        <v>35074493</v>
      </c>
      <c r="N7" s="165">
        <f>'Collections and ACP'!F9</f>
        <v>7190271.0650000023</v>
      </c>
      <c r="O7" s="9">
        <f>'Collections and ACP'!G9</f>
        <v>4.5754999999999999</v>
      </c>
      <c r="P7" s="165">
        <f>'Collections and ACP'!H9</f>
        <v>160483342.72150001</v>
      </c>
      <c r="R7" s="100" t="s">
        <v>47</v>
      </c>
      <c r="S7" s="100" t="s">
        <v>46</v>
      </c>
      <c r="T7" s="164">
        <f>'Collections and ACP'!D48</f>
        <v>0.20500000000000007</v>
      </c>
      <c r="U7" s="165">
        <f>'Collections and ACP'!E48</f>
        <v>84697301.866293222</v>
      </c>
      <c r="V7" s="165">
        <f>'Collections and ACP'!F48</f>
        <v>17362946.882590115</v>
      </c>
      <c r="W7" s="169">
        <f>'Collections and ACP'!G48</f>
        <v>5.0247999999999999</v>
      </c>
      <c r="X7" s="165">
        <f>'Collections and ACP'!H48</f>
        <v>425587002.41775018</v>
      </c>
      <c r="Z7" s="100" t="s">
        <v>47</v>
      </c>
      <c r="AA7" s="100" t="s">
        <v>46</v>
      </c>
      <c r="AB7" s="164">
        <f>'Collections and ACP'!D81</f>
        <v>0.20500000000000007</v>
      </c>
      <c r="AC7" s="165">
        <f>'Collections and ACP'!E81</f>
        <v>530533</v>
      </c>
      <c r="AD7" s="165">
        <f>'Collections and ACP'!F81</f>
        <v>108759.26500000004</v>
      </c>
      <c r="AE7" s="168">
        <f>'Collections and ACP'!G81</f>
        <v>2.625</v>
      </c>
      <c r="AF7" s="165">
        <f>'Collections and ACP'!H81</f>
        <v>1392649.125</v>
      </c>
    </row>
    <row r="8" spans="2:32" x14ac:dyDescent="0.3">
      <c r="B8" s="99" t="s">
        <v>48</v>
      </c>
      <c r="C8" s="170" t="s">
        <v>47</v>
      </c>
      <c r="D8" s="164">
        <f>'Collections and ACP'!D114</f>
        <v>0.22000000000000008</v>
      </c>
      <c r="E8" s="165">
        <f>'Collections and ACP'!E114</f>
        <v>120592730.96994808</v>
      </c>
      <c r="F8" s="165">
        <f>'Collections and ACP'!F114</f>
        <v>26530400.81338859</v>
      </c>
      <c r="G8" s="166">
        <f>'Collections and ACP'!G114</f>
        <v>4.8841123877895436</v>
      </c>
      <c r="H8" s="165">
        <f>'Collections and ACP'!H114</f>
        <v>588988451.20769513</v>
      </c>
      <c r="J8" s="99" t="s">
        <v>48</v>
      </c>
      <c r="K8" s="170" t="s">
        <v>47</v>
      </c>
      <c r="L8" s="164">
        <f>'Collections and ACP'!D10</f>
        <v>0.22000000000000008</v>
      </c>
      <c r="M8" s="165">
        <f>'Collections and ACP'!E10</f>
        <v>34924843</v>
      </c>
      <c r="N8" s="165">
        <f>'Collections and ACP'!F10</f>
        <v>7683465.4600000028</v>
      </c>
      <c r="O8" s="9">
        <f>'Collections and ACP'!G10</f>
        <v>4.5754999999999999</v>
      </c>
      <c r="P8" s="165">
        <f>'Collections and ACP'!H10</f>
        <v>159798619.14649999</v>
      </c>
      <c r="R8" s="99" t="s">
        <v>48</v>
      </c>
      <c r="S8" s="100" t="s">
        <v>47</v>
      </c>
      <c r="T8" s="164">
        <f>'Collections and ACP'!D49</f>
        <v>0.22000000000000008</v>
      </c>
      <c r="U8" s="165">
        <f>'Collections and ACP'!E49</f>
        <v>85136938.969948083</v>
      </c>
      <c r="V8" s="165">
        <f>'Collections and ACP'!F49</f>
        <v>18730126.573388584</v>
      </c>
      <c r="W8" s="169">
        <f>'Collections and ACP'!G49</f>
        <v>5.0247999999999999</v>
      </c>
      <c r="X8" s="165">
        <f>'Collections and ACP'!H49</f>
        <v>427796090.93619514</v>
      </c>
      <c r="Z8" s="99" t="s">
        <v>48</v>
      </c>
      <c r="AA8" s="100" t="s">
        <v>47</v>
      </c>
      <c r="AB8" s="164">
        <f>'Collections and ACP'!D82</f>
        <v>0.22000000000000008</v>
      </c>
      <c r="AC8" s="165">
        <f>'Collections and ACP'!E82</f>
        <v>530949</v>
      </c>
      <c r="AD8" s="165">
        <f>'Collections and ACP'!F82</f>
        <v>116808.78000000004</v>
      </c>
      <c r="AE8" s="168">
        <f>'Collections and ACP'!G82</f>
        <v>2.625</v>
      </c>
      <c r="AF8" s="165">
        <f>'Collections and ACP'!H82</f>
        <v>1393741.125</v>
      </c>
    </row>
    <row r="9" spans="2:32" x14ac:dyDescent="0.3">
      <c r="B9" s="99" t="s">
        <v>49</v>
      </c>
      <c r="C9" s="171" t="s">
        <v>48</v>
      </c>
      <c r="D9" s="164">
        <f>'Collections and ACP'!D115</f>
        <v>0.2350000000000001</v>
      </c>
      <c r="E9" s="165">
        <f>'Collections and ACP'!E115</f>
        <v>120183379.83261608</v>
      </c>
      <c r="F9" s="165">
        <f>'Collections and ACP'!F115</f>
        <v>28243094.260664791</v>
      </c>
      <c r="G9" s="166">
        <f>'Collections and ACP'!G115</f>
        <v>4.8851611017615468</v>
      </c>
      <c r="H9" s="165">
        <f>'Collections and ACP'!H115</f>
        <v>587115172.23652923</v>
      </c>
      <c r="J9" s="99" t="s">
        <v>49</v>
      </c>
      <c r="K9" s="171" t="s">
        <v>48</v>
      </c>
      <c r="L9" s="164">
        <f>'Collections and ACP'!D11</f>
        <v>0.2350000000000001</v>
      </c>
      <c r="M9" s="165">
        <f>'Collections and ACP'!E11</f>
        <v>34518654</v>
      </c>
      <c r="N9" s="165">
        <f>'Collections and ACP'!F11</f>
        <v>8111883.6900000032</v>
      </c>
      <c r="O9" s="9">
        <f>'Collections and ACP'!G11</f>
        <v>4.5754999999999999</v>
      </c>
      <c r="P9" s="165">
        <f>'Collections and ACP'!H11</f>
        <v>157940101.377</v>
      </c>
      <c r="R9" s="99" t="s">
        <v>49</v>
      </c>
      <c r="S9" s="99" t="s">
        <v>48</v>
      </c>
      <c r="T9" s="164">
        <f>'Collections and ACP'!D50</f>
        <v>0.2350000000000001</v>
      </c>
      <c r="U9" s="165">
        <f>'Collections and ACP'!E50</f>
        <v>85134246.832616076</v>
      </c>
      <c r="V9" s="165">
        <f>'Collections and ACP'!F50</f>
        <v>20006548.005664784</v>
      </c>
      <c r="W9" s="169">
        <f>'Collections and ACP'!G50</f>
        <v>5.0247999999999999</v>
      </c>
      <c r="X9" s="165">
        <f>'Collections and ACP'!H50</f>
        <v>427782563.48452926</v>
      </c>
      <c r="Z9" s="99" t="s">
        <v>49</v>
      </c>
      <c r="AA9" s="99" t="s">
        <v>48</v>
      </c>
      <c r="AB9" s="164">
        <f>'Collections and ACP'!D83</f>
        <v>0.2350000000000001</v>
      </c>
      <c r="AC9" s="165">
        <f>'Collections and ACP'!E83</f>
        <v>530479</v>
      </c>
      <c r="AD9" s="165">
        <f>'Collections and ACP'!F83</f>
        <v>124662.56500000005</v>
      </c>
      <c r="AE9" s="168">
        <f>'Collections and ACP'!G83</f>
        <v>2.625</v>
      </c>
      <c r="AF9" s="165">
        <f>'Collections and ACP'!H83</f>
        <v>1392507.375</v>
      </c>
    </row>
    <row r="10" spans="2:32" x14ac:dyDescent="0.3">
      <c r="B10" s="99" t="s">
        <v>50</v>
      </c>
      <c r="C10" s="171" t="s">
        <v>49</v>
      </c>
      <c r="D10" s="164">
        <f>'Collections and ACP'!D116</f>
        <v>0.25000000000000011</v>
      </c>
      <c r="E10" s="165">
        <f>'Collections and ACP'!E116</f>
        <v>119767714.95019887</v>
      </c>
      <c r="F10" s="165">
        <f>'Collections and ACP'!F116</f>
        <v>29941928.737549733</v>
      </c>
      <c r="G10" s="166">
        <f>'Collections and ACP'!G116</f>
        <v>4.8853888323940815</v>
      </c>
      <c r="H10" s="165">
        <f>'Collections and ACP'!H116</f>
        <v>585111857.09905922</v>
      </c>
      <c r="J10" s="99" t="s">
        <v>50</v>
      </c>
      <c r="K10" s="171" t="s">
        <v>49</v>
      </c>
      <c r="L10" s="164">
        <f>'Collections and ACP'!D12</f>
        <v>0.25000000000000011</v>
      </c>
      <c r="M10" s="165">
        <f>'Collections and ACP'!E12</f>
        <v>34329725</v>
      </c>
      <c r="N10" s="165">
        <f>'Collections and ACP'!F12</f>
        <v>8582431.2500000037</v>
      </c>
      <c r="O10" s="9">
        <f>'Collections and ACP'!G12</f>
        <v>4.5754999999999999</v>
      </c>
      <c r="P10" s="165">
        <f>'Collections and ACP'!H12</f>
        <v>157075656.73749998</v>
      </c>
      <c r="R10" s="99" t="s">
        <v>50</v>
      </c>
      <c r="S10" s="99" t="s">
        <v>49</v>
      </c>
      <c r="T10" s="164">
        <f>'Collections and ACP'!D51</f>
        <v>0.25000000000000011</v>
      </c>
      <c r="U10" s="165">
        <f>'Collections and ACP'!E51</f>
        <v>84907690.950198874</v>
      </c>
      <c r="V10" s="165">
        <f>'Collections and ACP'!F51</f>
        <v>21226922.73754973</v>
      </c>
      <c r="W10" s="169">
        <f>'Collections and ACP'!G51</f>
        <v>5.0247999999999999</v>
      </c>
      <c r="X10" s="165">
        <f>'Collections and ACP'!H51</f>
        <v>426644165.48655927</v>
      </c>
      <c r="Z10" s="99" t="s">
        <v>50</v>
      </c>
      <c r="AA10" s="99" t="s">
        <v>49</v>
      </c>
      <c r="AB10" s="164">
        <f>'Collections and ACP'!D84</f>
        <v>0.25000000000000011</v>
      </c>
      <c r="AC10" s="165">
        <f>'Collections and ACP'!E84</f>
        <v>530299</v>
      </c>
      <c r="AD10" s="165">
        <f>'Collections and ACP'!F84</f>
        <v>132574.75000000006</v>
      </c>
      <c r="AE10" s="168">
        <f>'Collections and ACP'!G84</f>
        <v>2.625</v>
      </c>
      <c r="AF10" s="165">
        <f>'Collections and ACP'!H84</f>
        <v>1392034.875</v>
      </c>
    </row>
    <row r="11" spans="2:32" x14ac:dyDescent="0.3">
      <c r="B11" s="100" t="s">
        <v>51</v>
      </c>
      <c r="C11" s="170" t="s">
        <v>50</v>
      </c>
      <c r="D11" s="164">
        <f>'Collections and ACP'!D117</f>
        <v>0.28000000000000003</v>
      </c>
      <c r="E11" s="165">
        <f>'Collections and ACP'!E117</f>
        <v>119896082.6781536</v>
      </c>
      <c r="F11" s="165">
        <f>'Collections and ACP'!F117</f>
        <v>33570903.149883009</v>
      </c>
      <c r="G11" s="166">
        <f>'Collections and ACP'!G117</f>
        <v>4.8855364528237217</v>
      </c>
      <c r="H11" s="165">
        <f>'Collections and ACP'!H117</f>
        <v>585756682.47488618</v>
      </c>
      <c r="J11" s="100" t="s">
        <v>51</v>
      </c>
      <c r="K11" s="170" t="s">
        <v>50</v>
      </c>
      <c r="L11" s="164">
        <f>'Collections and ACP'!D13</f>
        <v>0.28000000000000003</v>
      </c>
      <c r="M11" s="165">
        <f>'Collections and ACP'!E13</f>
        <v>34329725</v>
      </c>
      <c r="N11" s="165">
        <f>'Collections and ACP'!F13</f>
        <v>9612323</v>
      </c>
      <c r="O11" s="9">
        <f>'Collections and ACP'!G13</f>
        <v>4.5754999999999999</v>
      </c>
      <c r="P11" s="165">
        <f>'Collections and ACP'!H13</f>
        <v>157075656.73749998</v>
      </c>
      <c r="R11" s="100" t="s">
        <v>51</v>
      </c>
      <c r="S11" s="100" t="s">
        <v>50</v>
      </c>
      <c r="T11" s="164">
        <f>'Collections and ACP'!D52</f>
        <v>0.28000000000000003</v>
      </c>
      <c r="U11" s="165">
        <f>'Collections and ACP'!E52</f>
        <v>85035976.678153604</v>
      </c>
      <c r="V11" s="165">
        <f>'Collections and ACP'!F52</f>
        <v>23810073.46988301</v>
      </c>
      <c r="W11" s="169">
        <f>'Collections and ACP'!G52</f>
        <v>5.0247999999999999</v>
      </c>
      <c r="X11" s="165">
        <f>'Collections and ACP'!H52</f>
        <v>427288775.61238623</v>
      </c>
      <c r="Z11" s="100" t="s">
        <v>51</v>
      </c>
      <c r="AA11" s="100" t="s">
        <v>50</v>
      </c>
      <c r="AB11" s="164">
        <f>'Collections and ACP'!D85</f>
        <v>0.28000000000000003</v>
      </c>
      <c r="AC11" s="165">
        <f>'Collections and ACP'!E85</f>
        <v>530381</v>
      </c>
      <c r="AD11" s="165">
        <f>'Collections and ACP'!F85</f>
        <v>148506.68000000002</v>
      </c>
      <c r="AE11" s="168">
        <f>'Collections and ACP'!G85</f>
        <v>2.625</v>
      </c>
      <c r="AF11" s="165">
        <f>'Collections and ACP'!H85</f>
        <v>1392250.125</v>
      </c>
    </row>
    <row r="12" spans="2:32" x14ac:dyDescent="0.3">
      <c r="B12" s="100" t="s">
        <v>52</v>
      </c>
      <c r="C12" s="170" t="s">
        <v>51</v>
      </c>
      <c r="D12" s="164">
        <f>'Collections and ACP'!D118</f>
        <v>0.31</v>
      </c>
      <c r="E12" s="165">
        <f>'Collections and ACP'!E118</f>
        <v>120246031.71388066</v>
      </c>
      <c r="F12" s="165">
        <f>'Collections and ACP'!F118</f>
        <v>37276269.831303</v>
      </c>
      <c r="G12" s="166">
        <f>'Collections and ACP'!G118</f>
        <v>4.8859334258195526</v>
      </c>
      <c r="H12" s="165">
        <f>'Collections and ACP'!H118</f>
        <v>587514105.67300749</v>
      </c>
      <c r="J12" s="100" t="s">
        <v>52</v>
      </c>
      <c r="K12" s="170" t="s">
        <v>51</v>
      </c>
      <c r="L12" s="164">
        <f>'Collections and ACP'!D14</f>
        <v>0.31</v>
      </c>
      <c r="M12" s="165">
        <f>'Collections and ACP'!E14</f>
        <v>34329725</v>
      </c>
      <c r="N12" s="165">
        <f>'Collections and ACP'!F14</f>
        <v>10642214.75</v>
      </c>
      <c r="O12" s="9">
        <f>'Collections and ACP'!G14</f>
        <v>4.5754999999999999</v>
      </c>
      <c r="P12" s="165">
        <f>'Collections and ACP'!H14</f>
        <v>157075656.73749998</v>
      </c>
      <c r="R12" s="100" t="s">
        <v>52</v>
      </c>
      <c r="S12" s="100" t="s">
        <v>51</v>
      </c>
      <c r="T12" s="164">
        <f>'Collections and ACP'!D53</f>
        <v>0.31</v>
      </c>
      <c r="U12" s="165">
        <f>'Collections and ACP'!E53</f>
        <v>85385508.713880658</v>
      </c>
      <c r="V12" s="165">
        <f>'Collections and ACP'!F53</f>
        <v>26469507.701303005</v>
      </c>
      <c r="W12" s="169">
        <f>'Collections and ACP'!G53</f>
        <v>5.0247999999999999</v>
      </c>
      <c r="X12" s="165">
        <f>'Collections and ACP'!H53</f>
        <v>429045104.18550754</v>
      </c>
      <c r="Z12" s="100" t="s">
        <v>52</v>
      </c>
      <c r="AA12" s="100" t="s">
        <v>51</v>
      </c>
      <c r="AB12" s="164">
        <f>'Collections and ACP'!D86</f>
        <v>0.31</v>
      </c>
      <c r="AC12" s="165">
        <f>'Collections and ACP'!E86</f>
        <v>530798</v>
      </c>
      <c r="AD12" s="165">
        <f>'Collections and ACP'!F86</f>
        <v>164547.38</v>
      </c>
      <c r="AE12" s="168">
        <f>'Collections and ACP'!G86</f>
        <v>2.625</v>
      </c>
      <c r="AF12" s="165">
        <f>'Collections and ACP'!H86</f>
        <v>1393344.75</v>
      </c>
    </row>
    <row r="13" spans="2:32" x14ac:dyDescent="0.3">
      <c r="B13" s="100" t="s">
        <v>53</v>
      </c>
      <c r="C13" s="170" t="s">
        <v>52</v>
      </c>
      <c r="D13" s="164">
        <f>'Collections and ACP'!D119</f>
        <v>0.34</v>
      </c>
      <c r="E13" s="165">
        <f>'Collections and ACP'!E119</f>
        <v>120818616.80854757</v>
      </c>
      <c r="F13" s="165">
        <f>'Collections and ACP'!F119</f>
        <v>41078329.714906178</v>
      </c>
      <c r="G13" s="166">
        <f>'Collections and ACP'!G119</f>
        <v>4.8865854461290388</v>
      </c>
      <c r="H13" s="165">
        <f>'Collections and ACP'!H119</f>
        <v>590390494.51808977</v>
      </c>
      <c r="J13" s="100" t="s">
        <v>53</v>
      </c>
      <c r="K13" s="170" t="s">
        <v>52</v>
      </c>
      <c r="L13" s="164">
        <f>'Collections and ACP'!D15</f>
        <v>0.34</v>
      </c>
      <c r="M13" s="165">
        <f>'Collections and ACP'!E15</f>
        <v>34329725</v>
      </c>
      <c r="N13" s="165">
        <f>'Collections and ACP'!F15</f>
        <v>11672106.5</v>
      </c>
      <c r="O13" s="9">
        <f>'Collections and ACP'!G15</f>
        <v>4.5754999999999999</v>
      </c>
      <c r="P13" s="165">
        <f>'Collections and ACP'!H15</f>
        <v>157075656.73749998</v>
      </c>
      <c r="R13" s="100" t="s">
        <v>53</v>
      </c>
      <c r="S13" s="100" t="s">
        <v>52</v>
      </c>
      <c r="T13" s="164">
        <f>'Collections and ACP'!D54</f>
        <v>0.34</v>
      </c>
      <c r="U13" s="165">
        <f>'Collections and ACP'!E54</f>
        <v>85957786.808547571</v>
      </c>
      <c r="V13" s="165">
        <f>'Collections and ACP'!F54</f>
        <v>29225647.514906175</v>
      </c>
      <c r="W13" s="169">
        <f>'Collections and ACP'!G54</f>
        <v>5.0247999999999999</v>
      </c>
      <c r="X13" s="165">
        <f>'Collections and ACP'!H54</f>
        <v>431920687.15558982</v>
      </c>
      <c r="Z13" s="100" t="s">
        <v>53</v>
      </c>
      <c r="AA13" s="100" t="s">
        <v>52</v>
      </c>
      <c r="AB13" s="164">
        <f>'Collections and ACP'!D87</f>
        <v>0.34</v>
      </c>
      <c r="AC13" s="165">
        <f>'Collections and ACP'!E87</f>
        <v>531105</v>
      </c>
      <c r="AD13" s="165">
        <f>'Collections and ACP'!F87</f>
        <v>180575.7</v>
      </c>
      <c r="AE13" s="168">
        <f>'Collections and ACP'!G87</f>
        <v>2.625</v>
      </c>
      <c r="AF13" s="165">
        <f>'Collections and ACP'!H87</f>
        <v>1394150.625</v>
      </c>
    </row>
    <row r="14" spans="2:32" x14ac:dyDescent="0.3">
      <c r="B14" s="99" t="s">
        <v>54</v>
      </c>
      <c r="C14" s="170" t="s">
        <v>53</v>
      </c>
      <c r="D14" s="164">
        <f>'Collections and ACP'!D120</f>
        <v>0.37</v>
      </c>
      <c r="E14" s="165">
        <f>'Collections and ACP'!E120</f>
        <v>120964481.37211064</v>
      </c>
      <c r="F14" s="165">
        <f>'Collections and ACP'!F120</f>
        <v>44756858.107680932</v>
      </c>
      <c r="G14" s="166">
        <f>'Collections and ACP'!G120</f>
        <v>4.8867452473744892</v>
      </c>
      <c r="H14" s="165">
        <f>'Collections and ACP'!H120</f>
        <v>591122604.44628155</v>
      </c>
      <c r="J14" s="99" t="s">
        <v>54</v>
      </c>
      <c r="K14" s="170" t="s">
        <v>53</v>
      </c>
      <c r="L14" s="164">
        <f>'Collections and ACP'!D16</f>
        <v>0.37</v>
      </c>
      <c r="M14" s="165">
        <f>'Collections and ACP'!E16</f>
        <v>34329725</v>
      </c>
      <c r="N14" s="165">
        <f>'Collections and ACP'!F16</f>
        <v>12701998.25</v>
      </c>
      <c r="O14" s="9">
        <f>'Collections and ACP'!G16</f>
        <v>4.5754999999999999</v>
      </c>
      <c r="P14" s="165">
        <f>'Collections and ACP'!H16</f>
        <v>157075656.73749998</v>
      </c>
      <c r="R14" s="99" t="s">
        <v>54</v>
      </c>
      <c r="S14" s="100" t="s">
        <v>53</v>
      </c>
      <c r="T14" s="164">
        <f>'Collections and ACP'!D55</f>
        <v>0.37</v>
      </c>
      <c r="U14" s="165">
        <f>'Collections and ACP'!E55</f>
        <v>86103305.372110635</v>
      </c>
      <c r="V14" s="165">
        <f>'Collections and ACP'!F55</f>
        <v>31858222.987680934</v>
      </c>
      <c r="W14" s="169">
        <f>'Collections and ACP'!G55</f>
        <v>5.0247999999999999</v>
      </c>
      <c r="X14" s="165">
        <f>'Collections and ACP'!H55</f>
        <v>432651888.83378154</v>
      </c>
      <c r="Z14" s="99" t="s">
        <v>54</v>
      </c>
      <c r="AA14" s="100" t="s">
        <v>53</v>
      </c>
      <c r="AB14" s="164">
        <f>'Collections and ACP'!D88</f>
        <v>0.37</v>
      </c>
      <c r="AC14" s="165">
        <f>'Collections and ACP'!E88</f>
        <v>531451</v>
      </c>
      <c r="AD14" s="165">
        <f>'Collections and ACP'!F88</f>
        <v>196636.87</v>
      </c>
      <c r="AE14" s="168">
        <f>'Collections and ACP'!G88</f>
        <v>2.625</v>
      </c>
      <c r="AF14" s="165">
        <f>'Collections and ACP'!H88</f>
        <v>1395058.875</v>
      </c>
    </row>
    <row r="15" spans="2:32" x14ac:dyDescent="0.3">
      <c r="B15" s="99" t="s">
        <v>55</v>
      </c>
      <c r="C15" s="171" t="s">
        <v>54</v>
      </c>
      <c r="D15" s="164">
        <f>'Collections and ACP'!D121</f>
        <v>0.4</v>
      </c>
      <c r="E15" s="165">
        <f>'Collections and ACP'!E121</f>
        <v>121334628.14964436</v>
      </c>
      <c r="F15" s="165">
        <f>'Collections and ACP'!F121</f>
        <v>48533851.259857744</v>
      </c>
      <c r="G15" s="166">
        <f>'Collections and ACP'!G121</f>
        <v>4.8871588061365072</v>
      </c>
      <c r="H15" s="165">
        <f>'Collections and ACP'!H121</f>
        <v>592981596.45083296</v>
      </c>
      <c r="J15" s="99" t="s">
        <v>55</v>
      </c>
      <c r="K15" s="171" t="s">
        <v>54</v>
      </c>
      <c r="L15" s="164">
        <f>'Collections and ACP'!D17</f>
        <v>0.4</v>
      </c>
      <c r="M15" s="165">
        <f>'Collections and ACP'!E17</f>
        <v>34329725</v>
      </c>
      <c r="N15" s="165">
        <f>'Collections and ACP'!F17</f>
        <v>13731890</v>
      </c>
      <c r="O15" s="9">
        <f>'Collections and ACP'!G17</f>
        <v>4.5754999999999999</v>
      </c>
      <c r="P15" s="165">
        <f>'Collections and ACP'!H17</f>
        <v>157075656.73749998</v>
      </c>
      <c r="R15" s="99" t="s">
        <v>55</v>
      </c>
      <c r="S15" s="99" t="s">
        <v>54</v>
      </c>
      <c r="T15" s="164">
        <f>'Collections and ACP'!D56</f>
        <v>0.4</v>
      </c>
      <c r="U15" s="165">
        <f>'Collections and ACP'!E56</f>
        <v>86473068.14964436</v>
      </c>
      <c r="V15" s="165">
        <f>'Collections and ACP'!F56</f>
        <v>34589227.259857744</v>
      </c>
      <c r="W15" s="169">
        <f>'Collections and ACP'!G56</f>
        <v>5.0247999999999999</v>
      </c>
      <c r="X15" s="165">
        <f>'Collections and ACP'!H56</f>
        <v>434509872.83833295</v>
      </c>
      <c r="Z15" s="99" t="s">
        <v>55</v>
      </c>
      <c r="AA15" s="99" t="s">
        <v>54</v>
      </c>
      <c r="AB15" s="164">
        <f>'Collections and ACP'!D89</f>
        <v>0.4</v>
      </c>
      <c r="AC15" s="165">
        <f>'Collections and ACP'!E89</f>
        <v>531835</v>
      </c>
      <c r="AD15" s="165">
        <f>'Collections and ACP'!F89</f>
        <v>212734</v>
      </c>
      <c r="AE15" s="168">
        <f>'Collections and ACP'!G89</f>
        <v>2.625</v>
      </c>
      <c r="AF15" s="165">
        <f>'Collections and ACP'!H89</f>
        <v>1396066.875</v>
      </c>
    </row>
    <row r="16" spans="2:32" x14ac:dyDescent="0.3">
      <c r="B16" s="99" t="s">
        <v>56</v>
      </c>
      <c r="C16" s="171" t="s">
        <v>55</v>
      </c>
      <c r="D16" s="164">
        <f>'Collections and ACP'!D122</f>
        <v>0.40902608000000001</v>
      </c>
      <c r="E16" s="165">
        <f>'Collections and ACP'!E122</f>
        <v>121773218.24103907</v>
      </c>
      <c r="F16" s="165">
        <f>'Collections and ACP'!F122</f>
        <v>49808422.106116705</v>
      </c>
      <c r="G16" s="166">
        <f>'Collections and ACP'!G122</f>
        <v>4.8876468620707652</v>
      </c>
      <c r="H16" s="165">
        <f>'Collections and ACP'!H122</f>
        <v>595184488.02007306</v>
      </c>
      <c r="J16" s="99" t="s">
        <v>56</v>
      </c>
      <c r="K16" s="171" t="s">
        <v>55</v>
      </c>
      <c r="L16" s="164">
        <f>'Collections and ACP'!D18</f>
        <v>0.40902608000000001</v>
      </c>
      <c r="M16" s="165">
        <f>'Collections and ACP'!E18</f>
        <v>34329725</v>
      </c>
      <c r="N16" s="165">
        <f>'Collections and ACP'!F18</f>
        <v>14041752.844228001</v>
      </c>
      <c r="O16" s="9">
        <f>'Collections and ACP'!G18</f>
        <v>4.5754999999999999</v>
      </c>
      <c r="P16" s="165">
        <f>'Collections and ACP'!H18</f>
        <v>157075656.73749998</v>
      </c>
      <c r="R16" s="99" t="s">
        <v>56</v>
      </c>
      <c r="S16" s="99" t="s">
        <v>55</v>
      </c>
      <c r="T16" s="164">
        <f>'Collections and ACP'!D57</f>
        <v>0.40902608000000001</v>
      </c>
      <c r="U16" s="165">
        <f>'Collections and ACP'!E57</f>
        <v>86911268.241039068</v>
      </c>
      <c r="V16" s="165">
        <f>'Collections and ACP'!F57</f>
        <v>35548975.356460705</v>
      </c>
      <c r="W16" s="169">
        <f>'Collections and ACP'!G57</f>
        <v>5.0247999999999999</v>
      </c>
      <c r="X16" s="165">
        <f>'Collections and ACP'!H57</f>
        <v>436711740.6575731</v>
      </c>
      <c r="Z16" s="99" t="s">
        <v>56</v>
      </c>
      <c r="AA16" s="99" t="s">
        <v>55</v>
      </c>
      <c r="AB16" s="164">
        <f>'Collections and ACP'!D90</f>
        <v>0.40902608000000001</v>
      </c>
      <c r="AC16" s="165">
        <f>'Collections and ACP'!E90</f>
        <v>532225</v>
      </c>
      <c r="AD16" s="165">
        <f>'Collections and ACP'!F90</f>
        <v>217693.905428</v>
      </c>
      <c r="AE16" s="168">
        <f>'Collections and ACP'!G90</f>
        <v>2.625</v>
      </c>
      <c r="AF16" s="165">
        <f>'Collections and ACP'!H90</f>
        <v>1397090.625</v>
      </c>
    </row>
    <row r="17" spans="2:32" x14ac:dyDescent="0.3">
      <c r="B17" s="100" t="s">
        <v>57</v>
      </c>
      <c r="C17" s="170" t="s">
        <v>56</v>
      </c>
      <c r="D17" s="164">
        <f>'Collections and ACP'!D123</f>
        <v>0.41825583530041599</v>
      </c>
      <c r="E17" s="165">
        <f>'Collections and ACP'!E123</f>
        <v>122585718.76878329</v>
      </c>
      <c r="F17" s="165">
        <f>'Collections and ACP'!F123</f>
        <v>51272192.199539334</v>
      </c>
      <c r="G17" s="166">
        <f>'Collections and ACP'!G123</f>
        <v>4.8885513544101906</v>
      </c>
      <c r="H17" s="165">
        <f>'Collections and ACP'!H123</f>
        <v>599266581.51848221</v>
      </c>
      <c r="J17" s="100" t="s">
        <v>57</v>
      </c>
      <c r="K17" s="170" t="s">
        <v>56</v>
      </c>
      <c r="L17" s="164">
        <f>'Collections and ACP'!D19</f>
        <v>0.41825583530041599</v>
      </c>
      <c r="M17" s="165">
        <f>'Collections and ACP'!E19</f>
        <v>34329725</v>
      </c>
      <c r="N17" s="165">
        <f>'Collections and ACP'!F19</f>
        <v>14358607.805508573</v>
      </c>
      <c r="O17" s="9">
        <f>'Collections and ACP'!G19</f>
        <v>4.5754999999999999</v>
      </c>
      <c r="P17" s="165">
        <f>'Collections and ACP'!H19</f>
        <v>157075656.73749998</v>
      </c>
      <c r="R17" s="100" t="s">
        <v>57</v>
      </c>
      <c r="S17" s="100" t="s">
        <v>56</v>
      </c>
      <c r="T17" s="164">
        <f>'Collections and ACP'!D58</f>
        <v>0.41825583530041599</v>
      </c>
      <c r="U17" s="165">
        <f>'Collections and ACP'!E58</f>
        <v>87723535.768783286</v>
      </c>
      <c r="V17" s="165">
        <f>'Collections and ACP'!F58</f>
        <v>36690880.728478372</v>
      </c>
      <c r="W17" s="169">
        <f>'Collections and ACP'!G58</f>
        <v>5.0247999999999999</v>
      </c>
      <c r="X17" s="165">
        <f>'Collections and ACP'!H58</f>
        <v>440793222.53098226</v>
      </c>
      <c r="Z17" s="100" t="s">
        <v>57</v>
      </c>
      <c r="AA17" s="100" t="s">
        <v>56</v>
      </c>
      <c r="AB17" s="164">
        <f>'Collections and ACP'!D91</f>
        <v>0.41825583530041599</v>
      </c>
      <c r="AC17" s="165">
        <f>'Collections and ACP'!E91</f>
        <v>532458</v>
      </c>
      <c r="AD17" s="165">
        <f>'Collections and ACP'!F91</f>
        <v>222703.66555238891</v>
      </c>
      <c r="AE17" s="168">
        <f>'Collections and ACP'!G91</f>
        <v>2.625</v>
      </c>
      <c r="AF17" s="165">
        <f>'Collections and ACP'!H91</f>
        <v>1397702.25</v>
      </c>
    </row>
    <row r="18" spans="2:32" x14ac:dyDescent="0.3">
      <c r="B18" s="100" t="s">
        <v>58</v>
      </c>
      <c r="C18" s="170" t="s">
        <v>57</v>
      </c>
      <c r="D18" s="164">
        <f>'Collections and ACP'!D124</f>
        <v>0.42769386187513697</v>
      </c>
      <c r="E18" s="165">
        <f>'Collections and ACP'!E124</f>
        <v>122779325.27040835</v>
      </c>
      <c r="F18" s="165">
        <f>'Collections and ACP'!F124</f>
        <v>52511963.78332454</v>
      </c>
      <c r="G18" s="166">
        <f>'Collections and ACP'!G124</f>
        <v>4.8887613919940174</v>
      </c>
      <c r="H18" s="165">
        <f>'Collections and ACP'!H124</f>
        <v>600238825.11704779</v>
      </c>
      <c r="J18" s="100" t="s">
        <v>58</v>
      </c>
      <c r="K18" s="170" t="s">
        <v>57</v>
      </c>
      <c r="L18" s="164">
        <f>'Collections and ACP'!D20</f>
        <v>0.42769386187513697</v>
      </c>
      <c r="M18" s="165">
        <f>'Collections and ACP'!E20</f>
        <v>34329725</v>
      </c>
      <c r="N18" s="165">
        <f>'Collections and ACP'!F20</f>
        <v>14682612.662361437</v>
      </c>
      <c r="O18" s="9">
        <f>'Collections and ACP'!G20</f>
        <v>4.5754999999999999</v>
      </c>
      <c r="P18" s="165">
        <f>'Collections and ACP'!H20</f>
        <v>157075656.73749998</v>
      </c>
      <c r="R18" s="100" t="s">
        <v>58</v>
      </c>
      <c r="S18" s="100" t="s">
        <v>57</v>
      </c>
      <c r="T18" s="164">
        <f>'Collections and ACP'!D59</f>
        <v>0.42769386187513697</v>
      </c>
      <c r="U18" s="165">
        <f>'Collections and ACP'!E59</f>
        <v>87916896.270408347</v>
      </c>
      <c r="V18" s="165">
        <f>'Collections and ACP'!F59</f>
        <v>37601516.889966771</v>
      </c>
      <c r="W18" s="169">
        <f>'Collections and ACP'!G59</f>
        <v>5.0247999999999999</v>
      </c>
      <c r="X18" s="165">
        <f>'Collections and ACP'!H59</f>
        <v>441764820.37954783</v>
      </c>
      <c r="Z18" s="100" t="s">
        <v>58</v>
      </c>
      <c r="AA18" s="100" t="s">
        <v>57</v>
      </c>
      <c r="AB18" s="164">
        <f>'Collections and ACP'!D92</f>
        <v>0.42769386187513697</v>
      </c>
      <c r="AC18" s="165">
        <f>'Collections and ACP'!E92</f>
        <v>532704</v>
      </c>
      <c r="AD18" s="165">
        <f>'Collections and ACP'!F92</f>
        <v>227834.23099633298</v>
      </c>
      <c r="AE18" s="168">
        <f>'Collections and ACP'!G92</f>
        <v>2.625</v>
      </c>
      <c r="AF18" s="165">
        <f>'Collections and ACP'!H92</f>
        <v>1398348</v>
      </c>
    </row>
    <row r="19" spans="2:32" x14ac:dyDescent="0.3">
      <c r="B19" s="100" t="s">
        <v>59</v>
      </c>
      <c r="C19" s="170" t="s">
        <v>58</v>
      </c>
      <c r="D19" s="164">
        <f>'Collections and ACP'!D125</f>
        <v>0.43734485940712181</v>
      </c>
      <c r="E19" s="165">
        <f>'Collections and ACP'!E125</f>
        <v>123114648.41169772</v>
      </c>
      <c r="F19" s="165">
        <f>'Collections and ACP'!F125</f>
        <v>53843558.60057117</v>
      </c>
      <c r="G19" s="166">
        <f>'Collections and ACP'!G125</f>
        <v>4.8891293816683392</v>
      </c>
      <c r="H19" s="165">
        <f>'Collections and ACP'!H125</f>
        <v>601923444.86339867</v>
      </c>
      <c r="J19" s="100" t="s">
        <v>59</v>
      </c>
      <c r="K19" s="170" t="s">
        <v>58</v>
      </c>
      <c r="L19" s="164">
        <f>'Collections and ACP'!D21</f>
        <v>0.43734485940712181</v>
      </c>
      <c r="M19" s="165">
        <f>'Collections and ACP'!E21</f>
        <v>34329725</v>
      </c>
      <c r="N19" s="165">
        <f>'Collections and ACP'!F21</f>
        <v>15013928.753610155</v>
      </c>
      <c r="O19" s="9">
        <f>'Collections and ACP'!G21</f>
        <v>4.5754999999999999</v>
      </c>
      <c r="P19" s="165">
        <f>'Collections and ACP'!H21</f>
        <v>157075656.73749998</v>
      </c>
      <c r="R19" s="100" t="s">
        <v>59</v>
      </c>
      <c r="S19" s="100" t="s">
        <v>58</v>
      </c>
      <c r="T19" s="164">
        <f>'Collections and ACP'!D60</f>
        <v>0.43734485940712181</v>
      </c>
      <c r="U19" s="165">
        <f>'Collections and ACP'!E60</f>
        <v>88252089.411697716</v>
      </c>
      <c r="V19" s="165">
        <f>'Collections and ACP'!F60</f>
        <v>38596597.636143684</v>
      </c>
      <c r="W19" s="169">
        <f>'Collections and ACP'!G60</f>
        <v>5.0247999999999999</v>
      </c>
      <c r="X19" s="165">
        <f>'Collections and ACP'!H60</f>
        <v>443449098.87589866</v>
      </c>
      <c r="Z19" s="100" t="s">
        <v>59</v>
      </c>
      <c r="AA19" s="100" t="s">
        <v>58</v>
      </c>
      <c r="AB19" s="164">
        <f>'Collections and ACP'!D93</f>
        <v>0.43734485940712181</v>
      </c>
      <c r="AC19" s="165">
        <f>'Collections and ACP'!E93</f>
        <v>532834</v>
      </c>
      <c r="AD19" s="165">
        <f>'Collections and ACP'!F93</f>
        <v>233032.21081733433</v>
      </c>
      <c r="AE19" s="168">
        <f>'Collections and ACP'!G93</f>
        <v>2.625</v>
      </c>
      <c r="AF19" s="165">
        <f>'Collections and ACP'!H93</f>
        <v>1398689.25</v>
      </c>
    </row>
    <row r="20" spans="2:32" x14ac:dyDescent="0.3">
      <c r="B20" s="100" t="s">
        <v>60</v>
      </c>
      <c r="C20" s="170" t="s">
        <v>59</v>
      </c>
      <c r="D20" s="164">
        <f>'Collections and ACP'!D126</f>
        <v>0.44721363362861538</v>
      </c>
      <c r="E20" s="165">
        <f>'Collections and ACP'!E126</f>
        <v>123518447.04109204</v>
      </c>
      <c r="F20" s="165">
        <f>'Collections and ACP'!F126</f>
        <v>55239133.521410465</v>
      </c>
      <c r="G20" s="166">
        <f>'Collections and ACP'!G126</f>
        <v>4.8895675645149339</v>
      </c>
      <c r="H20" s="165">
        <f>'Collections and ACP'!H126</f>
        <v>603951792.27137923</v>
      </c>
      <c r="J20" s="100" t="s">
        <v>60</v>
      </c>
      <c r="K20" s="170" t="s">
        <v>59</v>
      </c>
      <c r="L20" s="164">
        <f>'Collections and ACP'!D22</f>
        <v>0.44721363362861538</v>
      </c>
      <c r="M20" s="165">
        <f>'Collections and ACP'!E22</f>
        <v>34329725</v>
      </c>
      <c r="N20" s="165">
        <f>'Collections and ACP'!F22</f>
        <v>15352721.058721118</v>
      </c>
      <c r="O20" s="9">
        <f>'Collections and ACP'!G22</f>
        <v>4.5754999999999999</v>
      </c>
      <c r="P20" s="165">
        <f>'Collections and ACP'!H22</f>
        <v>157075656.73749998</v>
      </c>
      <c r="R20" s="100" t="s">
        <v>60</v>
      </c>
      <c r="S20" s="100" t="s">
        <v>59</v>
      </c>
      <c r="T20" s="164">
        <f>'Collections and ACP'!D61</f>
        <v>0.44721363362861538</v>
      </c>
      <c r="U20" s="165">
        <f>'Collections and ACP'!E61</f>
        <v>88655613.041092038</v>
      </c>
      <c r="V20" s="165">
        <f>'Collections and ACP'!F61</f>
        <v>39647998.849679232</v>
      </c>
      <c r="W20" s="169">
        <f>'Collections and ACP'!G61</f>
        <v>5.0247999999999999</v>
      </c>
      <c r="X20" s="165">
        <f>'Collections and ACP'!H61</f>
        <v>445476724.40887928</v>
      </c>
      <c r="Z20" s="100" t="s">
        <v>60</v>
      </c>
      <c r="AA20" s="100" t="s">
        <v>59</v>
      </c>
      <c r="AB20" s="164">
        <f>'Collections and ACP'!D94</f>
        <v>0.44721363362861538</v>
      </c>
      <c r="AC20" s="165">
        <f>'Collections and ACP'!E94</f>
        <v>533109</v>
      </c>
      <c r="AD20" s="165">
        <f>'Collections and ACP'!F94</f>
        <v>238413.61301011752</v>
      </c>
      <c r="AE20" s="168">
        <f>'Collections and ACP'!G94</f>
        <v>2.625</v>
      </c>
      <c r="AF20" s="165">
        <f>'Collections and ACP'!H94</f>
        <v>1399411.125</v>
      </c>
    </row>
    <row r="24" spans="2:32" x14ac:dyDescent="0.3">
      <c r="B24" s="313" t="s">
        <v>213</v>
      </c>
      <c r="C24" s="313"/>
      <c r="D24" s="313"/>
      <c r="J24" s="313" t="s">
        <v>214</v>
      </c>
      <c r="K24" s="313"/>
      <c r="L24" s="313"/>
      <c r="R24" s="313" t="s">
        <v>215</v>
      </c>
      <c r="S24" s="313"/>
      <c r="T24" s="313"/>
      <c r="Z24" s="313" t="s">
        <v>216</v>
      </c>
      <c r="AA24" s="313"/>
      <c r="AB24" s="313"/>
    </row>
    <row r="25" spans="2:32" ht="137.1" customHeight="1" x14ac:dyDescent="0.3">
      <c r="B25" s="54" t="s">
        <v>43</v>
      </c>
      <c r="C25" s="54" t="s">
        <v>178</v>
      </c>
      <c r="D25" s="54" t="s">
        <v>179</v>
      </c>
      <c r="E25" s="54" t="s">
        <v>180</v>
      </c>
      <c r="F25" s="54" t="s">
        <v>181</v>
      </c>
      <c r="G25" s="54" t="s">
        <v>182</v>
      </c>
      <c r="J25" s="54" t="s">
        <v>43</v>
      </c>
      <c r="K25" s="54" t="s">
        <v>178</v>
      </c>
      <c r="L25" s="54" t="s">
        <v>179</v>
      </c>
      <c r="M25" s="54" t="s">
        <v>180</v>
      </c>
      <c r="N25" s="54" t="s">
        <v>181</v>
      </c>
      <c r="O25" s="54" t="s">
        <v>182</v>
      </c>
      <c r="R25" s="54" t="s">
        <v>43</v>
      </c>
      <c r="S25" s="54" t="s">
        <v>178</v>
      </c>
      <c r="T25" s="54" t="s">
        <v>179</v>
      </c>
      <c r="U25" s="54" t="s">
        <v>180</v>
      </c>
      <c r="V25" s="54" t="s">
        <v>181</v>
      </c>
      <c r="W25" s="54" t="s">
        <v>182</v>
      </c>
      <c r="Z25" s="54" t="s">
        <v>43</v>
      </c>
      <c r="AA25" s="54" t="s">
        <v>178</v>
      </c>
      <c r="AB25" s="54" t="s">
        <v>179</v>
      </c>
      <c r="AC25" s="54" t="s">
        <v>180</v>
      </c>
      <c r="AD25" s="54" t="s">
        <v>181</v>
      </c>
      <c r="AE25" s="54" t="s">
        <v>182</v>
      </c>
    </row>
    <row r="26" spans="2:32" x14ac:dyDescent="0.3">
      <c r="B26" s="100" t="s">
        <v>45</v>
      </c>
      <c r="C26" s="114">
        <f>'RPS Spend Model'!S3</f>
        <v>460710682.26743871</v>
      </c>
      <c r="D26" s="114">
        <f>'RPS Spend Model'!T3</f>
        <v>225236000.73006958</v>
      </c>
      <c r="E26" s="114">
        <f>'RPS Spend Model'!U3</f>
        <v>685946682.99750829</v>
      </c>
      <c r="F26" s="114">
        <f>'RPS Spend Model'!V3</f>
        <v>284990180.25411689</v>
      </c>
      <c r="G26" s="114">
        <f>'RPS Spend Model'!W3</f>
        <v>400956502.74339139</v>
      </c>
      <c r="J26" s="100" t="s">
        <v>45</v>
      </c>
      <c r="K26" s="114">
        <f>'RPS Spend Model'!S32</f>
        <v>164214831.63</v>
      </c>
      <c r="L26" s="114">
        <f>'RPS Spend Model'!T32</f>
        <v>64309855.295962796</v>
      </c>
      <c r="M26" s="114">
        <f>'RPS Spend Model'!U32</f>
        <v>228524686.92596281</v>
      </c>
      <c r="N26" s="114">
        <f>'RPS Spend Model'!V32</f>
        <v>77236828.710097313</v>
      </c>
      <c r="O26" s="114">
        <f>'RPS Spend Model'!W32</f>
        <v>151287858.21586549</v>
      </c>
      <c r="R26" s="100" t="s">
        <v>45</v>
      </c>
      <c r="S26" s="114">
        <f>'RPS Spend Model'!S60</f>
        <v>296007918.98000002</v>
      </c>
      <c r="T26" s="114">
        <f>'RPS Spend Model'!T60</f>
        <v>160340838.45917991</v>
      </c>
      <c r="U26" s="114">
        <f>'RPS Spend Model'!U60</f>
        <v>456348757.4391799</v>
      </c>
      <c r="V26" s="114">
        <f>'RPS Spend Model'!V60</f>
        <v>207148383.81307104</v>
      </c>
      <c r="W26" s="114">
        <f>'RPS Spend Model'!W60</f>
        <v>249200373.62610886</v>
      </c>
      <c r="Z26" s="100" t="s">
        <v>45</v>
      </c>
      <c r="AA26" s="114">
        <f>'RPS Spend Model'!S88</f>
        <v>487931.6574387094</v>
      </c>
      <c r="AB26" s="114">
        <f>'RPS Spend Model'!T88</f>
        <v>585306.97492689674</v>
      </c>
      <c r="AC26" s="114">
        <f>'RPS Spend Model'!U88</f>
        <v>1073238.6323656063</v>
      </c>
      <c r="AD26" s="114">
        <f>'RPS Spend Model'!V88</f>
        <v>604967.73094857088</v>
      </c>
      <c r="AE26" s="114">
        <f>'RPS Spend Model'!W88</f>
        <v>468270.90141703538</v>
      </c>
    </row>
    <row r="27" spans="2:32" x14ac:dyDescent="0.3">
      <c r="B27" s="100" t="s">
        <v>46</v>
      </c>
      <c r="C27" s="114">
        <f>'RPS Spend Model'!S4</f>
        <v>400956502.74339139</v>
      </c>
      <c r="D27" s="114">
        <f>'RPS Spend Model'!T4</f>
        <v>464737836.41346717</v>
      </c>
      <c r="E27" s="114">
        <f>'RPS Spend Model'!U4</f>
        <v>865694339.15685856</v>
      </c>
      <c r="F27" s="114">
        <f>'RPS Spend Model'!V4</f>
        <v>336243541.95691854</v>
      </c>
      <c r="G27" s="114">
        <f>'RPS Spend Model'!W4</f>
        <v>529450797.19994003</v>
      </c>
      <c r="J27" s="100" t="s">
        <v>46</v>
      </c>
      <c r="K27" s="114">
        <f>'RPS Spend Model'!S33</f>
        <v>151287858.21586549</v>
      </c>
      <c r="L27" s="114">
        <f>'RPS Spend Model'!T33</f>
        <v>129499575.18679999</v>
      </c>
      <c r="M27" s="114">
        <f>'RPS Spend Model'!U33</f>
        <v>280787433.4026655</v>
      </c>
      <c r="N27" s="114">
        <f>'RPS Spend Model'!V33</f>
        <v>88418308.78561765</v>
      </c>
      <c r="O27" s="114">
        <f>'RPS Spend Model'!W33</f>
        <v>192369124.61704785</v>
      </c>
      <c r="R27" s="100" t="s">
        <v>46</v>
      </c>
      <c r="S27" s="114">
        <f>'RPS Spend Model'!S61</f>
        <v>249200373.62610886</v>
      </c>
      <c r="T27" s="114">
        <f>'RPS Spend Model'!T61</f>
        <v>334084827.7045005</v>
      </c>
      <c r="U27" s="114">
        <f>'RPS Spend Model'!U61</f>
        <v>583285201.33060932</v>
      </c>
      <c r="V27" s="114">
        <f>'RPS Spend Model'!V61</f>
        <v>247093705.54707298</v>
      </c>
      <c r="W27" s="114">
        <f>'RPS Spend Model'!W61</f>
        <v>336191495.78353631</v>
      </c>
      <c r="Z27" s="100" t="s">
        <v>46</v>
      </c>
      <c r="AA27" s="114">
        <f>'RPS Spend Model'!S89</f>
        <v>468270.90141703538</v>
      </c>
      <c r="AB27" s="114">
        <f>'RPS Spend Model'!T89</f>
        <v>1153433.5221666666</v>
      </c>
      <c r="AC27" s="114">
        <f>'RPS Spend Model'!U89</f>
        <v>1621704.423583702</v>
      </c>
      <c r="AD27" s="114">
        <f>'RPS Spend Model'!V89</f>
        <v>731527.62422788865</v>
      </c>
      <c r="AE27" s="114">
        <f>'RPS Spend Model'!W89</f>
        <v>890176.7993558133</v>
      </c>
    </row>
    <row r="28" spans="2:32" x14ac:dyDescent="0.3">
      <c r="B28" s="100" t="s">
        <v>47</v>
      </c>
      <c r="C28" s="114">
        <f>'RPS Spend Model'!S5</f>
        <v>529450797.19994003</v>
      </c>
      <c r="D28" s="114">
        <f>'RPS Spend Model'!T5</f>
        <v>587462994.26425016</v>
      </c>
      <c r="E28" s="114">
        <f>'RPS Spend Model'!U5</f>
        <v>1116913791.4641902</v>
      </c>
      <c r="F28" s="114">
        <f>'RPS Spend Model'!V5</f>
        <v>702394448.1908859</v>
      </c>
      <c r="G28" s="114">
        <f>'RPS Spend Model'!W5</f>
        <v>414519343.27330434</v>
      </c>
      <c r="J28" s="100" t="s">
        <v>47</v>
      </c>
      <c r="K28" s="114">
        <f>'RPS Spend Model'!S34</f>
        <v>192369124.61704785</v>
      </c>
      <c r="L28" s="114">
        <f>'RPS Spend Model'!T34</f>
        <v>160483342.72150001</v>
      </c>
      <c r="M28" s="114">
        <f>'RPS Spend Model'!U34</f>
        <v>352852467.33854783</v>
      </c>
      <c r="N28" s="114">
        <f>'RPS Spend Model'!V34</f>
        <v>191139170.91318181</v>
      </c>
      <c r="O28" s="114">
        <f>'RPS Spend Model'!W34</f>
        <v>161713296.42536601</v>
      </c>
      <c r="R28" s="100" t="s">
        <v>47</v>
      </c>
      <c r="S28" s="114">
        <f>'RPS Spend Model'!S62</f>
        <v>336191495.78353631</v>
      </c>
      <c r="T28" s="114">
        <f>'RPS Spend Model'!T62</f>
        <v>425587002.41775018</v>
      </c>
      <c r="U28" s="114">
        <f>'RPS Spend Model'!U62</f>
        <v>761778498.20128655</v>
      </c>
      <c r="V28" s="114">
        <f>'RPS Spend Model'!V62</f>
        <v>509622359.6099084</v>
      </c>
      <c r="W28" s="114">
        <f>'RPS Spend Model'!W62</f>
        <v>252156138.59137815</v>
      </c>
      <c r="Z28" s="100" t="s">
        <v>47</v>
      </c>
      <c r="AA28" s="114">
        <f>'RPS Spend Model'!S90</f>
        <v>890176.7993558133</v>
      </c>
      <c r="AB28" s="114">
        <f>'RPS Spend Model'!T90</f>
        <v>1392649.125</v>
      </c>
      <c r="AC28" s="114">
        <f>'RPS Spend Model'!U90</f>
        <v>2282825.9243558133</v>
      </c>
      <c r="AD28" s="114">
        <f>'RPS Spend Model'!V90</f>
        <v>1632917.667795599</v>
      </c>
      <c r="AE28" s="114">
        <f>'RPS Spend Model'!W90</f>
        <v>649908.25656021433</v>
      </c>
    </row>
    <row r="29" spans="2:32" x14ac:dyDescent="0.3">
      <c r="B29" s="99" t="s">
        <v>48</v>
      </c>
      <c r="C29" s="114">
        <f>'RPS Spend Model'!S6</f>
        <v>414519343.27330434</v>
      </c>
      <c r="D29" s="114">
        <f>'RPS Spend Model'!T6</f>
        <v>588988451.20769513</v>
      </c>
      <c r="E29" s="114">
        <f>'RPS Spend Model'!U6</f>
        <v>1003507794.4809995</v>
      </c>
      <c r="F29" s="114">
        <f>'RPS Spend Model'!V6</f>
        <v>574599429.61572099</v>
      </c>
      <c r="G29" s="114">
        <f>'RPS Spend Model'!W6</f>
        <v>428908364.86527848</v>
      </c>
      <c r="J29" s="99" t="s">
        <v>48</v>
      </c>
      <c r="K29" s="114">
        <f>'RPS Spend Model'!S35</f>
        <v>161713296.42536601</v>
      </c>
      <c r="L29" s="114">
        <f>'RPS Spend Model'!T35</f>
        <v>159798619.14649999</v>
      </c>
      <c r="M29" s="114">
        <f>'RPS Spend Model'!U35</f>
        <v>321511915.57186604</v>
      </c>
      <c r="N29" s="114">
        <f>'RPS Spend Model'!V35</f>
        <v>155973096.00042632</v>
      </c>
      <c r="O29" s="114">
        <f>'RPS Spend Model'!W35</f>
        <v>165538819.57143971</v>
      </c>
      <c r="R29" s="99" t="s">
        <v>48</v>
      </c>
      <c r="S29" s="114">
        <f>'RPS Spend Model'!S63</f>
        <v>252156138.59137815</v>
      </c>
      <c r="T29" s="114">
        <f>'RPS Spend Model'!T63</f>
        <v>427796090.93619514</v>
      </c>
      <c r="U29" s="114">
        <f>'RPS Spend Model'!U63</f>
        <v>679952229.52757335</v>
      </c>
      <c r="V29" s="114">
        <f>'RPS Spend Model'!V63</f>
        <v>417286002.90515447</v>
      </c>
      <c r="W29" s="114">
        <f>'RPS Spend Model'!W63</f>
        <v>262666226.62241888</v>
      </c>
      <c r="Z29" s="99" t="s">
        <v>48</v>
      </c>
      <c r="AA29" s="114">
        <f>'RPS Spend Model'!S91</f>
        <v>649908.25656021433</v>
      </c>
      <c r="AB29" s="114">
        <f>'RPS Spend Model'!T91</f>
        <v>1393741.125</v>
      </c>
      <c r="AC29" s="114">
        <f>'RPS Spend Model'!U91</f>
        <v>2043649.3815602143</v>
      </c>
      <c r="AD29" s="114">
        <f>'RPS Spend Model'!V91</f>
        <v>1340330.7101402476</v>
      </c>
      <c r="AE29" s="114">
        <f>'RPS Spend Model'!W91</f>
        <v>703318.67141996673</v>
      </c>
    </row>
    <row r="30" spans="2:32" x14ac:dyDescent="0.3">
      <c r="B30" s="99" t="s">
        <v>49</v>
      </c>
      <c r="C30" s="114">
        <f>'RPS Spend Model'!S7</f>
        <v>428908364.86527848</v>
      </c>
      <c r="D30" s="114">
        <f>'RPS Spend Model'!T7</f>
        <v>587115172.23652923</v>
      </c>
      <c r="E30" s="114">
        <f>'RPS Spend Model'!U7</f>
        <v>1016023537.1018077</v>
      </c>
      <c r="F30" s="114">
        <f>'RPS Spend Model'!V7</f>
        <v>602015153.04955244</v>
      </c>
      <c r="G30" s="114">
        <f>'RPS Spend Model'!W7</f>
        <v>414008384.05225527</v>
      </c>
      <c r="J30" s="99" t="s">
        <v>49</v>
      </c>
      <c r="K30" s="114">
        <f>'RPS Spend Model'!S36</f>
        <v>165538819.57143971</v>
      </c>
      <c r="L30" s="114">
        <f>'RPS Spend Model'!T36</f>
        <v>157940101.377</v>
      </c>
      <c r="M30" s="114">
        <f>'RPS Spend Model'!U36</f>
        <v>323478920.94843972</v>
      </c>
      <c r="N30" s="114">
        <f>'RPS Spend Model'!V36</f>
        <v>160670531.37628099</v>
      </c>
      <c r="O30" s="114">
        <f>'RPS Spend Model'!W36</f>
        <v>162808389.57215872</v>
      </c>
      <c r="R30" s="99" t="s">
        <v>49</v>
      </c>
      <c r="S30" s="114">
        <f>'RPS Spend Model'!S64</f>
        <v>262666226.62241888</v>
      </c>
      <c r="T30" s="114">
        <f>'RPS Spend Model'!T64</f>
        <v>427782563.48452926</v>
      </c>
      <c r="U30" s="114">
        <f>'RPS Spend Model'!U64</f>
        <v>690448790.10694814</v>
      </c>
      <c r="V30" s="114">
        <f>'RPS Spend Model'!V64</f>
        <v>439962305.96481216</v>
      </c>
      <c r="W30" s="114">
        <f>'RPS Spend Model'!W64</f>
        <v>250486484.14213598</v>
      </c>
      <c r="Z30" s="99" t="s">
        <v>49</v>
      </c>
      <c r="AA30" s="114">
        <f>'RPS Spend Model'!S92</f>
        <v>703318.67141996673</v>
      </c>
      <c r="AB30" s="114">
        <f>'RPS Spend Model'!T92</f>
        <v>1392507.375</v>
      </c>
      <c r="AC30" s="114">
        <f>'RPS Spend Model'!U92</f>
        <v>2095826.0464199667</v>
      </c>
      <c r="AD30" s="114">
        <f>'RPS Spend Model'!V92</f>
        <v>1382315.7084592152</v>
      </c>
      <c r="AE30" s="114">
        <f>'RPS Spend Model'!W92</f>
        <v>713510.33796075149</v>
      </c>
    </row>
    <row r="31" spans="2:32" x14ac:dyDescent="0.3">
      <c r="B31" s="99" t="s">
        <v>50</v>
      </c>
      <c r="C31" s="114">
        <f>'RPS Spend Model'!S8</f>
        <v>414008384.05225527</v>
      </c>
      <c r="D31" s="114">
        <f>'RPS Spend Model'!T8</f>
        <v>585111857.09905922</v>
      </c>
      <c r="E31" s="114">
        <f>'RPS Spend Model'!U8</f>
        <v>999120241.1513145</v>
      </c>
      <c r="F31" s="114">
        <f>'RPS Spend Model'!V8</f>
        <v>578200596.66672337</v>
      </c>
      <c r="G31" s="114">
        <f>'RPS Spend Model'!W8</f>
        <v>420919644.48459113</v>
      </c>
      <c r="J31" s="99" t="s">
        <v>50</v>
      </c>
      <c r="K31" s="114">
        <f>'RPS Spend Model'!S37</f>
        <v>162808389.57215872</v>
      </c>
      <c r="L31" s="114">
        <f>'RPS Spend Model'!T37</f>
        <v>157075656.73749998</v>
      </c>
      <c r="M31" s="114">
        <f>'RPS Spend Model'!U37</f>
        <v>319884046.30965871</v>
      </c>
      <c r="N31" s="114">
        <f>'RPS Spend Model'!V37</f>
        <v>156558244.51108128</v>
      </c>
      <c r="O31" s="114">
        <f>'RPS Spend Model'!W37</f>
        <v>163325801.79857743</v>
      </c>
      <c r="R31" s="99" t="s">
        <v>50</v>
      </c>
      <c r="S31" s="114">
        <f>'RPS Spend Model'!S65</f>
        <v>250486484.14213598</v>
      </c>
      <c r="T31" s="114">
        <f>'RPS Spend Model'!T65</f>
        <v>426644165.48655927</v>
      </c>
      <c r="U31" s="114">
        <f>'RPS Spend Model'!U65</f>
        <v>677130649.62869525</v>
      </c>
      <c r="V31" s="114">
        <f>'RPS Spend Model'!V65</f>
        <v>420278509.2851305</v>
      </c>
      <c r="W31" s="114">
        <f>'RPS Spend Model'!W65</f>
        <v>256852140.34356475</v>
      </c>
      <c r="Z31" s="99" t="s">
        <v>50</v>
      </c>
      <c r="AA31" s="114">
        <f>'RPS Spend Model'!S93</f>
        <v>713510.33796075149</v>
      </c>
      <c r="AB31" s="114">
        <f>'RPS Spend Model'!T93</f>
        <v>1392034.875</v>
      </c>
      <c r="AC31" s="114">
        <f>'RPS Spend Model'!U93</f>
        <v>2105545.2129607517</v>
      </c>
      <c r="AD31" s="114">
        <f>'RPS Spend Model'!V93</f>
        <v>1363842.8705116231</v>
      </c>
      <c r="AE31" s="114">
        <f>'RPS Spend Model'!W93</f>
        <v>741702.34244912863</v>
      </c>
    </row>
    <row r="32" spans="2:32" x14ac:dyDescent="0.3">
      <c r="B32" s="100" t="s">
        <v>51</v>
      </c>
      <c r="C32" s="114">
        <f>'RPS Spend Model'!S9</f>
        <v>420919644.48459113</v>
      </c>
      <c r="D32" s="114">
        <f>'RPS Spend Model'!T9</f>
        <v>585756682.47488618</v>
      </c>
      <c r="E32" s="114">
        <f>'RPS Spend Model'!U9</f>
        <v>1006676326.9594773</v>
      </c>
      <c r="F32" s="114">
        <f>'RPS Spend Model'!V9</f>
        <v>569909346.3969748</v>
      </c>
      <c r="G32" s="114">
        <f>'RPS Spend Model'!W9</f>
        <v>436766980.5625025</v>
      </c>
      <c r="J32" s="100" t="s">
        <v>51</v>
      </c>
      <c r="K32" s="114">
        <f>'RPS Spend Model'!S38</f>
        <v>163325801.79857743</v>
      </c>
      <c r="L32" s="114">
        <f>'RPS Spend Model'!T38</f>
        <v>157075656.73749998</v>
      </c>
      <c r="M32" s="114">
        <f>'RPS Spend Model'!U38</f>
        <v>320401458.53607738</v>
      </c>
      <c r="N32" s="114">
        <f>'RPS Spend Model'!V38</f>
        <v>154090592.23793653</v>
      </c>
      <c r="O32" s="114">
        <f>'RPS Spend Model'!W38</f>
        <v>166310866.29814085</v>
      </c>
      <c r="R32" s="100" t="s">
        <v>51</v>
      </c>
      <c r="S32" s="114">
        <f>'RPS Spend Model'!S66</f>
        <v>256852140.34356475</v>
      </c>
      <c r="T32" s="114">
        <f>'RPS Spend Model'!T66</f>
        <v>427288775.61238623</v>
      </c>
      <c r="U32" s="114">
        <f>'RPS Spend Model'!U66</f>
        <v>684140915.95595098</v>
      </c>
      <c r="V32" s="114">
        <f>'RPS Spend Model'!V66</f>
        <v>414467010.73170465</v>
      </c>
      <c r="W32" s="114">
        <f>'RPS Spend Model'!W66</f>
        <v>269673905.22424632</v>
      </c>
      <c r="Z32" s="100" t="s">
        <v>51</v>
      </c>
      <c r="AA32" s="114">
        <f>'RPS Spend Model'!S94</f>
        <v>741702.34244912863</v>
      </c>
      <c r="AB32" s="114">
        <f>'RPS Spend Model'!T94</f>
        <v>1392250.125</v>
      </c>
      <c r="AC32" s="114">
        <f>'RPS Spend Model'!U94</f>
        <v>2133952.4674491286</v>
      </c>
      <c r="AD32" s="114">
        <f>'RPS Spend Model'!V94</f>
        <v>1351743.4273336707</v>
      </c>
      <c r="AE32" s="114">
        <f>'RPS Spend Model'!W94</f>
        <v>782209.04011545796</v>
      </c>
    </row>
    <row r="33" spans="2:32" x14ac:dyDescent="0.3">
      <c r="B33" s="100" t="s">
        <v>52</v>
      </c>
      <c r="C33" s="114">
        <f>'RPS Spend Model'!S10</f>
        <v>436766980.5625025</v>
      </c>
      <c r="D33" s="114">
        <f>'RPS Spend Model'!T10</f>
        <v>587514105.67300749</v>
      </c>
      <c r="E33" s="114">
        <f>'RPS Spend Model'!U10</f>
        <v>1024281086.23551</v>
      </c>
      <c r="F33" s="114">
        <f>'RPS Spend Model'!V10</f>
        <v>616845717.84269643</v>
      </c>
      <c r="G33" s="114">
        <f>'RPS Spend Model'!W10</f>
        <v>407435368.39281356</v>
      </c>
      <c r="J33" s="100" t="s">
        <v>52</v>
      </c>
      <c r="K33" s="114">
        <f>'RPS Spend Model'!S39</f>
        <v>166310866.29814085</v>
      </c>
      <c r="L33" s="114">
        <f>'RPS Spend Model'!T39</f>
        <v>157075656.73749998</v>
      </c>
      <c r="M33" s="114">
        <f>'RPS Spend Model'!U39</f>
        <v>323386523.03564084</v>
      </c>
      <c r="N33" s="114">
        <f>'RPS Spend Model'!V39</f>
        <v>165201183.5396978</v>
      </c>
      <c r="O33" s="114">
        <f>'RPS Spend Model'!W39</f>
        <v>158185339.49594304</v>
      </c>
      <c r="R33" s="100" t="s">
        <v>52</v>
      </c>
      <c r="S33" s="114">
        <f>'RPS Spend Model'!S67</f>
        <v>269673905.22424632</v>
      </c>
      <c r="T33" s="114">
        <f>'RPS Spend Model'!T67</f>
        <v>429045104.18550754</v>
      </c>
      <c r="U33" s="114">
        <f>'RPS Spend Model'!U67</f>
        <v>698719009.4097538</v>
      </c>
      <c r="V33" s="114">
        <f>'RPS Spend Model'!V67</f>
        <v>450399399.84636134</v>
      </c>
      <c r="W33" s="114">
        <f>'RPS Spend Model'!W67</f>
        <v>248319609.56339246</v>
      </c>
      <c r="Z33" s="100" t="s">
        <v>52</v>
      </c>
      <c r="AA33" s="114">
        <f>'RPS Spend Model'!S95</f>
        <v>782209.04011545796</v>
      </c>
      <c r="AB33" s="114">
        <f>'RPS Spend Model'!T95</f>
        <v>1393344.75</v>
      </c>
      <c r="AC33" s="114">
        <f>'RPS Spend Model'!U95</f>
        <v>2175553.790115458</v>
      </c>
      <c r="AD33" s="114">
        <f>'RPS Spend Model'!V95</f>
        <v>1448134.4566373318</v>
      </c>
      <c r="AE33" s="114">
        <f>'RPS Spend Model'!W95</f>
        <v>727419.33347812621</v>
      </c>
    </row>
    <row r="34" spans="2:32" x14ac:dyDescent="0.3">
      <c r="B34" s="100" t="s">
        <v>53</v>
      </c>
      <c r="C34" s="114">
        <f>'RPS Spend Model'!S11</f>
        <v>407435368.39281356</v>
      </c>
      <c r="D34" s="114">
        <f>'RPS Spend Model'!T11</f>
        <v>590390494.51808977</v>
      </c>
      <c r="E34" s="114">
        <f>'RPS Spend Model'!U11</f>
        <v>997825862.91090333</v>
      </c>
      <c r="F34" s="114">
        <f>'RPS Spend Model'!V11</f>
        <v>662898735.729087</v>
      </c>
      <c r="G34" s="114">
        <f>'RPS Spend Model'!W11</f>
        <v>334927127.18181634</v>
      </c>
      <c r="J34" s="100" t="s">
        <v>53</v>
      </c>
      <c r="K34" s="114">
        <f>'RPS Spend Model'!S40</f>
        <v>158185339.49594304</v>
      </c>
      <c r="L34" s="114">
        <f>'RPS Spend Model'!T40</f>
        <v>157075656.73749998</v>
      </c>
      <c r="M34" s="114">
        <f>'RPS Spend Model'!U40</f>
        <v>315260996.23344302</v>
      </c>
      <c r="N34" s="114">
        <f>'RPS Spend Model'!V40</f>
        <v>180514389.07978135</v>
      </c>
      <c r="O34" s="114">
        <f>'RPS Spend Model'!W40</f>
        <v>134746607.15366167</v>
      </c>
      <c r="R34" s="100" t="s">
        <v>53</v>
      </c>
      <c r="S34" s="114">
        <f>'RPS Spend Model'!S68</f>
        <v>248319609.56339246</v>
      </c>
      <c r="T34" s="114">
        <f>'RPS Spend Model'!T68</f>
        <v>431920687.15558982</v>
      </c>
      <c r="U34" s="114">
        <f>'RPS Spend Model'!U68</f>
        <v>680240296.71898222</v>
      </c>
      <c r="V34" s="114">
        <f>'RPS Spend Model'!V68</f>
        <v>481006360.96955532</v>
      </c>
      <c r="W34" s="114">
        <f>'RPS Spend Model'!W68</f>
        <v>199233935.7494269</v>
      </c>
      <c r="Z34" s="100" t="s">
        <v>53</v>
      </c>
      <c r="AA34" s="114">
        <f>'RPS Spend Model'!S96</f>
        <v>727419.33347812621</v>
      </c>
      <c r="AB34" s="114">
        <f>'RPS Spend Model'!T96</f>
        <v>1394150.625</v>
      </c>
      <c r="AC34" s="114">
        <f>'RPS Spend Model'!U96</f>
        <v>2121569.9584781262</v>
      </c>
      <c r="AD34" s="114">
        <f>'RPS Spend Model'!V96</f>
        <v>1580985.6797502902</v>
      </c>
      <c r="AE34" s="114">
        <f>'RPS Spend Model'!W96</f>
        <v>540584.27872783598</v>
      </c>
    </row>
    <row r="35" spans="2:32" x14ac:dyDescent="0.3">
      <c r="B35" s="99" t="s">
        <v>54</v>
      </c>
      <c r="C35" s="114">
        <f>'RPS Spend Model'!S12</f>
        <v>334927127.18181634</v>
      </c>
      <c r="D35" s="114">
        <f>'RPS Spend Model'!T12</f>
        <v>591122604.44628155</v>
      </c>
      <c r="E35" s="114">
        <f>'RPS Spend Model'!U12</f>
        <v>926049731.62809789</v>
      </c>
      <c r="F35" s="114">
        <f>'RPS Spend Model'!V12</f>
        <v>658826490.4240253</v>
      </c>
      <c r="G35" s="114">
        <f>'RPS Spend Model'!W12</f>
        <v>267223241.20407259</v>
      </c>
      <c r="J35" s="99" t="s">
        <v>54</v>
      </c>
      <c r="K35" s="114">
        <f>'RPS Spend Model'!S41</f>
        <v>134746607.15366167</v>
      </c>
      <c r="L35" s="114">
        <f>'RPS Spend Model'!T41</f>
        <v>157075656.73749998</v>
      </c>
      <c r="M35" s="114">
        <f>'RPS Spend Model'!U41</f>
        <v>291822263.89116168</v>
      </c>
      <c r="N35" s="114">
        <f>'RPS Spend Model'!V41</f>
        <v>179440212.07530361</v>
      </c>
      <c r="O35" s="114">
        <f>'RPS Spend Model'!W41</f>
        <v>112382051.81585807</v>
      </c>
      <c r="R35" s="99" t="s">
        <v>54</v>
      </c>
      <c r="S35" s="114">
        <f>'RPS Spend Model'!S69</f>
        <v>199233935.7494269</v>
      </c>
      <c r="T35" s="114">
        <f>'RPS Spend Model'!T69</f>
        <v>432651888.83378154</v>
      </c>
      <c r="U35" s="114">
        <f>'RPS Spend Model'!U69</f>
        <v>631885824.58320844</v>
      </c>
      <c r="V35" s="114">
        <f>'RPS Spend Model'!V69</f>
        <v>478017611.79738718</v>
      </c>
      <c r="W35" s="114">
        <f>'RPS Spend Model'!W69</f>
        <v>153868212.78582126</v>
      </c>
      <c r="Z35" s="99" t="s">
        <v>54</v>
      </c>
      <c r="AA35" s="114">
        <f>'RPS Spend Model'!S97</f>
        <v>540584.27872783598</v>
      </c>
      <c r="AB35" s="114">
        <f>'RPS Spend Model'!T97</f>
        <v>1395058.875</v>
      </c>
      <c r="AC35" s="114">
        <f>'RPS Spend Model'!U97</f>
        <v>1935643.153727836</v>
      </c>
      <c r="AD35" s="114">
        <f>'RPS Spend Model'!V97</f>
        <v>1571666.5513345492</v>
      </c>
      <c r="AE35" s="114">
        <f>'RPS Spend Model'!W97</f>
        <v>363976.60239328677</v>
      </c>
    </row>
    <row r="36" spans="2:32" x14ac:dyDescent="0.3">
      <c r="B36" s="99" t="s">
        <v>55</v>
      </c>
      <c r="C36" s="114">
        <f>'RPS Spend Model'!S13</f>
        <v>267223241.20407259</v>
      </c>
      <c r="D36" s="114">
        <f>'RPS Spend Model'!T13</f>
        <v>592981596.45083296</v>
      </c>
      <c r="E36" s="114">
        <f>'RPS Spend Model'!U13</f>
        <v>860204837.65490556</v>
      </c>
      <c r="F36" s="114">
        <f>'RPS Spend Model'!V13</f>
        <v>679244571.80066836</v>
      </c>
      <c r="G36" s="114">
        <f>'RPS Spend Model'!W13</f>
        <v>180960265.8542372</v>
      </c>
      <c r="J36" s="99" t="s">
        <v>55</v>
      </c>
      <c r="K36" s="114">
        <f>'RPS Spend Model'!S42</f>
        <v>112382051.81585807</v>
      </c>
      <c r="L36" s="114">
        <f>'RPS Spend Model'!T42</f>
        <v>157075656.73749998</v>
      </c>
      <c r="M36" s="114">
        <f>'RPS Spend Model'!U42</f>
        <v>269457708.55335808</v>
      </c>
      <c r="N36" s="114">
        <f>'RPS Spend Model'!V42</f>
        <v>182295663.27245468</v>
      </c>
      <c r="O36" s="114">
        <f>'RPS Spend Model'!W42</f>
        <v>87162045.280903399</v>
      </c>
      <c r="R36" s="99" t="s">
        <v>55</v>
      </c>
      <c r="S36" s="114">
        <f>'RPS Spend Model'!S70</f>
        <v>153868212.78582126</v>
      </c>
      <c r="T36" s="114">
        <f>'RPS Spend Model'!T70</f>
        <v>434509872.83833295</v>
      </c>
      <c r="U36" s="114">
        <f>'RPS Spend Model'!U70</f>
        <v>588378085.62415421</v>
      </c>
      <c r="V36" s="114">
        <f>'RPS Spend Model'!V70</f>
        <v>495555469.22873777</v>
      </c>
      <c r="W36" s="114">
        <f>'RPS Spend Model'!W70</f>
        <v>92822616.395416439</v>
      </c>
      <c r="Z36" s="99" t="s">
        <v>55</v>
      </c>
      <c r="AA36" s="114">
        <f>'RPS Spend Model'!S98</f>
        <v>363976.60239328677</v>
      </c>
      <c r="AB36" s="114">
        <f>'RPS Spend Model'!T98</f>
        <v>1396066.875</v>
      </c>
      <c r="AC36" s="114">
        <f>'RPS Spend Model'!U98</f>
        <v>1760043.4773932868</v>
      </c>
      <c r="AD36" s="114">
        <f>'RPS Spend Model'!V98</f>
        <v>1596439.2994758775</v>
      </c>
      <c r="AE36" s="114">
        <f>'RPS Spend Model'!W98</f>
        <v>163604.17791740922</v>
      </c>
    </row>
    <row r="37" spans="2:32" x14ac:dyDescent="0.3">
      <c r="B37" s="99" t="s">
        <v>56</v>
      </c>
      <c r="C37" s="114">
        <f>'RPS Spend Model'!S14</f>
        <v>180960265.8542372</v>
      </c>
      <c r="D37" s="114">
        <f>'RPS Spend Model'!T14</f>
        <v>595184488.02007306</v>
      </c>
      <c r="E37" s="114">
        <f>'RPS Spend Model'!U14</f>
        <v>776144753.87431026</v>
      </c>
      <c r="F37" s="114">
        <f>'RPS Spend Model'!V14</f>
        <v>676411183.73342419</v>
      </c>
      <c r="G37" s="114">
        <f>'RPS Spend Model'!W14</f>
        <v>99733570.140886068</v>
      </c>
      <c r="J37" s="99" t="s">
        <v>56</v>
      </c>
      <c r="K37" s="114">
        <f>'RPS Spend Model'!S43</f>
        <v>87162045.280903399</v>
      </c>
      <c r="L37" s="114">
        <f>'RPS Spend Model'!T43</f>
        <v>157075656.73749998</v>
      </c>
      <c r="M37" s="114">
        <f>'RPS Spend Model'!U43</f>
        <v>244237702.01840338</v>
      </c>
      <c r="N37" s="114">
        <f>'RPS Spend Model'!V43</f>
        <v>184265014.04587898</v>
      </c>
      <c r="O37" s="114">
        <f>'RPS Spend Model'!W43</f>
        <v>59972687.972524405</v>
      </c>
      <c r="R37" s="99" t="s">
        <v>56</v>
      </c>
      <c r="S37" s="114">
        <f>'RPS Spend Model'!S71</f>
        <v>92822616.395416439</v>
      </c>
      <c r="T37" s="114">
        <f>'RPS Spend Model'!T71</f>
        <v>436711740.6575731</v>
      </c>
      <c r="U37" s="114">
        <f>'RPS Spend Model'!U71</f>
        <v>529534357.05298954</v>
      </c>
      <c r="V37" s="114">
        <f>'RPS Spend Model'!V71</f>
        <v>490735645.09144068</v>
      </c>
      <c r="W37" s="114">
        <f>'RPS Spend Model'!W71</f>
        <v>38798711.961548865</v>
      </c>
      <c r="Z37" s="99" t="s">
        <v>56</v>
      </c>
      <c r="AA37" s="114">
        <f>'RPS Spend Model'!S99</f>
        <v>163604.17791740922</v>
      </c>
      <c r="AB37" s="114">
        <f>'RPS Spend Model'!T99</f>
        <v>1397090.625</v>
      </c>
      <c r="AC37" s="114">
        <f>'RPS Spend Model'!U99</f>
        <v>1560694.8029174092</v>
      </c>
      <c r="AD37" s="114">
        <f>'RPS Spend Model'!V99</f>
        <v>1571206.9790063035</v>
      </c>
      <c r="AE37" s="114">
        <f>'RPS Spend Model'!W99</f>
        <v>-10512.176088894252</v>
      </c>
    </row>
    <row r="38" spans="2:32" x14ac:dyDescent="0.3">
      <c r="B38" s="100" t="s">
        <v>57</v>
      </c>
      <c r="C38" s="114">
        <f>'RPS Spend Model'!S15</f>
        <v>99733570.140886068</v>
      </c>
      <c r="D38" s="114">
        <f>'RPS Spend Model'!T15</f>
        <v>599266581.51848221</v>
      </c>
      <c r="E38" s="114">
        <f>'RPS Spend Model'!U15</f>
        <v>699000151.65936828</v>
      </c>
      <c r="F38" s="114">
        <f>'RPS Spend Model'!V15</f>
        <v>673270838.34056091</v>
      </c>
      <c r="G38" s="114">
        <f>'RPS Spend Model'!W15</f>
        <v>25729313.318807364</v>
      </c>
      <c r="J38" s="100" t="s">
        <v>57</v>
      </c>
      <c r="K38" s="114">
        <f>'RPS Spend Model'!S44</f>
        <v>59972687.972524405</v>
      </c>
      <c r="L38" s="114">
        <f>'RPS Spend Model'!T44</f>
        <v>157075656.73749998</v>
      </c>
      <c r="M38" s="114">
        <f>'RPS Spend Model'!U44</f>
        <v>217048344.71002439</v>
      </c>
      <c r="N38" s="114">
        <f>'RPS Spend Model'!V44</f>
        <v>184571176.24175328</v>
      </c>
      <c r="O38" s="114">
        <f>'RPS Spend Model'!W44</f>
        <v>32477168.468271106</v>
      </c>
      <c r="R38" s="100" t="s">
        <v>57</v>
      </c>
      <c r="S38" s="114">
        <f>'RPS Spend Model'!S72</f>
        <v>38798711.961548865</v>
      </c>
      <c r="T38" s="114">
        <f>'RPS Spend Model'!T72</f>
        <v>440793222.53098226</v>
      </c>
      <c r="U38" s="114">
        <f>'RPS Spend Model'!U72</f>
        <v>479591934.49253112</v>
      </c>
      <c r="V38" s="114">
        <f>'RPS Spend Model'!V72</f>
        <v>491547561.05454612</v>
      </c>
      <c r="W38" s="114">
        <f>'RPS Spend Model'!W72</f>
        <v>-11955626.562014997</v>
      </c>
      <c r="Z38" s="100" t="s">
        <v>57</v>
      </c>
      <c r="AA38" s="114">
        <f>'RPS Spend Model'!S100</f>
        <v>-10512.176088894252</v>
      </c>
      <c r="AB38" s="114">
        <f>'RPS Spend Model'!T100</f>
        <v>1397702.25</v>
      </c>
      <c r="AC38" s="114">
        <f>'RPS Spend Model'!U100</f>
        <v>1387190.0739111057</v>
      </c>
      <c r="AD38" s="114">
        <f>'RPS Spend Model'!V100</f>
        <v>1573572.8824478344</v>
      </c>
      <c r="AE38" s="114">
        <f>'RPS Spend Model'!W100</f>
        <v>-186382.80853672861</v>
      </c>
    </row>
    <row r="39" spans="2:32" x14ac:dyDescent="0.3">
      <c r="B39" s="100" t="s">
        <v>58</v>
      </c>
      <c r="C39" s="114">
        <f>'RPS Spend Model'!S16</f>
        <v>25729313.318807364</v>
      </c>
      <c r="D39" s="114">
        <f>'RPS Spend Model'!T16</f>
        <v>600238825.11704779</v>
      </c>
      <c r="E39" s="114">
        <f>'RPS Spend Model'!U16</f>
        <v>625968138.43585515</v>
      </c>
      <c r="F39" s="114">
        <f>'RPS Spend Model'!V16</f>
        <v>604288996.84060979</v>
      </c>
      <c r="G39" s="114">
        <f>'RPS Spend Model'!W16</f>
        <v>21679141.595245361</v>
      </c>
      <c r="J39" s="100" t="s">
        <v>58</v>
      </c>
      <c r="K39" s="114">
        <f>'RPS Spend Model'!S45</f>
        <v>32477168.468271106</v>
      </c>
      <c r="L39" s="114">
        <f>'RPS Spend Model'!T45</f>
        <v>157075656.73749998</v>
      </c>
      <c r="M39" s="114">
        <f>'RPS Spend Model'!U45</f>
        <v>189552825.20577109</v>
      </c>
      <c r="N39" s="114">
        <f>'RPS Spend Model'!V45</f>
        <v>165693441.92473826</v>
      </c>
      <c r="O39" s="114">
        <f>'RPS Spend Model'!W45</f>
        <v>23859383.28103283</v>
      </c>
      <c r="R39" s="100" t="s">
        <v>58</v>
      </c>
      <c r="S39" s="114">
        <f>'RPS Spend Model'!S73</f>
        <v>-11955626.562014997</v>
      </c>
      <c r="T39" s="114">
        <f>'RPS Spend Model'!T73</f>
        <v>441764820.37954783</v>
      </c>
      <c r="U39" s="114">
        <f>'RPS Spend Model'!U73</f>
        <v>429809193.81753284</v>
      </c>
      <c r="V39" s="114">
        <f>'RPS Spend Model'!V73</f>
        <v>441608478.88845676</v>
      </c>
      <c r="W39" s="114">
        <f>'RPS Spend Model'!W73</f>
        <v>-11799285.070923924</v>
      </c>
      <c r="Z39" s="100" t="s">
        <v>58</v>
      </c>
      <c r="AA39" s="114">
        <f>'RPS Spend Model'!S101</f>
        <v>-186382.80853672861</v>
      </c>
      <c r="AB39" s="114">
        <f>'RPS Spend Model'!T101</f>
        <v>1398348</v>
      </c>
      <c r="AC39" s="114">
        <f>'RPS Spend Model'!U101</f>
        <v>1211965.1914632714</v>
      </c>
      <c r="AD39" s="114">
        <f>'RPS Spend Model'!V101</f>
        <v>1289978.7390813273</v>
      </c>
      <c r="AE39" s="114">
        <f>'RPS Spend Model'!W101</f>
        <v>-78013.547618055949</v>
      </c>
    </row>
    <row r="40" spans="2:32" x14ac:dyDescent="0.3">
      <c r="B40" s="100" t="s">
        <v>59</v>
      </c>
      <c r="C40" s="114">
        <f>'RPS Spend Model'!S17</f>
        <v>21679141.595245361</v>
      </c>
      <c r="D40" s="114">
        <f>'RPS Spend Model'!T17</f>
        <v>601923444.86339867</v>
      </c>
      <c r="E40" s="114">
        <f>'RPS Spend Model'!U17</f>
        <v>623602586.45864403</v>
      </c>
      <c r="F40" s="114">
        <f>'RPS Spend Model'!V17</f>
        <v>577299902.79384792</v>
      </c>
      <c r="G40" s="114">
        <f>'RPS Spend Model'!W17</f>
        <v>46302683.664796114</v>
      </c>
      <c r="J40" s="100" t="s">
        <v>59</v>
      </c>
      <c r="K40" s="114">
        <f>'RPS Spend Model'!S46</f>
        <v>23859383.28103283</v>
      </c>
      <c r="L40" s="114">
        <f>'RPS Spend Model'!T46</f>
        <v>157075656.73749998</v>
      </c>
      <c r="M40" s="114">
        <f>'RPS Spend Model'!U46</f>
        <v>180935040.01853281</v>
      </c>
      <c r="N40" s="114">
        <f>'RPS Spend Model'!V46</f>
        <v>158320561.21304381</v>
      </c>
      <c r="O40" s="114">
        <f>'RPS Spend Model'!W46</f>
        <v>22614478.805489004</v>
      </c>
      <c r="R40" s="100" t="s">
        <v>59</v>
      </c>
      <c r="S40" s="114">
        <f>'RPS Spend Model'!S74</f>
        <v>-11799285.070923924</v>
      </c>
      <c r="T40" s="114">
        <f>'RPS Spend Model'!T74</f>
        <v>443449098.87589866</v>
      </c>
      <c r="U40" s="114">
        <f>'RPS Spend Model'!U74</f>
        <v>431649813.80497473</v>
      </c>
      <c r="V40" s="114">
        <f>'RPS Spend Model'!V74</f>
        <v>422056229.70627999</v>
      </c>
      <c r="W40" s="114">
        <f>'RPS Spend Model'!W74</f>
        <v>9593584.0986947417</v>
      </c>
      <c r="Z40" s="100" t="s">
        <v>59</v>
      </c>
      <c r="AA40" s="114">
        <f>'RPS Spend Model'!S102</f>
        <v>-78013.547618055949</v>
      </c>
      <c r="AB40" s="114">
        <f>'RPS Spend Model'!T102</f>
        <v>1398689.25</v>
      </c>
      <c r="AC40" s="114">
        <f>'RPS Spend Model'!U102</f>
        <v>1320675.7023819441</v>
      </c>
      <c r="AD40" s="114">
        <f>'RPS Spend Model'!V102</f>
        <v>1225894.8097265353</v>
      </c>
      <c r="AE40" s="114">
        <f>'RPS Spend Model'!W102</f>
        <v>94780.892655408708</v>
      </c>
    </row>
    <row r="41" spans="2:32" x14ac:dyDescent="0.3">
      <c r="B41" s="100" t="s">
        <v>60</v>
      </c>
      <c r="C41" s="114">
        <f>'RPS Spend Model'!S18</f>
        <v>46302683.664796114</v>
      </c>
      <c r="D41" s="114">
        <f>'RPS Spend Model'!T18</f>
        <v>603951792.27137923</v>
      </c>
      <c r="E41" s="114">
        <f>'RPS Spend Model'!U18</f>
        <v>650254475.93617535</v>
      </c>
      <c r="F41" s="114">
        <f>'RPS Spend Model'!V18</f>
        <v>540487607.67916131</v>
      </c>
      <c r="G41" s="114">
        <f>'RPS Spend Model'!W18</f>
        <v>109766868.25701404</v>
      </c>
      <c r="J41" s="100" t="s">
        <v>60</v>
      </c>
      <c r="K41" s="114">
        <f>'RPS Spend Model'!S47</f>
        <v>22614478.805489004</v>
      </c>
      <c r="L41" s="114">
        <f>'RPS Spend Model'!T47</f>
        <v>157075656.73749998</v>
      </c>
      <c r="M41" s="114">
        <f>'RPS Spend Model'!U47</f>
        <v>179690135.54298899</v>
      </c>
      <c r="N41" s="114">
        <f>'RPS Spend Model'!V47</f>
        <v>148194815.51390907</v>
      </c>
      <c r="O41" s="114">
        <f>'RPS Spend Model'!W47</f>
        <v>31495320.029079914</v>
      </c>
      <c r="R41" s="100" t="s">
        <v>60</v>
      </c>
      <c r="S41" s="114">
        <f>'RPS Spend Model'!S75</f>
        <v>9593584.0986947417</v>
      </c>
      <c r="T41" s="114">
        <f>'RPS Spend Model'!T75</f>
        <v>445476724.40887928</v>
      </c>
      <c r="U41" s="114">
        <f>'RPS Spend Model'!U75</f>
        <v>455070308.50757402</v>
      </c>
      <c r="V41" s="114">
        <f>'RPS Spend Model'!V75</f>
        <v>359237629.86535466</v>
      </c>
      <c r="W41" s="114">
        <f>'RPS Spend Model'!W75</f>
        <v>95832678.642219365</v>
      </c>
      <c r="Z41" s="100" t="s">
        <v>60</v>
      </c>
      <c r="AA41" s="114">
        <f>'RPS Spend Model'!S103</f>
        <v>94780.892655408708</v>
      </c>
      <c r="AB41" s="114">
        <f>'RPS Spend Model'!T103</f>
        <v>1399411.125</v>
      </c>
      <c r="AC41" s="114">
        <f>'RPS Spend Model'!U103</f>
        <v>1494192.0176554087</v>
      </c>
      <c r="AD41" s="114">
        <f>'RPS Spend Model'!V103</f>
        <v>1135301.0195993579</v>
      </c>
      <c r="AE41" s="114">
        <f>'RPS Spend Model'!W103</f>
        <v>358890.99805605086</v>
      </c>
    </row>
    <row r="45" spans="2:32" x14ac:dyDescent="0.3">
      <c r="B45" s="313" t="s">
        <v>217</v>
      </c>
      <c r="C45" s="314"/>
      <c r="D45" s="314"/>
      <c r="J45" s="313" t="s">
        <v>218</v>
      </c>
      <c r="K45" s="314"/>
      <c r="L45" s="314"/>
      <c r="R45" s="313" t="s">
        <v>219</v>
      </c>
      <c r="S45" s="314"/>
      <c r="T45" s="314"/>
      <c r="Z45" s="313" t="s">
        <v>220</v>
      </c>
      <c r="AA45" s="314"/>
      <c r="AB45" s="314"/>
    </row>
    <row r="46" spans="2:32" ht="28.8" x14ac:dyDescent="0.3">
      <c r="B46" s="54" t="s">
        <v>43</v>
      </c>
      <c r="C46" s="54" t="s">
        <v>221</v>
      </c>
      <c r="D46" s="54" t="s">
        <v>222</v>
      </c>
      <c r="E46" s="54" t="s">
        <v>223</v>
      </c>
      <c r="F46" s="54" t="s">
        <v>224</v>
      </c>
      <c r="G46" s="54" t="s">
        <v>225</v>
      </c>
      <c r="H46" s="54" t="s">
        <v>201</v>
      </c>
      <c r="J46" s="54" t="s">
        <v>43</v>
      </c>
      <c r="K46" s="54" t="s">
        <v>221</v>
      </c>
      <c r="L46" s="54" t="s">
        <v>222</v>
      </c>
      <c r="M46" s="54" t="s">
        <v>223</v>
      </c>
      <c r="N46" s="54" t="s">
        <v>224</v>
      </c>
      <c r="O46" s="54" t="s">
        <v>225</v>
      </c>
      <c r="P46" s="54" t="s">
        <v>201</v>
      </c>
      <c r="R46" s="54" t="s">
        <v>43</v>
      </c>
      <c r="S46" s="54" t="s">
        <v>221</v>
      </c>
      <c r="T46" s="54" t="s">
        <v>222</v>
      </c>
      <c r="U46" s="54" t="s">
        <v>223</v>
      </c>
      <c r="V46" s="54" t="s">
        <v>224</v>
      </c>
      <c r="W46" s="54" t="s">
        <v>225</v>
      </c>
      <c r="X46" s="54" t="s">
        <v>201</v>
      </c>
      <c r="Z46" s="54" t="s">
        <v>43</v>
      </c>
      <c r="AA46" s="54" t="s">
        <v>221</v>
      </c>
      <c r="AB46" s="54" t="s">
        <v>222</v>
      </c>
      <c r="AC46" s="54" t="s">
        <v>223</v>
      </c>
      <c r="AD46" s="54" t="s">
        <v>224</v>
      </c>
      <c r="AE46" s="54" t="s">
        <v>225</v>
      </c>
      <c r="AF46" s="54" t="s">
        <v>201</v>
      </c>
    </row>
    <row r="47" spans="2:32" x14ac:dyDescent="0.3">
      <c r="B47" s="100" t="s">
        <v>45</v>
      </c>
      <c r="C47" s="21">
        <f>'REC Delivery Model'!E4</f>
        <v>652607.90247266705</v>
      </c>
      <c r="D47" s="21">
        <f>'REC Delivery Model'!J4</f>
        <v>2653269.6</v>
      </c>
      <c r="E47" s="172">
        <f>SUM('REC Delivery Model'!K4:P4)</f>
        <v>0</v>
      </c>
      <c r="F47" s="172">
        <f>SUM('REC Delivery Model'!Q4:S4)</f>
        <v>0</v>
      </c>
      <c r="G47" s="172">
        <f>'REC Delivery Model'!V4</f>
        <v>3305877.502472667</v>
      </c>
      <c r="H47" s="165">
        <f>'Collections and ACP'!F111-G47</f>
        <v>17843304.656317368</v>
      </c>
      <c r="J47" s="100" t="s">
        <v>45</v>
      </c>
      <c r="K47" s="21">
        <f>'REC Delivery Model'!E32</f>
        <v>204901.20000000103</v>
      </c>
      <c r="L47" s="21">
        <f>'REC Delivery Model'!J32</f>
        <v>833300.63568800001</v>
      </c>
      <c r="M47" s="21">
        <f>SUM('REC Delivery Model'!K32:P32,'REC Delivery Model'!R32:S32)</f>
        <v>0</v>
      </c>
      <c r="N47" s="9">
        <f>'REC Delivery Model'!Q32</f>
        <v>0</v>
      </c>
      <c r="O47" s="21">
        <f>'REC Delivery Model'!V32</f>
        <v>1038201.835688001</v>
      </c>
      <c r="P47" s="165">
        <f>'Collections and ACP'!F7-O47</f>
        <v>5195444.2686620001</v>
      </c>
      <c r="R47" s="100" t="s">
        <v>45</v>
      </c>
      <c r="S47" s="21">
        <f>'REC Delivery Model'!E60</f>
        <v>446162.99791666603</v>
      </c>
      <c r="T47" s="21">
        <f>'REC Delivery Model'!J60</f>
        <v>1817421.8606199999</v>
      </c>
      <c r="U47" s="172">
        <f>SUM('REC Delivery Model'!K60:P60)</f>
        <v>0</v>
      </c>
      <c r="V47" s="172">
        <f>SUM('REC Delivery Model'!Q60:S60)</f>
        <v>0</v>
      </c>
      <c r="W47" s="60">
        <f>'REC Delivery Model'!V60</f>
        <v>2263584.8585366658</v>
      </c>
      <c r="X47" s="165">
        <f>'Collections and ACP'!F46-Appendix!W47</f>
        <v>12569447.192188337</v>
      </c>
      <c r="Z47" s="100" t="s">
        <v>45</v>
      </c>
      <c r="AA47" s="21">
        <f>'REC Delivery Model'!E88</f>
        <v>1543.7045560000197</v>
      </c>
      <c r="AB47" s="21">
        <f>'REC Delivery Model'!J88</f>
        <v>2547.1036920000001</v>
      </c>
      <c r="AC47" s="172">
        <f>SUM('REC Delivery Model'!K88:P88)</f>
        <v>0</v>
      </c>
      <c r="AD47" s="60">
        <f>SUM('REC Delivery Model'!Q88:S88)</f>
        <v>0</v>
      </c>
      <c r="AE47" s="60">
        <f>'REC Delivery Model'!V88</f>
        <v>4090.8082480000198</v>
      </c>
      <c r="AF47" s="165">
        <f>'Collections and ACP'!F79-AE47</f>
        <v>78413.195467027734</v>
      </c>
    </row>
    <row r="48" spans="2:32" x14ac:dyDescent="0.3">
      <c r="B48" s="100" t="s">
        <v>46</v>
      </c>
      <c r="C48" s="21">
        <f>'REC Delivery Model'!E5</f>
        <v>1028057.6095813341</v>
      </c>
      <c r="D48" s="21">
        <f>'REC Delivery Model'!J5</f>
        <v>4932309.1079333331</v>
      </c>
      <c r="E48" s="172">
        <f>SUM('REC Delivery Model'!K5:P5)</f>
        <v>0</v>
      </c>
      <c r="F48" s="172">
        <f>SUM('REC Delivery Model'!Q5:S5)</f>
        <v>0</v>
      </c>
      <c r="G48" s="172">
        <f>'REC Delivery Model'!V5</f>
        <v>5960366.7175146677</v>
      </c>
      <c r="H48" s="165">
        <f>'Collections and ACP'!F112-G48</f>
        <v>16825085.96730854</v>
      </c>
      <c r="J48" s="100" t="s">
        <v>46</v>
      </c>
      <c r="K48" s="21">
        <f>'REC Delivery Model'!E33</f>
        <v>296266.80666666734</v>
      </c>
      <c r="L48" s="21">
        <f>'REC Delivery Model'!J33</f>
        <v>1495753.5735760001</v>
      </c>
      <c r="M48" s="21">
        <f>SUM('REC Delivery Model'!K33:P33,'REC Delivery Model'!R33:S33)</f>
        <v>0</v>
      </c>
      <c r="N48" s="9">
        <f>'REC Delivery Model'!Q33</f>
        <v>0</v>
      </c>
      <c r="O48" s="21">
        <f>'REC Delivery Model'!V33</f>
        <v>1792020.3802426674</v>
      </c>
      <c r="P48" s="165">
        <f>'Collections and ACP'!F8-O48</f>
        <v>4945115.7097573346</v>
      </c>
      <c r="R48" s="100" t="s">
        <v>46</v>
      </c>
      <c r="S48" s="21">
        <f>'REC Delivery Model'!E61</f>
        <v>726444.01636000001</v>
      </c>
      <c r="T48" s="21">
        <f>'REC Delivery Model'!J61</f>
        <v>3426105.7618233333</v>
      </c>
      <c r="U48" s="172">
        <f>SUM('REC Delivery Model'!K61:P61)</f>
        <v>0</v>
      </c>
      <c r="V48" s="172">
        <f>SUM('REC Delivery Model'!Q61:S61)</f>
        <v>0</v>
      </c>
      <c r="W48" s="60">
        <f>'REC Delivery Model'!V61</f>
        <v>4152549.7781833336</v>
      </c>
      <c r="X48" s="165">
        <f>'Collections and ACP'!F47-Appendix!W48</f>
        <v>11794487.126639873</v>
      </c>
      <c r="Z48" s="100" t="s">
        <v>46</v>
      </c>
      <c r="AA48" s="21">
        <f>'REC Delivery Model'!E89</f>
        <v>5346.7865546666544</v>
      </c>
      <c r="AB48" s="21">
        <f>'REC Delivery Model'!J89</f>
        <v>10449.772534</v>
      </c>
      <c r="AC48" s="172">
        <f>SUM('REC Delivery Model'!K89:P89)</f>
        <v>0</v>
      </c>
      <c r="AD48" s="60">
        <f>SUM('REC Delivery Model'!Q89:S89)</f>
        <v>0</v>
      </c>
      <c r="AE48" s="60">
        <f>'REC Delivery Model'!V89</f>
        <v>15796.559088666654</v>
      </c>
      <c r="AF48" s="165">
        <f>'Collections and ACP'!F80-AE48</f>
        <v>85483.13091133337</v>
      </c>
    </row>
    <row r="49" spans="2:32" x14ac:dyDescent="0.3">
      <c r="B49" s="100" t="s">
        <v>47</v>
      </c>
      <c r="C49" s="21">
        <f>'REC Delivery Model'!E6</f>
        <v>1112202.0277715982</v>
      </c>
      <c r="D49" s="21">
        <f>'REC Delivery Model'!J6</f>
        <v>5933342.2002666667</v>
      </c>
      <c r="E49" s="172">
        <f>SUM('REC Delivery Model'!K6:P6)</f>
        <v>1166448.1459785036</v>
      </c>
      <c r="F49" s="172">
        <f>SUM('REC Delivery Model'!Q6:S6)</f>
        <v>0</v>
      </c>
      <c r="G49" s="172">
        <f>'REC Delivery Model'!V6</f>
        <v>8211992.3740167683</v>
      </c>
      <c r="H49" s="165">
        <f>'Collections and ACP'!F113-G49</f>
        <v>16449984.838573352</v>
      </c>
      <c r="J49" s="100" t="s">
        <v>47</v>
      </c>
      <c r="K49" s="21">
        <f>'REC Delivery Model'!E34</f>
        <v>306562.02678307571</v>
      </c>
      <c r="L49" s="21">
        <f>'REC Delivery Model'!J34</f>
        <v>1791579.5421196201</v>
      </c>
      <c r="M49" s="21">
        <f>SUM('REC Delivery Model'!K34:P34,'REC Delivery Model'!R34:S34)</f>
        <v>318650.30451840756</v>
      </c>
      <c r="N49" s="9">
        <f>'REC Delivery Model'!Q34</f>
        <v>0</v>
      </c>
      <c r="O49" s="21">
        <f>'REC Delivery Model'!V34</f>
        <v>2416791.8734211037</v>
      </c>
      <c r="P49" s="165">
        <f>'Collections and ACP'!F9-O49</f>
        <v>4773479.1915788986</v>
      </c>
      <c r="R49" s="100" t="s">
        <v>47</v>
      </c>
      <c r="S49" s="21">
        <f>'REC Delivery Model'!E62</f>
        <v>799716.82934333594</v>
      </c>
      <c r="T49" s="21">
        <f>'REC Delivery Model'!J62</f>
        <v>4128404.6580142165</v>
      </c>
      <c r="U49" s="60">
        <f>SUM('REC Delivery Model'!K62:P62)</f>
        <v>845033.35935412708</v>
      </c>
      <c r="V49" s="60">
        <f>SUM('REC Delivery Model'!Q62:S62)</f>
        <v>0</v>
      </c>
      <c r="W49" s="60">
        <f>'REC Delivery Model'!V62</f>
        <v>5773154.8467116794</v>
      </c>
      <c r="X49" s="165">
        <f>'Collections and ACP'!F48-Appendix!W49</f>
        <v>11589792.035878435</v>
      </c>
      <c r="Z49" s="100" t="s">
        <v>47</v>
      </c>
      <c r="AA49" s="21">
        <f>'REC Delivery Model'!E90</f>
        <v>5923.171645186686</v>
      </c>
      <c r="AB49" s="21">
        <f>'REC Delivery Model'!J90</f>
        <v>13358.000132829999</v>
      </c>
      <c r="AC49" s="60">
        <f>SUM('REC Delivery Model'!K90:P90)</f>
        <v>2764.4821059690535</v>
      </c>
      <c r="AD49" s="60">
        <f>SUM('REC Delivery Model'!Q90:S90)</f>
        <v>0</v>
      </c>
      <c r="AE49" s="60">
        <f>'REC Delivery Model'!V90</f>
        <v>22045.653883985739</v>
      </c>
      <c r="AF49" s="165">
        <f>'Collections and ACP'!F81-AE49</f>
        <v>86713.611116014305</v>
      </c>
    </row>
    <row r="50" spans="2:32" x14ac:dyDescent="0.3">
      <c r="B50" s="99" t="s">
        <v>48</v>
      </c>
      <c r="C50" s="21">
        <f>'REC Delivery Model'!E7</f>
        <v>1250375.9868179956</v>
      </c>
      <c r="D50" s="21">
        <f>'REC Delivery Model'!J7</f>
        <v>5927404.9221383333</v>
      </c>
      <c r="E50" s="172">
        <f>SUM('REC Delivery Model'!K7:P7)</f>
        <v>2400735.0104779131</v>
      </c>
      <c r="F50" s="172">
        <f>SUM('REC Delivery Model'!Q7:S7)</f>
        <v>0</v>
      </c>
      <c r="G50" s="172">
        <f>'REC Delivery Model'!V7</f>
        <v>9625515.919434242</v>
      </c>
      <c r="H50" s="165">
        <f>'Collections and ACP'!F114-G50</f>
        <v>16904884.893954348</v>
      </c>
      <c r="J50" s="99" t="s">
        <v>48</v>
      </c>
      <c r="K50" s="21">
        <f>'REC Delivery Model'!E35</f>
        <v>340869.00233641622</v>
      </c>
      <c r="L50" s="21">
        <f>'REC Delivery Model'!J35</f>
        <v>1791163.955820522</v>
      </c>
      <c r="M50" s="21">
        <f>SUM('REC Delivery Model'!K35:P35,'REC Delivery Model'!R35:S35)</f>
        <v>655832.79016235634</v>
      </c>
      <c r="N50" s="9">
        <f>'REC Delivery Model'!Q35</f>
        <v>0</v>
      </c>
      <c r="O50" s="21">
        <f>'REC Delivery Model'!V35</f>
        <v>2800705.2083192943</v>
      </c>
      <c r="P50" s="165">
        <f>'Collections and ACP'!F10-O50</f>
        <v>4882760.2516807085</v>
      </c>
      <c r="R50" s="99" t="s">
        <v>48</v>
      </c>
      <c r="S50" s="21">
        <f>'REC Delivery Model'!E63</f>
        <v>903955.4460158752</v>
      </c>
      <c r="T50" s="21">
        <f>'REC Delivery Model'!J63</f>
        <v>4122883.7347241454</v>
      </c>
      <c r="U50" s="60">
        <f>SUM('REC Delivery Model'!K63:P63)</f>
        <v>1739212.4783407245</v>
      </c>
      <c r="V50" s="60">
        <f>SUM('REC Delivery Model'!Q63:S63)</f>
        <v>0</v>
      </c>
      <c r="W50" s="60">
        <f>'REC Delivery Model'!V63</f>
        <v>6800100.8090807442</v>
      </c>
      <c r="X50" s="165">
        <f>'Collections and ACP'!F49-Appendix!W50</f>
        <v>11930025.76430784</v>
      </c>
      <c r="Z50" s="99" t="s">
        <v>48</v>
      </c>
      <c r="AA50" s="21">
        <f>'REC Delivery Model'!E91</f>
        <v>5551.538465704095</v>
      </c>
      <c r="AB50" s="21">
        <f>'REC Delivery Model'!J91</f>
        <v>13357.231593665849</v>
      </c>
      <c r="AC50" s="60">
        <f>SUM('REC Delivery Model'!K91:P91)</f>
        <v>5689.7419748326538</v>
      </c>
      <c r="AD50" s="60">
        <f>SUM('REC Delivery Model'!Q91:S91)</f>
        <v>0</v>
      </c>
      <c r="AE50" s="60">
        <f>'REC Delivery Model'!V91</f>
        <v>24709.902034202598</v>
      </c>
      <c r="AF50" s="165">
        <f>'Collections and ACP'!F82-AE50</f>
        <v>92098.877965797437</v>
      </c>
    </row>
    <row r="51" spans="2:32" x14ac:dyDescent="0.3">
      <c r="B51" s="99" t="s">
        <v>49</v>
      </c>
      <c r="C51" s="21">
        <f>'REC Delivery Model'!E8</f>
        <v>1244561.3247843913</v>
      </c>
      <c r="D51" s="21">
        <f>'REC Delivery Model'!J8</f>
        <v>5927082.2654006416</v>
      </c>
      <c r="E51" s="172">
        <f>SUM('REC Delivery Model'!K8:P8)</f>
        <v>3303685.2105948259</v>
      </c>
      <c r="F51" s="172">
        <f>SUM('REC Delivery Model'!Q8:S8)</f>
        <v>0</v>
      </c>
      <c r="G51" s="172">
        <f>'REC Delivery Model'!V8</f>
        <v>10568858.800779859</v>
      </c>
      <c r="H51" s="165">
        <f>'Collections and ACP'!F115-G51</f>
        <v>17674235.459884934</v>
      </c>
      <c r="J51" s="99" t="s">
        <v>49</v>
      </c>
      <c r="K51" s="21">
        <f>'REC Delivery Model'!E36</f>
        <v>339307.74412618799</v>
      </c>
      <c r="L51" s="21">
        <f>'REC Delivery Model'!J36</f>
        <v>1791075.8124529193</v>
      </c>
      <c r="M51" s="21">
        <f>SUM('REC Delivery Model'!K36:P36,'REC Delivery Model'!R36:S36)</f>
        <v>902500.72583029442</v>
      </c>
      <c r="N51" s="9">
        <f>'REC Delivery Model'!Q36</f>
        <v>0</v>
      </c>
      <c r="O51" s="21">
        <f>'REC Delivery Model'!V36</f>
        <v>3058434.8078094018</v>
      </c>
      <c r="P51" s="165">
        <f>'Collections and ACP'!F11-O51</f>
        <v>5053448.8821906019</v>
      </c>
      <c r="R51" s="99" t="s">
        <v>49</v>
      </c>
      <c r="S51" s="21">
        <f>'REC Delivery Model'!E64</f>
        <v>899815.12274770078</v>
      </c>
      <c r="T51" s="21">
        <f>'REC Delivery Model'!J64</f>
        <v>4122649.9860505247</v>
      </c>
      <c r="U51" s="60">
        <f>SUM('REC Delivery Model'!K64:P64)</f>
        <v>2393354.7508154213</v>
      </c>
      <c r="V51" s="60">
        <f>SUM('REC Delivery Model'!Q64:S64)</f>
        <v>0</v>
      </c>
      <c r="W51" s="60">
        <f>'REC Delivery Model'!V64</f>
        <v>7483577.668113647</v>
      </c>
      <c r="X51" s="165">
        <f>'Collections and ACP'!F50-Appendix!W51</f>
        <v>12522970.337551137</v>
      </c>
      <c r="Z51" s="99" t="s">
        <v>49</v>
      </c>
      <c r="AA51" s="21">
        <f>'REC Delivery Model'!E92</f>
        <v>5438.4579105026069</v>
      </c>
      <c r="AB51" s="21">
        <f>'REC Delivery Model'!J92</f>
        <v>13356.466897197521</v>
      </c>
      <c r="AC51" s="60">
        <f>SUM('REC Delivery Model'!K92:P92)</f>
        <v>7829.7339491097373</v>
      </c>
      <c r="AD51" s="60">
        <f>SUM('REC Delivery Model'!Q92:S92)</f>
        <v>0</v>
      </c>
      <c r="AE51" s="60">
        <f>'REC Delivery Model'!V92</f>
        <v>26846.324856809864</v>
      </c>
      <c r="AF51" s="165">
        <f>'Collections and ACP'!F83-AE51</f>
        <v>97816.240143190182</v>
      </c>
    </row>
    <row r="52" spans="2:32" x14ac:dyDescent="0.3">
      <c r="B52" s="99" t="s">
        <v>50</v>
      </c>
      <c r="C52" s="21">
        <f>'REC Delivery Model'!E9</f>
        <v>1238781.8186050807</v>
      </c>
      <c r="D52" s="21">
        <f>'REC Delivery Model'!J9</f>
        <v>5926761.2219466381</v>
      </c>
      <c r="E52" s="172">
        <f>SUM('REC Delivery Model'!K9:P9)</f>
        <v>4202120.6597111542</v>
      </c>
      <c r="F52" s="172">
        <f>SUM('REC Delivery Model'!Q9:S9)</f>
        <v>2409391</v>
      </c>
      <c r="G52" s="172">
        <f>'REC Delivery Model'!V9</f>
        <v>13917349.700262873</v>
      </c>
      <c r="H52" s="165">
        <f>'Collections and ACP'!F116-G52</f>
        <v>16024579.037286861</v>
      </c>
      <c r="J52" s="99" t="s">
        <v>50</v>
      </c>
      <c r="K52" s="21">
        <f>'REC Delivery Model'!E37</f>
        <v>337755.82884451095</v>
      </c>
      <c r="L52" s="21">
        <f>'REC Delivery Model'!J37</f>
        <v>1790988.1098021548</v>
      </c>
      <c r="M52" s="21">
        <f>SUM('REC Delivery Model'!K37:P37,'REC Delivery Model'!R37:S37)</f>
        <v>1680469.9551998926</v>
      </c>
      <c r="N52" s="9">
        <f>'REC Delivery Model'!Q37</f>
        <v>125662.79999999999</v>
      </c>
      <c r="O52" s="21">
        <f>'REC Delivery Model'!V37</f>
        <v>3973202.4819465587</v>
      </c>
      <c r="P52" s="165">
        <f>'Collections and ACP'!F12-O52</f>
        <v>4609228.768053445</v>
      </c>
      <c r="R52" s="99" t="s">
        <v>50</v>
      </c>
      <c r="S52" s="21">
        <f>'REC Delivery Model'!E65</f>
        <v>895699.5761271175</v>
      </c>
      <c r="T52" s="21">
        <f>'REC Delivery Model'!J65</f>
        <v>4122417.4061202724</v>
      </c>
      <c r="U52" s="60">
        <f>SUM('REC Delivery Model'!K65:P65)</f>
        <v>3044226.3119277451</v>
      </c>
      <c r="V52" s="60">
        <f>SUM('REC Delivery Model'!Q65:S65)</f>
        <v>1745483.3099499999</v>
      </c>
      <c r="W52" s="60">
        <f>'REC Delivery Model'!V65</f>
        <v>9909463.3168751355</v>
      </c>
      <c r="X52" s="165">
        <f>'Collections and ACP'!F51-Appendix!W52</f>
        <v>11317459.420674594</v>
      </c>
      <c r="Z52" s="99" t="s">
        <v>50</v>
      </c>
      <c r="AA52" s="21">
        <f>'REC Delivery Model'!E93</f>
        <v>5326.4136334521281</v>
      </c>
      <c r="AB52" s="21">
        <f>'REC Delivery Model'!J93</f>
        <v>13355.706024211533</v>
      </c>
      <c r="AC52" s="60">
        <f>SUM('REC Delivery Model'!K93:P93)</f>
        <v>9959.0259635154362</v>
      </c>
      <c r="AD52" s="60">
        <f>SUM('REC Delivery Model'!Q93:S93)</f>
        <v>5710.2566699999998</v>
      </c>
      <c r="AE52" s="60">
        <f>'REC Delivery Model'!V93</f>
        <v>34683.901441179099</v>
      </c>
      <c r="AF52" s="165">
        <f>'Collections and ACP'!F84-AE52</f>
        <v>97890.848558820959</v>
      </c>
    </row>
    <row r="53" spans="2:32" x14ac:dyDescent="0.3">
      <c r="B53" s="100" t="s">
        <v>51</v>
      </c>
      <c r="C53" s="21">
        <f>'REC Delivery Model'!E10</f>
        <v>1233020.3648401417</v>
      </c>
      <c r="D53" s="21">
        <f>'REC Delivery Model'!J10</f>
        <v>5926441.7837099051</v>
      </c>
      <c r="E53" s="172">
        <f>SUM('REC Delivery Model'!K10:P10)</f>
        <v>5096063.9315818995</v>
      </c>
      <c r="F53" s="172">
        <f>SUM('REC Delivery Model'!Q10:S10)</f>
        <v>7036837.0449999999</v>
      </c>
      <c r="G53" s="172">
        <f>'REC Delivery Model'!V10</f>
        <v>19479423.125131946</v>
      </c>
      <c r="H53" s="165">
        <f>'Collections and ACP'!F117-G53</f>
        <v>14091480.024751063</v>
      </c>
      <c r="J53" s="100" t="s">
        <v>51</v>
      </c>
      <c r="K53" s="21">
        <f>'REC Delivery Model'!E38</f>
        <v>336208.84709214233</v>
      </c>
      <c r="L53" s="21">
        <f>'REC Delivery Model'!J38</f>
        <v>1790900.8456646439</v>
      </c>
      <c r="M53" s="21">
        <f>SUM('REC Delivery Model'!K38:P38,'REC Delivery Model'!R38:S38)</f>
        <v>2232673.088782643</v>
      </c>
      <c r="N53" s="9">
        <f>'REC Delivery Model'!Q38</f>
        <v>1081792.7999999998</v>
      </c>
      <c r="O53" s="21">
        <f>'REC Delivery Model'!V38</f>
        <v>5492676.6323394291</v>
      </c>
      <c r="P53" s="165">
        <f>'Collections and ACP'!F13-O53</f>
        <v>4119646.3676605709</v>
      </c>
      <c r="R53" s="100" t="s">
        <v>51</v>
      </c>
      <c r="S53" s="21">
        <f>'REC Delivery Model'!E66</f>
        <v>891597.11280438746</v>
      </c>
      <c r="T53" s="21">
        <f>'REC Delivery Model'!J66</f>
        <v>4122185.9890896711</v>
      </c>
      <c r="U53" s="60">
        <f>SUM('REC Delivery Model'!K66:P66)</f>
        <v>3691843.5152345076</v>
      </c>
      <c r="V53" s="60">
        <f>SUM('REC Delivery Model'!Q66:S66)</f>
        <v>5097836.5972502502</v>
      </c>
      <c r="W53" s="60">
        <f>'REC Delivery Model'!V66</f>
        <v>13938978.831378816</v>
      </c>
      <c r="X53" s="165">
        <f>'Collections and ACP'!F52-Appendix!W53</f>
        <v>9871094.6385041941</v>
      </c>
      <c r="Z53" s="100" t="s">
        <v>51</v>
      </c>
      <c r="AA53" s="21">
        <f>'REC Delivery Model'!E94</f>
        <v>5214.4049436119003</v>
      </c>
      <c r="AB53" s="21">
        <f>'REC Delivery Model'!J94</f>
        <v>13354.948955590475</v>
      </c>
      <c r="AC53" s="60">
        <f>SUM('REC Delivery Model'!K94:P94)</f>
        <v>12077.671517849103</v>
      </c>
      <c r="AD53" s="60">
        <f>SUM('REC Delivery Model'!Q94:S94)</f>
        <v>16677.303796650001</v>
      </c>
      <c r="AE53" s="60">
        <f>'REC Delivery Model'!V94</f>
        <v>47767.661413701484</v>
      </c>
      <c r="AF53" s="165">
        <f>'Collections and ACP'!F85-AE53</f>
        <v>100739.01858629854</v>
      </c>
    </row>
    <row r="54" spans="2:32" x14ac:dyDescent="0.3">
      <c r="B54" s="100" t="s">
        <v>52</v>
      </c>
      <c r="C54" s="21">
        <f>'REC Delivery Model'!E11</f>
        <v>1226694.8192617015</v>
      </c>
      <c r="D54" s="21">
        <f>'REC Delivery Model'!J11</f>
        <v>5926123.942664356</v>
      </c>
      <c r="E54" s="172">
        <f>SUM('REC Delivery Model'!K11:P11)</f>
        <v>5985537.4870932931</v>
      </c>
      <c r="F54" s="172">
        <f>SUM('REC Delivery Model'!Q11:S11)</f>
        <v>9836452.8597750012</v>
      </c>
      <c r="G54" s="172">
        <f>'REC Delivery Model'!V11</f>
        <v>23208634.10879435</v>
      </c>
      <c r="H54" s="165">
        <f>'Collections and ACP'!F118-G54</f>
        <v>14067635.72250865</v>
      </c>
      <c r="J54" s="100" t="s">
        <v>52</v>
      </c>
      <c r="K54" s="21">
        <f>'REC Delivery Model'!E39</f>
        <v>334671.67778243532</v>
      </c>
      <c r="L54" s="21">
        <f>'REC Delivery Model'!J39</f>
        <v>1790814.0178478209</v>
      </c>
      <c r="M54" s="21">
        <f>SUM('REC Delivery Model'!K39:P39,'REC Delivery Model'!R39:S39)</f>
        <v>2762393.52295748</v>
      </c>
      <c r="N54" s="9">
        <f>'REC Delivery Model'!Q39</f>
        <v>1559857.7999999998</v>
      </c>
      <c r="O54" s="21">
        <f>'REC Delivery Model'!V39</f>
        <v>6511613.3320877366</v>
      </c>
      <c r="P54" s="165">
        <f>'Collections and ACP'!F14-O54</f>
        <v>4130601.4179122634</v>
      </c>
      <c r="R54" s="100" t="s">
        <v>52</v>
      </c>
      <c r="S54" s="21">
        <f>'REC Delivery Model'!E67</f>
        <v>887520.67124052031</v>
      </c>
      <c r="T54" s="21">
        <f>'REC Delivery Model'!J67</f>
        <v>4121955.7291442226</v>
      </c>
      <c r="U54" s="60">
        <f>SUM('REC Delivery Model'!K67:P67)</f>
        <v>4336222.6325247362</v>
      </c>
      <c r="V54" s="60">
        <f>SUM('REC Delivery Model'!Q67:S67)</f>
        <v>7126018.2742639985</v>
      </c>
      <c r="W54" s="60">
        <f>'REC Delivery Model'!V67</f>
        <v>16641111.828423478</v>
      </c>
      <c r="X54" s="165">
        <f>'Collections and ACP'!F53-Appendix!W54</f>
        <v>9828395.8728795275</v>
      </c>
      <c r="Z54" s="100" t="s">
        <v>52</v>
      </c>
      <c r="AA54" s="21">
        <f>'REC Delivery Model'!E95</f>
        <v>4502.4702387458728</v>
      </c>
      <c r="AB54" s="21">
        <f>'REC Delivery Model'!J95</f>
        <v>13354.195672312522</v>
      </c>
      <c r="AC54" s="60">
        <f>SUM('REC Delivery Model'!K95:P95)</f>
        <v>14185.723844411103</v>
      </c>
      <c r="AD54" s="60">
        <f>SUM('REC Delivery Model'!Q95:S95)</f>
        <v>23312.39327766675</v>
      </c>
      <c r="AE54" s="60">
        <f>'REC Delivery Model'!V95</f>
        <v>55908.948283136247</v>
      </c>
      <c r="AF54" s="165">
        <f>'Collections and ACP'!F86-AE54</f>
        <v>108638.43171686376</v>
      </c>
    </row>
    <row r="55" spans="2:32" x14ac:dyDescent="0.3">
      <c r="B55" s="100" t="s">
        <v>53</v>
      </c>
      <c r="C55" s="21">
        <f>'REC Delivery Model'!E12</f>
        <v>1220908.098763278</v>
      </c>
      <c r="D55" s="21">
        <f>'REC Delivery Model'!J12</f>
        <v>5925807.6908240337</v>
      </c>
      <c r="E55" s="172">
        <f>SUM('REC Delivery Model'!K12:P12)</f>
        <v>6870563.6748271286</v>
      </c>
      <c r="F55" s="172">
        <f>SUM('REC Delivery Model'!Q12:S12)</f>
        <v>14440820.595476126</v>
      </c>
      <c r="G55" s="172">
        <f>'REC Delivery Model'!V12</f>
        <v>28738690.059890565</v>
      </c>
      <c r="H55" s="165">
        <f>'Collections and ACP'!F119-G55</f>
        <v>12339639.655015614</v>
      </c>
      <c r="J55" s="100" t="s">
        <v>53</v>
      </c>
      <c r="K55" s="21">
        <f>'REC Delivery Model'!E40</f>
        <v>333141.27780037699</v>
      </c>
      <c r="L55" s="21">
        <f>'REC Delivery Model'!J40</f>
        <v>1790727.6241700817</v>
      </c>
      <c r="M55" s="21">
        <f>SUM('REC Delivery Model'!K40:P40,'REC Delivery Model'!R40:S40)</f>
        <v>3579036.1549614421</v>
      </c>
      <c r="N55" s="9">
        <f>'REC Delivery Model'!Q40</f>
        <v>2242807.7999999998</v>
      </c>
      <c r="O55" s="21">
        <f>'REC Delivery Model'!V40</f>
        <v>8022364.4331319015</v>
      </c>
      <c r="P55" s="165">
        <f>'Collections and ACP'!F15-O55</f>
        <v>3649742.0668680985</v>
      </c>
      <c r="R55" s="100" t="s">
        <v>53</v>
      </c>
      <c r="S55" s="21">
        <f>'REC Delivery Model'!E68</f>
        <v>883462.18135472271</v>
      </c>
      <c r="T55" s="21">
        <f>'REC Delivery Model'!J68</f>
        <v>4121726.6204985012</v>
      </c>
      <c r="U55" s="60">
        <f>SUM('REC Delivery Model'!K68:P68)</f>
        <v>4977379.8542285133</v>
      </c>
      <c r="V55" s="60">
        <f>SUM('REC Delivery Model'!Q68:S68)</f>
        <v>10461652.480392678</v>
      </c>
      <c r="W55" s="60">
        <f>'REC Delivery Model'!V68</f>
        <v>20647494.561974417</v>
      </c>
      <c r="X55" s="165">
        <f>'Collections and ACP'!F54-Appendix!W55</f>
        <v>8578152.952931758</v>
      </c>
      <c r="Z55" s="100" t="s">
        <v>53</v>
      </c>
      <c r="AA55" s="21">
        <f>'REC Delivery Model'!E96</f>
        <v>4304.6396081782468</v>
      </c>
      <c r="AB55" s="21">
        <f>'REC Delivery Model'!J96</f>
        <v>13353.44615545096</v>
      </c>
      <c r="AC55" s="60">
        <f>SUM('REC Delivery Model'!K96:P96)</f>
        <v>16283.235909340294</v>
      </c>
      <c r="AD55" s="60">
        <f>SUM('REC Delivery Model'!Q96:S96)</f>
        <v>34224.744811278419</v>
      </c>
      <c r="AE55" s="60">
        <f>'REC Delivery Model'!V96</f>
        <v>68831.064784247923</v>
      </c>
      <c r="AF55" s="165">
        <f>'Collections and ACP'!F87-AE55</f>
        <v>111744.63521575209</v>
      </c>
    </row>
    <row r="56" spans="2:32" x14ac:dyDescent="0.3">
      <c r="B56" s="99" t="s">
        <v>54</v>
      </c>
      <c r="C56" s="21">
        <f>'REC Delivery Model'!E13</f>
        <v>1214947.369001498</v>
      </c>
      <c r="D56" s="21">
        <f>'REC Delivery Model'!J13</f>
        <v>5925493.0202429136</v>
      </c>
      <c r="E56" s="172">
        <f>SUM('REC Delivery Model'!K13:P13)</f>
        <v>7751164.7316222955</v>
      </c>
      <c r="F56" s="172">
        <f>SUM('REC Delivery Model'!Q13:S13)</f>
        <v>19045291.492498744</v>
      </c>
      <c r="G56" s="172">
        <f>'REC Delivery Model'!V13</f>
        <v>34252648.267500788</v>
      </c>
      <c r="H56" s="165">
        <f>'Collections and ACP'!F120-G56</f>
        <v>10504209.840180144</v>
      </c>
      <c r="J56" s="99" t="s">
        <v>54</v>
      </c>
      <c r="K56" s="21">
        <f>'REC Delivery Model'!E41</f>
        <v>331618.97510162881</v>
      </c>
      <c r="L56" s="21">
        <f>'REC Delivery Model'!J41</f>
        <v>1790641.6624607313</v>
      </c>
      <c r="M56" s="21">
        <f>SUM('REC Delivery Model'!K41:P41,'REC Delivery Model'!R41:S41)</f>
        <v>4394498.1113053849</v>
      </c>
      <c r="N56" s="9">
        <f>'REC Delivery Model'!Q41</f>
        <v>2925757.8</v>
      </c>
      <c r="O56" s="21">
        <f>'REC Delivery Model'!V41</f>
        <v>9528773.585744435</v>
      </c>
      <c r="P56" s="165">
        <f>'Collections and ACP'!F16-O56</f>
        <v>3173224.664255565</v>
      </c>
      <c r="R56" s="99" t="s">
        <v>54</v>
      </c>
      <c r="S56" s="21">
        <f>'REC Delivery Model'!E69</f>
        <v>879425.16477185371</v>
      </c>
      <c r="T56" s="21">
        <f>'REC Delivery Model'!J69</f>
        <v>4121498.6573960087</v>
      </c>
      <c r="U56" s="60">
        <f>SUM('REC Delivery Model'!K69:P69)</f>
        <v>5615331.2898237715</v>
      </c>
      <c r="V56" s="60">
        <f>SUM('REC Delivery Model'!Q69:S69)</f>
        <v>13797361.421740716</v>
      </c>
      <c r="W56" s="60">
        <f>'REC Delivery Model'!V69</f>
        <v>24642362.819570698</v>
      </c>
      <c r="X56" s="165">
        <f>'Collections and ACP'!F55-Appendix!W56</f>
        <v>7215860.1681102365</v>
      </c>
      <c r="Z56" s="99" t="s">
        <v>54</v>
      </c>
      <c r="AA56" s="21">
        <f>'REC Delivery Model'!E97</f>
        <v>3903.2291280153136</v>
      </c>
      <c r="AB56" s="21">
        <f>'REC Delivery Model'!J97</f>
        <v>13352.700386173705</v>
      </c>
      <c r="AC56" s="60">
        <f>SUM('REC Delivery Model'!K97:P97)</f>
        <v>18370.260413944841</v>
      </c>
      <c r="AD56" s="60">
        <f>SUM('REC Delivery Model'!Q97:S97)</f>
        <v>45137.340837222022</v>
      </c>
      <c r="AE56" s="60">
        <f>'REC Delivery Model'!V97</f>
        <v>81511.862185656646</v>
      </c>
      <c r="AF56" s="165">
        <f>'Collections and ACP'!F88-AE56</f>
        <v>115125.00781434335</v>
      </c>
    </row>
    <row r="57" spans="2:32" x14ac:dyDescent="0.3">
      <c r="B57" s="99" t="s">
        <v>55</v>
      </c>
      <c r="C57" s="21">
        <f>'REC Delivery Model'!E14</f>
        <v>1209315.0937707778</v>
      </c>
      <c r="D57" s="21">
        <f>'REC Delivery Model'!J14</f>
        <v>5925179.9230146995</v>
      </c>
      <c r="E57" s="172">
        <f>SUM('REC Delivery Model'!K14:P14)</f>
        <v>8627362.7831334863</v>
      </c>
      <c r="F57" s="172">
        <f>SUM('REC Delivery Model'!Q14:S14)</f>
        <v>23649865.035036251</v>
      </c>
      <c r="G57" s="172">
        <f>'REC Delivery Model'!V14</f>
        <v>39762636.143225893</v>
      </c>
      <c r="H57" s="165">
        <f>'Collections and ACP'!F121-G57</f>
        <v>8771215.1166318506</v>
      </c>
      <c r="J57" s="99" t="s">
        <v>55</v>
      </c>
      <c r="K57" s="21">
        <f>'REC Delivery Model'!E42</f>
        <v>330104.45875157486</v>
      </c>
      <c r="L57" s="21">
        <f>'REC Delivery Model'!J42</f>
        <v>1790556.1305599276</v>
      </c>
      <c r="M57" s="21">
        <f>SUM('REC Delivery Model'!K42:P42,'REC Delivery Model'!R42:S42)</f>
        <v>5208785.2953676088</v>
      </c>
      <c r="N57" s="9">
        <f>'REC Delivery Model'!Q42</f>
        <v>3608707.8</v>
      </c>
      <c r="O57" s="21">
        <f>'REC Delivery Model'!V42</f>
        <v>11034016.182232495</v>
      </c>
      <c r="P57" s="165">
        <f>'Collections and ACP'!F17-O57</f>
        <v>2697873.8177675046</v>
      </c>
      <c r="R57" s="99" t="s">
        <v>55</v>
      </c>
      <c r="S57" s="21">
        <f>'REC Delivery Model'!E70</f>
        <v>875408.79691990046</v>
      </c>
      <c r="T57" s="21">
        <f>'REC Delivery Model'!J70</f>
        <v>4121271.8341090288</v>
      </c>
      <c r="U57" s="60">
        <f>SUM('REC Delivery Model'!K70:P70)</f>
        <v>6250092.9682410536</v>
      </c>
      <c r="V57" s="60">
        <f>SUM('REC Delivery Model'!Q70:S70)</f>
        <v>17133144.724632014</v>
      </c>
      <c r="W57" s="60">
        <f>'REC Delivery Model'!V70</f>
        <v>28634137.470078692</v>
      </c>
      <c r="X57" s="165">
        <f>'Collections and ACP'!F56-Appendix!W57</f>
        <v>5955089.7897790521</v>
      </c>
      <c r="Z57" s="99" t="s">
        <v>55</v>
      </c>
      <c r="AA57" s="21">
        <f>'REC Delivery Model'!E98</f>
        <v>3801.8380993022724</v>
      </c>
      <c r="AB57" s="21">
        <f>'REC Delivery Model'!J98</f>
        <v>13351.958345742836</v>
      </c>
      <c r="AC57" s="60">
        <f>SUM('REC Delivery Model'!K98:P98)</f>
        <v>20446.849796026363</v>
      </c>
      <c r="AD57" s="60">
        <f>SUM('REC Delivery Model'!Q98:S98)</f>
        <v>56050.180133035916</v>
      </c>
      <c r="AE57" s="60">
        <f>'REC Delivery Model'!V98</f>
        <v>94482.490914708891</v>
      </c>
      <c r="AF57" s="165">
        <f>'Collections and ACP'!F89-AE57</f>
        <v>118251.50908529111</v>
      </c>
    </row>
    <row r="58" spans="2:32" x14ac:dyDescent="0.3">
      <c r="B58" s="99" t="s">
        <v>56</v>
      </c>
      <c r="C58" s="21">
        <f>'REC Delivery Model'!E15</f>
        <v>1199253.307709004</v>
      </c>
      <c r="D58" s="21">
        <f>'REC Delivery Model'!J15</f>
        <v>5924868.3912726259</v>
      </c>
      <c r="E58" s="172">
        <f>SUM('REC Delivery Model'!K15:P15)</f>
        <v>9499179.8443871196</v>
      </c>
      <c r="F58" s="172">
        <f>SUM('REC Delivery Model'!Q15:S15)</f>
        <v>28254540.70986107</v>
      </c>
      <c r="G58" s="172">
        <f>'REC Delivery Model'!V15</f>
        <v>45263917.215635836</v>
      </c>
      <c r="H58" s="165">
        <f>'Collections and ACP'!F122-G58</f>
        <v>4544504.8904808685</v>
      </c>
      <c r="J58" s="99" t="s">
        <v>56</v>
      </c>
      <c r="K58" s="21">
        <f>'REC Delivery Model'!E43</f>
        <v>326891.1633299471</v>
      </c>
      <c r="L58" s="21">
        <f>'REC Delivery Model'!J43</f>
        <v>1790471.0263186279</v>
      </c>
      <c r="M58" s="21">
        <f>SUM('REC Delivery Model'!K43:P43,'REC Delivery Model'!R43:S43)</f>
        <v>6021903.5810095202</v>
      </c>
      <c r="N58" s="9">
        <f>'REC Delivery Model'!Q43</f>
        <v>4291657.8</v>
      </c>
      <c r="O58" s="21">
        <f>'REC Delivery Model'!V43</f>
        <v>12536391.52888817</v>
      </c>
      <c r="P58" s="165">
        <f>'Collections and ACP'!F18-O58</f>
        <v>1505361.3153398316</v>
      </c>
      <c r="R58" s="99" t="s">
        <v>56</v>
      </c>
      <c r="S58" s="21">
        <f>'REC Delivery Model'!E71</f>
        <v>866887.41223508376</v>
      </c>
      <c r="T58" s="21">
        <f>'REC Delivery Model'!J71</f>
        <v>4121046.1449384838</v>
      </c>
      <c r="U58" s="60">
        <f>SUM('REC Delivery Model'!K71:P71)</f>
        <v>6881680.8382662497</v>
      </c>
      <c r="V58" s="60">
        <f>SUM('REC Delivery Model'!Q71:S71)</f>
        <v>20469002.017258853</v>
      </c>
      <c r="W58" s="60">
        <f>'REC Delivery Model'!V71</f>
        <v>32618308.419213708</v>
      </c>
      <c r="X58" s="165">
        <f>'Collections and ACP'!F57-Appendix!W58</f>
        <v>2930666.9372469969</v>
      </c>
      <c r="Z58" s="99" t="s">
        <v>56</v>
      </c>
      <c r="AA58" s="21">
        <f>'REC Delivery Model'!E99</f>
        <v>5474.7321439732295</v>
      </c>
      <c r="AB58" s="21">
        <f>'REC Delivery Model'!J99</f>
        <v>13351.220015514122</v>
      </c>
      <c r="AC58" s="60">
        <f>SUM('REC Delivery Model'!K99:P99)</f>
        <v>22513.056231197475</v>
      </c>
      <c r="AD58" s="60">
        <f>SUM('REC Delivery Model'!Q99:S99)</f>
        <v>66963.261482370741</v>
      </c>
      <c r="AE58" s="60">
        <f>'REC Delivery Model'!V99</f>
        <v>109217.26753395781</v>
      </c>
      <c r="AF58" s="165">
        <f>'Collections and ACP'!F90-AE58</f>
        <v>108476.63789404219</v>
      </c>
    </row>
    <row r="59" spans="2:32" x14ac:dyDescent="0.3">
      <c r="B59" s="100" t="s">
        <v>57</v>
      </c>
      <c r="C59" s="21">
        <f>'REC Delivery Model'!E16</f>
        <v>1196631.4514254043</v>
      </c>
      <c r="D59" s="21">
        <f>'REC Delivery Model'!J16</f>
        <v>4062833.4171892623</v>
      </c>
      <c r="E59" s="172">
        <f>SUM('REC Delivery Model'!K16:P16)</f>
        <v>10366637.820334485</v>
      </c>
      <c r="F59" s="172">
        <f>SUM('REC Delivery Model'!Q16:S16)</f>
        <v>32859318.006311763</v>
      </c>
      <c r="G59" s="172">
        <f>'REC Delivery Model'!V16</f>
        <v>48906657.311802275</v>
      </c>
      <c r="H59" s="165">
        <f>'Collections and ACP'!F123-G59</f>
        <v>2365534.8877370581</v>
      </c>
      <c r="J59" s="100" t="s">
        <v>57</v>
      </c>
      <c r="K59" s="21">
        <f>'REC Delivery Model'!E44</f>
        <v>326174.92268808349</v>
      </c>
      <c r="L59" s="21">
        <f>'REC Delivery Model'!J44</f>
        <v>1190386.3475985348</v>
      </c>
      <c r="M59" s="21">
        <f>SUM('REC Delivery Model'!K44:P44,'REC Delivery Model'!R44:S44)</f>
        <v>6833858.8127232222</v>
      </c>
      <c r="N59" s="9">
        <f>'REC Delivery Model'!Q44</f>
        <v>4974607.8</v>
      </c>
      <c r="O59" s="21">
        <f>'REC Delivery Model'!V44</f>
        <v>13440101.301916605</v>
      </c>
      <c r="P59" s="165">
        <f>'Collections and ACP'!F19-O59</f>
        <v>918506.50359196775</v>
      </c>
      <c r="R59" s="100" t="s">
        <v>57</v>
      </c>
      <c r="S59" s="21">
        <f>'REC Delivery Model'!E72</f>
        <v>864988.00329959043</v>
      </c>
      <c r="T59" s="21">
        <f>'REC Delivery Model'!J72</f>
        <v>2859096.5842137914</v>
      </c>
      <c r="U59" s="60">
        <f>SUM('REC Delivery Model'!K72:P72)</f>
        <v>7510110.7689413186</v>
      </c>
      <c r="V59" s="60">
        <f>SUM('REC Delivery Model'!Q72:S72)</f>
        <v>23804932.929672558</v>
      </c>
      <c r="W59" s="60">
        <f>'REC Delivery Model'!V72</f>
        <v>35344293.152980641</v>
      </c>
      <c r="X59" s="165">
        <f>'Collections and ACP'!F58-Appendix!W59</f>
        <v>1346587.5754977316</v>
      </c>
      <c r="Z59" s="100" t="s">
        <v>57</v>
      </c>
      <c r="AA59" s="21">
        <f>'REC Delivery Model'!E100</f>
        <v>5468.5254377303982</v>
      </c>
      <c r="AB59" s="21">
        <f>'REC Delivery Model'!J100</f>
        <v>13350.485376936551</v>
      </c>
      <c r="AC59" s="60">
        <f>SUM('REC Delivery Model'!K100:P100)</f>
        <v>24568.93163419273</v>
      </c>
      <c r="AD59" s="60">
        <f>SUM('REC Delivery Model'!Q100:S100)</f>
        <v>77876.583674958893</v>
      </c>
      <c r="AE59" s="60">
        <f>'REC Delivery Model'!V100</f>
        <v>122262.85690502159</v>
      </c>
      <c r="AF59" s="165">
        <f>'Collections and ACP'!F91-AE59</f>
        <v>100440.80864736732</v>
      </c>
    </row>
    <row r="60" spans="2:32" x14ac:dyDescent="0.3">
      <c r="B60" s="100" t="s">
        <v>58</v>
      </c>
      <c r="C60" s="21">
        <f>'REC Delivery Model'!E17</f>
        <v>1193802.0712661045</v>
      </c>
      <c r="D60" s="21">
        <f>'REC Delivery Model'!J17</f>
        <v>3632524.9929763163</v>
      </c>
      <c r="E60" s="172">
        <f>SUM('REC Delivery Model'!K17:P17)</f>
        <v>10945157.503587462</v>
      </c>
      <c r="F60" s="172">
        <f>SUM('REC Delivery Model'!Q17:S17)</f>
        <v>37464196.416280203</v>
      </c>
      <c r="G60" s="172">
        <f>'REC Delivery Model'!V17</f>
        <v>53692079.254786782</v>
      </c>
      <c r="H60" s="165">
        <f>'Collections and ACP'!F124-G60</f>
        <v>-1180115.4714622423</v>
      </c>
      <c r="J60" s="100" t="s">
        <v>58</v>
      </c>
      <c r="K60" s="21">
        <f>'REC Delivery Model'!E45</f>
        <v>325401.73156972887</v>
      </c>
      <c r="L60" s="21">
        <f>'REC Delivery Model'!J45</f>
        <v>1064183.0922720421</v>
      </c>
      <c r="M60" s="21">
        <f>SUM('REC Delivery Model'!K45:P45,'REC Delivery Model'!R45:S45)</f>
        <v>7566909.5038294503</v>
      </c>
      <c r="N60" s="9">
        <f>'REC Delivery Model'!Q45</f>
        <v>5657557.7999999998</v>
      </c>
      <c r="O60" s="21">
        <f>'REC Delivery Model'!V45</f>
        <v>14738731.007254681</v>
      </c>
      <c r="P60" s="165">
        <f>'Collections and ACP'!F20-O60</f>
        <v>-56118.344893243164</v>
      </c>
      <c r="R60" s="100" t="s">
        <v>58</v>
      </c>
      <c r="S60" s="21">
        <f>'REC Delivery Model'!E73</f>
        <v>862937.56657035695</v>
      </c>
      <c r="T60" s="21">
        <f>'REC Delivery Model'!J73</f>
        <v>2556411.1462927223</v>
      </c>
      <c r="U60" s="60">
        <f>SUM('REC Delivery Model'!K73:P73)</f>
        <v>7929219.353473939</v>
      </c>
      <c r="V60" s="60">
        <f>SUM('REC Delivery Model'!Q73:S73)</f>
        <v>27140937.093774196</v>
      </c>
      <c r="W60" s="60">
        <f>'REC Delivery Model'!V73</f>
        <v>38820142.887302943</v>
      </c>
      <c r="X60" s="165">
        <f>'Collections and ACP'!F59-Appendix!W60</f>
        <v>-1218625.9973361716</v>
      </c>
      <c r="Z60" s="100" t="s">
        <v>58</v>
      </c>
      <c r="AA60" s="21">
        <f>'REC Delivery Model'!E101</f>
        <v>5462.7731260187775</v>
      </c>
      <c r="AB60" s="21">
        <f>'REC Delivery Model'!J101</f>
        <v>11930.754411551869</v>
      </c>
      <c r="AC60" s="60">
        <f>SUM('REC Delivery Model'!K101:P101)</f>
        <v>25940.023283502291</v>
      </c>
      <c r="AD60" s="60">
        <f>SUM('REC Delivery Model'!Q101:S101)</f>
        <v>88790.145506584086</v>
      </c>
      <c r="AE60" s="60">
        <f>'REC Delivery Model'!V101</f>
        <v>133205.36022916081</v>
      </c>
      <c r="AF60" s="165">
        <f>'Collections and ACP'!F92-AE60</f>
        <v>94628.870767172164</v>
      </c>
    </row>
    <row r="61" spans="2:32" x14ac:dyDescent="0.3">
      <c r="B61" s="100" t="s">
        <v>59</v>
      </c>
      <c r="C61" s="21">
        <f>'REC Delivery Model'!E18</f>
        <v>1063037.0011835238</v>
      </c>
      <c r="D61" s="21">
        <f>'REC Delivery Model'!J18</f>
        <v>3632218.1108844345</v>
      </c>
      <c r="E61" s="172">
        <f>SUM('REC Delivery Model'!K18:P18)</f>
        <v>11347908.653654177</v>
      </c>
      <c r="F61" s="172">
        <f>SUM('REC Delivery Model'!Q18:S18)</f>
        <v>42069175.434198804</v>
      </c>
      <c r="G61" s="172">
        <f>'REC Delivery Model'!V18</f>
        <v>58603899.124732964</v>
      </c>
      <c r="H61" s="165">
        <f>'Collections and ACP'!F125-G61</f>
        <v>-4760340.5241617933</v>
      </c>
      <c r="J61" s="100" t="s">
        <v>59</v>
      </c>
      <c r="K61" s="21">
        <f>'REC Delivery Model'!E46</f>
        <v>289633.11013210675</v>
      </c>
      <c r="L61" s="21">
        <f>'REC Delivery Model'!J46</f>
        <v>1064099.258222182</v>
      </c>
      <c r="M61" s="21">
        <f>SUM('REC Delivery Model'!K46:P46,'REC Delivery Model'!R46:S46)</f>
        <v>8251971.2311196765</v>
      </c>
      <c r="N61" s="9">
        <f>'REC Delivery Model'!Q46</f>
        <v>6340507.7999999998</v>
      </c>
      <c r="O61" s="21">
        <f>'REC Delivery Model'!V46</f>
        <v>16080495.739734117</v>
      </c>
      <c r="P61" s="165">
        <f>'Collections and ACP'!F21-O61</f>
        <v>-1066566.9861239623</v>
      </c>
      <c r="R61" s="100" t="s">
        <v>59</v>
      </c>
      <c r="S61" s="21">
        <f>'REC Delivery Model'!E74</f>
        <v>768082.24114212138</v>
      </c>
      <c r="T61" s="21">
        <f>'REC Delivery Model'!J74</f>
        <v>2556188.8255612589</v>
      </c>
      <c r="U61" s="60">
        <f>SUM('REC Delivery Model'!K74:P74)</f>
        <v>8220992.4241397697</v>
      </c>
      <c r="V61" s="60">
        <f>SUM('REC Delivery Model'!Q74:S74)</f>
        <v>30477014.143305324</v>
      </c>
      <c r="W61" s="60">
        <f>'REC Delivery Model'!V74</f>
        <v>42378388.221678548</v>
      </c>
      <c r="X61" s="165">
        <f>'Collections and ACP'!F60-Appendix!W61</f>
        <v>-3781790.5855348632</v>
      </c>
      <c r="Z61" s="100" t="s">
        <v>59</v>
      </c>
      <c r="AA61" s="21">
        <f>'REC Delivery Model'!E102</f>
        <v>5321.6499092957201</v>
      </c>
      <c r="AB61" s="21">
        <f>'REC Delivery Model'!J102</f>
        <v>11930.02710099411</v>
      </c>
      <c r="AC61" s="60">
        <f>SUM('REC Delivery Model'!K102:P102)</f>
        <v>26894.543509160398</v>
      </c>
      <c r="AD61" s="60">
        <f>SUM('REC Delivery Model'!Q102:S102)</f>
        <v>99703.945779051181</v>
      </c>
      <c r="AE61" s="60">
        <f>'REC Delivery Model'!V102</f>
        <v>145015.1633203059</v>
      </c>
      <c r="AF61" s="165">
        <f>'Collections and ACP'!F93-AE61</f>
        <v>88017.047497028427</v>
      </c>
    </row>
    <row r="62" spans="2:32" x14ac:dyDescent="0.3">
      <c r="B62" s="100" t="s">
        <v>60</v>
      </c>
      <c r="C62" s="21">
        <f>'REC Delivery Model'!E19</f>
        <v>587655.67573893256</v>
      </c>
      <c r="D62" s="21">
        <f>'REC Delivery Model'!J19</f>
        <v>3331912.7632030123</v>
      </c>
      <c r="E62" s="172">
        <f>SUM('REC Delivery Model'!K19:P19)</f>
        <v>11748646.047970559</v>
      </c>
      <c r="F62" s="172">
        <f>SUM('REC Delivery Model'!Q19:S19)</f>
        <v>46674254.557027809</v>
      </c>
      <c r="G62" s="172">
        <f>'REC Delivery Model'!V19</f>
        <v>62869190.622887686</v>
      </c>
      <c r="H62" s="165">
        <f>'Collections and ACP'!F126-G62</f>
        <v>-7630057.1014772207</v>
      </c>
      <c r="J62" s="100" t="s">
        <v>60</v>
      </c>
      <c r="K62" s="21">
        <f>'REC Delivery Model'!E47</f>
        <v>159681.74331319795</v>
      </c>
      <c r="L62" s="21">
        <f>'REC Delivery Model'!J47</f>
        <v>976025.84334257105</v>
      </c>
      <c r="M62" s="21">
        <f>SUM('REC Delivery Model'!K47:P47,'REC Delivery Model'!R47:S47)</f>
        <v>8936510.1872734521</v>
      </c>
      <c r="N62" s="9">
        <f>'REC Delivery Model'!Q47</f>
        <v>7023457.7999999998</v>
      </c>
      <c r="O62" s="21">
        <f>'REC Delivery Model'!V47</f>
        <v>17239565.374866065</v>
      </c>
      <c r="P62" s="165">
        <f>'Collections and ACP'!F22-O62</f>
        <v>-1886844.316144947</v>
      </c>
      <c r="R62" s="100" t="s">
        <v>60</v>
      </c>
      <c r="S62" s="21">
        <f>'REC Delivery Model'!E75</f>
        <v>423462.32865966129</v>
      </c>
      <c r="T62" s="21">
        <f>'REC Delivery Model'!J75</f>
        <v>2344947.6164334523</v>
      </c>
      <c r="U62" s="60">
        <f>SUM('REC Delivery Model'!K75:P75)</f>
        <v>8511306.6294522732</v>
      </c>
      <c r="V62" s="60">
        <f>SUM('REC Delivery Model'!Q75:S75)</f>
        <v>33813163.713838793</v>
      </c>
      <c r="W62" s="60">
        <f>'REC Delivery Model'!V75</f>
        <v>45474463.736252598</v>
      </c>
      <c r="X62" s="165">
        <f>'Collections and ACP'!F61-Appendix!W62</f>
        <v>-5826464.8865733668</v>
      </c>
      <c r="Z62" s="100" t="s">
        <v>60</v>
      </c>
      <c r="AA62" s="21">
        <f>'REC Delivery Model'!E103</f>
        <v>4511.6037660733273</v>
      </c>
      <c r="AB62" s="21">
        <f>'REC Delivery Model'!J103</f>
        <v>10939.30342698914</v>
      </c>
      <c r="AC62" s="60">
        <f>SUM('REC Delivery Model'!K103:P103)</f>
        <v>27844.291133690229</v>
      </c>
      <c r="AD62" s="60">
        <f>SUM('REC Delivery Model'!Q103:S103)</f>
        <v>110617.98330015592</v>
      </c>
      <c r="AE62" s="60">
        <f>'REC Delivery Model'!V103</f>
        <v>155161.51176901389</v>
      </c>
      <c r="AF62" s="165">
        <f>'Collections and ACP'!F94-AE62</f>
        <v>83252.101241103635</v>
      </c>
    </row>
    <row r="67" spans="2:7" ht="60.45" customHeight="1" x14ac:dyDescent="0.3">
      <c r="B67" s="54" t="s">
        <v>43</v>
      </c>
      <c r="C67" s="54" t="s">
        <v>178</v>
      </c>
      <c r="D67" s="54" t="s">
        <v>179</v>
      </c>
      <c r="E67" s="54" t="s">
        <v>180</v>
      </c>
      <c r="F67" s="54" t="s">
        <v>181</v>
      </c>
      <c r="G67" s="54" t="s">
        <v>182</v>
      </c>
    </row>
    <row r="68" spans="2:7" x14ac:dyDescent="0.3">
      <c r="B68" s="100" t="s">
        <v>45</v>
      </c>
      <c r="C68" s="44">
        <f t="shared" ref="C68:G77" si="0">C26/1000000</f>
        <v>460.7106822674387</v>
      </c>
      <c r="D68" s="44">
        <f t="shared" si="0"/>
        <v>225.23600073006958</v>
      </c>
      <c r="E68" s="44">
        <f t="shared" si="0"/>
        <v>685.94668299750833</v>
      </c>
      <c r="F68" s="44">
        <f t="shared" si="0"/>
        <v>284.99018025411686</v>
      </c>
      <c r="G68" s="44">
        <f t="shared" si="0"/>
        <v>400.95650274339141</v>
      </c>
    </row>
    <row r="69" spans="2:7" x14ac:dyDescent="0.3">
      <c r="B69" s="100" t="s">
        <v>46</v>
      </c>
      <c r="C69" s="44">
        <f t="shared" si="0"/>
        <v>400.95650274339141</v>
      </c>
      <c r="D69" s="44">
        <f t="shared" si="0"/>
        <v>464.73783641346716</v>
      </c>
      <c r="E69" s="44">
        <f t="shared" si="0"/>
        <v>865.69433915685852</v>
      </c>
      <c r="F69" s="44">
        <f t="shared" si="0"/>
        <v>336.24354195691853</v>
      </c>
      <c r="G69" s="44">
        <f t="shared" si="0"/>
        <v>529.45079719993998</v>
      </c>
    </row>
    <row r="70" spans="2:7" x14ac:dyDescent="0.3">
      <c r="B70" s="100" t="s">
        <v>47</v>
      </c>
      <c r="C70" s="44">
        <f t="shared" si="0"/>
        <v>529.45079719993998</v>
      </c>
      <c r="D70" s="44">
        <f t="shared" si="0"/>
        <v>587.46299426425014</v>
      </c>
      <c r="E70" s="44">
        <f t="shared" si="0"/>
        <v>1116.9137914641904</v>
      </c>
      <c r="F70" s="44">
        <f t="shared" si="0"/>
        <v>702.3944481908859</v>
      </c>
      <c r="G70" s="44">
        <f t="shared" si="0"/>
        <v>414.51934327330434</v>
      </c>
    </row>
    <row r="71" spans="2:7" x14ac:dyDescent="0.3">
      <c r="B71" s="99" t="s">
        <v>48</v>
      </c>
      <c r="C71" s="44">
        <f t="shared" si="0"/>
        <v>414.51934327330434</v>
      </c>
      <c r="D71" s="44">
        <f t="shared" si="0"/>
        <v>588.98845120769511</v>
      </c>
      <c r="E71" s="44">
        <f t="shared" si="0"/>
        <v>1003.5077944809995</v>
      </c>
      <c r="F71" s="44">
        <f t="shared" si="0"/>
        <v>574.59942961572096</v>
      </c>
      <c r="G71" s="44">
        <f t="shared" si="0"/>
        <v>428.90836486527849</v>
      </c>
    </row>
    <row r="72" spans="2:7" x14ac:dyDescent="0.3">
      <c r="B72" s="99" t="s">
        <v>49</v>
      </c>
      <c r="C72" s="44">
        <f t="shared" si="0"/>
        <v>428.90836486527849</v>
      </c>
      <c r="D72" s="44">
        <f t="shared" si="0"/>
        <v>587.11517223652925</v>
      </c>
      <c r="E72" s="44">
        <f t="shared" si="0"/>
        <v>1016.0235371018077</v>
      </c>
      <c r="F72" s="44">
        <f t="shared" si="0"/>
        <v>602.0151530495524</v>
      </c>
      <c r="G72" s="44">
        <f t="shared" si="0"/>
        <v>414.00838405225528</v>
      </c>
    </row>
    <row r="73" spans="2:7" x14ac:dyDescent="0.3">
      <c r="B73" s="99" t="s">
        <v>50</v>
      </c>
      <c r="C73" s="44">
        <f t="shared" si="0"/>
        <v>414.00838405225528</v>
      </c>
      <c r="D73" s="44">
        <f t="shared" si="0"/>
        <v>585.11185709905919</v>
      </c>
      <c r="E73" s="44">
        <f t="shared" si="0"/>
        <v>999.12024115131453</v>
      </c>
      <c r="F73" s="44">
        <f t="shared" si="0"/>
        <v>578.20059666672341</v>
      </c>
      <c r="G73" s="44">
        <f t="shared" si="0"/>
        <v>420.91964448459112</v>
      </c>
    </row>
    <row r="74" spans="2:7" x14ac:dyDescent="0.3">
      <c r="B74" s="100" t="s">
        <v>51</v>
      </c>
      <c r="C74" s="44">
        <f t="shared" si="0"/>
        <v>420.91964448459112</v>
      </c>
      <c r="D74" s="44">
        <f t="shared" si="0"/>
        <v>585.75668247488613</v>
      </c>
      <c r="E74" s="44">
        <f t="shared" si="0"/>
        <v>1006.6763269594773</v>
      </c>
      <c r="F74" s="44">
        <f t="shared" si="0"/>
        <v>569.9093463969748</v>
      </c>
      <c r="G74" s="44">
        <f t="shared" si="0"/>
        <v>436.76698056250251</v>
      </c>
    </row>
    <row r="75" spans="2:7" x14ac:dyDescent="0.3">
      <c r="B75" s="100" t="s">
        <v>52</v>
      </c>
      <c r="C75" s="44">
        <f t="shared" si="0"/>
        <v>436.76698056250251</v>
      </c>
      <c r="D75" s="44">
        <f t="shared" si="0"/>
        <v>587.51410567300752</v>
      </c>
      <c r="E75" s="44">
        <f t="shared" si="0"/>
        <v>1024.28108623551</v>
      </c>
      <c r="F75" s="44">
        <f t="shared" si="0"/>
        <v>616.84571784269644</v>
      </c>
      <c r="G75" s="44">
        <f t="shared" si="0"/>
        <v>407.43536839281359</v>
      </c>
    </row>
    <row r="76" spans="2:7" x14ac:dyDescent="0.3">
      <c r="B76" s="100" t="s">
        <v>53</v>
      </c>
      <c r="C76" s="44">
        <f t="shared" si="0"/>
        <v>407.43536839281359</v>
      </c>
      <c r="D76" s="44">
        <f t="shared" si="0"/>
        <v>590.39049451808978</v>
      </c>
      <c r="E76" s="44">
        <f t="shared" si="0"/>
        <v>997.82586291090331</v>
      </c>
      <c r="F76" s="44">
        <f t="shared" si="0"/>
        <v>662.89873572908698</v>
      </c>
      <c r="G76" s="44">
        <f t="shared" si="0"/>
        <v>334.92712718181633</v>
      </c>
    </row>
    <row r="77" spans="2:7" x14ac:dyDescent="0.3">
      <c r="B77" s="99" t="s">
        <v>54</v>
      </c>
      <c r="C77" s="44">
        <f t="shared" si="0"/>
        <v>334.92712718181633</v>
      </c>
      <c r="D77" s="44">
        <f t="shared" si="0"/>
        <v>591.12260444628157</v>
      </c>
      <c r="E77" s="44">
        <f t="shared" si="0"/>
        <v>926.0497316280979</v>
      </c>
      <c r="F77" s="44">
        <f t="shared" si="0"/>
        <v>658.82649042402534</v>
      </c>
      <c r="G77" s="44">
        <f t="shared" si="0"/>
        <v>267.22324120407262</v>
      </c>
    </row>
    <row r="78" spans="2:7" x14ac:dyDescent="0.3">
      <c r="B78" s="99" t="s">
        <v>55</v>
      </c>
      <c r="C78" s="44">
        <f t="shared" ref="C78:G83" si="1">C36/1000000</f>
        <v>267.22324120407262</v>
      </c>
      <c r="D78" s="44">
        <f t="shared" si="1"/>
        <v>592.98159645083297</v>
      </c>
      <c r="E78" s="44">
        <f t="shared" si="1"/>
        <v>860.20483765490553</v>
      </c>
      <c r="F78" s="44">
        <f t="shared" si="1"/>
        <v>679.24457180066838</v>
      </c>
      <c r="G78" s="44">
        <f t="shared" si="1"/>
        <v>180.96026585423721</v>
      </c>
    </row>
    <row r="79" spans="2:7" x14ac:dyDescent="0.3">
      <c r="B79" s="99" t="s">
        <v>56</v>
      </c>
      <c r="C79" s="44">
        <f t="shared" si="1"/>
        <v>180.96026585423721</v>
      </c>
      <c r="D79" s="44">
        <f t="shared" si="1"/>
        <v>595.1844880200731</v>
      </c>
      <c r="E79" s="44">
        <f t="shared" si="1"/>
        <v>776.14475387431025</v>
      </c>
      <c r="F79" s="44">
        <f t="shared" si="1"/>
        <v>676.4111837334242</v>
      </c>
      <c r="G79" s="44">
        <f t="shared" si="1"/>
        <v>99.733570140886073</v>
      </c>
    </row>
    <row r="80" spans="2:7" x14ac:dyDescent="0.3">
      <c r="B80" s="100" t="s">
        <v>57</v>
      </c>
      <c r="C80" s="44">
        <f t="shared" si="1"/>
        <v>99.733570140886073</v>
      </c>
      <c r="D80" s="44">
        <f t="shared" si="1"/>
        <v>599.26658151848221</v>
      </c>
      <c r="E80" s="44">
        <f t="shared" si="1"/>
        <v>699.00015165936827</v>
      </c>
      <c r="F80" s="44">
        <f t="shared" si="1"/>
        <v>673.27083834056089</v>
      </c>
      <c r="G80" s="44">
        <f t="shared" si="1"/>
        <v>25.729313318807364</v>
      </c>
    </row>
    <row r="81" spans="2:7" x14ac:dyDescent="0.3">
      <c r="B81" s="100" t="s">
        <v>58</v>
      </c>
      <c r="C81" s="44">
        <f t="shared" si="1"/>
        <v>25.729313318807364</v>
      </c>
      <c r="D81" s="44">
        <f t="shared" si="1"/>
        <v>600.23882511704778</v>
      </c>
      <c r="E81" s="44">
        <f t="shared" si="1"/>
        <v>625.96813843585517</v>
      </c>
      <c r="F81" s="44">
        <f t="shared" si="1"/>
        <v>604.2889968406098</v>
      </c>
      <c r="G81" s="44">
        <f t="shared" si="1"/>
        <v>21.679141595245362</v>
      </c>
    </row>
    <row r="82" spans="2:7" x14ac:dyDescent="0.3">
      <c r="B82" s="100" t="s">
        <v>59</v>
      </c>
      <c r="C82" s="44">
        <f t="shared" si="1"/>
        <v>21.679141595245362</v>
      </c>
      <c r="D82" s="44">
        <f t="shared" si="1"/>
        <v>601.92344486339869</v>
      </c>
      <c r="E82" s="44">
        <f t="shared" si="1"/>
        <v>623.60258645864405</v>
      </c>
      <c r="F82" s="44">
        <f t="shared" si="1"/>
        <v>577.29990279384788</v>
      </c>
      <c r="G82" s="44">
        <f t="shared" si="1"/>
        <v>46.302683664796113</v>
      </c>
    </row>
    <row r="83" spans="2:7" x14ac:dyDescent="0.3">
      <c r="B83" s="100" t="s">
        <v>60</v>
      </c>
      <c r="C83" s="44">
        <f t="shared" si="1"/>
        <v>46.302683664796113</v>
      </c>
      <c r="D83" s="44">
        <f t="shared" si="1"/>
        <v>603.95179227137919</v>
      </c>
      <c r="E83" s="44">
        <f t="shared" si="1"/>
        <v>650.25447593617537</v>
      </c>
      <c r="F83" s="44">
        <f t="shared" si="1"/>
        <v>540.48760767916133</v>
      </c>
      <c r="G83" s="44">
        <f t="shared" si="1"/>
        <v>109.76686825701404</v>
      </c>
    </row>
  </sheetData>
  <mergeCells count="12">
    <mergeCell ref="B45:D45"/>
    <mergeCell ref="J45:L45"/>
    <mergeCell ref="R45:T45"/>
    <mergeCell ref="Z45:AB45"/>
    <mergeCell ref="B3:D3"/>
    <mergeCell ref="J3:L3"/>
    <mergeCell ref="R3:T3"/>
    <mergeCell ref="Z3:AB3"/>
    <mergeCell ref="B24:D24"/>
    <mergeCell ref="J24:L24"/>
    <mergeCell ref="R24:T24"/>
    <mergeCell ref="Z24:AB24"/>
  </mergeCells>
  <printOptions horizontalCentered="1" verticalCentered="1"/>
  <pageMargins left="0.7" right="0.7" top="0.75" bottom="0.75" header="0.3" footer="0.3"/>
  <pageSetup scale="46" orientation="landscape" r:id="rId1"/>
  <headerFooter>
    <oddHeader>&amp;A</oddHeader>
  </headerFooter>
  <rowBreaks count="3" manualBreakCount="3">
    <brk id="21" max="16383" man="1"/>
    <brk id="42" max="16383" man="1"/>
    <brk id="64" max="16383" man="1"/>
  </rowBreaks>
  <colBreaks count="1" manualBreakCount="1">
    <brk id="1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894AA-FDF2-4A44-8545-FA381C4F1AF1}">
  <dimension ref="A1:E111"/>
  <sheetViews>
    <sheetView zoomScale="110" zoomScaleNormal="110" workbookViewId="0"/>
  </sheetViews>
  <sheetFormatPr defaultRowHeight="14.4" x14ac:dyDescent="0.3"/>
  <cols>
    <col min="1" max="1" width="12" bestFit="1" customWidth="1"/>
    <col min="2" max="2" width="22.77734375" bestFit="1" customWidth="1"/>
    <col min="3" max="3" width="27.21875" bestFit="1" customWidth="1"/>
    <col min="4" max="4" width="13.21875" bestFit="1" customWidth="1"/>
    <col min="5" max="5" width="29.21875" bestFit="1" customWidth="1"/>
  </cols>
  <sheetData>
    <row r="1" spans="1:5" x14ac:dyDescent="0.3">
      <c r="A1" s="125" t="s">
        <v>111</v>
      </c>
    </row>
    <row r="2" spans="1:5" x14ac:dyDescent="0.3">
      <c r="A2" s="61" t="s">
        <v>43</v>
      </c>
      <c r="B2" s="61" t="s">
        <v>136</v>
      </c>
      <c r="C2" s="61" t="s">
        <v>230</v>
      </c>
      <c r="D2" s="61" t="s">
        <v>223</v>
      </c>
      <c r="E2" s="61" t="s">
        <v>231</v>
      </c>
    </row>
    <row r="3" spans="1:5" x14ac:dyDescent="0.3">
      <c r="A3" s="9" t="s">
        <v>144</v>
      </c>
      <c r="B3" s="21">
        <f>'REC Delivery Model'!E4</f>
        <v>652607.90247266705</v>
      </c>
      <c r="C3" s="21">
        <f>'REC Delivery Model'!J4</f>
        <v>2653269.6</v>
      </c>
      <c r="D3" s="21">
        <f>SUM('REC Delivery Model'!K4:P4)</f>
        <v>0</v>
      </c>
      <c r="E3" s="21">
        <f>SUM('REC Delivery Model'!Q4:S4)</f>
        <v>0</v>
      </c>
    </row>
    <row r="4" spans="1:5" x14ac:dyDescent="0.3">
      <c r="A4" s="9" t="s">
        <v>145</v>
      </c>
      <c r="B4" s="21">
        <f>'REC Delivery Model'!E5</f>
        <v>1028057.6095813341</v>
      </c>
      <c r="C4" s="21">
        <f>'REC Delivery Model'!J5</f>
        <v>4932309.1079333331</v>
      </c>
      <c r="D4" s="21">
        <f>SUM('REC Delivery Model'!K5:P5)</f>
        <v>0</v>
      </c>
      <c r="E4" s="21">
        <f>SUM('REC Delivery Model'!Q5:S5)</f>
        <v>0</v>
      </c>
    </row>
    <row r="5" spans="1:5" x14ac:dyDescent="0.3">
      <c r="A5" s="9" t="s">
        <v>146</v>
      </c>
      <c r="B5" s="21">
        <f>'REC Delivery Model'!E6</f>
        <v>1112202.0277715982</v>
      </c>
      <c r="C5" s="21">
        <f>'REC Delivery Model'!J6</f>
        <v>5933342.2002666667</v>
      </c>
      <c r="D5" s="21">
        <f>SUM('REC Delivery Model'!K6:P6)</f>
        <v>1166448.1459785036</v>
      </c>
      <c r="E5" s="21">
        <f>SUM('REC Delivery Model'!Q6:S6)</f>
        <v>0</v>
      </c>
    </row>
    <row r="6" spans="1:5" x14ac:dyDescent="0.3">
      <c r="A6" s="9" t="s">
        <v>147</v>
      </c>
      <c r="B6" s="21">
        <f>'REC Delivery Model'!E7</f>
        <v>1250375.9868179956</v>
      </c>
      <c r="C6" s="21">
        <f>'REC Delivery Model'!J7</f>
        <v>5927404.9221383333</v>
      </c>
      <c r="D6" s="21">
        <f>SUM('REC Delivery Model'!K7:P7)</f>
        <v>2400735.0104779131</v>
      </c>
      <c r="E6" s="21">
        <f>SUM('REC Delivery Model'!Q7:S7)</f>
        <v>0</v>
      </c>
    </row>
    <row r="7" spans="1:5" x14ac:dyDescent="0.3">
      <c r="A7" s="9" t="s">
        <v>148</v>
      </c>
      <c r="B7" s="21">
        <f>'REC Delivery Model'!E8</f>
        <v>1244561.3247843913</v>
      </c>
      <c r="C7" s="21">
        <f>'REC Delivery Model'!J8</f>
        <v>5927082.2654006416</v>
      </c>
      <c r="D7" s="21">
        <f>SUM('REC Delivery Model'!K8:P8)</f>
        <v>3303685.2105948259</v>
      </c>
      <c r="E7" s="21">
        <f>SUM('REC Delivery Model'!Q8:S8)</f>
        <v>0</v>
      </c>
    </row>
    <row r="8" spans="1:5" x14ac:dyDescent="0.3">
      <c r="A8" s="9" t="s">
        <v>149</v>
      </c>
      <c r="B8" s="21">
        <f>'REC Delivery Model'!E9</f>
        <v>1238781.8186050807</v>
      </c>
      <c r="C8" s="21">
        <f>'REC Delivery Model'!J9</f>
        <v>5926761.2219466381</v>
      </c>
      <c r="D8" s="21">
        <f>SUM('REC Delivery Model'!K9:P9)</f>
        <v>4202120.6597111542</v>
      </c>
      <c r="E8" s="21">
        <f>SUM('REC Delivery Model'!Q9:S9)</f>
        <v>2409391</v>
      </c>
    </row>
    <row r="9" spans="1:5" x14ac:dyDescent="0.3">
      <c r="A9" s="9" t="s">
        <v>150</v>
      </c>
      <c r="B9" s="21">
        <f>'REC Delivery Model'!E10</f>
        <v>1233020.3648401417</v>
      </c>
      <c r="C9" s="21">
        <f>'REC Delivery Model'!J10</f>
        <v>5926441.7837099051</v>
      </c>
      <c r="D9" s="21">
        <f>SUM('REC Delivery Model'!K10:P10)</f>
        <v>5096063.9315818995</v>
      </c>
      <c r="E9" s="21">
        <f>SUM('REC Delivery Model'!Q10:S10)</f>
        <v>7036837.0449999999</v>
      </c>
    </row>
    <row r="10" spans="1:5" x14ac:dyDescent="0.3">
      <c r="A10" s="9" t="s">
        <v>151</v>
      </c>
      <c r="B10" s="21">
        <f>'REC Delivery Model'!E11</f>
        <v>1226694.8192617015</v>
      </c>
      <c r="C10" s="21">
        <f>'REC Delivery Model'!J11</f>
        <v>5926123.942664356</v>
      </c>
      <c r="D10" s="21">
        <f>SUM('REC Delivery Model'!K11:P11)</f>
        <v>5985537.4870932931</v>
      </c>
      <c r="E10" s="21">
        <f>SUM('REC Delivery Model'!Q11:S11)</f>
        <v>9836452.8597750012</v>
      </c>
    </row>
    <row r="11" spans="1:5" x14ac:dyDescent="0.3">
      <c r="A11" s="9" t="s">
        <v>152</v>
      </c>
      <c r="B11" s="21">
        <f>'REC Delivery Model'!E12</f>
        <v>1220908.098763278</v>
      </c>
      <c r="C11" s="21">
        <f>'REC Delivery Model'!J12</f>
        <v>5925807.6908240337</v>
      </c>
      <c r="D11" s="21">
        <f>SUM('REC Delivery Model'!K12:P12)</f>
        <v>6870563.6748271286</v>
      </c>
      <c r="E11" s="21">
        <f>SUM('REC Delivery Model'!Q12:S12)</f>
        <v>14440820.595476126</v>
      </c>
    </row>
    <row r="12" spans="1:5" x14ac:dyDescent="0.3">
      <c r="A12" s="9" t="s">
        <v>153</v>
      </c>
      <c r="B12" s="21">
        <f>'REC Delivery Model'!E13</f>
        <v>1214947.369001498</v>
      </c>
      <c r="C12" s="21">
        <f>'REC Delivery Model'!J13</f>
        <v>5925493.0202429136</v>
      </c>
      <c r="D12" s="21">
        <f>SUM('REC Delivery Model'!K13:P13)</f>
        <v>7751164.7316222955</v>
      </c>
      <c r="E12" s="21">
        <f>SUM('REC Delivery Model'!Q13:S13)</f>
        <v>19045291.492498744</v>
      </c>
    </row>
    <row r="13" spans="1:5" x14ac:dyDescent="0.3">
      <c r="A13" s="9" t="s">
        <v>154</v>
      </c>
      <c r="B13" s="21">
        <f>'REC Delivery Model'!E14</f>
        <v>1209315.0937707778</v>
      </c>
      <c r="C13" s="21">
        <f>'REC Delivery Model'!J14</f>
        <v>5925179.9230146995</v>
      </c>
      <c r="D13" s="21">
        <f>SUM('REC Delivery Model'!K14:P14)</f>
        <v>8627362.7831334863</v>
      </c>
      <c r="E13" s="21">
        <f>SUM('REC Delivery Model'!Q14:S14)</f>
        <v>23649865.035036251</v>
      </c>
    </row>
    <row r="14" spans="1:5" x14ac:dyDescent="0.3">
      <c r="A14" s="9" t="s">
        <v>155</v>
      </c>
      <c r="B14" s="21">
        <f>'REC Delivery Model'!E15</f>
        <v>1199253.307709004</v>
      </c>
      <c r="C14" s="21">
        <f>'REC Delivery Model'!J15</f>
        <v>5924868.3912726259</v>
      </c>
      <c r="D14" s="21">
        <f>SUM('REC Delivery Model'!K15:P15)</f>
        <v>9499179.8443871196</v>
      </c>
      <c r="E14" s="21">
        <f>SUM('REC Delivery Model'!Q15:S15)</f>
        <v>28254540.70986107</v>
      </c>
    </row>
    <row r="15" spans="1:5" x14ac:dyDescent="0.3">
      <c r="A15" s="9" t="s">
        <v>156</v>
      </c>
      <c r="B15" s="21">
        <f>'REC Delivery Model'!E16</f>
        <v>1196631.4514254043</v>
      </c>
      <c r="C15" s="21">
        <f>'REC Delivery Model'!J16</f>
        <v>4062833.4171892623</v>
      </c>
      <c r="D15" s="21">
        <f>SUM('REC Delivery Model'!K16:P16)</f>
        <v>10366637.820334485</v>
      </c>
      <c r="E15" s="21">
        <f>SUM('REC Delivery Model'!Q16:S16)</f>
        <v>32859318.006311763</v>
      </c>
    </row>
    <row r="16" spans="1:5" x14ac:dyDescent="0.3">
      <c r="A16" s="9" t="s">
        <v>157</v>
      </c>
      <c r="B16" s="21">
        <f>'REC Delivery Model'!E17</f>
        <v>1193802.0712661045</v>
      </c>
      <c r="C16" s="21">
        <f>'REC Delivery Model'!J17</f>
        <v>3632524.9929763163</v>
      </c>
      <c r="D16" s="21">
        <f>SUM('REC Delivery Model'!K17:P17)</f>
        <v>10945157.503587462</v>
      </c>
      <c r="E16" s="21">
        <f>SUM('REC Delivery Model'!Q17:S17)</f>
        <v>37464196.416280203</v>
      </c>
    </row>
    <row r="17" spans="1:5" x14ac:dyDescent="0.3">
      <c r="A17" s="9" t="s">
        <v>158</v>
      </c>
      <c r="B17" s="21">
        <f>'REC Delivery Model'!E18</f>
        <v>1063037.0011835238</v>
      </c>
      <c r="C17" s="21">
        <f>'REC Delivery Model'!J18</f>
        <v>3632218.1108844345</v>
      </c>
      <c r="D17" s="21">
        <f>SUM('REC Delivery Model'!K18:P18)</f>
        <v>11347908.653654177</v>
      </c>
      <c r="E17" s="21">
        <f>SUM('REC Delivery Model'!Q18:S18)</f>
        <v>42069175.434198804</v>
      </c>
    </row>
    <row r="18" spans="1:5" x14ac:dyDescent="0.3">
      <c r="A18" s="9" t="s">
        <v>159</v>
      </c>
      <c r="B18" s="21">
        <f>'REC Delivery Model'!E19</f>
        <v>587655.67573893256</v>
      </c>
      <c r="C18" s="21">
        <f>'REC Delivery Model'!J19</f>
        <v>3331912.7632030123</v>
      </c>
      <c r="D18" s="21">
        <f>SUM('REC Delivery Model'!K19:P19)</f>
        <v>11748646.047970559</v>
      </c>
      <c r="E18" s="21">
        <f>SUM('REC Delivery Model'!Q19:S19)</f>
        <v>46674254.557027809</v>
      </c>
    </row>
    <row r="19" spans="1:5" x14ac:dyDescent="0.3">
      <c r="A19" s="9" t="s">
        <v>61</v>
      </c>
      <c r="B19" s="21">
        <f>'REC Delivery Model'!E20</f>
        <v>162682.45457493281</v>
      </c>
      <c r="C19" s="21">
        <f>'REC Delivery Model'!J20</f>
        <v>60460.367659997486</v>
      </c>
      <c r="D19" s="21">
        <f>SUM('REC Delivery Model'!K20:P20)</f>
        <v>12147379.755315356</v>
      </c>
      <c r="E19" s="21">
        <f>SUM('REC Delivery Model'!Q20:S20)</f>
        <v>48966933.284242675</v>
      </c>
    </row>
    <row r="20" spans="1:5" x14ac:dyDescent="0.3">
      <c r="A20" s="9" t="s">
        <v>62</v>
      </c>
      <c r="B20" s="21">
        <f>'REC Delivery Model'!E21</f>
        <v>154.260456</v>
      </c>
      <c r="C20" s="21">
        <f>'REC Delivery Model'!J21</f>
        <v>60158.065821697499</v>
      </c>
      <c r="D20" s="21">
        <f>SUM('REC Delivery Model'!K21:P21)</f>
        <v>11736914.488075918</v>
      </c>
      <c r="E20" s="21">
        <f>SUM('REC Delivery Model'!Q21:S21)</f>
        <v>51259711.117821455</v>
      </c>
    </row>
    <row r="21" spans="1:5" x14ac:dyDescent="0.3">
      <c r="A21" s="9" t="s">
        <v>63</v>
      </c>
      <c r="B21" s="21">
        <f>'REC Delivery Model'!E22</f>
        <v>0</v>
      </c>
      <c r="C21" s="21">
        <f>'REC Delivery Model'!J22</f>
        <v>59857.275492589011</v>
      </c>
      <c r="D21" s="21">
        <f>SUM('REC Delivery Model'!K22:P22)</f>
        <v>11686106.827159647</v>
      </c>
      <c r="E21" s="21">
        <f>SUM('REC Delivery Model'!Q22:S22)</f>
        <v>53552587.562232353</v>
      </c>
    </row>
    <row r="22" spans="1:5" x14ac:dyDescent="0.3">
      <c r="A22" s="9" t="s">
        <v>64</v>
      </c>
      <c r="B22" s="21">
        <f>'REC Delivery Model'!E23</f>
        <v>0</v>
      </c>
      <c r="C22" s="21">
        <f>'REC Delivery Model'!J23</f>
        <v>59557.989115126067</v>
      </c>
      <c r="D22" s="21">
        <f>SUM('REC Delivery Model'!K23:P23)</f>
        <v>11648810.171796525</v>
      </c>
      <c r="E22" s="21">
        <f>SUM('REC Delivery Model'!Q23:S23)</f>
        <v>55845562.124421194</v>
      </c>
    </row>
    <row r="23" spans="1:5" x14ac:dyDescent="0.3">
      <c r="A23" s="9" t="s">
        <v>65</v>
      </c>
      <c r="B23" s="21">
        <f>'REC Delivery Model'!E24</f>
        <v>0</v>
      </c>
      <c r="C23" s="21">
        <f>'REC Delivery Model'!J24</f>
        <v>59260.199169550433</v>
      </c>
      <c r="D23" s="21">
        <f>SUM('REC Delivery Model'!K24:P24)</f>
        <v>11611699.999710217</v>
      </c>
      <c r="E23" s="21">
        <f>SUM('REC Delivery Model'!Q24:S24)</f>
        <v>58138634.313799076</v>
      </c>
    </row>
    <row r="24" spans="1:5" x14ac:dyDescent="0.3">
      <c r="A24" s="9" t="s">
        <v>66</v>
      </c>
      <c r="B24" s="21">
        <f>'REC Delivery Model'!E25</f>
        <v>0</v>
      </c>
      <c r="C24" s="21">
        <f>'REC Delivery Model'!J25</f>
        <v>58963.898173702677</v>
      </c>
      <c r="D24" s="21">
        <f>SUM('REC Delivery Model'!K25:P25)</f>
        <v>11290174.375669692</v>
      </c>
      <c r="E24" s="21">
        <f>SUM('REC Delivery Model'!Q25:S25)</f>
        <v>60431803.642230086</v>
      </c>
    </row>
    <row r="25" spans="1:5" x14ac:dyDescent="0.3">
      <c r="A25" s="9" t="s">
        <v>67</v>
      </c>
      <c r="B25" s="21">
        <f>'REC Delivery Model'!E26</f>
        <v>0</v>
      </c>
      <c r="C25" s="21">
        <f>'REC Delivery Model'!J26</f>
        <v>58669.078682834166</v>
      </c>
      <c r="D25" s="21">
        <f>SUM('REC Delivery Model'!K26:P26)</f>
        <v>10529425.19566652</v>
      </c>
      <c r="E25" s="21">
        <f>SUM('REC Delivery Model'!Q26:S26)</f>
        <v>62725069.624018937</v>
      </c>
    </row>
    <row r="30" spans="1:5" x14ac:dyDescent="0.3">
      <c r="A30" s="125" t="s">
        <v>94</v>
      </c>
    </row>
    <row r="31" spans="1:5" x14ac:dyDescent="0.3">
      <c r="A31" s="61" t="s">
        <v>43</v>
      </c>
      <c r="B31" s="61" t="s">
        <v>136</v>
      </c>
      <c r="C31" s="61" t="s">
        <v>230</v>
      </c>
      <c r="D31" s="61" t="s">
        <v>223</v>
      </c>
      <c r="E31" s="61" t="s">
        <v>231</v>
      </c>
    </row>
    <row r="32" spans="1:5" x14ac:dyDescent="0.3">
      <c r="A32" s="9" t="s">
        <v>144</v>
      </c>
      <c r="B32" s="21">
        <f>'REC Delivery Model'!E32</f>
        <v>204901.20000000103</v>
      </c>
      <c r="C32" s="21">
        <f>'REC Delivery Model'!J32</f>
        <v>833300.63568800001</v>
      </c>
      <c r="D32" s="21">
        <f>SUM('REC Delivery Model'!K32:P32)</f>
        <v>0</v>
      </c>
      <c r="E32" s="21">
        <f>SUM('REC Delivery Model'!Q32:S32)</f>
        <v>0</v>
      </c>
    </row>
    <row r="33" spans="1:5" x14ac:dyDescent="0.3">
      <c r="A33" s="9" t="s">
        <v>145</v>
      </c>
      <c r="B33" s="21">
        <f>'REC Delivery Model'!E33</f>
        <v>296266.80666666734</v>
      </c>
      <c r="C33" s="21">
        <f>'REC Delivery Model'!J33</f>
        <v>1495753.5735760001</v>
      </c>
      <c r="D33" s="21">
        <f>SUM('REC Delivery Model'!K33:P33)</f>
        <v>0</v>
      </c>
      <c r="E33" s="21">
        <f>SUM('REC Delivery Model'!Q33:S33)</f>
        <v>0</v>
      </c>
    </row>
    <row r="34" spans="1:5" x14ac:dyDescent="0.3">
      <c r="A34" s="9" t="s">
        <v>146</v>
      </c>
      <c r="B34" s="21">
        <f>'REC Delivery Model'!E34</f>
        <v>306562.02678307571</v>
      </c>
      <c r="C34" s="21">
        <f>'REC Delivery Model'!J34</f>
        <v>1791579.5421196201</v>
      </c>
      <c r="D34" s="21">
        <f>SUM('REC Delivery Model'!K34:P34)</f>
        <v>318650.30451840756</v>
      </c>
      <c r="E34" s="21">
        <f>SUM('REC Delivery Model'!Q34:S34)</f>
        <v>0</v>
      </c>
    </row>
    <row r="35" spans="1:5" x14ac:dyDescent="0.3">
      <c r="A35" s="9" t="s">
        <v>147</v>
      </c>
      <c r="B35" s="21">
        <f>'REC Delivery Model'!E35</f>
        <v>340869.00233641622</v>
      </c>
      <c r="C35" s="21">
        <f>'REC Delivery Model'!J35</f>
        <v>1791163.955820522</v>
      </c>
      <c r="D35" s="21">
        <f>SUM('REC Delivery Model'!K35:P35)</f>
        <v>655832.79016235634</v>
      </c>
      <c r="E35" s="21">
        <f>SUM('REC Delivery Model'!Q35:S35)</f>
        <v>0</v>
      </c>
    </row>
    <row r="36" spans="1:5" x14ac:dyDescent="0.3">
      <c r="A36" s="9" t="s">
        <v>148</v>
      </c>
      <c r="B36" s="21">
        <f>'REC Delivery Model'!E36</f>
        <v>339307.74412618799</v>
      </c>
      <c r="C36" s="21">
        <f>'REC Delivery Model'!J36</f>
        <v>1791075.8124529193</v>
      </c>
      <c r="D36" s="21">
        <f>SUM('REC Delivery Model'!K36:P36)</f>
        <v>902500.72583029442</v>
      </c>
      <c r="E36" s="21">
        <f>SUM('REC Delivery Model'!Q36:S36)</f>
        <v>0</v>
      </c>
    </row>
    <row r="37" spans="1:5" x14ac:dyDescent="0.3">
      <c r="A37" s="9" t="s">
        <v>149</v>
      </c>
      <c r="B37" s="21">
        <f>'REC Delivery Model'!E37</f>
        <v>337755.82884451095</v>
      </c>
      <c r="C37" s="21">
        <f>'REC Delivery Model'!J37</f>
        <v>1790988.1098021548</v>
      </c>
      <c r="D37" s="21">
        <f>SUM('REC Delivery Model'!K37:P37)</f>
        <v>1147935.3218198929</v>
      </c>
      <c r="E37" s="21">
        <f>SUM('REC Delivery Model'!Q37:S37)</f>
        <v>658197.43337999994</v>
      </c>
    </row>
    <row r="38" spans="1:5" x14ac:dyDescent="0.3">
      <c r="A38" s="9" t="s">
        <v>150</v>
      </c>
      <c r="B38" s="21">
        <f>'REC Delivery Model'!E38</f>
        <v>336208.84709214233</v>
      </c>
      <c r="C38" s="21">
        <f>'REC Delivery Model'!J38</f>
        <v>1790900.8456646439</v>
      </c>
      <c r="D38" s="21">
        <f>SUM('REC Delivery Model'!K38:P38)</f>
        <v>1392142.7448295434</v>
      </c>
      <c r="E38" s="21">
        <f>SUM('REC Delivery Model'!Q38:S38)</f>
        <v>1922323.1439530998</v>
      </c>
    </row>
    <row r="39" spans="1:5" x14ac:dyDescent="0.3">
      <c r="A39" s="9" t="s">
        <v>151</v>
      </c>
      <c r="B39" s="21">
        <f>'REC Delivery Model'!E39</f>
        <v>334671.67778243532</v>
      </c>
      <c r="C39" s="21">
        <f>'REC Delivery Model'!J39</f>
        <v>1790814.0178478209</v>
      </c>
      <c r="D39" s="21">
        <f>SUM('REC Delivery Model'!K39:P39)</f>
        <v>1635129.1307241456</v>
      </c>
      <c r="E39" s="21">
        <f>SUM('REC Delivery Model'!Q39:S39)</f>
        <v>2687122.1922333338</v>
      </c>
    </row>
    <row r="40" spans="1:5" x14ac:dyDescent="0.3">
      <c r="A40" s="9" t="s">
        <v>152</v>
      </c>
      <c r="B40" s="21">
        <f>'REC Delivery Model'!E40</f>
        <v>333141.27780037699</v>
      </c>
      <c r="C40" s="21">
        <f>'REC Delivery Model'!J40</f>
        <v>1790727.6241700817</v>
      </c>
      <c r="D40" s="21">
        <f>SUM('REC Delivery Model'!K40:P40)</f>
        <v>1876900.5846892747</v>
      </c>
      <c r="E40" s="21">
        <f>SUM('REC Delivery Model'!Q40:S40)</f>
        <v>3944943.3702721675</v>
      </c>
    </row>
    <row r="41" spans="1:5" x14ac:dyDescent="0.3">
      <c r="A41" s="9" t="s">
        <v>153</v>
      </c>
      <c r="B41" s="21">
        <f>'REC Delivery Model'!E41</f>
        <v>331618.97510162881</v>
      </c>
      <c r="C41" s="21">
        <f>'REC Delivery Model'!J41</f>
        <v>1790641.6624607313</v>
      </c>
      <c r="D41" s="21">
        <f>SUM('REC Delivery Model'!K41:P41)</f>
        <v>2117463.1813845779</v>
      </c>
      <c r="E41" s="21">
        <f>SUM('REC Delivery Model'!Q41:S41)</f>
        <v>5202792.7299208073</v>
      </c>
    </row>
    <row r="42" spans="1:5" x14ac:dyDescent="0.3">
      <c r="A42" s="9" t="s">
        <v>154</v>
      </c>
      <c r="B42" s="21">
        <f>'REC Delivery Model'!E42</f>
        <v>330104.45875157486</v>
      </c>
      <c r="C42" s="21">
        <f>'REC Delivery Model'!J42</f>
        <v>1790556.1305599276</v>
      </c>
      <c r="D42" s="21">
        <f>SUM('REC Delivery Model'!K42:P42)</f>
        <v>2356822.9650964057</v>
      </c>
      <c r="E42" s="21">
        <f>SUM('REC Delivery Model'!Q42:S42)</f>
        <v>6460670.1302712029</v>
      </c>
    </row>
    <row r="43" spans="1:5" x14ac:dyDescent="0.3">
      <c r="A43" s="9" t="s">
        <v>155</v>
      </c>
      <c r="B43" s="21">
        <f>'REC Delivery Model'!E43</f>
        <v>326891.1633299471</v>
      </c>
      <c r="C43" s="21">
        <f>'REC Delivery Model'!J43</f>
        <v>1790471.0263186279</v>
      </c>
      <c r="D43" s="21">
        <f>SUM('REC Delivery Model'!K43:P43)</f>
        <v>2594985.9498896729</v>
      </c>
      <c r="E43" s="21">
        <f>SUM('REC Delivery Model'!Q43:S43)</f>
        <v>7718575.4311198462</v>
      </c>
    </row>
    <row r="44" spans="1:5" x14ac:dyDescent="0.3">
      <c r="A44" s="9" t="s">
        <v>156</v>
      </c>
      <c r="B44" s="21">
        <f>'REC Delivery Model'!E44</f>
        <v>326174.92268808349</v>
      </c>
      <c r="C44" s="21">
        <f>'REC Delivery Model'!J44</f>
        <v>1190386.3475985348</v>
      </c>
      <c r="D44" s="21">
        <f>SUM('REC Delivery Model'!K44:P44)</f>
        <v>2831958.1197589748</v>
      </c>
      <c r="E44" s="21">
        <f>SUM('REC Delivery Model'!Q44:S44)</f>
        <v>8976508.4929642454</v>
      </c>
    </row>
    <row r="45" spans="1:5" x14ac:dyDescent="0.3">
      <c r="A45" s="9" t="s">
        <v>157</v>
      </c>
      <c r="B45" s="21">
        <f>'REC Delivery Model'!E45</f>
        <v>325401.73156972887</v>
      </c>
      <c r="C45" s="21">
        <f>'REC Delivery Model'!J45</f>
        <v>1064183.0922720421</v>
      </c>
      <c r="D45" s="21">
        <f>SUM('REC Delivery Model'!K45:P45)</f>
        <v>2989998.1268300232</v>
      </c>
      <c r="E45" s="21">
        <f>SUM('REC Delivery Model'!Q45:S45)</f>
        <v>10234469.176999426</v>
      </c>
    </row>
    <row r="46" spans="1:5" x14ac:dyDescent="0.3">
      <c r="A46" s="9" t="s">
        <v>158</v>
      </c>
      <c r="B46" s="21">
        <f>'REC Delivery Model'!E46</f>
        <v>289633.11013210675</v>
      </c>
      <c r="C46" s="21">
        <f>'REC Delivery Model'!J46</f>
        <v>1064099.258222182</v>
      </c>
      <c r="D46" s="21">
        <f>SUM('REC Delivery Model'!K46:P46)</f>
        <v>3100021.6860052482</v>
      </c>
      <c r="E46" s="21">
        <f>SUM('REC Delivery Model'!Q46:S46)</f>
        <v>11492457.345114429</v>
      </c>
    </row>
    <row r="47" spans="1:5" x14ac:dyDescent="0.3">
      <c r="A47" s="9" t="s">
        <v>159</v>
      </c>
      <c r="B47" s="21">
        <f>'REC Delivery Model'!E47</f>
        <v>159681.74331319795</v>
      </c>
      <c r="C47" s="21">
        <f>'REC Delivery Model'!J47</f>
        <v>976025.84334257105</v>
      </c>
      <c r="D47" s="21">
        <f>SUM('REC Delivery Model'!K47:P47)</f>
        <v>3209495.1273845965</v>
      </c>
      <c r="E47" s="21">
        <f>SUM('REC Delivery Model'!Q47:S47)</f>
        <v>12750472.859888855</v>
      </c>
    </row>
    <row r="48" spans="1:5" x14ac:dyDescent="0.3">
      <c r="A48" s="9" t="s">
        <v>61</v>
      </c>
      <c r="B48" s="21">
        <f>'REC Delivery Model'!E48</f>
        <v>44498.219173198027</v>
      </c>
      <c r="C48" s="21">
        <f>'REC Delivery Model'!J48</f>
        <v>16516.56323735811</v>
      </c>
      <c r="D48" s="21">
        <f>SUM('REC Delivery Model'!K48:P48)</f>
        <v>3318421.2015570491</v>
      </c>
      <c r="E48" s="21">
        <f>SUM('REC Delivery Model'!Q48:S48)</f>
        <v>13376786.834589412</v>
      </c>
    </row>
    <row r="49" spans="1:5" x14ac:dyDescent="0.3">
      <c r="A49" s="9" t="s">
        <v>62</v>
      </c>
      <c r="B49" s="21">
        <f>'REC Delivery Model'!E49</f>
        <v>0</v>
      </c>
      <c r="C49" s="21">
        <f>'REC Delivery Model'!J49</f>
        <v>16433.98042117132</v>
      </c>
      <c r="D49" s="21">
        <f>SUM('REC Delivery Model'!K49:P49)</f>
        <v>3206290.2998525784</v>
      </c>
      <c r="E49" s="21">
        <f>SUM('REC Delivery Model'!Q49:S49)</f>
        <v>14003127.883166464</v>
      </c>
    </row>
    <row r="50" spans="1:5" x14ac:dyDescent="0.3">
      <c r="A50" s="9" t="s">
        <v>63</v>
      </c>
      <c r="B50" s="21">
        <f>'REC Delivery Model'!E50</f>
        <v>0</v>
      </c>
      <c r="C50" s="21">
        <f>'REC Delivery Model'!J50</f>
        <v>16351.810519065464</v>
      </c>
      <c r="D50" s="21">
        <f>SUM('REC Delivery Model'!K50:P50)</f>
        <v>3192410.663043472</v>
      </c>
      <c r="E50" s="21">
        <f>SUM('REC Delivery Model'!Q50:S50)</f>
        <v>14629495.870250633</v>
      </c>
    </row>
    <row r="51" spans="1:5" x14ac:dyDescent="0.3">
      <c r="A51" s="9" t="s">
        <v>64</v>
      </c>
      <c r="B51" s="21">
        <f>'REC Delivery Model'!E51</f>
        <v>0</v>
      </c>
      <c r="C51" s="21">
        <f>'REC Delivery Model'!J51</f>
        <v>16270.051466470139</v>
      </c>
      <c r="D51" s="21">
        <f>SUM('REC Delivery Model'!K51:P51)</f>
        <v>3182221.9627313744</v>
      </c>
      <c r="E51" s="21">
        <f>SUM('REC Delivery Model'!Q51:S51)</f>
        <v>15255890.661149379</v>
      </c>
    </row>
    <row r="52" spans="1:5" x14ac:dyDescent="0.3">
      <c r="A52" s="9" t="s">
        <v>65</v>
      </c>
      <c r="B52" s="21">
        <f>'REC Delivery Model'!E52</f>
        <v>0</v>
      </c>
      <c r="C52" s="21">
        <f>'REC Delivery Model'!J52</f>
        <v>16188.701209137786</v>
      </c>
      <c r="D52" s="21">
        <f>SUM('REC Delivery Model'!K52:P52)</f>
        <v>3172084.2059208369</v>
      </c>
      <c r="E52" s="21">
        <f>SUM('REC Delivery Model'!Q52:S52)</f>
        <v>15882312.121843632</v>
      </c>
    </row>
    <row r="53" spans="1:5" x14ac:dyDescent="0.3">
      <c r="A53" s="9" t="s">
        <v>66</v>
      </c>
      <c r="B53" s="21">
        <f>'REC Delivery Model'!E53</f>
        <v>0</v>
      </c>
      <c r="C53" s="21">
        <f>'REC Delivery Model'!J53</f>
        <v>16107.757703092097</v>
      </c>
      <c r="D53" s="21">
        <f>SUM('REC Delivery Model'!K53:P53)</f>
        <v>3084249.835945447</v>
      </c>
      <c r="E53" s="21">
        <f>SUM('REC Delivery Model'!Q53:S53)</f>
        <v>16508760.118984414</v>
      </c>
    </row>
    <row r="54" spans="1:5" x14ac:dyDescent="0.3">
      <c r="A54" s="9" t="s">
        <v>67</v>
      </c>
      <c r="B54" s="21">
        <f>'REC Delivery Model'!E54</f>
        <v>0</v>
      </c>
      <c r="C54" s="21">
        <f>'REC Delivery Model'!J54</f>
        <v>16027.218914576637</v>
      </c>
      <c r="D54" s="21">
        <f>SUM('REC Delivery Model'!K54:P54)</f>
        <v>2876428.3749521798</v>
      </c>
      <c r="E54" s="21">
        <f>SUM('REC Delivery Model'!Q54:S54)</f>
        <v>17135234.519889493</v>
      </c>
    </row>
    <row r="59" spans="1:5" x14ac:dyDescent="0.3">
      <c r="A59" s="125" t="s">
        <v>106</v>
      </c>
    </row>
    <row r="60" spans="1:5" x14ac:dyDescent="0.3">
      <c r="A60" s="61" t="s">
        <v>43</v>
      </c>
      <c r="B60" s="61" t="s">
        <v>136</v>
      </c>
      <c r="C60" s="61" t="s">
        <v>230</v>
      </c>
      <c r="D60" s="61" t="s">
        <v>223</v>
      </c>
      <c r="E60" s="61" t="s">
        <v>231</v>
      </c>
    </row>
    <row r="61" spans="1:5" x14ac:dyDescent="0.3">
      <c r="A61" s="9" t="s">
        <v>144</v>
      </c>
      <c r="B61" s="21">
        <f>'REC Delivery Model'!E60</f>
        <v>446162.99791666603</v>
      </c>
      <c r="C61" s="21">
        <f>'REC Delivery Model'!J60</f>
        <v>1817421.8606199999</v>
      </c>
      <c r="D61" s="21">
        <f>SUM('REC Delivery Model'!K60:P60)</f>
        <v>0</v>
      </c>
      <c r="E61" s="21">
        <f>SUM('REC Delivery Model'!Q60:S60)</f>
        <v>0</v>
      </c>
    </row>
    <row r="62" spans="1:5" x14ac:dyDescent="0.3">
      <c r="A62" s="9" t="s">
        <v>145</v>
      </c>
      <c r="B62" s="21">
        <f>'REC Delivery Model'!E61</f>
        <v>726444.01636000001</v>
      </c>
      <c r="C62" s="21">
        <f>'REC Delivery Model'!J61</f>
        <v>3426105.7618233333</v>
      </c>
      <c r="D62" s="21">
        <f>SUM('REC Delivery Model'!K61:P61)</f>
        <v>0</v>
      </c>
      <c r="E62" s="21">
        <f>SUM('REC Delivery Model'!Q61:S61)</f>
        <v>0</v>
      </c>
    </row>
    <row r="63" spans="1:5" x14ac:dyDescent="0.3">
      <c r="A63" s="9" t="s">
        <v>146</v>
      </c>
      <c r="B63" s="21">
        <f>'REC Delivery Model'!E62</f>
        <v>799716.82934333594</v>
      </c>
      <c r="C63" s="21">
        <f>'REC Delivery Model'!J62</f>
        <v>4128404.6580142165</v>
      </c>
      <c r="D63" s="21">
        <f>SUM('REC Delivery Model'!K62:P62)</f>
        <v>845033.35935412708</v>
      </c>
      <c r="E63" s="21">
        <f>SUM('REC Delivery Model'!Q62:S62)</f>
        <v>0</v>
      </c>
    </row>
    <row r="64" spans="1:5" x14ac:dyDescent="0.3">
      <c r="A64" s="9" t="s">
        <v>147</v>
      </c>
      <c r="B64" s="21">
        <f>'REC Delivery Model'!E63</f>
        <v>903955.4460158752</v>
      </c>
      <c r="C64" s="21">
        <f>'REC Delivery Model'!J63</f>
        <v>4122883.7347241454</v>
      </c>
      <c r="D64" s="21">
        <f>SUM('REC Delivery Model'!K63:P63)</f>
        <v>1739212.4783407245</v>
      </c>
      <c r="E64" s="21">
        <f>SUM('REC Delivery Model'!Q63:S63)</f>
        <v>0</v>
      </c>
    </row>
    <row r="65" spans="1:5" x14ac:dyDescent="0.3">
      <c r="A65" s="9" t="s">
        <v>148</v>
      </c>
      <c r="B65" s="21">
        <f>'REC Delivery Model'!E64</f>
        <v>899815.12274770078</v>
      </c>
      <c r="C65" s="21">
        <f>'REC Delivery Model'!J64</f>
        <v>4122649.9860505247</v>
      </c>
      <c r="D65" s="21">
        <f>SUM('REC Delivery Model'!K64:P64)</f>
        <v>2393354.7508154213</v>
      </c>
      <c r="E65" s="21">
        <f>SUM('REC Delivery Model'!Q64:S64)</f>
        <v>0</v>
      </c>
    </row>
    <row r="66" spans="1:5" x14ac:dyDescent="0.3">
      <c r="A66" s="9" t="s">
        <v>149</v>
      </c>
      <c r="B66" s="21">
        <f>'REC Delivery Model'!E65</f>
        <v>895699.5761271175</v>
      </c>
      <c r="C66" s="21">
        <f>'REC Delivery Model'!J65</f>
        <v>4122417.4061202724</v>
      </c>
      <c r="D66" s="21">
        <f>SUM('REC Delivery Model'!K65:P65)</f>
        <v>3044226.3119277451</v>
      </c>
      <c r="E66" s="21">
        <f>SUM('REC Delivery Model'!Q65:S65)</f>
        <v>1745483.3099499999</v>
      </c>
    </row>
    <row r="67" spans="1:5" x14ac:dyDescent="0.3">
      <c r="A67" s="9" t="s">
        <v>150</v>
      </c>
      <c r="B67" s="21">
        <f>'REC Delivery Model'!E66</f>
        <v>891597.11280438746</v>
      </c>
      <c r="C67" s="21">
        <f>'REC Delivery Model'!J66</f>
        <v>4122185.9890896711</v>
      </c>
      <c r="D67" s="21">
        <f>SUM('REC Delivery Model'!K66:P66)</f>
        <v>3691843.5152345076</v>
      </c>
      <c r="E67" s="21">
        <f>SUM('REC Delivery Model'!Q66:S66)</f>
        <v>5097836.5972502502</v>
      </c>
    </row>
    <row r="68" spans="1:5" x14ac:dyDescent="0.3">
      <c r="A68" s="9" t="s">
        <v>151</v>
      </c>
      <c r="B68" s="21">
        <f>'REC Delivery Model'!E67</f>
        <v>887520.67124052031</v>
      </c>
      <c r="C68" s="21">
        <f>'REC Delivery Model'!J67</f>
        <v>4121955.7291442226</v>
      </c>
      <c r="D68" s="21">
        <f>SUM('REC Delivery Model'!K67:P67)</f>
        <v>4336222.6325247362</v>
      </c>
      <c r="E68" s="21">
        <f>SUM('REC Delivery Model'!Q67:S67)</f>
        <v>7126018.2742639985</v>
      </c>
    </row>
    <row r="69" spans="1:5" x14ac:dyDescent="0.3">
      <c r="A69" s="9" t="s">
        <v>152</v>
      </c>
      <c r="B69" s="21">
        <f>'REC Delivery Model'!E68</f>
        <v>883462.18135472271</v>
      </c>
      <c r="C69" s="21">
        <f>'REC Delivery Model'!J68</f>
        <v>4121726.6204985012</v>
      </c>
      <c r="D69" s="21">
        <f>SUM('REC Delivery Model'!K68:P68)</f>
        <v>4977379.8542285133</v>
      </c>
      <c r="E69" s="21">
        <f>SUM('REC Delivery Model'!Q68:S68)</f>
        <v>10461652.480392678</v>
      </c>
    </row>
    <row r="70" spans="1:5" x14ac:dyDescent="0.3">
      <c r="A70" s="9" t="s">
        <v>153</v>
      </c>
      <c r="B70" s="21">
        <f>'REC Delivery Model'!E69</f>
        <v>879425.16477185371</v>
      </c>
      <c r="C70" s="21">
        <f>'REC Delivery Model'!J69</f>
        <v>4121498.6573960087</v>
      </c>
      <c r="D70" s="21">
        <f>SUM('REC Delivery Model'!K69:P69)</f>
        <v>5615331.2898237715</v>
      </c>
      <c r="E70" s="21">
        <f>SUM('REC Delivery Model'!Q69:S69)</f>
        <v>13797361.421740716</v>
      </c>
    </row>
    <row r="71" spans="1:5" x14ac:dyDescent="0.3">
      <c r="A71" s="9" t="s">
        <v>154</v>
      </c>
      <c r="B71" s="21">
        <f>'REC Delivery Model'!E70</f>
        <v>875408.79691990046</v>
      </c>
      <c r="C71" s="21">
        <f>'REC Delivery Model'!J70</f>
        <v>4121271.8341090288</v>
      </c>
      <c r="D71" s="21">
        <f>SUM('REC Delivery Model'!K70:P70)</f>
        <v>6250092.9682410536</v>
      </c>
      <c r="E71" s="21">
        <f>SUM('REC Delivery Model'!Q70:S70)</f>
        <v>17133144.724632014</v>
      </c>
    </row>
    <row r="72" spans="1:5" x14ac:dyDescent="0.3">
      <c r="A72" s="9" t="s">
        <v>155</v>
      </c>
      <c r="B72" s="21">
        <f>'REC Delivery Model'!E71</f>
        <v>866887.41223508376</v>
      </c>
      <c r="C72" s="21">
        <f>'REC Delivery Model'!J71</f>
        <v>4121046.1449384838</v>
      </c>
      <c r="D72" s="21">
        <f>SUM('REC Delivery Model'!K71:P71)</f>
        <v>6881680.8382662497</v>
      </c>
      <c r="E72" s="21">
        <f>SUM('REC Delivery Model'!Q71:S71)</f>
        <v>20469002.017258853</v>
      </c>
    </row>
    <row r="73" spans="1:5" x14ac:dyDescent="0.3">
      <c r="A73" s="9" t="s">
        <v>156</v>
      </c>
      <c r="B73" s="21">
        <f>'REC Delivery Model'!E72</f>
        <v>864988.00329959043</v>
      </c>
      <c r="C73" s="21">
        <f>'REC Delivery Model'!J72</f>
        <v>2859096.5842137914</v>
      </c>
      <c r="D73" s="21">
        <f>SUM('REC Delivery Model'!K72:P72)</f>
        <v>7510110.7689413186</v>
      </c>
      <c r="E73" s="21">
        <f>SUM('REC Delivery Model'!Q72:S72)</f>
        <v>23804932.929672558</v>
      </c>
    </row>
    <row r="74" spans="1:5" x14ac:dyDescent="0.3">
      <c r="A74" s="9" t="s">
        <v>157</v>
      </c>
      <c r="B74" s="21">
        <f>'REC Delivery Model'!E73</f>
        <v>862937.56657035695</v>
      </c>
      <c r="C74" s="21">
        <f>'REC Delivery Model'!J73</f>
        <v>2556411.1462927223</v>
      </c>
      <c r="D74" s="21">
        <f>SUM('REC Delivery Model'!K73:P73)</f>
        <v>7929219.353473939</v>
      </c>
      <c r="E74" s="21">
        <f>SUM('REC Delivery Model'!Q73:S73)</f>
        <v>27140937.093774196</v>
      </c>
    </row>
    <row r="75" spans="1:5" x14ac:dyDescent="0.3">
      <c r="A75" s="9" t="s">
        <v>158</v>
      </c>
      <c r="B75" s="21">
        <f>'REC Delivery Model'!E74</f>
        <v>768082.24114212138</v>
      </c>
      <c r="C75" s="21">
        <f>'REC Delivery Model'!J74</f>
        <v>2556188.8255612589</v>
      </c>
      <c r="D75" s="21">
        <f>SUM('REC Delivery Model'!K74:P74)</f>
        <v>8220992.4241397697</v>
      </c>
      <c r="E75" s="21">
        <f>SUM('REC Delivery Model'!Q74:S74)</f>
        <v>30477014.143305324</v>
      </c>
    </row>
    <row r="76" spans="1:5" x14ac:dyDescent="0.3">
      <c r="A76" s="9" t="s">
        <v>159</v>
      </c>
      <c r="B76" s="21">
        <f>'REC Delivery Model'!E75</f>
        <v>423462.32865966129</v>
      </c>
      <c r="C76" s="21">
        <f>'REC Delivery Model'!J75</f>
        <v>2344947.6164334523</v>
      </c>
      <c r="D76" s="21">
        <f>SUM('REC Delivery Model'!K75:P75)</f>
        <v>8511306.6294522732</v>
      </c>
      <c r="E76" s="21">
        <f>SUM('REC Delivery Model'!Q75:S75)</f>
        <v>33813163.713838793</v>
      </c>
    </row>
    <row r="77" spans="1:5" x14ac:dyDescent="0.3">
      <c r="A77" s="9" t="s">
        <v>61</v>
      </c>
      <c r="B77" s="21">
        <f>'REC Delivery Model'!E76</f>
        <v>118005.47214299478</v>
      </c>
      <c r="C77" s="21">
        <f>'REC Delivery Model'!J76</f>
        <v>43800.513351285183</v>
      </c>
      <c r="D77" s="21">
        <f>SUM('REC Delivery Model'!K76:P76)</f>
        <v>8800169.2637382112</v>
      </c>
      <c r="E77" s="21">
        <f>SUM('REC Delivery Model'!Q76:S76)</f>
        <v>35474094.817769602</v>
      </c>
    </row>
    <row r="78" spans="1:5" x14ac:dyDescent="0.3">
      <c r="A78" s="9" t="s">
        <v>62</v>
      </c>
      <c r="B78" s="21">
        <f>'REC Delivery Model'!E77</f>
        <v>0</v>
      </c>
      <c r="C78" s="21">
        <f>'REC Delivery Model'!J77</f>
        <v>43581.510784528757</v>
      </c>
      <c r="D78" s="21">
        <f>SUM('REC Delivery Model'!K77:P77)</f>
        <v>8502807.7008865997</v>
      </c>
      <c r="E78" s="21">
        <f>SUM('REC Delivery Model'!Q77:S77)</f>
        <v>37135097.719305754</v>
      </c>
    </row>
    <row r="79" spans="1:5" x14ac:dyDescent="0.3">
      <c r="A79" s="9" t="s">
        <v>63</v>
      </c>
      <c r="B79" s="21">
        <f>'REC Delivery Model'!E78</f>
        <v>0</v>
      </c>
      <c r="C79" s="21">
        <f>'REC Delivery Model'!J78</f>
        <v>43363.60323060611</v>
      </c>
      <c r="D79" s="21">
        <f>SUM('REC Delivery Model'!K78:P78)</f>
        <v>8466000.0909358058</v>
      </c>
      <c r="E79" s="21">
        <f>SUM('REC Delivery Model'!Q78:S78)</f>
        <v>38796172.059459232</v>
      </c>
    </row>
    <row r="80" spans="1:5" x14ac:dyDescent="0.3">
      <c r="A80" s="9" t="s">
        <v>64</v>
      </c>
      <c r="B80" s="21">
        <f>'REC Delivery Model'!E79</f>
        <v>0</v>
      </c>
      <c r="C80" s="21">
        <f>'REC Delivery Model'!J79</f>
        <v>43146.785214453084</v>
      </c>
      <c r="D80" s="21">
        <f>SUM('REC Delivery Model'!K79:P79)</f>
        <v>8438980.5289579928</v>
      </c>
      <c r="E80" s="21">
        <f>SUM('REC Delivery Model'!Q79:S79)</f>
        <v>40457317.481036931</v>
      </c>
    </row>
    <row r="81" spans="1:5" x14ac:dyDescent="0.3">
      <c r="A81" s="9" t="s">
        <v>65</v>
      </c>
      <c r="B81" s="21">
        <f>'REC Delivery Model'!E80</f>
        <v>0</v>
      </c>
      <c r="C81" s="21">
        <f>'REC Delivery Model'!J80</f>
        <v>42931.051288380811</v>
      </c>
      <c r="D81" s="21">
        <f>SUM('REC Delivery Model'!K80:P80)</f>
        <v>8412096.0647900663</v>
      </c>
      <c r="E81" s="21">
        <f>SUM('REC Delivery Model'!Q80:S80)</f>
        <v>42118533.628631741</v>
      </c>
    </row>
    <row r="82" spans="1:5" x14ac:dyDescent="0.3">
      <c r="A82" s="9" t="s">
        <v>66</v>
      </c>
      <c r="B82" s="21">
        <f>'REC Delivery Model'!E81</f>
        <v>0</v>
      </c>
      <c r="C82" s="21">
        <f>'REC Delivery Model'!J81</f>
        <v>42716.396031938908</v>
      </c>
      <c r="D82" s="21">
        <f>SUM('REC Delivery Model'!K81:P81)</f>
        <v>8179166.8264539093</v>
      </c>
      <c r="E82" s="21">
        <f>SUM('REC Delivery Model'!Q81:S81)</f>
        <v>43779820.148613594</v>
      </c>
    </row>
    <row r="83" spans="1:5" x14ac:dyDescent="0.3">
      <c r="A83" s="9" t="s">
        <v>67</v>
      </c>
      <c r="B83" s="21">
        <f>'REC Delivery Model'!E82</f>
        <v>0</v>
      </c>
      <c r="C83" s="21">
        <f>'REC Delivery Model'!J82</f>
        <v>42502.814051779213</v>
      </c>
      <c r="D83" s="21">
        <f>SUM('REC Delivery Model'!K82:P82)</f>
        <v>7628042.0830006097</v>
      </c>
      <c r="E83" s="21">
        <f>SUM('REC Delivery Model'!Q82:S82)</f>
        <v>45441176.689120524</v>
      </c>
    </row>
    <row r="87" spans="1:5" x14ac:dyDescent="0.3">
      <c r="A87" s="125" t="s">
        <v>130</v>
      </c>
    </row>
    <row r="88" spans="1:5" x14ac:dyDescent="0.3">
      <c r="A88" s="61" t="s">
        <v>43</v>
      </c>
      <c r="B88" s="61" t="s">
        <v>136</v>
      </c>
      <c r="C88" s="61" t="s">
        <v>139</v>
      </c>
      <c r="D88" s="61" t="s">
        <v>223</v>
      </c>
      <c r="E88" s="61" t="s">
        <v>231</v>
      </c>
    </row>
    <row r="89" spans="1:5" x14ac:dyDescent="0.3">
      <c r="A89" s="9" t="s">
        <v>144</v>
      </c>
      <c r="B89" s="21">
        <f>'REC Delivery Model'!E88</f>
        <v>1543.7045560000197</v>
      </c>
      <c r="C89" s="21">
        <f>'REC Delivery Model'!J88</f>
        <v>2547.1036920000001</v>
      </c>
      <c r="D89" s="21">
        <f>SUM('REC Delivery Model'!K88:P88)</f>
        <v>0</v>
      </c>
      <c r="E89" s="21">
        <f>SUM('REC Delivery Model'!Q88:S88)</f>
        <v>0</v>
      </c>
    </row>
    <row r="90" spans="1:5" x14ac:dyDescent="0.3">
      <c r="A90" s="9" t="s">
        <v>145</v>
      </c>
      <c r="B90" s="21">
        <f>'REC Delivery Model'!E89</f>
        <v>5346.7865546666544</v>
      </c>
      <c r="C90" s="21">
        <f>'REC Delivery Model'!J89</f>
        <v>10449.772534</v>
      </c>
      <c r="D90" s="21">
        <f>SUM('REC Delivery Model'!K89:P89)</f>
        <v>0</v>
      </c>
      <c r="E90" s="21">
        <f>SUM('REC Delivery Model'!Q89:S89)</f>
        <v>0</v>
      </c>
    </row>
    <row r="91" spans="1:5" x14ac:dyDescent="0.3">
      <c r="A91" s="9" t="s">
        <v>146</v>
      </c>
      <c r="B91" s="21">
        <f>'REC Delivery Model'!E90</f>
        <v>5923.171645186686</v>
      </c>
      <c r="C91" s="21">
        <f>'REC Delivery Model'!J90</f>
        <v>13358.000132829999</v>
      </c>
      <c r="D91" s="21">
        <f>SUM('REC Delivery Model'!K90:P90)</f>
        <v>2764.4821059690535</v>
      </c>
      <c r="E91" s="21">
        <f>SUM('REC Delivery Model'!Q90:S90)</f>
        <v>0</v>
      </c>
    </row>
    <row r="92" spans="1:5" x14ac:dyDescent="0.3">
      <c r="A92" s="9" t="s">
        <v>147</v>
      </c>
      <c r="B92" s="21">
        <f>'REC Delivery Model'!E91</f>
        <v>5551.538465704095</v>
      </c>
      <c r="C92" s="21">
        <f>'REC Delivery Model'!J91</f>
        <v>13357.231593665849</v>
      </c>
      <c r="D92" s="21">
        <f>SUM('REC Delivery Model'!K91:P91)</f>
        <v>5689.7419748326538</v>
      </c>
      <c r="E92" s="21">
        <f>SUM('REC Delivery Model'!Q91:S91)</f>
        <v>0</v>
      </c>
    </row>
    <row r="93" spans="1:5" x14ac:dyDescent="0.3">
      <c r="A93" s="9" t="s">
        <v>148</v>
      </c>
      <c r="B93" s="21">
        <f>'REC Delivery Model'!E92</f>
        <v>5438.4579105026069</v>
      </c>
      <c r="C93" s="21">
        <f>'REC Delivery Model'!J92</f>
        <v>13356.466897197521</v>
      </c>
      <c r="D93" s="21">
        <f>SUM('REC Delivery Model'!K92:P92)</f>
        <v>7829.7339491097373</v>
      </c>
      <c r="E93" s="21">
        <f>SUM('REC Delivery Model'!Q92:S92)</f>
        <v>0</v>
      </c>
    </row>
    <row r="94" spans="1:5" x14ac:dyDescent="0.3">
      <c r="A94" s="9" t="s">
        <v>149</v>
      </c>
      <c r="B94" s="21">
        <f>'REC Delivery Model'!E93</f>
        <v>5326.4136334521281</v>
      </c>
      <c r="C94" s="21">
        <f>'REC Delivery Model'!J93</f>
        <v>13355.706024211533</v>
      </c>
      <c r="D94" s="21">
        <f>SUM('REC Delivery Model'!K93:P93)</f>
        <v>9959.0259635154362</v>
      </c>
      <c r="E94" s="21">
        <f>SUM('REC Delivery Model'!Q93:S93)</f>
        <v>5710.2566699999998</v>
      </c>
    </row>
    <row r="95" spans="1:5" x14ac:dyDescent="0.3">
      <c r="A95" s="9" t="s">
        <v>150</v>
      </c>
      <c r="B95" s="21">
        <f>'REC Delivery Model'!E94</f>
        <v>5214.4049436119003</v>
      </c>
      <c r="C95" s="21">
        <f>'REC Delivery Model'!J94</f>
        <v>13354.948955590475</v>
      </c>
      <c r="D95" s="21">
        <f>SUM('REC Delivery Model'!K94:P94)</f>
        <v>12077.671517849103</v>
      </c>
      <c r="E95" s="21">
        <f>SUM('REC Delivery Model'!Q94:S94)</f>
        <v>16677.303796650001</v>
      </c>
    </row>
    <row r="96" spans="1:5" x14ac:dyDescent="0.3">
      <c r="A96" s="9" t="s">
        <v>151</v>
      </c>
      <c r="B96" s="21">
        <f>'REC Delivery Model'!E95</f>
        <v>4502.4702387458728</v>
      </c>
      <c r="C96" s="21">
        <f>'REC Delivery Model'!J95</f>
        <v>13354.195672312522</v>
      </c>
      <c r="D96" s="21">
        <f>SUM('REC Delivery Model'!K95:P95)</f>
        <v>14185.723844411103</v>
      </c>
      <c r="E96" s="21">
        <f>SUM('REC Delivery Model'!Q95:S95)</f>
        <v>23312.39327766675</v>
      </c>
    </row>
    <row r="97" spans="1:5" x14ac:dyDescent="0.3">
      <c r="A97" s="9" t="s">
        <v>152</v>
      </c>
      <c r="B97" s="21">
        <f>'REC Delivery Model'!E96</f>
        <v>4304.6396081782468</v>
      </c>
      <c r="C97" s="21">
        <f>'REC Delivery Model'!J96</f>
        <v>13353.44615545096</v>
      </c>
      <c r="D97" s="21">
        <f>SUM('REC Delivery Model'!K96:P96)</f>
        <v>16283.235909340294</v>
      </c>
      <c r="E97" s="21">
        <f>SUM('REC Delivery Model'!Q96:S96)</f>
        <v>34224.744811278419</v>
      </c>
    </row>
    <row r="98" spans="1:5" x14ac:dyDescent="0.3">
      <c r="A98" s="9" t="s">
        <v>153</v>
      </c>
      <c r="B98" s="21">
        <f>'REC Delivery Model'!E97</f>
        <v>3903.2291280153136</v>
      </c>
      <c r="C98" s="21">
        <f>'REC Delivery Model'!J97</f>
        <v>13352.700386173705</v>
      </c>
      <c r="D98" s="21">
        <f>SUM('REC Delivery Model'!K97:P97)</f>
        <v>18370.260413944841</v>
      </c>
      <c r="E98" s="21">
        <f>SUM('REC Delivery Model'!Q97:S97)</f>
        <v>45137.340837222022</v>
      </c>
    </row>
    <row r="99" spans="1:5" x14ac:dyDescent="0.3">
      <c r="A99" s="9" t="s">
        <v>154</v>
      </c>
      <c r="B99" s="21">
        <f>'REC Delivery Model'!E98</f>
        <v>3801.8380993022724</v>
      </c>
      <c r="C99" s="21">
        <f>'REC Delivery Model'!J98</f>
        <v>13351.958345742836</v>
      </c>
      <c r="D99" s="21">
        <f>SUM('REC Delivery Model'!K98:P98)</f>
        <v>20446.849796026363</v>
      </c>
      <c r="E99" s="21">
        <f>SUM('REC Delivery Model'!Q98:S98)</f>
        <v>56050.180133035916</v>
      </c>
    </row>
    <row r="100" spans="1:5" x14ac:dyDescent="0.3">
      <c r="A100" s="9" t="s">
        <v>155</v>
      </c>
      <c r="B100" s="21">
        <f>'REC Delivery Model'!E99</f>
        <v>5474.7321439732295</v>
      </c>
      <c r="C100" s="21">
        <f>'REC Delivery Model'!J99</f>
        <v>13351.220015514122</v>
      </c>
      <c r="D100" s="21">
        <f>SUM('REC Delivery Model'!K99:P99)</f>
        <v>22513.056231197475</v>
      </c>
      <c r="E100" s="21">
        <f>SUM('REC Delivery Model'!Q99:S99)</f>
        <v>66963.261482370741</v>
      </c>
    </row>
    <row r="101" spans="1:5" x14ac:dyDescent="0.3">
      <c r="A101" s="9" t="s">
        <v>156</v>
      </c>
      <c r="B101" s="21">
        <f>'REC Delivery Model'!E100</f>
        <v>5468.5254377303982</v>
      </c>
      <c r="C101" s="21">
        <f>'REC Delivery Model'!J100</f>
        <v>13350.485376936551</v>
      </c>
      <c r="D101" s="21">
        <f>SUM('REC Delivery Model'!K100:P100)</f>
        <v>24568.93163419273</v>
      </c>
      <c r="E101" s="21">
        <f>SUM('REC Delivery Model'!Q100:S100)</f>
        <v>77876.583674958893</v>
      </c>
    </row>
    <row r="102" spans="1:5" x14ac:dyDescent="0.3">
      <c r="A102" s="9" t="s">
        <v>157</v>
      </c>
      <c r="B102" s="21">
        <f>'REC Delivery Model'!E101</f>
        <v>5462.7731260187775</v>
      </c>
      <c r="C102" s="21">
        <f>'REC Delivery Model'!J101</f>
        <v>11930.754411551869</v>
      </c>
      <c r="D102" s="21">
        <f>SUM('REC Delivery Model'!K101:P101)</f>
        <v>25940.023283502291</v>
      </c>
      <c r="E102" s="21">
        <f>SUM('REC Delivery Model'!Q101:S101)</f>
        <v>88790.145506584086</v>
      </c>
    </row>
    <row r="103" spans="1:5" x14ac:dyDescent="0.3">
      <c r="A103" s="9" t="s">
        <v>158</v>
      </c>
      <c r="B103" s="21">
        <f>'REC Delivery Model'!E102</f>
        <v>5321.6499092957201</v>
      </c>
      <c r="C103" s="21">
        <f>'REC Delivery Model'!J102</f>
        <v>11930.02710099411</v>
      </c>
      <c r="D103" s="21">
        <f>SUM('REC Delivery Model'!K102:P102)</f>
        <v>26894.543509160398</v>
      </c>
      <c r="E103" s="21">
        <f>SUM('REC Delivery Model'!Q102:S102)</f>
        <v>99703.945779051181</v>
      </c>
    </row>
    <row r="104" spans="1:5" x14ac:dyDescent="0.3">
      <c r="A104" s="9" t="s">
        <v>159</v>
      </c>
      <c r="B104" s="21">
        <f>'REC Delivery Model'!E103</f>
        <v>4511.6037660733273</v>
      </c>
      <c r="C104" s="21">
        <f>'REC Delivery Model'!J103</f>
        <v>10939.30342698914</v>
      </c>
      <c r="D104" s="21">
        <f>SUM('REC Delivery Model'!K103:P103)</f>
        <v>27844.291133690229</v>
      </c>
      <c r="E104" s="21">
        <f>SUM('REC Delivery Model'!Q103:S103)</f>
        <v>110617.98330015592</v>
      </c>
    </row>
    <row r="105" spans="1:5" x14ac:dyDescent="0.3">
      <c r="A105" s="9" t="s">
        <v>61</v>
      </c>
      <c r="B105" s="21">
        <f>'REC Delivery Model'!E104</f>
        <v>178.76325873999434</v>
      </c>
      <c r="C105" s="21">
        <f>'REC Delivery Model'!J104</f>
        <v>143.29107135419406</v>
      </c>
      <c r="D105" s="21">
        <f>SUM('REC Delivery Model'!K104:P104)</f>
        <v>28789.290020097393</v>
      </c>
      <c r="E105" s="21">
        <f>SUM('REC Delivery Model'!Q104:S104)</f>
        <v>116051.63188365514</v>
      </c>
    </row>
    <row r="106" spans="1:5" x14ac:dyDescent="0.3">
      <c r="A106" s="9" t="s">
        <v>62</v>
      </c>
      <c r="B106" s="21">
        <f>'REC Delivery Model'!E105</f>
        <v>154.260456</v>
      </c>
      <c r="C106" s="21">
        <f>'REC Delivery Model'!J105</f>
        <v>142.57461599742308</v>
      </c>
      <c r="D106" s="21">
        <f>SUM('REC Delivery Model'!K105:P105)</f>
        <v>27816.487336739923</v>
      </c>
      <c r="E106" s="21">
        <f>SUM('REC Delivery Model'!Q105:S105)</f>
        <v>121485.51534923684</v>
      </c>
    </row>
    <row r="107" spans="1:5" x14ac:dyDescent="0.3">
      <c r="A107" s="9" t="s">
        <v>63</v>
      </c>
      <c r="B107" s="21">
        <f>'REC Delivery Model'!E106</f>
        <v>0</v>
      </c>
      <c r="C107" s="21">
        <f>'REC Delivery Model'!J106</f>
        <v>141.86174291743598</v>
      </c>
      <c r="D107" s="21">
        <f>SUM('REC Delivery Model'!K106:P106)</f>
        <v>27696.073180368359</v>
      </c>
      <c r="E107" s="21">
        <f>SUM('REC Delivery Model'!Q106:S106)</f>
        <v>126919.63252249068</v>
      </c>
    </row>
    <row r="108" spans="1:5" x14ac:dyDescent="0.3">
      <c r="A108" s="9" t="s">
        <v>64</v>
      </c>
      <c r="B108" s="21">
        <f>'REC Delivery Model'!E107</f>
        <v>0</v>
      </c>
      <c r="C108" s="21">
        <f>'REC Delivery Model'!J107</f>
        <v>141.15243420284878</v>
      </c>
      <c r="D108" s="21">
        <f>SUM('REC Delivery Model'!K107:P107)</f>
        <v>27607.680107157768</v>
      </c>
      <c r="E108" s="21">
        <f>SUM('REC Delivery Model'!Q107:S107)</f>
        <v>132353.98223487823</v>
      </c>
    </row>
    <row r="109" spans="1:5" x14ac:dyDescent="0.3">
      <c r="A109" s="9" t="s">
        <v>65</v>
      </c>
      <c r="B109" s="21">
        <f>'REC Delivery Model'!E108</f>
        <v>0</v>
      </c>
      <c r="C109" s="21">
        <f>'REC Delivery Model'!J108</f>
        <v>140.44667203183454</v>
      </c>
      <c r="D109" s="21">
        <f>SUM('REC Delivery Model'!K108:P108)</f>
        <v>27519.728999313214</v>
      </c>
      <c r="E109" s="21">
        <f>SUM('REC Delivery Model'!Q108:S108)</f>
        <v>137788.56332370383</v>
      </c>
    </row>
    <row r="110" spans="1:5" x14ac:dyDescent="0.3">
      <c r="A110" s="9" t="s">
        <v>66</v>
      </c>
      <c r="B110" s="21">
        <f>'REC Delivery Model'!E109</f>
        <v>0</v>
      </c>
      <c r="C110" s="21">
        <f>'REC Delivery Model'!J109</f>
        <v>139.74443867167534</v>
      </c>
      <c r="D110" s="21">
        <f>SUM('REC Delivery Model'!K109:P109)</f>
        <v>26757.713270337175</v>
      </c>
      <c r="E110" s="21">
        <f>SUM('REC Delivery Model'!Q109:S109)</f>
        <v>143223.37463208532</v>
      </c>
    </row>
    <row r="111" spans="1:5" x14ac:dyDescent="0.3">
      <c r="A111" s="9" t="s">
        <v>67</v>
      </c>
      <c r="B111" s="21">
        <f>'REC Delivery Model'!E110</f>
        <v>0</v>
      </c>
      <c r="C111" s="21">
        <f>'REC Delivery Model'!J110</f>
        <v>139.04571647831699</v>
      </c>
      <c r="D111" s="21">
        <f>SUM('REC Delivery Model'!K110:P110)</f>
        <v>24954.737713729653</v>
      </c>
      <c r="E111" s="21">
        <f>SUM('REC Delivery Model'!Q110:S110)</f>
        <v>148658.4150089249</v>
      </c>
    </row>
  </sheetData>
  <printOptions horizontalCentered="1" verticalCentered="1"/>
  <pageMargins left="0.7" right="0.7" top="0.75" bottom="0.75" header="0.3" footer="0.3"/>
  <pageSetup scale="56" orientation="landscape" r:id="rId1"/>
  <headerFooter>
    <oddHeader>&amp;A</oddHeader>
  </headerFooter>
  <rowBreaks count="1" manualBreakCount="1">
    <brk id="5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23EDD-0357-46B3-A95C-6D35A83E7CB7}">
  <dimension ref="B2:Z189"/>
  <sheetViews>
    <sheetView zoomScale="120" zoomScaleNormal="120" workbookViewId="0"/>
  </sheetViews>
  <sheetFormatPr defaultRowHeight="14.4" x14ac:dyDescent="0.3"/>
  <cols>
    <col min="1" max="1" width="8.77734375" customWidth="1"/>
    <col min="2" max="2" width="10.77734375" bestFit="1" customWidth="1"/>
    <col min="3" max="3" width="31.109375" bestFit="1" customWidth="1"/>
    <col min="4" max="4" width="21.88671875" bestFit="1" customWidth="1"/>
    <col min="5" max="5" width="22.6640625" bestFit="1" customWidth="1"/>
    <col min="6" max="6" width="22.21875" bestFit="1" customWidth="1"/>
    <col min="7" max="7" width="22.6640625" bestFit="1" customWidth="1"/>
    <col min="8" max="8" width="21.88671875" bestFit="1" customWidth="1"/>
    <col min="9" max="9" width="22.6640625" bestFit="1" customWidth="1"/>
    <col min="10" max="10" width="15.77734375" bestFit="1" customWidth="1"/>
    <col min="11" max="12" width="12.77734375" bestFit="1" customWidth="1"/>
    <col min="13" max="13" width="10.109375" bestFit="1" customWidth="1"/>
    <col min="14" max="14" width="10.21875" bestFit="1" customWidth="1"/>
    <col min="15" max="15" width="10.109375" bestFit="1" customWidth="1"/>
    <col min="17" max="18" width="10.109375" bestFit="1" customWidth="1"/>
    <col min="20" max="20" width="12.77734375" bestFit="1" customWidth="1"/>
    <col min="21" max="21" width="14.77734375" bestFit="1" customWidth="1"/>
    <col min="22" max="22" width="14.21875" bestFit="1" customWidth="1"/>
    <col min="23" max="23" width="14.77734375" bestFit="1" customWidth="1"/>
    <col min="24" max="24" width="14.21875" bestFit="1" customWidth="1"/>
    <col min="25" max="25" width="14.77734375" bestFit="1" customWidth="1"/>
    <col min="26" max="26" width="14.21875" bestFit="1" customWidth="1"/>
  </cols>
  <sheetData>
    <row r="2" spans="3:10" x14ac:dyDescent="0.3">
      <c r="C2" t="s">
        <v>328</v>
      </c>
    </row>
    <row r="4" spans="3:10" x14ac:dyDescent="0.3">
      <c r="C4" s="1" t="s">
        <v>43</v>
      </c>
      <c r="D4" s="1" t="s">
        <v>184</v>
      </c>
      <c r="E4" s="1" t="s">
        <v>185</v>
      </c>
      <c r="F4" s="1" t="s">
        <v>186</v>
      </c>
      <c r="G4" s="202"/>
    </row>
    <row r="5" spans="3:10" x14ac:dyDescent="0.3">
      <c r="C5" s="185" t="s">
        <v>144</v>
      </c>
      <c r="D5" s="21">
        <f t="shared" ref="D5:E21" si="0">U60+W60+Y60</f>
        <v>2591725</v>
      </c>
      <c r="E5" s="21">
        <f t="shared" si="0"/>
        <v>714152.50247266702</v>
      </c>
      <c r="F5" s="60">
        <f t="shared" ref="F5:F27" si="1">D5+E5</f>
        <v>3305877.502472667</v>
      </c>
      <c r="G5" s="202"/>
    </row>
    <row r="6" spans="3:10" x14ac:dyDescent="0.3">
      <c r="C6" s="185" t="s">
        <v>145</v>
      </c>
      <c r="D6" s="21">
        <f t="shared" si="0"/>
        <v>3927244</v>
      </c>
      <c r="E6" s="21">
        <f t="shared" si="0"/>
        <v>2033122.7175146674</v>
      </c>
      <c r="F6" s="60">
        <f t="shared" si="1"/>
        <v>5960366.7175146677</v>
      </c>
      <c r="G6" s="202"/>
    </row>
    <row r="7" spans="3:10" x14ac:dyDescent="0.3">
      <c r="C7" s="185" t="s">
        <v>146</v>
      </c>
      <c r="D7" s="21">
        <f t="shared" si="0"/>
        <v>3927244</v>
      </c>
      <c r="E7" s="21">
        <f t="shared" si="0"/>
        <v>3389233.442758169</v>
      </c>
      <c r="F7" s="60">
        <f t="shared" si="1"/>
        <v>7316477.442758169</v>
      </c>
      <c r="G7" s="202"/>
      <c r="H7" s="202"/>
    </row>
    <row r="8" spans="3:10" x14ac:dyDescent="0.3">
      <c r="C8" s="185" t="s">
        <v>147</v>
      </c>
      <c r="D8" s="21">
        <f t="shared" si="0"/>
        <v>3927244</v>
      </c>
      <c r="E8" s="21">
        <f t="shared" si="0"/>
        <v>3894821.9172026333</v>
      </c>
      <c r="F8" s="60">
        <f t="shared" si="1"/>
        <v>7822065.9172026329</v>
      </c>
      <c r="G8" s="202"/>
      <c r="H8" s="202"/>
      <c r="I8" s="19"/>
      <c r="J8" s="19"/>
    </row>
    <row r="9" spans="3:10" x14ac:dyDescent="0.3">
      <c r="C9" s="185" t="s">
        <v>148</v>
      </c>
      <c r="D9" s="21">
        <f t="shared" si="0"/>
        <v>3927244</v>
      </c>
      <c r="E9" s="21">
        <f t="shared" si="0"/>
        <v>3885463.1733901058</v>
      </c>
      <c r="F9" s="60">
        <f t="shared" si="1"/>
        <v>7812707.1733901054</v>
      </c>
      <c r="G9" s="202"/>
      <c r="H9" s="202"/>
      <c r="I9" s="19"/>
      <c r="J9" s="19"/>
    </row>
    <row r="10" spans="3:10" x14ac:dyDescent="0.3">
      <c r="C10" s="185" t="s">
        <v>149</v>
      </c>
      <c r="D10" s="21">
        <f t="shared" si="0"/>
        <v>4520580.6993800001</v>
      </c>
      <c r="E10" s="21">
        <f t="shared" si="0"/>
        <v>5776171.3058407661</v>
      </c>
      <c r="F10" s="60">
        <f t="shared" si="1"/>
        <v>10296752.005220767</v>
      </c>
      <c r="G10" s="202"/>
      <c r="H10" s="202"/>
      <c r="I10" s="19"/>
      <c r="J10" s="19"/>
    </row>
    <row r="11" spans="3:10" x14ac:dyDescent="0.3">
      <c r="C11" s="185" t="s">
        <v>150</v>
      </c>
      <c r="D11" s="21">
        <f t="shared" si="0"/>
        <v>4519285.7018831</v>
      </c>
      <c r="E11" s="21">
        <f t="shared" si="0"/>
        <v>5757401.0525126504</v>
      </c>
      <c r="F11" s="60">
        <f t="shared" si="1"/>
        <v>10276686.754395749</v>
      </c>
      <c r="G11" s="202"/>
    </row>
    <row r="12" spans="3:10" x14ac:dyDescent="0.3">
      <c r="C12" s="185" t="s">
        <v>151</v>
      </c>
      <c r="D12" s="21">
        <f t="shared" si="0"/>
        <v>4517997.1793736843</v>
      </c>
      <c r="E12" s="21">
        <f t="shared" si="0"/>
        <v>5738131.7513688467</v>
      </c>
      <c r="F12" s="60">
        <f t="shared" si="1"/>
        <v>10256128.930742532</v>
      </c>
      <c r="G12" s="202"/>
    </row>
    <row r="13" spans="3:10" x14ac:dyDescent="0.3">
      <c r="C13" s="185" t="s">
        <v>152</v>
      </c>
      <c r="D13" s="21">
        <f t="shared" si="0"/>
        <v>4516715.0994768161</v>
      </c>
      <c r="E13" s="21">
        <f t="shared" si="0"/>
        <v>5719465.9940828877</v>
      </c>
      <c r="F13" s="60">
        <f t="shared" si="1"/>
        <v>10236181.093559705</v>
      </c>
      <c r="G13" s="202"/>
    </row>
    <row r="14" spans="3:10" x14ac:dyDescent="0.3">
      <c r="C14" s="185" t="s">
        <v>153</v>
      </c>
      <c r="D14" s="21">
        <f t="shared" si="0"/>
        <v>4515439.4299794324</v>
      </c>
      <c r="E14" s="21">
        <f t="shared" si="0"/>
        <v>5700690.622717509</v>
      </c>
      <c r="F14" s="60">
        <f t="shared" si="1"/>
        <v>10216130.052696941</v>
      </c>
      <c r="G14" s="202"/>
    </row>
    <row r="15" spans="3:10" x14ac:dyDescent="0.3">
      <c r="C15" s="185" t="s">
        <v>154</v>
      </c>
      <c r="D15" s="21">
        <f t="shared" si="0"/>
        <v>4514170.1388295349</v>
      </c>
      <c r="E15" s="21">
        <f t="shared" si="0"/>
        <v>5682307.7790912092</v>
      </c>
      <c r="F15" s="60">
        <f t="shared" si="1"/>
        <v>10196477.917920744</v>
      </c>
      <c r="G15" s="202"/>
    </row>
    <row r="16" spans="3:10" x14ac:dyDescent="0.3">
      <c r="C16" s="262" t="s">
        <v>155</v>
      </c>
      <c r="D16" s="21">
        <f t="shared" si="0"/>
        <v>4512907.1941353874</v>
      </c>
      <c r="E16" s="21">
        <f t="shared" si="0"/>
        <v>5659559.1774758333</v>
      </c>
      <c r="F16" s="60">
        <f t="shared" si="1"/>
        <v>10172466.371611221</v>
      </c>
      <c r="G16" s="202"/>
    </row>
    <row r="17" spans="2:10" x14ac:dyDescent="0.3">
      <c r="C17" s="185" t="s">
        <v>156</v>
      </c>
      <c r="D17" s="21">
        <f t="shared" si="0"/>
        <v>2649925.5641647102</v>
      </c>
      <c r="E17" s="21">
        <f t="shared" si="0"/>
        <v>5644313.9397163996</v>
      </c>
      <c r="F17" s="60">
        <f t="shared" si="1"/>
        <v>8294239.5038811099</v>
      </c>
      <c r="G17" s="202"/>
    </row>
    <row r="18" spans="2:10" x14ac:dyDescent="0.3">
      <c r="C18" s="185" t="s">
        <v>157</v>
      </c>
      <c r="D18" s="21">
        <f t="shared" si="0"/>
        <v>2218675.2173438868</v>
      </c>
      <c r="E18" s="21">
        <f t="shared" si="0"/>
        <v>5628924.2949886443</v>
      </c>
      <c r="F18" s="60">
        <f t="shared" si="1"/>
        <v>7847599.5123325307</v>
      </c>
      <c r="G18" s="202"/>
    </row>
    <row r="19" spans="2:10" x14ac:dyDescent="0.3">
      <c r="C19" s="185" t="s">
        <v>158</v>
      </c>
      <c r="D19" s="21">
        <f t="shared" si="0"/>
        <v>2217431.1222571675</v>
      </c>
      <c r="E19" s="21">
        <f t="shared" si="0"/>
        <v>5485661.7616604501</v>
      </c>
      <c r="F19" s="60">
        <f t="shared" si="1"/>
        <v>7703092.8839176176</v>
      </c>
      <c r="G19" s="202"/>
    </row>
    <row r="20" spans="2:10" x14ac:dyDescent="0.3">
      <c r="C20" s="185" t="s">
        <v>159</v>
      </c>
      <c r="D20" s="21">
        <f t="shared" si="0"/>
        <v>1916193.2476458813</v>
      </c>
      <c r="E20" s="21">
        <f t="shared" si="0"/>
        <v>4997845.4602864757</v>
      </c>
      <c r="F20" s="60">
        <f t="shared" si="1"/>
        <v>6914038.7079323567</v>
      </c>
      <c r="G20" s="202"/>
    </row>
    <row r="21" spans="2:10" x14ac:dyDescent="0.3">
      <c r="C21" s="185" t="s">
        <v>314</v>
      </c>
      <c r="D21" s="21">
        <f t="shared" si="0"/>
        <v>579442.56240765192</v>
      </c>
      <c r="E21" s="21">
        <f t="shared" si="0"/>
        <v>2624869.8634727378</v>
      </c>
      <c r="F21" s="60">
        <f t="shared" si="1"/>
        <v>3204312.4258803898</v>
      </c>
      <c r="G21" s="202"/>
    </row>
    <row r="22" spans="2:10" x14ac:dyDescent="0.3">
      <c r="C22" s="185" t="s">
        <v>315</v>
      </c>
      <c r="D22" s="21">
        <f t="shared" ref="D22:E27" si="2">U77+W77+Y77</f>
        <v>578217.03559561365</v>
      </c>
      <c r="E22" s="21">
        <f t="shared" si="2"/>
        <v>2199614.4460561075</v>
      </c>
      <c r="F22" s="60">
        <f t="shared" si="1"/>
        <v>2777831.4816517211</v>
      </c>
      <c r="G22" s="202"/>
    </row>
    <row r="23" spans="2:10" x14ac:dyDescent="0.3">
      <c r="C23" s="185" t="s">
        <v>316</v>
      </c>
      <c r="D23" s="21">
        <f t="shared" si="2"/>
        <v>576997.6364176356</v>
      </c>
      <c r="E23" s="21">
        <f t="shared" si="2"/>
        <v>2184341.5477036396</v>
      </c>
      <c r="F23" s="60">
        <f t="shared" si="1"/>
        <v>2761339.1841212753</v>
      </c>
      <c r="G23" s="202"/>
    </row>
    <row r="24" spans="2:10" x14ac:dyDescent="0.3">
      <c r="C24" s="185" t="s">
        <v>317</v>
      </c>
      <c r="D24" s="21">
        <f t="shared" si="2"/>
        <v>575784.33423554746</v>
      </c>
      <c r="E24" s="21">
        <f t="shared" si="2"/>
        <v>2173419.8399651214</v>
      </c>
      <c r="F24" s="60">
        <f t="shared" si="1"/>
        <v>2749204.1742006689</v>
      </c>
      <c r="G24" s="202"/>
    </row>
    <row r="25" spans="2:10" x14ac:dyDescent="0.3">
      <c r="C25" s="185" t="s">
        <v>318</v>
      </c>
      <c r="D25" s="21">
        <f t="shared" si="2"/>
        <v>574577.0985643696</v>
      </c>
      <c r="E25" s="21">
        <f t="shared" si="2"/>
        <v>2162552.7407652959</v>
      </c>
      <c r="F25" s="60">
        <f t="shared" si="1"/>
        <v>2737129.8393296655</v>
      </c>
      <c r="G25" s="202"/>
    </row>
    <row r="26" spans="2:10" x14ac:dyDescent="0.3">
      <c r="C26" s="185" t="s">
        <v>319</v>
      </c>
      <c r="D26" s="21">
        <f t="shared" si="2"/>
        <v>573375.89907154778</v>
      </c>
      <c r="E26" s="21">
        <f t="shared" si="2"/>
        <v>2151739.9770614696</v>
      </c>
      <c r="F26" s="60">
        <f t="shared" si="1"/>
        <v>2725115.8761330172</v>
      </c>
      <c r="G26" s="202"/>
    </row>
    <row r="27" spans="2:10" x14ac:dyDescent="0.3">
      <c r="C27" s="185" t="s">
        <v>320</v>
      </c>
      <c r="D27" s="21">
        <f t="shared" si="2"/>
        <v>572180.70557619003</v>
      </c>
      <c r="E27" s="21">
        <f t="shared" si="2"/>
        <v>2140110.422615895</v>
      </c>
      <c r="F27" s="60">
        <f t="shared" si="1"/>
        <v>2712291.1281920848</v>
      </c>
      <c r="G27" s="202"/>
    </row>
    <row r="28" spans="2:10" x14ac:dyDescent="0.3">
      <c r="G28" s="202"/>
    </row>
    <row r="29" spans="2:10" x14ac:dyDescent="0.3">
      <c r="B29" s="191" t="s">
        <v>183</v>
      </c>
      <c r="C29" t="s">
        <v>329</v>
      </c>
    </row>
    <row r="30" spans="2:10" x14ac:dyDescent="0.3">
      <c r="C30" s="1" t="s">
        <v>43</v>
      </c>
      <c r="D30" s="1" t="s">
        <v>187</v>
      </c>
      <c r="E30" s="1" t="s">
        <v>188</v>
      </c>
      <c r="F30" s="1" t="s">
        <v>330</v>
      </c>
      <c r="G30" s="1" t="s">
        <v>331</v>
      </c>
      <c r="H30" s="1" t="s">
        <v>184</v>
      </c>
      <c r="I30" s="1" t="s">
        <v>185</v>
      </c>
      <c r="J30" s="1" t="s">
        <v>186</v>
      </c>
    </row>
    <row r="31" spans="2:10" x14ac:dyDescent="0.3">
      <c r="C31" s="185" t="s">
        <v>144</v>
      </c>
      <c r="D31" s="21">
        <f t="shared" ref="D31:E36" si="3">D5</f>
        <v>2591725</v>
      </c>
      <c r="E31" s="21">
        <f t="shared" si="3"/>
        <v>714152.50247266702</v>
      </c>
      <c r="F31" s="9">
        <f>'REC Delivery Model'!Q4</f>
        <v>0</v>
      </c>
      <c r="G31" s="21">
        <f>SUM('REC Delivery Model'!K4:P4,'REC Delivery Model'!R4:S4)</f>
        <v>0</v>
      </c>
      <c r="H31" s="60">
        <f t="shared" ref="H31:I36" si="4">D31+F31</f>
        <v>2591725</v>
      </c>
      <c r="I31" s="60">
        <f t="shared" si="4"/>
        <v>714152.50247266702</v>
      </c>
      <c r="J31" s="60">
        <f t="shared" ref="J31:J36" si="5">H31+I31</f>
        <v>3305877.502472667</v>
      </c>
    </row>
    <row r="32" spans="2:10" x14ac:dyDescent="0.3">
      <c r="C32" s="185" t="s">
        <v>145</v>
      </c>
      <c r="D32" s="21">
        <f t="shared" si="3"/>
        <v>3927244</v>
      </c>
      <c r="E32" s="21">
        <f t="shared" si="3"/>
        <v>2033122.7175146674</v>
      </c>
      <c r="F32" s="9">
        <f>'REC Delivery Model'!Q5</f>
        <v>0</v>
      </c>
      <c r="G32" s="21">
        <f>SUM('REC Delivery Model'!K5:P5,'REC Delivery Model'!R5:S5)</f>
        <v>0</v>
      </c>
      <c r="H32" s="60">
        <f t="shared" si="4"/>
        <v>3927244</v>
      </c>
      <c r="I32" s="60">
        <f t="shared" si="4"/>
        <v>2033122.7175146674</v>
      </c>
      <c r="J32" s="60">
        <f t="shared" si="5"/>
        <v>5960366.7175146677</v>
      </c>
    </row>
    <row r="33" spans="3:10" x14ac:dyDescent="0.3">
      <c r="C33" s="185" t="s">
        <v>146</v>
      </c>
      <c r="D33" s="21">
        <f t="shared" si="3"/>
        <v>3927244</v>
      </c>
      <c r="E33" s="21">
        <f t="shared" si="3"/>
        <v>3389233.442758169</v>
      </c>
      <c r="F33" s="9">
        <f>'REC Delivery Model'!Q6</f>
        <v>0</v>
      </c>
      <c r="G33" s="21">
        <f>SUM('REC Delivery Model'!K6:P6,'REC Delivery Model'!R6:S6)</f>
        <v>1166448.1459785036</v>
      </c>
      <c r="H33" s="60">
        <f t="shared" si="4"/>
        <v>3927244</v>
      </c>
      <c r="I33" s="60">
        <f t="shared" si="4"/>
        <v>4555681.5887366729</v>
      </c>
      <c r="J33" s="60">
        <f t="shared" si="5"/>
        <v>8482925.588736672</v>
      </c>
    </row>
    <row r="34" spans="3:10" x14ac:dyDescent="0.3">
      <c r="C34" s="185" t="s">
        <v>147</v>
      </c>
      <c r="D34" s="21">
        <f t="shared" si="3"/>
        <v>3927244</v>
      </c>
      <c r="E34" s="21">
        <f t="shared" si="3"/>
        <v>3894821.9172026333</v>
      </c>
      <c r="F34" s="9">
        <f>'REC Delivery Model'!Q7</f>
        <v>0</v>
      </c>
      <c r="G34" s="21">
        <f>SUM('REC Delivery Model'!K7:P7,'REC Delivery Model'!R7:S7)</f>
        <v>2400735.0104779131</v>
      </c>
      <c r="H34" s="60">
        <f t="shared" si="4"/>
        <v>3927244</v>
      </c>
      <c r="I34" s="60">
        <f t="shared" si="4"/>
        <v>6295556.9276805464</v>
      </c>
      <c r="J34" s="60">
        <f t="shared" si="5"/>
        <v>10222800.927680546</v>
      </c>
    </row>
    <row r="35" spans="3:10" x14ac:dyDescent="0.3">
      <c r="C35" s="185" t="s">
        <v>148</v>
      </c>
      <c r="D35" s="21">
        <f t="shared" si="3"/>
        <v>3927244</v>
      </c>
      <c r="E35" s="21">
        <f t="shared" si="3"/>
        <v>3885463.1733901058</v>
      </c>
      <c r="F35" s="9">
        <f>'REC Delivery Model'!Q8</f>
        <v>0</v>
      </c>
      <c r="G35" s="21">
        <f>SUM('REC Delivery Model'!K8:P8,'REC Delivery Model'!R8:S8)</f>
        <v>3303685.2105948259</v>
      </c>
      <c r="H35" s="60">
        <f t="shared" si="4"/>
        <v>3927244</v>
      </c>
      <c r="I35" s="60">
        <f t="shared" si="4"/>
        <v>7189148.3839849317</v>
      </c>
      <c r="J35" s="60">
        <f t="shared" si="5"/>
        <v>11116392.383984931</v>
      </c>
    </row>
    <row r="36" spans="3:10" x14ac:dyDescent="0.3">
      <c r="C36" s="185" t="s">
        <v>149</v>
      </c>
      <c r="D36" s="21">
        <f t="shared" si="3"/>
        <v>4520580.6993800001</v>
      </c>
      <c r="E36" s="21">
        <f t="shared" si="3"/>
        <v>5776171.3058407661</v>
      </c>
      <c r="F36" s="21">
        <f>'REC Delivery Model'!Q9</f>
        <v>460000</v>
      </c>
      <c r="G36" s="21">
        <f>SUM('REC Delivery Model'!K9:P9,'REC Delivery Model'!R9:S9)</f>
        <v>6151511.6597111542</v>
      </c>
      <c r="H36" s="60">
        <f t="shared" si="4"/>
        <v>4980580.6993800001</v>
      </c>
      <c r="I36" s="60">
        <f t="shared" si="4"/>
        <v>11927682.96555192</v>
      </c>
      <c r="J36" s="60">
        <f t="shared" si="5"/>
        <v>16908263.664931919</v>
      </c>
    </row>
    <row r="37" spans="3:10" x14ac:dyDescent="0.3">
      <c r="C37" s="185" t="s">
        <v>150</v>
      </c>
      <c r="D37" s="21">
        <f t="shared" ref="D37:E37" si="6">D11</f>
        <v>4519285.7018831</v>
      </c>
      <c r="E37" s="21">
        <f t="shared" si="6"/>
        <v>5757401.0525126504</v>
      </c>
      <c r="F37" s="21">
        <f>'REC Delivery Model'!Q10</f>
        <v>3960000</v>
      </c>
      <c r="G37" s="21">
        <f>SUM('REC Delivery Model'!K10:P10,'REC Delivery Model'!R10:S10)</f>
        <v>8172900.9765818994</v>
      </c>
      <c r="H37" s="60">
        <f t="shared" ref="H37:H52" si="7">D37+F37</f>
        <v>8479285.7018831</v>
      </c>
      <c r="I37" s="60">
        <f t="shared" ref="I37:I52" si="8">E37+G37</f>
        <v>13930302.029094551</v>
      </c>
      <c r="J37" s="60">
        <f t="shared" ref="J37:J52" si="9">H37+I37</f>
        <v>22409587.730977651</v>
      </c>
    </row>
    <row r="38" spans="3:10" x14ac:dyDescent="0.3">
      <c r="C38" s="185" t="s">
        <v>151</v>
      </c>
      <c r="D38" s="21">
        <f t="shared" ref="D38:E38" si="10">D12</f>
        <v>4517997.1793736843</v>
      </c>
      <c r="E38" s="21">
        <f t="shared" si="10"/>
        <v>5738131.7513688467</v>
      </c>
      <c r="F38" s="21">
        <f>'REC Delivery Model'!Q11</f>
        <v>5710000</v>
      </c>
      <c r="G38" s="21">
        <f>SUM('REC Delivery Model'!K11:P11,'REC Delivery Model'!R11:S11)</f>
        <v>10111990.346868293</v>
      </c>
      <c r="H38" s="60">
        <f t="shared" si="7"/>
        <v>10227997.179373685</v>
      </c>
      <c r="I38" s="60">
        <f t="shared" si="8"/>
        <v>15850122.09823714</v>
      </c>
      <c r="J38" s="60">
        <f t="shared" si="9"/>
        <v>26078119.277610824</v>
      </c>
    </row>
    <row r="39" spans="3:10" x14ac:dyDescent="0.3">
      <c r="C39" s="185" t="s">
        <v>152</v>
      </c>
      <c r="D39" s="21">
        <f t="shared" ref="D39:E39" si="11">D13</f>
        <v>4516715.0994768161</v>
      </c>
      <c r="E39" s="21">
        <f t="shared" si="11"/>
        <v>5719465.9940828877</v>
      </c>
      <c r="F39" s="21">
        <f>'REC Delivery Model'!Q12</f>
        <v>8210000</v>
      </c>
      <c r="G39" s="21">
        <f>SUM('REC Delivery Model'!K12:P12,'REC Delivery Model'!R12:S12)</f>
        <v>13101384.270303255</v>
      </c>
      <c r="H39" s="60">
        <f t="shared" si="7"/>
        <v>12726715.099476816</v>
      </c>
      <c r="I39" s="60">
        <f t="shared" si="8"/>
        <v>18820850.264386144</v>
      </c>
      <c r="J39" s="60">
        <f t="shared" si="9"/>
        <v>31547565.363862962</v>
      </c>
    </row>
    <row r="40" spans="3:10" x14ac:dyDescent="0.3">
      <c r="C40" s="185" t="s">
        <v>153</v>
      </c>
      <c r="D40" s="21">
        <f t="shared" ref="D40:E40" si="12">D14</f>
        <v>4515439.4299794324</v>
      </c>
      <c r="E40" s="21">
        <f t="shared" si="12"/>
        <v>5700690.622717509</v>
      </c>
      <c r="F40" s="21">
        <f>'REC Delivery Model'!Q13</f>
        <v>10710000</v>
      </c>
      <c r="G40" s="21">
        <f>SUM('REC Delivery Model'!K13:P13,'REC Delivery Model'!R13:S13)</f>
        <v>16086456.22412104</v>
      </c>
      <c r="H40" s="60">
        <f t="shared" si="7"/>
        <v>15225439.429979432</v>
      </c>
      <c r="I40" s="60">
        <f t="shared" si="8"/>
        <v>21787146.846838549</v>
      </c>
      <c r="J40" s="60">
        <f t="shared" si="9"/>
        <v>37012586.276817977</v>
      </c>
    </row>
    <row r="41" spans="3:10" x14ac:dyDescent="0.3">
      <c r="C41" s="185" t="s">
        <v>154</v>
      </c>
      <c r="D41" s="21">
        <f t="shared" ref="D41:E41" si="13">D15</f>
        <v>4514170.1388295349</v>
      </c>
      <c r="E41" s="21">
        <f t="shared" si="13"/>
        <v>5682307.7790912092</v>
      </c>
      <c r="F41" s="21">
        <f>'REC Delivery Model'!Q14</f>
        <v>13210000</v>
      </c>
      <c r="G41" s="21">
        <f>SUM('REC Delivery Model'!K14:P14,'REC Delivery Model'!R14:S14)</f>
        <v>19067227.818169735</v>
      </c>
      <c r="H41" s="60">
        <f t="shared" si="7"/>
        <v>17724170.138829537</v>
      </c>
      <c r="I41" s="60">
        <f t="shared" si="8"/>
        <v>24749535.597260945</v>
      </c>
      <c r="J41" s="60">
        <f t="shared" si="9"/>
        <v>42473705.736090481</v>
      </c>
    </row>
    <row r="42" spans="3:10" x14ac:dyDescent="0.3">
      <c r="C42" s="262" t="s">
        <v>155</v>
      </c>
      <c r="D42" s="21">
        <f t="shared" ref="D42:E42" si="14">D16</f>
        <v>4512907.1941353874</v>
      </c>
      <c r="E42" s="21">
        <f t="shared" si="14"/>
        <v>5659559.1774758333</v>
      </c>
      <c r="F42" s="21">
        <f>'REC Delivery Model'!Q15</f>
        <v>15710000</v>
      </c>
      <c r="G42" s="21">
        <f>SUM('REC Delivery Model'!K15:P15,'REC Delivery Model'!R15:S15)</f>
        <v>22043720.554248191</v>
      </c>
      <c r="H42" s="60">
        <f t="shared" si="7"/>
        <v>20222907.194135386</v>
      </c>
      <c r="I42" s="60">
        <f t="shared" si="8"/>
        <v>27703279.731724024</v>
      </c>
      <c r="J42" s="60">
        <f t="shared" si="9"/>
        <v>47926186.925859407</v>
      </c>
    </row>
    <row r="43" spans="3:10" x14ac:dyDescent="0.3">
      <c r="C43" s="185" t="s">
        <v>156</v>
      </c>
      <c r="D43" s="21">
        <f t="shared" ref="D43:E43" si="15">D17</f>
        <v>2649925.5641647102</v>
      </c>
      <c r="E43" s="21">
        <f t="shared" si="15"/>
        <v>5644313.9397163996</v>
      </c>
      <c r="F43" s="21">
        <f>'REC Delivery Model'!Q16</f>
        <v>18210000</v>
      </c>
      <c r="G43" s="21">
        <f>SUM('REC Delivery Model'!K16:P16,'REC Delivery Model'!R16:S16)</f>
        <v>25015955.82664625</v>
      </c>
      <c r="H43" s="60">
        <f t="shared" si="7"/>
        <v>20859925.564164709</v>
      </c>
      <c r="I43" s="60">
        <f t="shared" si="8"/>
        <v>30660269.766362648</v>
      </c>
      <c r="J43" s="60">
        <f t="shared" si="9"/>
        <v>51520195.330527358</v>
      </c>
    </row>
    <row r="44" spans="3:10" x14ac:dyDescent="0.3">
      <c r="C44" s="185" t="s">
        <v>157</v>
      </c>
      <c r="D44" s="21">
        <f t="shared" ref="D44:E44" si="16">D18</f>
        <v>2218675.2173438868</v>
      </c>
      <c r="E44" s="21">
        <f t="shared" si="16"/>
        <v>5628924.2949886443</v>
      </c>
      <c r="F44" s="21">
        <f>'REC Delivery Model'!Q17</f>
        <v>20710000</v>
      </c>
      <c r="G44" s="21">
        <f>SUM('REC Delivery Model'!K17:P17,'REC Delivery Model'!R17:S17)</f>
        <v>27699353.919867665</v>
      </c>
      <c r="H44" s="60">
        <f t="shared" si="7"/>
        <v>22928675.217343885</v>
      </c>
      <c r="I44" s="60">
        <f t="shared" si="8"/>
        <v>33328278.214856308</v>
      </c>
      <c r="J44" s="60">
        <f t="shared" si="9"/>
        <v>56256953.432200193</v>
      </c>
    </row>
    <row r="45" spans="3:10" x14ac:dyDescent="0.3">
      <c r="C45" s="185" t="s">
        <v>158</v>
      </c>
      <c r="D45" s="21">
        <f t="shared" ref="D45:E45" si="17">D19</f>
        <v>2217431.1222571675</v>
      </c>
      <c r="E45" s="21">
        <f t="shared" si="17"/>
        <v>5485661.7616604501</v>
      </c>
      <c r="F45" s="21">
        <f>'REC Delivery Model'!Q18</f>
        <v>23210000</v>
      </c>
      <c r="G45" s="21">
        <f>SUM('REC Delivery Model'!K18:P18,'REC Delivery Model'!R18:S18)</f>
        <v>30207084.087852981</v>
      </c>
      <c r="H45" s="60">
        <f t="shared" si="7"/>
        <v>25427431.122257166</v>
      </c>
      <c r="I45" s="60">
        <f t="shared" si="8"/>
        <v>35692745.849513434</v>
      </c>
      <c r="J45" s="60">
        <f t="shared" si="9"/>
        <v>61120176.971770599</v>
      </c>
    </row>
    <row r="46" spans="3:10" x14ac:dyDescent="0.3">
      <c r="C46" s="185" t="s">
        <v>159</v>
      </c>
      <c r="D46" s="21">
        <f t="shared" ref="D46:E46" si="18">D20</f>
        <v>1916193.2476458813</v>
      </c>
      <c r="E46" s="21">
        <f t="shared" si="18"/>
        <v>4997845.4602864757</v>
      </c>
      <c r="F46" s="21">
        <f>'REC Delivery Model'!Q19</f>
        <v>25710000</v>
      </c>
      <c r="G46" s="21">
        <f>SUM('REC Delivery Model'!K19:P19,'REC Delivery Model'!R19:S19)</f>
        <v>32712900.604998369</v>
      </c>
      <c r="H46" s="60">
        <f t="shared" si="7"/>
        <v>27626193.247645881</v>
      </c>
      <c r="I46" s="60">
        <f t="shared" si="8"/>
        <v>37710746.065284848</v>
      </c>
      <c r="J46" s="60">
        <f t="shared" si="9"/>
        <v>65336939.312930733</v>
      </c>
    </row>
    <row r="47" spans="3:10" x14ac:dyDescent="0.3">
      <c r="C47" s="185" t="s">
        <v>314</v>
      </c>
      <c r="D47" s="21">
        <f t="shared" ref="D47:E47" si="19">D21</f>
        <v>579442.56240765192</v>
      </c>
      <c r="E47" s="21">
        <f t="shared" si="19"/>
        <v>2624869.8634727378</v>
      </c>
      <c r="F47" s="21">
        <f>'REC Delivery Model'!Q20</f>
        <v>26960000</v>
      </c>
      <c r="G47" s="21">
        <f>SUM('REC Delivery Model'!K20:P20,'REC Delivery Model'!R20:S20)</f>
        <v>34154313.039558031</v>
      </c>
      <c r="H47" s="60">
        <f t="shared" si="7"/>
        <v>27539442.56240765</v>
      </c>
      <c r="I47" s="60">
        <f t="shared" si="8"/>
        <v>36779182.903030768</v>
      </c>
      <c r="J47" s="60">
        <f t="shared" si="9"/>
        <v>64318625.465438418</v>
      </c>
    </row>
    <row r="48" spans="3:10" x14ac:dyDescent="0.3">
      <c r="C48" s="185" t="s">
        <v>315</v>
      </c>
      <c r="D48" s="21">
        <f t="shared" ref="D48:E48" si="20">D22</f>
        <v>578217.03559561365</v>
      </c>
      <c r="E48" s="21">
        <f t="shared" si="20"/>
        <v>2199614.4460561075</v>
      </c>
      <c r="F48" s="21">
        <f>'REC Delivery Model'!Q21</f>
        <v>28210000</v>
      </c>
      <c r="G48" s="21">
        <f>SUM('REC Delivery Model'!K21:P21,'REC Delivery Model'!R21:S21)</f>
        <v>34786625.605897374</v>
      </c>
      <c r="H48" s="60">
        <f t="shared" si="7"/>
        <v>28788217.035595614</v>
      </c>
      <c r="I48" s="60">
        <f t="shared" si="8"/>
        <v>36986240.05195348</v>
      </c>
      <c r="J48" s="60">
        <f t="shared" si="9"/>
        <v>65774457.08754909</v>
      </c>
    </row>
    <row r="49" spans="2:26" x14ac:dyDescent="0.3">
      <c r="C49" s="185" t="s">
        <v>316</v>
      </c>
      <c r="D49" s="21">
        <f t="shared" ref="D49:E49" si="21">D23</f>
        <v>576997.6364176356</v>
      </c>
      <c r="E49" s="21">
        <f t="shared" si="21"/>
        <v>2184341.5477036396</v>
      </c>
      <c r="F49" s="21">
        <f>'REC Delivery Model'!Q22</f>
        <v>29460000</v>
      </c>
      <c r="G49" s="21">
        <f>SUM('REC Delivery Model'!K22:P22,'REC Delivery Model'!R22:S22)</f>
        <v>35778694.389391996</v>
      </c>
      <c r="H49" s="60">
        <f t="shared" si="7"/>
        <v>30036997.636417635</v>
      </c>
      <c r="I49" s="60">
        <f t="shared" si="8"/>
        <v>37963035.937095635</v>
      </c>
      <c r="J49" s="60">
        <f t="shared" si="9"/>
        <v>68000033.573513269</v>
      </c>
    </row>
    <row r="50" spans="2:26" x14ac:dyDescent="0.3">
      <c r="C50" s="185" t="s">
        <v>317</v>
      </c>
      <c r="D50" s="21">
        <f t="shared" ref="D50:E50" si="22">D24</f>
        <v>575784.33423554746</v>
      </c>
      <c r="E50" s="21">
        <f t="shared" si="22"/>
        <v>2173419.8399651214</v>
      </c>
      <c r="F50" s="21">
        <f>'REC Delivery Model'!Q23</f>
        <v>30710000</v>
      </c>
      <c r="G50" s="21">
        <f>SUM('REC Delivery Model'!K23:P23,'REC Delivery Model'!R23:S23)</f>
        <v>36784372.296217717</v>
      </c>
      <c r="H50" s="60">
        <f t="shared" si="7"/>
        <v>31285784.334235549</v>
      </c>
      <c r="I50" s="60">
        <f t="shared" si="8"/>
        <v>38957792.136182837</v>
      </c>
      <c r="J50" s="60">
        <f t="shared" si="9"/>
        <v>70243576.470418394</v>
      </c>
    </row>
    <row r="51" spans="2:26" x14ac:dyDescent="0.3">
      <c r="C51" s="185" t="s">
        <v>318</v>
      </c>
      <c r="D51" s="21">
        <f t="shared" ref="D51:E51" si="23">D25</f>
        <v>574577.0985643696</v>
      </c>
      <c r="E51" s="21">
        <f t="shared" si="23"/>
        <v>2162552.7407652959</v>
      </c>
      <c r="F51" s="21">
        <f>'REC Delivery Model'!Q24</f>
        <v>31960000</v>
      </c>
      <c r="G51" s="21">
        <f>SUM('REC Delivery Model'!K24:P24,'REC Delivery Model'!R24:S24)</f>
        <v>37790334.313509293</v>
      </c>
      <c r="H51" s="60">
        <f t="shared" si="7"/>
        <v>32534577.098564371</v>
      </c>
      <c r="I51" s="60">
        <f t="shared" si="8"/>
        <v>39952887.054274589</v>
      </c>
      <c r="J51" s="60">
        <f t="shared" si="9"/>
        <v>72487464.15283896</v>
      </c>
    </row>
    <row r="52" spans="2:26" x14ac:dyDescent="0.3">
      <c r="C52" s="185" t="s">
        <v>319</v>
      </c>
      <c r="D52" s="21">
        <f t="shared" ref="D52:E53" si="24">D26</f>
        <v>573375.89907154778</v>
      </c>
      <c r="E52" s="21">
        <f t="shared" si="24"/>
        <v>2151739.9770614696</v>
      </c>
      <c r="F52" s="21">
        <f>'REC Delivery Model'!Q25</f>
        <v>33210000</v>
      </c>
      <c r="G52" s="21">
        <f>SUM('REC Delivery Model'!K25:P25,'REC Delivery Model'!R25:S25)</f>
        <v>38511978.017899774</v>
      </c>
      <c r="H52" s="60">
        <f t="shared" si="7"/>
        <v>33783375.899071544</v>
      </c>
      <c r="I52" s="60">
        <f t="shared" si="8"/>
        <v>40663717.994961247</v>
      </c>
      <c r="J52" s="60">
        <f t="shared" si="9"/>
        <v>74447093.894032791</v>
      </c>
    </row>
    <row r="53" spans="2:26" x14ac:dyDescent="0.3">
      <c r="C53" s="185" t="s">
        <v>320</v>
      </c>
      <c r="D53" s="21">
        <f t="shared" si="24"/>
        <v>572180.70557619003</v>
      </c>
      <c r="E53" s="21">
        <f t="shared" si="24"/>
        <v>2140110.422615895</v>
      </c>
      <c r="F53" s="21">
        <f>'REC Delivery Model'!Q26</f>
        <v>34460000</v>
      </c>
      <c r="G53" s="21">
        <f>SUM('REC Delivery Model'!K26:P26,'REC Delivery Model'!R26:S26)</f>
        <v>38794494.819685459</v>
      </c>
      <c r="H53" s="60">
        <f t="shared" ref="H53" si="25">D53+F53</f>
        <v>35032180.705576189</v>
      </c>
      <c r="I53" s="60">
        <f t="shared" ref="I53" si="26">E53+G53</f>
        <v>40934605.242301352</v>
      </c>
      <c r="J53" s="60">
        <f t="shared" ref="J53" si="27">H53+I53</f>
        <v>75966785.947877541</v>
      </c>
    </row>
    <row r="54" spans="2:26" x14ac:dyDescent="0.3">
      <c r="C54" s="187"/>
    </row>
    <row r="55" spans="2:26" x14ac:dyDescent="0.3">
      <c r="C55" s="187"/>
    </row>
    <row r="56" spans="2:26" x14ac:dyDescent="0.3">
      <c r="B56" s="191" t="s">
        <v>189</v>
      </c>
    </row>
    <row r="57" spans="2:26" x14ac:dyDescent="0.3">
      <c r="C57" s="242" t="s">
        <v>271</v>
      </c>
      <c r="T57" t="s">
        <v>332</v>
      </c>
    </row>
    <row r="58" spans="2:26" x14ac:dyDescent="0.3">
      <c r="C58" s="294" t="s">
        <v>190</v>
      </c>
      <c r="D58" s="296" t="s">
        <v>94</v>
      </c>
      <c r="E58" s="297"/>
      <c r="F58" s="296" t="s">
        <v>191</v>
      </c>
      <c r="G58" s="297"/>
      <c r="H58" s="296" t="s">
        <v>130</v>
      </c>
      <c r="I58" s="297"/>
      <c r="T58" s="294" t="s">
        <v>190</v>
      </c>
      <c r="U58" s="296" t="s">
        <v>94</v>
      </c>
      <c r="V58" s="297"/>
      <c r="W58" s="296" t="s">
        <v>191</v>
      </c>
      <c r="X58" s="297"/>
      <c r="Y58" s="296" t="s">
        <v>130</v>
      </c>
      <c r="Z58" s="297"/>
    </row>
    <row r="59" spans="2:26" x14ac:dyDescent="0.3">
      <c r="C59" s="295"/>
      <c r="D59" s="29" t="s">
        <v>192</v>
      </c>
      <c r="E59" s="29" t="s">
        <v>193</v>
      </c>
      <c r="F59" s="29" t="s">
        <v>192</v>
      </c>
      <c r="G59" s="29" t="s">
        <v>193</v>
      </c>
      <c r="H59" s="29" t="s">
        <v>192</v>
      </c>
      <c r="I59" s="29" t="s">
        <v>193</v>
      </c>
      <c r="J59" s="29" t="s">
        <v>4</v>
      </c>
      <c r="K59" s="29" t="s">
        <v>252</v>
      </c>
      <c r="T59" s="295"/>
      <c r="U59" s="29" t="s">
        <v>192</v>
      </c>
      <c r="V59" s="29" t="s">
        <v>193</v>
      </c>
      <c r="W59" s="29" t="s">
        <v>192</v>
      </c>
      <c r="X59" s="29" t="s">
        <v>193</v>
      </c>
      <c r="Y59" s="29" t="s">
        <v>192</v>
      </c>
      <c r="Z59" s="29" t="s">
        <v>193</v>
      </c>
    </row>
    <row r="60" spans="2:26" x14ac:dyDescent="0.3">
      <c r="C60" s="185" t="s">
        <v>144</v>
      </c>
      <c r="D60" s="21">
        <f>'Legacy Wind-Solar REC Splits'!I32</f>
        <v>814109</v>
      </c>
      <c r="E60" s="21">
        <f>'Legacy Wind-Solar REC Splits'!H32</f>
        <v>224092.83568800104</v>
      </c>
      <c r="F60" s="21">
        <f>'Legacy Wind-Solar REC Splits'!I60</f>
        <v>1775207</v>
      </c>
      <c r="G60" s="21">
        <f>'Legacy Wind-Solar REC Splits'!H60</f>
        <v>488377.85853666603</v>
      </c>
      <c r="H60" s="21">
        <f>'Legacy Wind-Solar REC Splits'!I91</f>
        <v>2409</v>
      </c>
      <c r="I60" s="21">
        <f>'Legacy Wind-Solar REC Splits'!H91</f>
        <v>1681.8082480000198</v>
      </c>
      <c r="J60" s="202">
        <f t="shared" ref="J60:J70" si="28">SUM(D60:I60)</f>
        <v>3305877.502472667</v>
      </c>
      <c r="K60" s="202">
        <f>'REC Delivery Model'!E4+'REC Delivery Model'!J4</f>
        <v>3305877.502472667</v>
      </c>
      <c r="N60" s="202"/>
      <c r="T60" s="185" t="s">
        <v>144</v>
      </c>
      <c r="U60" s="21">
        <f>D60+'Reopening REC Delivery Model'!R32</f>
        <v>814109</v>
      </c>
      <c r="V60" s="21">
        <f>E60+'Reopening REC Delivery Model'!K32+'Reopening REC Delivery Model'!L32+'Reopening REC Delivery Model'!M32+'Reopening REC Delivery Model'!N32+'Reopening REC Delivery Model'!O32+'Reopening REC Delivery Model'!P32+'Reopening REC Delivery Model'!R32+'Reopening REC Delivery Model'!S32+'Fall 2022 Procurement'!D32</f>
        <v>224092.83568800104</v>
      </c>
      <c r="W60" s="21">
        <f>F60+'Reopening REC Delivery Model'!Q60</f>
        <v>1775207</v>
      </c>
      <c r="X60" s="21">
        <f>G60+'Reopening REC Delivery Model'!K60+'Reopening REC Delivery Model'!L60+'Reopening REC Delivery Model'!M60+'Reopening REC Delivery Model'!N60+'Reopening REC Delivery Model'!O60+'Reopening REC Delivery Model'!P60+'Reopening REC Delivery Model'!R60+'Reopening REC Delivery Model'!S60+'Fall 2022 Procurement'!D60</f>
        <v>488377.85853666603</v>
      </c>
      <c r="Y60" s="21">
        <f>H60+'Reopening REC Delivery Model'!Q88</f>
        <v>2409</v>
      </c>
      <c r="Z60" s="21">
        <f>I60+'Reopening REC Delivery Model'!K88+'Reopening REC Delivery Model'!L88+'Reopening REC Delivery Model'!M88+'Reopening REC Delivery Model'!N88+'Reopening REC Delivery Model'!O88+'Reopening REC Delivery Model'!P88+'Reopening REC Delivery Model'!R88+'Reopening REC Delivery Model'!S88+'Fall 2022 Procurement'!D88</f>
        <v>1681.8082480000198</v>
      </c>
    </row>
    <row r="61" spans="2:26" x14ac:dyDescent="0.3">
      <c r="C61" s="185" t="s">
        <v>145</v>
      </c>
      <c r="D61" s="21">
        <f>'Legacy Wind-Solar REC Splits'!I33</f>
        <v>1205816</v>
      </c>
      <c r="E61" s="21">
        <f>'Legacy Wind-Solar REC Splits'!H33</f>
        <v>586204.38024266739</v>
      </c>
      <c r="F61" s="21">
        <f>'Legacy Wind-Solar REC Splits'!I61</f>
        <v>2714612</v>
      </c>
      <c r="G61" s="21">
        <f>'Legacy Wind-Solar REC Splits'!H61</f>
        <v>1437937.7781833333</v>
      </c>
      <c r="H61" s="21">
        <f>'Legacy Wind-Solar REC Splits'!I92</f>
        <v>6816</v>
      </c>
      <c r="I61" s="21">
        <f>'Legacy Wind-Solar REC Splits'!H92</f>
        <v>8980.559088666656</v>
      </c>
      <c r="J61" s="202">
        <f t="shared" si="28"/>
        <v>5960366.7175146677</v>
      </c>
      <c r="K61" s="202">
        <f>'REC Delivery Model'!E5+'REC Delivery Model'!J5</f>
        <v>5960366.7175146677</v>
      </c>
      <c r="N61" s="202"/>
      <c r="T61" s="185" t="s">
        <v>145</v>
      </c>
      <c r="U61" s="21">
        <f>D61+'Reopening REC Delivery Model'!R33</f>
        <v>1205816</v>
      </c>
      <c r="V61" s="21">
        <f>E61+'Reopening REC Delivery Model'!K33+'Reopening REC Delivery Model'!L33+'Reopening REC Delivery Model'!M33+'Reopening REC Delivery Model'!N33+'Reopening REC Delivery Model'!O33+'Reopening REC Delivery Model'!P33+'Reopening REC Delivery Model'!R33+'Reopening REC Delivery Model'!S33+'Fall 2022 Procurement'!D33</f>
        <v>586204.38024266739</v>
      </c>
      <c r="W61" s="21">
        <f>F61+'Reopening REC Delivery Model'!Q61</f>
        <v>2714612</v>
      </c>
      <c r="X61" s="21">
        <f>G61+'Reopening REC Delivery Model'!K61+'Reopening REC Delivery Model'!L61+'Reopening REC Delivery Model'!M61+'Reopening REC Delivery Model'!N61+'Reopening REC Delivery Model'!O61+'Reopening REC Delivery Model'!P61+'Reopening REC Delivery Model'!R61+'Reopening REC Delivery Model'!S61+'Fall 2022 Procurement'!D61</f>
        <v>1437937.7781833333</v>
      </c>
      <c r="Y61" s="21">
        <f>H61+'Reopening REC Delivery Model'!Q89</f>
        <v>6816</v>
      </c>
      <c r="Z61" s="21">
        <f>I61+'Reopening REC Delivery Model'!K89+'Reopening REC Delivery Model'!L89+'Reopening REC Delivery Model'!M89+'Reopening REC Delivery Model'!N89+'Reopening REC Delivery Model'!O89+'Reopening REC Delivery Model'!P89+'Reopening REC Delivery Model'!R89+'Reopening REC Delivery Model'!S89+'Fall 2022 Procurement'!D89</f>
        <v>8980.559088666656</v>
      </c>
    </row>
    <row r="62" spans="2:26" x14ac:dyDescent="0.3">
      <c r="C62" s="185" t="s">
        <v>146</v>
      </c>
      <c r="D62" s="21">
        <f>'Legacy Wind-Solar REC Splits'!I34</f>
        <v>1205816</v>
      </c>
      <c r="E62" s="21">
        <f>'Legacy Wind-Solar REC Splits'!H34</f>
        <v>892325.56890269578</v>
      </c>
      <c r="F62" s="21">
        <f>'Legacy Wind-Solar REC Splits'!I62</f>
        <v>2714612</v>
      </c>
      <c r="G62" s="21">
        <f>'Legacy Wind-Solar REC Splits'!H62</f>
        <v>2213509.4873575522</v>
      </c>
      <c r="H62" s="21">
        <f>'Legacy Wind-Solar REC Splits'!I93</f>
        <v>6816</v>
      </c>
      <c r="I62" s="21">
        <f>'Legacy Wind-Solar REC Splits'!H93</f>
        <v>12465.171778016685</v>
      </c>
      <c r="J62" s="202">
        <f t="shared" si="28"/>
        <v>7045544.2280382644</v>
      </c>
      <c r="K62" s="202">
        <f>'REC Delivery Model'!E6+'REC Delivery Model'!J6</f>
        <v>7045544.2280382644</v>
      </c>
      <c r="N62" s="202"/>
      <c r="T62" s="185" t="s">
        <v>146</v>
      </c>
      <c r="U62" s="21">
        <f>D62+'Reopening REC Delivery Model'!R34</f>
        <v>1205816</v>
      </c>
      <c r="V62" s="21">
        <f>E62+'Reopening REC Delivery Model'!K34+'Reopening REC Delivery Model'!L34+'Reopening REC Delivery Model'!M34+'Reopening REC Delivery Model'!N34+'Reopening REC Delivery Model'!O34+'Reopening REC Delivery Model'!P34+'Reopening REC Delivery Model'!R34+'Reopening REC Delivery Model'!S34+'Fall 2022 Procurement'!D34</f>
        <v>966339.10449987918</v>
      </c>
      <c r="W62" s="21">
        <f>F62+'Reopening REC Delivery Model'!Q62</f>
        <v>2714612</v>
      </c>
      <c r="X62" s="21">
        <f>G62+'Reopening REC Delivery Model'!K62+'Reopening REC Delivery Model'!L62+'Reopening REC Delivery Model'!M62+'Reopening REC Delivery Model'!N62+'Reopening REC Delivery Model'!O62+'Reopening REC Delivery Model'!P62+'Reopening REC Delivery Model'!R62+'Reopening REC Delivery Model'!S62+'Fall 2022 Procurement'!D62</f>
        <v>2409787.0547613869</v>
      </c>
      <c r="Y62" s="21">
        <f>H62+'Reopening REC Delivery Model'!Q90</f>
        <v>6816</v>
      </c>
      <c r="Z62" s="21">
        <f>I62+'Reopening REC Delivery Model'!K90+'Reopening REC Delivery Model'!L90+'Reopening REC Delivery Model'!M90+'Reopening REC Delivery Model'!N90+'Reopening REC Delivery Model'!O90+'Reopening REC Delivery Model'!P90+'Reopening REC Delivery Model'!R90+'Reopening REC Delivery Model'!S90+'Fall 2022 Procurement'!D90</f>
        <v>13107.283496902857</v>
      </c>
    </row>
    <row r="63" spans="2:26" x14ac:dyDescent="0.3">
      <c r="C63" s="185" t="s">
        <v>147</v>
      </c>
      <c r="D63" s="21">
        <f>'Legacy Wind-Solar REC Splits'!I35</f>
        <v>1205816</v>
      </c>
      <c r="E63" s="21">
        <f>'Legacy Wind-Solar REC Splits'!H35</f>
        <v>926216.9581569382</v>
      </c>
      <c r="F63" s="21">
        <f>'Legacy Wind-Solar REC Splits'!I63</f>
        <v>2714612</v>
      </c>
      <c r="G63" s="21">
        <f>'Legacy Wind-Solar REC Splits'!H63</f>
        <v>2312227.1807400207</v>
      </c>
      <c r="H63" s="21">
        <f>'Legacy Wind-Solar REC Splits'!I94</f>
        <v>6816</v>
      </c>
      <c r="I63" s="21">
        <f>'Legacy Wind-Solar REC Splits'!H94</f>
        <v>12092.770059369945</v>
      </c>
      <c r="J63" s="202">
        <f t="shared" si="28"/>
        <v>7177780.9089563284</v>
      </c>
      <c r="K63" s="202">
        <f>'REC Delivery Model'!E7+'REC Delivery Model'!J7</f>
        <v>7177780.9089563284</v>
      </c>
      <c r="N63" s="202"/>
      <c r="O63" s="202"/>
      <c r="T63" s="185" t="s">
        <v>147</v>
      </c>
      <c r="U63" s="21">
        <f>D63+'Reopening REC Delivery Model'!R35</f>
        <v>1205816</v>
      </c>
      <c r="V63" s="21">
        <f>E63+'Reopening REC Delivery Model'!K35+'Reopening REC Delivery Model'!L35+'Reopening REC Delivery Model'!M35+'Reopening REC Delivery Model'!N35+'Reopening REC Delivery Model'!O35+'Reopening REC Delivery Model'!P35+'Reopening REC Delivery Model'!R35+'Reopening REC Delivery Model'!S35+'Fall 2022 Procurement'!D35</f>
        <v>1102222.7367096636</v>
      </c>
      <c r="W63" s="21">
        <f>F63+'Reopening REC Delivery Model'!Q63</f>
        <v>2714612</v>
      </c>
      <c r="X63" s="21">
        <f>G63+'Reopening REC Delivery Model'!K63+'Reopening REC Delivery Model'!L63+'Reopening REC Delivery Model'!M63+'Reopening REC Delivery Model'!N63+'Reopening REC Delivery Model'!O63+'Reopening REC Delivery Model'!P63+'Reopening REC Delivery Model'!R63+'Reopening REC Delivery Model'!S63+'Fall 2022 Procurement'!D63</f>
        <v>2778979.4549640561</v>
      </c>
      <c r="Y63" s="21">
        <f>H63+'Reopening REC Delivery Model'!Q91</f>
        <v>6816</v>
      </c>
      <c r="Z63" s="21">
        <f>I63+'Reopening REC Delivery Model'!K91+'Reopening REC Delivery Model'!L91+'Reopening REC Delivery Model'!M91+'Reopening REC Delivery Model'!N91+'Reopening REC Delivery Model'!O91+'Reopening REC Delivery Model'!P91+'Reopening REC Delivery Model'!R91+'Reopening REC Delivery Model'!S91+'Fall 2022 Procurement'!D91</f>
        <v>13619.725528913687</v>
      </c>
    </row>
    <row r="64" spans="2:26" x14ac:dyDescent="0.3">
      <c r="C64" s="185" t="s">
        <v>148</v>
      </c>
      <c r="D64" s="21">
        <f>'Legacy Wind-Solar REC Splits'!I36</f>
        <v>1205816</v>
      </c>
      <c r="E64" s="21">
        <f>'Legacy Wind-Solar REC Splits'!H36</f>
        <v>924567.55657910719</v>
      </c>
      <c r="F64" s="21">
        <f>'Legacy Wind-Solar REC Splits'!I64</f>
        <v>2714612</v>
      </c>
      <c r="G64" s="21">
        <f>'Legacy Wind-Solar REC Splits'!H64</f>
        <v>2307853.1087982254</v>
      </c>
      <c r="H64" s="21">
        <f>'Legacy Wind-Solar REC Splits'!I95</f>
        <v>6816</v>
      </c>
      <c r="I64" s="21">
        <f>'Legacy Wind-Solar REC Splits'!H95</f>
        <v>11978.924807700128</v>
      </c>
      <c r="J64" s="202">
        <f t="shared" si="28"/>
        <v>7171643.5901850332</v>
      </c>
      <c r="K64" s="202">
        <f>'REC Delivery Model'!E8+'REC Delivery Model'!J8</f>
        <v>7171643.5901850332</v>
      </c>
      <c r="N64" s="202"/>
      <c r="O64" s="202"/>
      <c r="T64" s="185" t="s">
        <v>148</v>
      </c>
      <c r="U64" s="21">
        <f>D64+'Reopening REC Delivery Model'!R36</f>
        <v>1205816</v>
      </c>
      <c r="V64" s="21">
        <f>E64+'Reopening REC Delivery Model'!K36+'Reopening REC Delivery Model'!L36+'Reopening REC Delivery Model'!M36+'Reopening REC Delivery Model'!N36+'Reopening REC Delivery Model'!O36+'Reopening REC Delivery Model'!P36+'Reopening REC Delivery Model'!R36+'Reopening REC Delivery Model'!S36+'Fall 2022 Procurement'!D36</f>
        <v>1099693.306239069</v>
      </c>
      <c r="W64" s="21">
        <f>F64+'Reopening REC Delivery Model'!Q64</f>
        <v>2714612</v>
      </c>
      <c r="X64" s="21">
        <f>G64+'Reopening REC Delivery Model'!K64+'Reopening REC Delivery Model'!L64+'Reopening REC Delivery Model'!M64+'Reopening REC Delivery Model'!N64+'Reopening REC Delivery Model'!O64+'Reopening REC Delivery Model'!P64+'Reopening REC Delivery Model'!R64+'Reopening REC Delivery Model'!S64+'Fall 2022 Procurement'!D64</f>
        <v>2772271.6216511405</v>
      </c>
      <c r="Y64" s="21">
        <f>H64+'Reopening REC Delivery Model'!Q92</f>
        <v>6816</v>
      </c>
      <c r="Z64" s="21">
        <f>I64+'Reopening REC Delivery Model'!K92+'Reopening REC Delivery Model'!L92+'Reopening REC Delivery Model'!M92+'Reopening REC Delivery Model'!N92+'Reopening REC Delivery Model'!O92+'Reopening REC Delivery Model'!P92+'Reopening REC Delivery Model'!R92+'Reopening REC Delivery Model'!S92+'Fall 2022 Procurement'!D92</f>
        <v>13498.245499896151</v>
      </c>
    </row>
    <row r="65" spans="3:26" x14ac:dyDescent="0.3">
      <c r="C65" s="185" t="s">
        <v>149</v>
      </c>
      <c r="D65" s="21">
        <f>'Legacy Wind-Solar REC Splits'!I37</f>
        <v>1205816</v>
      </c>
      <c r="E65" s="21">
        <f>'Legacy Wind-Solar REC Splits'!H37</f>
        <v>922927.93864666566</v>
      </c>
      <c r="F65" s="21">
        <f>'Legacy Wind-Solar REC Splits'!I65</f>
        <v>2714612</v>
      </c>
      <c r="G65" s="21">
        <f>'Legacy Wind-Solar REC Splits'!H65</f>
        <v>2303504.9822473899</v>
      </c>
      <c r="H65" s="21">
        <f>'Legacy Wind-Solar REC Splits'!I96</f>
        <v>6816</v>
      </c>
      <c r="I65" s="21">
        <f>'Legacy Wind-Solar REC Splits'!H96</f>
        <v>11866.119657663663</v>
      </c>
      <c r="J65" s="202">
        <f t="shared" si="28"/>
        <v>7165543.0405517193</v>
      </c>
      <c r="K65" s="202">
        <f>'REC Delivery Model'!E9+'REC Delivery Model'!J9</f>
        <v>7165543.0405517183</v>
      </c>
      <c r="N65" s="202"/>
      <c r="O65" s="202"/>
      <c r="T65" s="185" t="s">
        <v>149</v>
      </c>
      <c r="U65" s="21">
        <f>D65+'Reopening REC Delivery Model'!R37</f>
        <v>1464815.4993799999</v>
      </c>
      <c r="V65" s="21">
        <f>E65+'Reopening REC Delivery Model'!K37+'Reopening REC Delivery Model'!L37+'Reopening REC Delivery Model'!M37+'Reopening REC Delivery Model'!N37+'Reopening REC Delivery Model'!O37+'Reopening REC Delivery Model'!P37+'Reopening REC Delivery Model'!R37+'Reopening REC Delivery Model'!S37+'Fall 2022 Procurement'!D37</f>
        <v>1616223.8840783273</v>
      </c>
      <c r="W65" s="21">
        <f>F65+'Reopening REC Delivery Model'!Q65</f>
        <v>3047859</v>
      </c>
      <c r="X65" s="21">
        <f>G65+'Reopening REC Delivery Model'!K65+'Reopening REC Delivery Model'!L65+'Reopening REC Delivery Model'!M65+'Reopening REC Delivery Model'!N65+'Reopening REC Delivery Model'!O65+'Reopening REC Delivery Model'!P65+'Reopening REC Delivery Model'!R65+'Reopening REC Delivery Model'!S65+'Fall 2022 Procurement'!D65</f>
        <v>4142066.5448360401</v>
      </c>
      <c r="Y65" s="21">
        <f>H65+'Reopening REC Delivery Model'!Q93</f>
        <v>7906.2</v>
      </c>
      <c r="Z65" s="21">
        <f>I65+'Reopening REC Delivery Model'!K93+'Reopening REC Delivery Model'!L93+'Reopening REC Delivery Model'!M93+'Reopening REC Delivery Model'!N93+'Reopening REC Delivery Model'!O93+'Reopening REC Delivery Model'!P93+'Reopening REC Delivery Model'!R93+'Reopening REC Delivery Model'!S93+'Fall 2022 Procurement'!D93</f>
        <v>17880.876926398705</v>
      </c>
    </row>
    <row r="66" spans="3:26" x14ac:dyDescent="0.3">
      <c r="C66" s="185" t="s">
        <v>150</v>
      </c>
      <c r="D66" s="21">
        <f>'Legacy Wind-Solar REC Splits'!I38</f>
        <v>1205816</v>
      </c>
      <c r="E66" s="21">
        <f>'Legacy Wind-Solar REC Splits'!H38</f>
        <v>921293.69275678624</v>
      </c>
      <c r="F66" s="21">
        <f>'Legacy Wind-Solar REC Splits'!I66</f>
        <v>2714612</v>
      </c>
      <c r="G66" s="21">
        <f>'Legacy Wind-Solar REC Splits'!H66</f>
        <v>2299171.1018940588</v>
      </c>
      <c r="H66" s="21">
        <f>'Legacy Wind-Solar REC Splits'!I97</f>
        <v>6816</v>
      </c>
      <c r="I66" s="21">
        <f>'Legacy Wind-Solar REC Splits'!H97</f>
        <v>11753.353899202375</v>
      </c>
      <c r="J66" s="202">
        <f t="shared" si="28"/>
        <v>7159462.1485500475</v>
      </c>
      <c r="K66" s="202">
        <f>'REC Delivery Model'!E10+'REC Delivery Model'!J10</f>
        <v>7159462.1485500466</v>
      </c>
      <c r="N66" s="202"/>
      <c r="O66" s="202"/>
      <c r="T66" s="185" t="s">
        <v>150</v>
      </c>
      <c r="U66" s="21">
        <f>D66+'Reopening REC Delivery Model'!R38</f>
        <v>1463520.5018831</v>
      </c>
      <c r="V66" s="21">
        <f>E66+'Reopening REC Delivery Model'!K38+'Reopening REC Delivery Model'!L38+'Reopening REC Delivery Model'!M38+'Reopening REC Delivery Model'!N38+'Reopening REC Delivery Model'!O38+'Reopening REC Delivery Model'!P38+'Reopening REC Delivery Model'!R38+'Reopening REC Delivery Model'!S38+'Fall 2022 Procurement'!D38</f>
        <v>1611123.1584612904</v>
      </c>
      <c r="W66" s="21">
        <f>F66+'Reopening REC Delivery Model'!Q66</f>
        <v>3047859</v>
      </c>
      <c r="X66" s="21">
        <f>G66+'Reopening REC Delivery Model'!K66+'Reopening REC Delivery Model'!L66+'Reopening REC Delivery Model'!M66+'Reopening REC Delivery Model'!N66+'Reopening REC Delivery Model'!O66+'Reopening REC Delivery Model'!P66+'Reopening REC Delivery Model'!R66+'Reopening REC Delivery Model'!S66+'Fall 2022 Procurement'!D66</f>
        <v>4128539.8566697664</v>
      </c>
      <c r="Y66" s="21">
        <f>H66+'Reopening REC Delivery Model'!Q94</f>
        <v>7906.2</v>
      </c>
      <c r="Z66" s="21">
        <f>I66+'Reopening REC Delivery Model'!K94+'Reopening REC Delivery Model'!L94+'Reopening REC Delivery Model'!M94+'Reopening REC Delivery Model'!N94+'Reopening REC Delivery Model'!O94+'Reopening REC Delivery Model'!P94+'Reopening REC Delivery Model'!R94+'Reopening REC Delivery Model'!S94+'Fall 2022 Procurement'!D94</f>
        <v>17738.037381593742</v>
      </c>
    </row>
    <row r="67" spans="3:26" x14ac:dyDescent="0.3">
      <c r="C67" s="185" t="s">
        <v>151</v>
      </c>
      <c r="D67" s="21">
        <f>'Legacy Wind-Solar REC Splits'!I39</f>
        <v>1205816</v>
      </c>
      <c r="E67" s="21">
        <f>'Legacy Wind-Solar REC Splits'!H39</f>
        <v>919669.69563025597</v>
      </c>
      <c r="F67" s="21">
        <f>'Legacy Wind-Solar REC Splits'!I67</f>
        <v>2714612</v>
      </c>
      <c r="G67" s="21">
        <f>'Legacy Wind-Solar REC Splits'!H67</f>
        <v>2294864.4003847428</v>
      </c>
      <c r="H67" s="21">
        <f>'Legacy Wind-Solar REC Splits'!I98</f>
        <v>6816</v>
      </c>
      <c r="I67" s="21">
        <f>'Legacy Wind-Solar REC Splits'!H98</f>
        <v>11040.665911058395</v>
      </c>
      <c r="J67" s="202">
        <f t="shared" si="28"/>
        <v>7152818.7619260568</v>
      </c>
      <c r="K67" s="202">
        <f>'REC Delivery Model'!E11+'REC Delivery Model'!J11</f>
        <v>7152818.7619260577</v>
      </c>
      <c r="N67" s="202"/>
      <c r="O67" s="202"/>
      <c r="T67" s="185" t="s">
        <v>151</v>
      </c>
      <c r="U67" s="21">
        <f>D67+'Reopening REC Delivery Model'!R39</f>
        <v>1462231.9793736844</v>
      </c>
      <c r="V67" s="21">
        <f>E67+'Reopening REC Delivery Model'!K39+'Reopening REC Delivery Model'!L39+'Reopening REC Delivery Model'!M39+'Reopening REC Delivery Model'!N39+'Reopening REC Delivery Model'!O39+'Reopening REC Delivery Model'!P39+'Reopening REC Delivery Model'!R39+'Reopening REC Delivery Model'!S39+'Fall 2022 Procurement'!D39</f>
        <v>1606050.014006237</v>
      </c>
      <c r="W67" s="21">
        <f>F67+'Reopening REC Delivery Model'!Q67</f>
        <v>3047859</v>
      </c>
      <c r="X67" s="21">
        <f>G67+'Reopening REC Delivery Model'!K67+'Reopening REC Delivery Model'!L67+'Reopening REC Delivery Model'!M67+'Reopening REC Delivery Model'!N67+'Reopening REC Delivery Model'!O67+'Reopening REC Delivery Model'!P67+'Reopening REC Delivery Model'!R67+'Reopening REC Delivery Model'!S67+'Fall 2022 Procurement'!D67</f>
        <v>4115086.3113865722</v>
      </c>
      <c r="Y67" s="21">
        <f>H67+'Reopening REC Delivery Model'!Q95</f>
        <v>7906.2</v>
      </c>
      <c r="Z67" s="21">
        <f>I67+'Reopening REC Delivery Model'!K95+'Reopening REC Delivery Model'!L95+'Reopening REC Delivery Model'!M95+'Reopening REC Delivery Model'!N95+'Reopening REC Delivery Model'!O95+'Reopening REC Delivery Model'!P95+'Reopening REC Delivery Model'!R95+'Reopening REC Delivery Model'!S95+'Fall 2022 Procurement'!D95</f>
        <v>16995.425976037805</v>
      </c>
    </row>
    <row r="68" spans="3:26" x14ac:dyDescent="0.3">
      <c r="C68" s="185" t="s">
        <v>152</v>
      </c>
      <c r="D68" s="21">
        <f>'Legacy Wind-Solar REC Splits'!I40</f>
        <v>1205816</v>
      </c>
      <c r="E68" s="21">
        <f>'Legacy Wind-Solar REC Splits'!H40</f>
        <v>918052.90197045857</v>
      </c>
      <c r="F68" s="21">
        <f>'Legacy Wind-Solar REC Splits'!I68</f>
        <v>2714612</v>
      </c>
      <c r="G68" s="21">
        <f>'Legacy Wind-Solar REC Splits'!H68</f>
        <v>2290576.8018532242</v>
      </c>
      <c r="H68" s="21">
        <f>'Legacy Wind-Solar REC Splits'!I99</f>
        <v>6816</v>
      </c>
      <c r="I68" s="21">
        <f>'Legacy Wind-Solar REC Splits'!H99</f>
        <v>10842.085763629208</v>
      </c>
      <c r="J68" s="202">
        <f t="shared" si="28"/>
        <v>7146715.7895873133</v>
      </c>
      <c r="K68" s="202">
        <f>'REC Delivery Model'!E12+'REC Delivery Model'!J12</f>
        <v>7146715.7895873114</v>
      </c>
      <c r="N68" s="202"/>
      <c r="O68" s="202"/>
      <c r="T68" s="185" t="s">
        <v>152</v>
      </c>
      <c r="U68" s="21">
        <f>D68+'Reopening REC Delivery Model'!R40</f>
        <v>1460949.8994768159</v>
      </c>
      <c r="V68" s="21">
        <f>E68+'Reopening REC Delivery Model'!K40+'Reopening REC Delivery Model'!L40+'Reopening REC Delivery Model'!M40+'Reopening REC Delivery Model'!N40+'Reopening REC Delivery Model'!O40+'Reopening REC Delivery Model'!P40+'Reopening REC Delivery Model'!R40+'Reopening REC Delivery Model'!S40+'Fall 2022 Procurement'!D40</f>
        <v>1601001.3187545596</v>
      </c>
      <c r="W68" s="21">
        <f>F68+'Reopening REC Delivery Model'!Q68</f>
        <v>3047859</v>
      </c>
      <c r="X68" s="21">
        <f>G68+'Reopening REC Delivery Model'!K68+'Reopening REC Delivery Model'!L68+'Reopening REC Delivery Model'!M68+'Reopening REC Delivery Model'!N68+'Reopening REC Delivery Model'!O68+'Reopening REC Delivery Model'!P68+'Reopening REC Delivery Model'!R68+'Reopening REC Delivery Model'!S68+'Fall 2022 Procurement'!D68</f>
        <v>4101697.6033000438</v>
      </c>
      <c r="Y68" s="21">
        <f>H68+'Reopening REC Delivery Model'!Q96</f>
        <v>7906.2</v>
      </c>
      <c r="Z68" s="21">
        <f>I68+'Reopening REC Delivery Model'!K96+'Reopening REC Delivery Model'!L96+'Reopening REC Delivery Model'!M96+'Reopening REC Delivery Model'!N96+'Reopening REC Delivery Model'!O96+'Reopening REC Delivery Model'!P96+'Reopening REC Delivery Model'!R96+'Reopening REC Delivery Model'!S96+'Fall 2022 Procurement'!D96</f>
        <v>16767.072028283721</v>
      </c>
    </row>
    <row r="69" spans="3:26" x14ac:dyDescent="0.3">
      <c r="C69" s="185" t="s">
        <v>153</v>
      </c>
      <c r="D69" s="21">
        <f>'Legacy Wind-Solar REC Splits'!I41</f>
        <v>1205816</v>
      </c>
      <c r="E69" s="21">
        <f>'Legacy Wind-Solar REC Splits'!H41</f>
        <v>916444.63756235992</v>
      </c>
      <c r="F69" s="21">
        <f>'Legacy Wind-Solar REC Splits'!I69</f>
        <v>2714612</v>
      </c>
      <c r="G69" s="21">
        <f>'Legacy Wind-Solar REC Splits'!H69</f>
        <v>2286311.8221678627</v>
      </c>
      <c r="H69" s="21">
        <f>'Legacy Wind-Solar REC Splits'!I100</f>
        <v>6816</v>
      </c>
      <c r="I69" s="21">
        <f>'Legacy Wind-Solar REC Splits'!H100</f>
        <v>10439.92951418902</v>
      </c>
      <c r="J69" s="202">
        <f t="shared" si="28"/>
        <v>7140440.3892444121</v>
      </c>
      <c r="K69" s="202">
        <f>'REC Delivery Model'!E13+'REC Delivery Model'!J13</f>
        <v>7140440.3892444111</v>
      </c>
      <c r="N69" s="202"/>
      <c r="O69" s="202"/>
      <c r="T69" s="185" t="s">
        <v>153</v>
      </c>
      <c r="U69" s="21">
        <f>D69+'Reopening REC Delivery Model'!R41</f>
        <v>1459674.229979432</v>
      </c>
      <c r="V69" s="21">
        <f>E69+'Reopening REC Delivery Model'!K41+'Reopening REC Delivery Model'!L41+'Reopening REC Delivery Model'!M41+'Reopening REC Delivery Model'!N41+'Reopening REC Delivery Model'!O41+'Reopening REC Delivery Model'!P41+'Reopening REC Delivery Model'!R41+'Reopening REC Delivery Model'!S41+'Fall 2022 Procurement'!D41</f>
        <v>1595978.3122625409</v>
      </c>
      <c r="W69" s="21">
        <f>F69+'Reopening REC Delivery Model'!Q69</f>
        <v>3047859</v>
      </c>
      <c r="X69" s="21">
        <f>G69+'Reopening REC Delivery Model'!K69+'Reopening REC Delivery Model'!L69+'Reopening REC Delivery Model'!M69+'Reopening REC Delivery Model'!N69+'Reopening REC Delivery Model'!O69+'Reopening REC Delivery Model'!P69+'Reopening REC Delivery Model'!R69+'Reopening REC Delivery Model'!S69+'Fall 2022 Procurement'!D69</f>
        <v>4088377.019607448</v>
      </c>
      <c r="Y69" s="21">
        <f>H69+'Reopening REC Delivery Model'!Q97</f>
        <v>7906.2</v>
      </c>
      <c r="Z69" s="21">
        <f>I69+'Reopening REC Delivery Model'!K97+'Reopening REC Delivery Model'!L97+'Reopening REC Delivery Model'!M97+'Reopening REC Delivery Model'!N97+'Reopening REC Delivery Model'!O97+'Reopening REC Delivery Model'!P97+'Reopening REC Delivery Model'!R97+'Reopening REC Delivery Model'!S97+'Fall 2022 Procurement'!D97</f>
        <v>16335.29084752026</v>
      </c>
    </row>
    <row r="70" spans="3:26" x14ac:dyDescent="0.3">
      <c r="C70" s="185" t="s">
        <v>154</v>
      </c>
      <c r="D70" s="21">
        <f>'Legacy Wind-Solar REC Splits'!I42</f>
        <v>1205816</v>
      </c>
      <c r="E70" s="21">
        <f>'Legacy Wind-Solar REC Splits'!H42</f>
        <v>914844.58931150241</v>
      </c>
      <c r="F70" s="21">
        <f>'Legacy Wind-Solar REC Splits'!I70</f>
        <v>2714612</v>
      </c>
      <c r="G70" s="21">
        <f>'Legacy Wind-Solar REC Splits'!H70</f>
        <v>2282068.6310289293</v>
      </c>
      <c r="H70" s="21">
        <f>'Legacy Wind-Solar REC Splits'!I101</f>
        <v>6816</v>
      </c>
      <c r="I70" s="21">
        <f>'Legacy Wind-Solar REC Splits'!H101</f>
        <v>10337.796445045109</v>
      </c>
      <c r="J70" s="202">
        <f t="shared" si="28"/>
        <v>7134495.0167854773</v>
      </c>
      <c r="K70" s="202">
        <f>'REC Delivery Model'!E14+'REC Delivery Model'!J14</f>
        <v>7134495.0167854773</v>
      </c>
      <c r="N70" s="202"/>
      <c r="O70" s="202"/>
      <c r="T70" s="185" t="s">
        <v>154</v>
      </c>
      <c r="U70" s="21">
        <f>D70+'Reopening REC Delivery Model'!R42</f>
        <v>1458404.9388295347</v>
      </c>
      <c r="V70" s="21">
        <f>E70+'Reopening REC Delivery Model'!K42+'Reopening REC Delivery Model'!L42+'Reopening REC Delivery Model'!M42+'Reopening REC Delivery Model'!N42+'Reopening REC Delivery Model'!O42+'Reopening REC Delivery Model'!P42+'Reopening REC Delivery Model'!R42+'Reopening REC Delivery Model'!S42+'Fall 2022 Procurement'!D42</f>
        <v>1590980.595638182</v>
      </c>
      <c r="W70" s="21">
        <f>F70+'Reopening REC Delivery Model'!Q70</f>
        <v>3047859</v>
      </c>
      <c r="X70" s="21">
        <f>G70+'Reopening REC Delivery Model'!K70+'Reopening REC Delivery Model'!L70+'Reopening REC Delivery Model'!M70+'Reopening REC Delivery Model'!N70+'Reopening REC Delivery Model'!O70+'Reopening REC Delivery Model'!P70+'Reopening REC Delivery Model'!R70+'Reopening REC Delivery Model'!S70+'Fall 2022 Procurement'!D70</f>
        <v>4075123.5024813171</v>
      </c>
      <c r="Y70" s="21">
        <f>H70+'Reopening REC Delivery Model'!Q98</f>
        <v>7906.2</v>
      </c>
      <c r="Z70" s="21">
        <f>I70+'Reopening REC Delivery Model'!K98+'Reopening REC Delivery Model'!L98+'Reopening REC Delivery Model'!M98+'Reopening REC Delivery Model'!N98+'Reopening REC Delivery Model'!O98+'Reopening REC Delivery Model'!P98+'Reopening REC Delivery Model'!R98+'Reopening REC Delivery Model'!S98+'Fall 2022 Procurement'!D98</f>
        <v>16203.680971709695</v>
      </c>
    </row>
    <row r="71" spans="3:26" x14ac:dyDescent="0.3">
      <c r="C71" s="262" t="s">
        <v>155</v>
      </c>
      <c r="D71" s="21">
        <f>'Legacy Wind-Solar REC Splits'!I43</f>
        <v>1205816</v>
      </c>
      <c r="E71" s="21">
        <f>'Legacy Wind-Solar REC Splits'!H43</f>
        <v>911546.18964857503</v>
      </c>
      <c r="F71" s="21">
        <f>'Legacy Wind-Solar REC Splits'!I71</f>
        <v>2714612</v>
      </c>
      <c r="G71" s="21">
        <f>'Legacy Wind-Solar REC Splits'!H71</f>
        <v>2273321.5571735678</v>
      </c>
      <c r="H71" s="21">
        <f>'Legacy Wind-Solar REC Splits'!I102</f>
        <v>6816</v>
      </c>
      <c r="I71" s="21">
        <f>'Legacy Wind-Solar REC Splits'!H102</f>
        <v>12009.952159487353</v>
      </c>
      <c r="J71" s="202"/>
      <c r="K71" s="202">
        <f>'REC Delivery Model'!E15+'REC Delivery Model'!J15</f>
        <v>7124121.6989816297</v>
      </c>
      <c r="N71" s="202"/>
      <c r="O71" s="202"/>
      <c r="T71" s="262" t="s">
        <v>155</v>
      </c>
      <c r="U71" s="21">
        <f>D71+'Reopening REC Delivery Model'!R43</f>
        <v>1457141.9941353872</v>
      </c>
      <c r="V71" s="21">
        <f>E71+'Reopening REC Delivery Model'!K43+'Reopening REC Delivery Model'!L43+'Reopening REC Delivery Model'!M43+'Reopening REC Delivery Model'!N43+'Reopening REC Delivery Model'!O43+'Reopening REC Delivery Model'!P43+'Reopening REC Delivery Model'!R43+'Reopening REC Delivery Model'!S43+'Fall 2022 Procurement'!D43</f>
        <v>1584301.5159436215</v>
      </c>
      <c r="W71" s="21">
        <f>F71+'Reopening REC Delivery Model'!Q71</f>
        <v>3047859</v>
      </c>
      <c r="X71" s="21">
        <f>G71+'Reopening REC Delivery Model'!K71+'Reopening REC Delivery Model'!L71+'Reopening REC Delivery Model'!M71+'Reopening REC Delivery Model'!N71+'Reopening REC Delivery Model'!O71+'Reopening REC Delivery Model'!P71+'Reopening REC Delivery Model'!R71+'Reopening REC Delivery Model'!S71+'Fall 2022 Procurement'!D71</f>
        <v>4057411.1542686932</v>
      </c>
      <c r="Y71" s="21">
        <f>H71+'Reopening REC Delivery Model'!Q99</f>
        <v>7906.2</v>
      </c>
      <c r="Z71" s="21">
        <f>I71+'Reopening REC Delivery Model'!K99+'Reopening REC Delivery Model'!L99+'Reopening REC Delivery Model'!M99+'Reopening REC Delivery Model'!N99+'Reopening REC Delivery Model'!O99+'Reopening REC Delivery Model'!P99+'Reopening REC Delivery Model'!R99+'Reopening REC Delivery Model'!S99+'Fall 2022 Procurement'!D99</f>
        <v>17846.507263518615</v>
      </c>
    </row>
    <row r="72" spans="3:26" x14ac:dyDescent="0.3">
      <c r="C72" s="185" t="s">
        <v>156</v>
      </c>
      <c r="D72" s="21">
        <f>'Legacy Wind-Solar REC Splits'!I44</f>
        <v>605816</v>
      </c>
      <c r="E72" s="21">
        <f>'Legacy Wind-Solar REC Splits'!H44</f>
        <v>910745.27028661827</v>
      </c>
      <c r="F72" s="21">
        <f>'Legacy Wind-Solar REC Splits'!I72</f>
        <v>1452887</v>
      </c>
      <c r="G72" s="21">
        <f>'Legacy Wind-Solar REC Splits'!H72</f>
        <v>2271197.5875133816</v>
      </c>
      <c r="H72" s="21">
        <f>'Legacy Wind-Solar REC Splits'!I103</f>
        <v>6816</v>
      </c>
      <c r="I72" s="21">
        <f>'Legacy Wind-Solar REC Splits'!H103</f>
        <v>12003.01081466695</v>
      </c>
      <c r="J72" s="202"/>
      <c r="K72" s="202">
        <f>'REC Delivery Model'!E16+'REC Delivery Model'!J16</f>
        <v>5259464.8686146662</v>
      </c>
      <c r="N72" s="202"/>
      <c r="O72" s="202"/>
      <c r="T72" s="185" t="s">
        <v>156</v>
      </c>
      <c r="U72" s="21">
        <f>D72+'Reopening REC Delivery Model'!R44</f>
        <v>855885.36416471016</v>
      </c>
      <c r="V72" s="21">
        <f>E72+'Reopening REC Delivery Model'!K44+'Reopening REC Delivery Model'!L44+'Reopening REC Delivery Model'!M44+'Reopening REC Delivery Model'!N44+'Reopening REC Delivery Model'!O44+'Reopening REC Delivery Model'!P44+'Reopening REC Delivery Model'!R44+'Reopening REC Delivery Model'!S44+'Fall 2022 Procurement'!D44</f>
        <v>1580136.8199501894</v>
      </c>
      <c r="W72" s="21">
        <f>F72+'Reopening REC Delivery Model'!Q72</f>
        <v>1786134</v>
      </c>
      <c r="X72" s="21">
        <f>G72+'Reopening REC Delivery Model'!K72+'Reopening REC Delivery Model'!L72+'Reopening REC Delivery Model'!M72+'Reopening REC Delivery Model'!N72+'Reopening REC Delivery Model'!O72+'Reopening REC Delivery Model'!P72+'Reopening REC Delivery Model'!R72+'Reopening REC Delivery Model'!S72+'Fall 2022 Procurement'!D72</f>
        <v>4046366.7366230316</v>
      </c>
      <c r="Y72" s="21">
        <f>H72+'Reopening REC Delivery Model'!Q100</f>
        <v>7906.2</v>
      </c>
      <c r="Z72" s="21">
        <f>I72+'Reopening REC Delivery Model'!K100+'Reopening REC Delivery Model'!L100+'Reopening REC Delivery Model'!M100+'Reopening REC Delivery Model'!N100+'Reopening REC Delivery Model'!O100+'Reopening REC Delivery Model'!P100+'Reopening REC Delivery Model'!R100+'Reopening REC Delivery Model'!S100+'Fall 2022 Procurement'!D100</f>
        <v>17810.383143178053</v>
      </c>
    </row>
    <row r="73" spans="3:26" x14ac:dyDescent="0.3">
      <c r="C73" s="185" t="s">
        <v>157</v>
      </c>
      <c r="D73" s="21">
        <f>'Legacy Wind-Solar REC Splits'!I45</f>
        <v>479697</v>
      </c>
      <c r="E73" s="21">
        <f>'Legacy Wind-Solar REC Splits'!H45</f>
        <v>909887.82384177099</v>
      </c>
      <c r="F73" s="21">
        <f>'Legacy Wind-Solar REC Splits'!I73</f>
        <v>1150425</v>
      </c>
      <c r="G73" s="21">
        <f>'Legacy Wind-Solar REC Splits'!H73</f>
        <v>2268923.7128630793</v>
      </c>
      <c r="H73" s="21">
        <f>'Legacy Wind-Solar REC Splits'!I104</f>
        <v>5397</v>
      </c>
      <c r="I73" s="21">
        <f>'Legacy Wind-Solar REC Splits'!H104</f>
        <v>11996.527537570646</v>
      </c>
      <c r="J73" s="202"/>
      <c r="K73" s="202">
        <f>'REC Delivery Model'!E17+'REC Delivery Model'!J17</f>
        <v>4826327.0642424207</v>
      </c>
      <c r="N73" s="202"/>
      <c r="O73" s="202"/>
      <c r="T73" s="185" t="s">
        <v>157</v>
      </c>
      <c r="U73" s="21">
        <f>D73+'Reopening REC Delivery Model'!R45</f>
        <v>728516.01734388666</v>
      </c>
      <c r="V73" s="21">
        <f>E73+'Reopening REC Delivery Model'!K45+'Reopening REC Delivery Model'!L45+'Reopening REC Delivery Model'!M45+'Reopening REC Delivery Model'!N45+'Reopening REC Delivery Model'!O45+'Reopening REC Delivery Model'!P45+'Reopening REC Delivery Model'!R45+'Reopening REC Delivery Model'!S45+'Fall 2022 Procurement'!D45</f>
        <v>1575932.4157570242</v>
      </c>
      <c r="W73" s="21">
        <f>F73+'Reopening REC Delivery Model'!Q73</f>
        <v>1483672</v>
      </c>
      <c r="X73" s="21">
        <f>G73+'Reopening REC Delivery Model'!K73+'Reopening REC Delivery Model'!L73+'Reopening REC Delivery Model'!M73+'Reopening REC Delivery Model'!N73+'Reopening REC Delivery Model'!O73+'Reopening REC Delivery Model'!P73+'Reopening REC Delivery Model'!R73+'Reopening REC Delivery Model'!S73+'Fall 2022 Procurement'!D73</f>
        <v>4035217.0162271806</v>
      </c>
      <c r="Y73" s="21">
        <f>H73+'Reopening REC Delivery Model'!Q101</f>
        <v>6487.2</v>
      </c>
      <c r="Z73" s="21">
        <f>I73+'Reopening REC Delivery Model'!K101+'Reopening REC Delivery Model'!L101+'Reopening REC Delivery Model'!M101+'Reopening REC Delivery Model'!N101+'Reopening REC Delivery Model'!O101+'Reopening REC Delivery Model'!P101+'Reopening REC Delivery Model'!R101+'Reopening REC Delivery Model'!S101+'Fall 2022 Procurement'!D101</f>
        <v>17774.863004439198</v>
      </c>
    </row>
    <row r="74" spans="3:26" x14ac:dyDescent="0.3">
      <c r="C74" s="185" t="s">
        <v>158</v>
      </c>
      <c r="D74" s="21">
        <f>'Legacy Wind-Solar REC Splits'!I46</f>
        <v>479697</v>
      </c>
      <c r="E74" s="21">
        <f>'Legacy Wind-Solar REC Splits'!H46</f>
        <v>874035.36835428851</v>
      </c>
      <c r="F74" s="21">
        <f>'Legacy Wind-Solar REC Splits'!I74</f>
        <v>1150425</v>
      </c>
      <c r="G74" s="21">
        <f>'Legacy Wind-Solar REC Splits'!H74</f>
        <v>2173846.0667033801</v>
      </c>
      <c r="H74" s="21">
        <f>'Legacy Wind-Solar REC Splits'!I105</f>
        <v>5397</v>
      </c>
      <c r="I74" s="21">
        <f>'Legacy Wind-Solar REC Splits'!H105</f>
        <v>11854.677010289832</v>
      </c>
      <c r="J74" s="202"/>
      <c r="K74" s="202">
        <f>'REC Delivery Model'!E18+'REC Delivery Model'!J18</f>
        <v>4695255.1120679583</v>
      </c>
      <c r="N74" s="202"/>
      <c r="O74" s="202"/>
      <c r="T74" s="185" t="s">
        <v>158</v>
      </c>
      <c r="U74" s="21">
        <f>D74+'Reopening REC Delivery Model'!R46</f>
        <v>727271.92225716717</v>
      </c>
      <c r="V74" s="21">
        <f>E74+'Reopening REC Delivery Model'!K46+'Reopening REC Delivery Model'!L46+'Reopening REC Delivery Model'!M46+'Reopening REC Delivery Model'!N46+'Reopening REC Delivery Model'!O46+'Reopening REC Delivery Model'!P46+'Reopening REC Delivery Model'!R46+'Reopening REC Delivery Model'!S46+'Fall 2022 Procurement'!D46</f>
        <v>1536749.7373099653</v>
      </c>
      <c r="W74" s="21">
        <f>F74+'Reopening REC Delivery Model'!Q74</f>
        <v>1483672</v>
      </c>
      <c r="X74" s="21">
        <f>G74+'Reopening REC Delivery Model'!K74+'Reopening REC Delivery Model'!L74+'Reopening REC Delivery Model'!M74+'Reopening REC Delivery Model'!N74+'Reopening REC Delivery Model'!O74+'Reopening REC Delivery Model'!P74+'Reopening REC Delivery Model'!R74+'Reopening REC Delivery Model'!S74+'Fall 2022 Procurement'!D74</f>
        <v>3931307.9035506612</v>
      </c>
      <c r="Y74" s="21">
        <f>H74+'Reopening REC Delivery Model'!Q102</f>
        <v>6487.2</v>
      </c>
      <c r="Z74" s="21">
        <f>I74+'Reopening REC Delivery Model'!K102+'Reopening REC Delivery Model'!L102+'Reopening REC Delivery Model'!M102+'Reopening REC Delivery Model'!N102+'Reopening REC Delivery Model'!O102+'Reopening REC Delivery Model'!P102+'Reopening REC Delivery Model'!R102+'Reopening REC Delivery Model'!S102+'Fall 2022 Procurement'!D102</f>
        <v>17604.120799824039</v>
      </c>
    </row>
    <row r="75" spans="3:26" x14ac:dyDescent="0.3">
      <c r="C75" s="185" t="s">
        <v>159</v>
      </c>
      <c r="D75" s="21">
        <f>'Legacy Wind-Solar REC Splits'!I47</f>
        <v>391707</v>
      </c>
      <c r="E75" s="21">
        <f>'Legacy Wind-Solar REC Splits'!H47</f>
        <v>744000.58665576892</v>
      </c>
      <c r="F75" s="21">
        <f>'Legacy Wind-Solar REC Splits'!I75</f>
        <v>939405</v>
      </c>
      <c r="G75" s="21">
        <f>'Legacy Wind-Solar REC Splits'!H75</f>
        <v>1829004.9450931137</v>
      </c>
      <c r="H75" s="21">
        <f>'Legacy Wind-Solar REC Splits'!I106</f>
        <v>4407</v>
      </c>
      <c r="I75" s="21">
        <f>'Legacy Wind-Solar REC Splits'!H106</f>
        <v>11043.907193062469</v>
      </c>
      <c r="J75" s="202"/>
      <c r="K75" s="202">
        <f>'REC Delivery Model'!E19+'REC Delivery Model'!J19</f>
        <v>3919568.4389419449</v>
      </c>
      <c r="N75" s="202"/>
      <c r="O75" s="202"/>
      <c r="T75" s="185" t="s">
        <v>159</v>
      </c>
      <c r="U75" s="21">
        <f>D75+'Reopening REC Delivery Model'!R47</f>
        <v>638044.04764588131</v>
      </c>
      <c r="V75" s="21">
        <f>E75+'Reopening REC Delivery Model'!K47+'Reopening REC Delivery Model'!L47+'Reopening REC Delivery Model'!M47+'Reopening REC Delivery Model'!N47+'Reopening REC Delivery Model'!O47+'Reopening REC Delivery Model'!P47+'Reopening REC Delivery Model'!R47+'Reopening REC Delivery Model'!S47+'Fall 2022 Procurement'!D47</f>
        <v>1403401.3837666677</v>
      </c>
      <c r="W75" s="21">
        <f>F75+'Reopening REC Delivery Model'!Q75</f>
        <v>1272652</v>
      </c>
      <c r="X75" s="21">
        <f>G75+'Reopening REC Delivery Model'!K75+'Reopening REC Delivery Model'!L75+'Reopening REC Delivery Model'!M75+'Reopening REC Delivery Model'!N75+'Reopening REC Delivery Model'!O75+'Reopening REC Delivery Model'!P75+'Reopening REC Delivery Model'!R75+'Reopening REC Delivery Model'!S75+'Fall 2022 Procurement'!D75</f>
        <v>3577679.4727561586</v>
      </c>
      <c r="Y75" s="21">
        <f>H75+'Reopening REC Delivery Model'!Q103</f>
        <v>5497.2</v>
      </c>
      <c r="Z75" s="21">
        <f>I75+'Reopening REC Delivery Model'!K103+'Reopening REC Delivery Model'!L103+'Reopening REC Delivery Model'!M103+'Reopening REC Delivery Model'!N103+'Reopening REC Delivery Model'!O103+'Reopening REC Delivery Model'!P103+'Reopening REC Delivery Model'!R103+'Reopening REC Delivery Model'!S103+'Fall 2022 Procurement'!D103</f>
        <v>16764.603763649007</v>
      </c>
    </row>
    <row r="76" spans="3:26" x14ac:dyDescent="0.3">
      <c r="C76" s="185" t="s">
        <v>314</v>
      </c>
      <c r="D76" s="21">
        <f>'Legacy Wind-Solar REC Splits'!I48</f>
        <v>0</v>
      </c>
      <c r="E76" s="21">
        <f>'Legacy Wind-Solar REC Splits'!H48</f>
        <v>61014.782410556138</v>
      </c>
      <c r="F76" s="21">
        <f>'Legacy Wind-Solar REC Splits'!I76</f>
        <v>0</v>
      </c>
      <c r="G76" s="21">
        <f>'Legacy Wind-Solar REC Splits'!H76</f>
        <v>161805.98549427997</v>
      </c>
      <c r="H76" s="21">
        <f>'Legacy Wind-Solar REC Splits'!I107</f>
        <v>0</v>
      </c>
      <c r="I76" s="21">
        <f>'Legacy Wind-Solar REC Splits'!H107</f>
        <v>322.0543300941884</v>
      </c>
      <c r="J76" s="202"/>
      <c r="K76" s="202">
        <f>'REC Delivery Model'!E20+'REC Delivery Model'!J20</f>
        <v>223142.8222349303</v>
      </c>
      <c r="N76" s="202"/>
      <c r="O76" s="202"/>
      <c r="T76" s="185" t="s">
        <v>314</v>
      </c>
      <c r="U76" s="21">
        <f>D76+'Reopening REC Delivery Model'!R48</f>
        <v>245105.36240765196</v>
      </c>
      <c r="V76" s="21">
        <f>E76+'Reopening REC Delivery Model'!K48+'Reopening REC Delivery Model'!L48+'Reopening REC Delivery Model'!M48+'Reopening REC Delivery Model'!N48+'Reopening REC Delivery Model'!O48+'Reopening REC Delivery Model'!P48+'Reopening REC Delivery Model'!R48+'Reopening REC Delivery Model'!S48+'Fall 2022 Procurement'!D48</f>
        <v>717118.57553590019</v>
      </c>
      <c r="W76" s="21">
        <f>F76+'Reopening REC Delivery Model'!Q76</f>
        <v>333247</v>
      </c>
      <c r="X76" s="21">
        <f>G76+'Reopening REC Delivery Model'!K76+'Reopening REC Delivery Model'!L76+'Reopening REC Delivery Model'!M76+'Reopening REC Delivery Model'!N76+'Reopening REC Delivery Model'!O76+'Reopening REC Delivery Model'!P76+'Reopening REC Delivery Model'!R76+'Reopening REC Delivery Model'!S76+'Fall 2022 Procurement'!D76</f>
        <v>1901737.1405190094</v>
      </c>
      <c r="Y76" s="21">
        <f>H76+'Reopening REC Delivery Model'!Q104</f>
        <v>1090.2</v>
      </c>
      <c r="Z76" s="21">
        <f>I76+'Reopening REC Delivery Model'!K104+'Reopening REC Delivery Model'!L104+'Reopening REC Delivery Model'!M104+'Reopening REC Delivery Model'!N104+'Reopening REC Delivery Model'!O104+'Reopening REC Delivery Model'!P104+'Reopening REC Delivery Model'!R104+'Reopening REC Delivery Model'!S104+'Fall 2022 Procurement'!D104</f>
        <v>6014.1474178277913</v>
      </c>
    </row>
    <row r="77" spans="3:26" x14ac:dyDescent="0.3">
      <c r="C77" s="185" t="s">
        <v>315</v>
      </c>
      <c r="D77" s="21">
        <f>'Legacy Wind-Solar REC Splits'!I49</f>
        <v>0</v>
      </c>
      <c r="E77" s="21">
        <f>'Legacy Wind-Solar REC Splits'!H49</f>
        <v>16433.98042117132</v>
      </c>
      <c r="F77" s="21">
        <f>'Legacy Wind-Solar REC Splits'!I77</f>
        <v>0</v>
      </c>
      <c r="G77" s="21">
        <f>'Legacy Wind-Solar REC Splits'!H77</f>
        <v>43581.510784528757</v>
      </c>
      <c r="H77" s="21">
        <f>'Legacy Wind-Solar REC Splits'!I108</f>
        <v>0</v>
      </c>
      <c r="I77" s="21">
        <f>'Legacy Wind-Solar REC Splits'!H108</f>
        <v>296.83507199742309</v>
      </c>
      <c r="J77" s="202"/>
      <c r="K77" s="202">
        <f>'REC Delivery Model'!E21+'REC Delivery Model'!J21</f>
        <v>60312.326277697503</v>
      </c>
      <c r="N77" s="202"/>
      <c r="O77" s="202"/>
      <c r="T77" s="185" t="s">
        <v>315</v>
      </c>
      <c r="U77" s="21">
        <f>D77+'Reopening REC Delivery Model'!R49</f>
        <v>243879.83559561369</v>
      </c>
      <c r="V77" s="21">
        <f>E77+'Reopening REC Delivery Model'!K49+'Reopening REC Delivery Model'!L49+'Reopening REC Delivery Model'!M49+'Reopening REC Delivery Model'!N49+'Reopening REC Delivery Model'!O49+'Reopening REC Delivery Model'!P49+'Reopening REC Delivery Model'!R49+'Reopening REC Delivery Model'!S49+'Fall 2022 Procurement'!D49</f>
        <v>600848.53350223729</v>
      </c>
      <c r="W77" s="21">
        <f>F77+'Reopening REC Delivery Model'!Q77</f>
        <v>333247</v>
      </c>
      <c r="X77" s="21">
        <f>G77+'Reopening REC Delivery Model'!K77+'Reopening REC Delivery Model'!L77+'Reopening REC Delivery Model'!M77+'Reopening REC Delivery Model'!N77+'Reopening REC Delivery Model'!O77+'Reopening REC Delivery Model'!P77+'Reopening REC Delivery Model'!R77+'Reopening REC Delivery Model'!S77+'Fall 2022 Procurement'!D77</f>
        <v>1593398.9314579978</v>
      </c>
      <c r="Y77" s="21">
        <f>H77+'Reopening REC Delivery Model'!Q105</f>
        <v>1090.2</v>
      </c>
      <c r="Z77" s="21">
        <f>I77+'Reopening REC Delivery Model'!K105+'Reopening REC Delivery Model'!L105+'Reopening REC Delivery Model'!M105+'Reopening REC Delivery Model'!N105+'Reopening REC Delivery Model'!O105+'Reopening REC Delivery Model'!P105+'Reopening REC Delivery Model'!R105+'Reopening REC Delivery Model'!S105+'Fall 2022 Procurement'!D105</f>
        <v>5366.9810958722555</v>
      </c>
    </row>
    <row r="78" spans="3:26" x14ac:dyDescent="0.3">
      <c r="C78" s="185" t="s">
        <v>316</v>
      </c>
      <c r="D78" s="21">
        <f>'Legacy Wind-Solar REC Splits'!I50</f>
        <v>0</v>
      </c>
      <c r="E78" s="21">
        <f>'Legacy Wind-Solar REC Splits'!H50</f>
        <v>16351.810519065464</v>
      </c>
      <c r="F78" s="21">
        <f>'Legacy Wind-Solar REC Splits'!I78</f>
        <v>0</v>
      </c>
      <c r="G78" s="21">
        <f>'Legacy Wind-Solar REC Splits'!H78</f>
        <v>43363.60323060611</v>
      </c>
      <c r="H78" s="21">
        <f>'Legacy Wind-Solar REC Splits'!I109</f>
        <v>0</v>
      </c>
      <c r="I78" s="21">
        <f>'Legacy Wind-Solar REC Splits'!H109</f>
        <v>141.86174291743598</v>
      </c>
      <c r="J78" s="202"/>
      <c r="K78" s="202">
        <f>'REC Delivery Model'!E22+'REC Delivery Model'!J22</f>
        <v>59857.275492589011</v>
      </c>
      <c r="N78" s="202"/>
      <c r="O78" s="202"/>
      <c r="T78" s="185" t="s">
        <v>316</v>
      </c>
      <c r="U78" s="21">
        <f>D78+'Reopening REC Delivery Model'!R50</f>
        <v>242660.43641763565</v>
      </c>
      <c r="V78" s="21">
        <f>E78+'Reopening REC Delivery Model'!K50+'Reopening REC Delivery Model'!L50+'Reopening REC Delivery Model'!M50+'Reopening REC Delivery Model'!N50+'Reopening REC Delivery Model'!O50+'Reopening REC Delivery Model'!P50+'Reopening REC Delivery Model'!R50+'Reopening REC Delivery Model'!S50+'Fall 2022 Procurement'!D50</f>
        <v>596718.42400168034</v>
      </c>
      <c r="W78" s="21">
        <f>F78+'Reopening REC Delivery Model'!Q78</f>
        <v>333247</v>
      </c>
      <c r="X78" s="21">
        <f>G78+'Reopening REC Delivery Model'!K78+'Reopening REC Delivery Model'!L78+'Reopening REC Delivery Model'!M78+'Reopening REC Delivery Model'!N78+'Reopening REC Delivery Model'!O78+'Reopening REC Delivery Model'!P78+'Reopening REC Delivery Model'!R78+'Reopening REC Delivery Model'!S78+'Fall 2022 Procurement'!D78</f>
        <v>1582446.2342339018</v>
      </c>
      <c r="Y78" s="21">
        <f>H78+'Reopening REC Delivery Model'!Q106</f>
        <v>1090.2</v>
      </c>
      <c r="Z78" s="21">
        <f>I78+'Reopening REC Delivery Model'!K106+'Reopening REC Delivery Model'!L106+'Reopening REC Delivery Model'!M106+'Reopening REC Delivery Model'!N106+'Reopening REC Delivery Model'!O106+'Reopening REC Delivery Model'!P106+'Reopening REC Delivery Model'!R106+'Reopening REC Delivery Model'!S106+'Fall 2022 Procurement'!D106</f>
        <v>5176.8894680576268</v>
      </c>
    </row>
    <row r="79" spans="3:26" x14ac:dyDescent="0.3">
      <c r="C79" s="185" t="s">
        <v>317</v>
      </c>
      <c r="D79" s="21">
        <f>'Legacy Wind-Solar REC Splits'!I51</f>
        <v>0</v>
      </c>
      <c r="E79" s="21">
        <f>'Legacy Wind-Solar REC Splits'!H51</f>
        <v>16270.051466470139</v>
      </c>
      <c r="F79" s="21">
        <f>'Legacy Wind-Solar REC Splits'!I79</f>
        <v>0</v>
      </c>
      <c r="G79" s="21">
        <f>'Legacy Wind-Solar REC Splits'!H79</f>
        <v>43146.785214453084</v>
      </c>
      <c r="H79" s="21">
        <f>'Legacy Wind-Solar REC Splits'!I110</f>
        <v>0</v>
      </c>
      <c r="I79" s="21">
        <f>'Legacy Wind-Solar REC Splits'!H110</f>
        <v>141.15243420284878</v>
      </c>
      <c r="J79" s="202"/>
      <c r="K79" s="202">
        <f>'REC Delivery Model'!E23+'REC Delivery Model'!J23</f>
        <v>59557.989115126067</v>
      </c>
      <c r="N79" s="202"/>
      <c r="O79" s="202"/>
      <c r="T79" s="185" t="s">
        <v>317</v>
      </c>
      <c r="U79" s="21">
        <f>D79+'Reopening REC Delivery Model'!R51</f>
        <v>241447.13423554748</v>
      </c>
      <c r="V79" s="21">
        <f>E79+'Reopening REC Delivery Model'!K51+'Reopening REC Delivery Model'!L51+'Reopening REC Delivery Model'!M51+'Reopening REC Delivery Model'!N51+'Reopening REC Delivery Model'!O51+'Reopening REC Delivery Model'!P51+'Reopening REC Delivery Model'!R51+'Reopening REC Delivery Model'!S51+'Fall 2022 Procurement'!D51</f>
        <v>593734.83188167179</v>
      </c>
      <c r="W79" s="21">
        <f>F79+'Reopening REC Delivery Model'!Q79</f>
        <v>333247</v>
      </c>
      <c r="X79" s="21">
        <f>G79+'Reopening REC Delivery Model'!K79+'Reopening REC Delivery Model'!L79+'Reopening REC Delivery Model'!M79+'Reopening REC Delivery Model'!N79+'Reopening REC Delivery Model'!O79+'Reopening REC Delivery Model'!P79+'Reopening REC Delivery Model'!R79+'Reopening REC Delivery Model'!S79+'Fall 2022 Procurement'!D79</f>
        <v>1574534.0030627323</v>
      </c>
      <c r="Y79" s="21">
        <f>H79+'Reopening REC Delivery Model'!Q107</f>
        <v>1090.2</v>
      </c>
      <c r="Z79" s="21">
        <f>I79+'Reopening REC Delivery Model'!K107+'Reopening REC Delivery Model'!L107+'Reopening REC Delivery Model'!M107+'Reopening REC Delivery Model'!N107+'Reopening REC Delivery Model'!O107+'Reopening REC Delivery Model'!P107+'Reopening REC Delivery Model'!R107+'Reopening REC Delivery Model'!S107+'Fall 2022 Procurement'!D107</f>
        <v>5151.0050207173381</v>
      </c>
    </row>
    <row r="80" spans="3:26" x14ac:dyDescent="0.3">
      <c r="C80" s="185" t="s">
        <v>318</v>
      </c>
      <c r="D80" s="21">
        <f>'Legacy Wind-Solar REC Splits'!I52</f>
        <v>0</v>
      </c>
      <c r="E80" s="21">
        <f>'Legacy Wind-Solar REC Splits'!H52</f>
        <v>16188.701209137786</v>
      </c>
      <c r="F80" s="21">
        <f>'Legacy Wind-Solar REC Splits'!I80</f>
        <v>0</v>
      </c>
      <c r="G80" s="21">
        <f>'Legacy Wind-Solar REC Splits'!H80</f>
        <v>42931.051288380811</v>
      </c>
      <c r="H80" s="21">
        <f>'Legacy Wind-Solar REC Splits'!I111</f>
        <v>0</v>
      </c>
      <c r="I80" s="21">
        <f>'Legacy Wind-Solar REC Splits'!H111</f>
        <v>140.44667203183454</v>
      </c>
      <c r="J80" s="202"/>
      <c r="K80" s="202">
        <f>'REC Delivery Model'!E24+'REC Delivery Model'!J24</f>
        <v>59260.199169550433</v>
      </c>
      <c r="N80" s="202"/>
      <c r="O80" s="202"/>
      <c r="T80" s="185" t="s">
        <v>318</v>
      </c>
      <c r="U80" s="21">
        <f>D80+'Reopening REC Delivery Model'!R52</f>
        <v>240239.89856436971</v>
      </c>
      <c r="V80" s="21">
        <f>E80+'Reopening REC Delivery Model'!K52+'Reopening REC Delivery Model'!L52+'Reopening REC Delivery Model'!M52+'Reopening REC Delivery Model'!N52+'Reopening REC Delivery Model'!O52+'Reopening REC Delivery Model'!P52+'Reopening REC Delivery Model'!R52+'Reopening REC Delivery Model'!S52+'Fall 2022 Procurement'!D52</f>
        <v>590766.15772226348</v>
      </c>
      <c r="W80" s="21">
        <f>F80+'Reopening REC Delivery Model'!Q80</f>
        <v>333247</v>
      </c>
      <c r="X80" s="21">
        <f>G80+'Reopening REC Delivery Model'!K80+'Reopening REC Delivery Model'!L80+'Reopening REC Delivery Model'!M80+'Reopening REC Delivery Model'!N80+'Reopening REC Delivery Model'!O80+'Reopening REC Delivery Model'!P80+'Reopening REC Delivery Model'!R80+'Reopening REC Delivery Model'!S80+'Fall 2022 Procurement'!D80</f>
        <v>1566661.3330474186</v>
      </c>
      <c r="Y80" s="21">
        <f>H80+'Reopening REC Delivery Model'!Q108</f>
        <v>1090.2</v>
      </c>
      <c r="Z80" s="21">
        <f>I80+'Reopening REC Delivery Model'!K108+'Reopening REC Delivery Model'!L108+'Reopening REC Delivery Model'!M108+'Reopening REC Delivery Model'!N108+'Reopening REC Delivery Model'!O108+'Reopening REC Delivery Model'!P108+'Reopening REC Delivery Model'!R108+'Reopening REC Delivery Model'!S108+'Fall 2022 Procurement'!D108</f>
        <v>5125.2499956137508</v>
      </c>
    </row>
    <row r="81" spans="2:26" x14ac:dyDescent="0.3">
      <c r="C81" s="185" t="s">
        <v>319</v>
      </c>
      <c r="D81" s="21">
        <f>'Legacy Wind-Solar REC Splits'!I53</f>
        <v>0</v>
      </c>
      <c r="E81" s="21">
        <f>'Legacy Wind-Solar REC Splits'!H53</f>
        <v>16107.757703092097</v>
      </c>
      <c r="F81" s="21">
        <f>'Legacy Wind-Solar REC Splits'!I81</f>
        <v>0</v>
      </c>
      <c r="G81" s="21">
        <f>'Legacy Wind-Solar REC Splits'!H81</f>
        <v>42716.396031938908</v>
      </c>
      <c r="H81" s="21">
        <f>'Legacy Wind-Solar REC Splits'!I112</f>
        <v>0</v>
      </c>
      <c r="I81" s="21">
        <f>'Legacy Wind-Solar REC Splits'!H112</f>
        <v>139.74443867167534</v>
      </c>
      <c r="J81" s="202"/>
      <c r="K81" s="202">
        <f>'REC Delivery Model'!E25+'REC Delivery Model'!J25</f>
        <v>58963.898173702677</v>
      </c>
      <c r="N81" s="202"/>
      <c r="O81" s="202"/>
      <c r="T81" s="185" t="s">
        <v>319</v>
      </c>
      <c r="U81" s="21">
        <f>D81+'Reopening REC Delivery Model'!R53</f>
        <v>239038.69907154786</v>
      </c>
      <c r="V81" s="21">
        <f>E81+'Reopening REC Delivery Model'!K53+'Reopening REC Delivery Model'!L53+'Reopening REC Delivery Model'!M53+'Reopening REC Delivery Model'!N53+'Reopening REC Delivery Model'!O53+'Reopening REC Delivery Model'!P53+'Reopening REC Delivery Model'!R53+'Reopening REC Delivery Model'!S53+'Fall 2022 Procurement'!D53</f>
        <v>587812.32693365216</v>
      </c>
      <c r="W81" s="21">
        <f>F81+'Reopening REC Delivery Model'!Q81</f>
        <v>333247</v>
      </c>
      <c r="X81" s="21">
        <f>G81+'Reopening REC Delivery Model'!K81+'Reopening REC Delivery Model'!L81+'Reopening REC Delivery Model'!M81+'Reopening REC Delivery Model'!N81+'Reopening REC Delivery Model'!O81+'Reopening REC Delivery Model'!P81+'Reopening REC Delivery Model'!R81+'Reopening REC Delivery Model'!S81+'Fall 2022 Procurement'!D81</f>
        <v>1558828.0263821818</v>
      </c>
      <c r="Y81" s="21">
        <f>H81+'Reopening REC Delivery Model'!Q109</f>
        <v>1090.2</v>
      </c>
      <c r="Z81" s="21">
        <f>I81+'Reopening REC Delivery Model'!K109+'Reopening REC Delivery Model'!L109+'Reopening REC Delivery Model'!M109+'Reopening REC Delivery Model'!N109+'Reopening REC Delivery Model'!O109+'Reopening REC Delivery Model'!P109+'Reopening REC Delivery Model'!R109+'Reopening REC Delivery Model'!S109+'Fall 2022 Procurement'!D109</f>
        <v>5099.623745635683</v>
      </c>
    </row>
    <row r="82" spans="2:26" x14ac:dyDescent="0.3">
      <c r="C82" s="185" t="s">
        <v>320</v>
      </c>
      <c r="D82" s="21">
        <f>'Legacy Wind-Solar REC Splits'!I54</f>
        <v>0</v>
      </c>
      <c r="E82" s="21">
        <f>'Legacy Wind-Solar REC Splits'!H54</f>
        <v>16027.218914576637</v>
      </c>
      <c r="F82" s="21">
        <f>'Legacy Wind-Solar REC Splits'!I82</f>
        <v>0</v>
      </c>
      <c r="G82" s="21">
        <f>'Legacy Wind-Solar REC Splits'!H82</f>
        <v>42502.814051779213</v>
      </c>
      <c r="H82" s="21">
        <f>'Legacy Wind-Solar REC Splits'!I113</f>
        <v>0</v>
      </c>
      <c r="I82" s="21">
        <f>'Legacy Wind-Solar REC Splits'!H113</f>
        <v>139.04571647831699</v>
      </c>
      <c r="K82" s="202">
        <f>'REC Delivery Model'!E26+'REC Delivery Model'!J26</f>
        <v>58669.078682834166</v>
      </c>
      <c r="T82" s="185" t="s">
        <v>320</v>
      </c>
      <c r="U82" s="21">
        <f>D82+'Reopening REC Delivery Model'!R54</f>
        <v>237843.5055761901</v>
      </c>
      <c r="V82" s="21">
        <f>E82+'Reopening REC Delivery Model'!K54+'Reopening REC Delivery Model'!L54+'Reopening REC Delivery Model'!M54+'Reopening REC Delivery Model'!N54+'Reopening REC Delivery Model'!O54+'Reopening REC Delivery Model'!P54+'Reopening REC Delivery Model'!R54+'Reopening REC Delivery Model'!S54+'Fall 2022 Procurement'!D54</f>
        <v>584635.36525021016</v>
      </c>
      <c r="W82" s="21">
        <f>F82+'Reopening REC Delivery Model'!Q82</f>
        <v>333247</v>
      </c>
      <c r="X82" s="21">
        <f>G82+'Reopening REC Delivery Model'!K82+'Reopening REC Delivery Model'!L82+'Reopening REC Delivery Model'!M82+'Reopening REC Delivery Model'!N82+'Reopening REC Delivery Model'!O82+'Reopening REC Delivery Model'!P82+'Reopening REC Delivery Model'!R82+'Reopening REC Delivery Model'!S82+'Fall 2022 Procurement'!D82</f>
        <v>1550402.9956640853</v>
      </c>
      <c r="Y82" s="21">
        <f>H82+'Reopening REC Delivery Model'!Q110</f>
        <v>1090.2</v>
      </c>
      <c r="Z82" s="21">
        <f>I82+'Reopening REC Delivery Model'!K110+'Reopening REC Delivery Model'!L110+'Reopening REC Delivery Model'!M110+'Reopening REC Delivery Model'!N110+'Reopening REC Delivery Model'!O110+'Reopening REC Delivery Model'!P110+'Reopening REC Delivery Model'!R110+'Reopening REC Delivery Model'!S110+'Fall 2022 Procurement'!D110</f>
        <v>5072.0617015996722</v>
      </c>
    </row>
    <row r="83" spans="2:26" x14ac:dyDescent="0.3">
      <c r="D83" s="187"/>
      <c r="E83" s="187"/>
      <c r="F83" s="187"/>
      <c r="G83" s="187"/>
      <c r="H83" s="187"/>
      <c r="I83" s="187"/>
      <c r="K83" s="202"/>
    </row>
    <row r="84" spans="2:26" x14ac:dyDescent="0.3">
      <c r="B84" s="191" t="s">
        <v>194</v>
      </c>
      <c r="K84" s="202"/>
      <c r="L84" s="202"/>
      <c r="M84" s="202"/>
      <c r="N84" s="202"/>
      <c r="O84" s="202"/>
      <c r="P84" s="205"/>
    </row>
    <row r="85" spans="2:26" x14ac:dyDescent="0.3">
      <c r="K85" s="202"/>
      <c r="L85" s="202"/>
      <c r="M85" s="202"/>
      <c r="N85" s="202"/>
      <c r="O85" s="202"/>
      <c r="P85" s="205"/>
    </row>
    <row r="86" spans="2:26" ht="43.2" x14ac:dyDescent="0.3">
      <c r="C86" s="54" t="s">
        <v>43</v>
      </c>
      <c r="D86" s="54" t="s">
        <v>195</v>
      </c>
      <c r="E86" s="54" t="s">
        <v>137</v>
      </c>
      <c r="F86" s="54" t="s">
        <v>196</v>
      </c>
      <c r="G86" s="54" t="s">
        <v>253</v>
      </c>
      <c r="H86" s="54" t="s">
        <v>254</v>
      </c>
      <c r="I86" s="54" t="s">
        <v>333</v>
      </c>
      <c r="J86" s="54" t="s">
        <v>4</v>
      </c>
      <c r="K86" s="54" t="s">
        <v>197</v>
      </c>
      <c r="L86" s="54" t="s">
        <v>198</v>
      </c>
      <c r="M86" s="202"/>
      <c r="N86" s="202"/>
      <c r="O86" s="202"/>
      <c r="P86" s="205"/>
    </row>
    <row r="87" spans="2:26" x14ac:dyDescent="0.3">
      <c r="C87" s="185" t="s">
        <v>144</v>
      </c>
      <c r="D87" s="21">
        <f>'REC Delivery Model'!F4</f>
        <v>1861725</v>
      </c>
      <c r="E87" s="21">
        <f>'REC Delivery Model'!G4</f>
        <v>3273</v>
      </c>
      <c r="F87" s="165">
        <f>'REC Delivery Model'!H4</f>
        <v>730000</v>
      </c>
      <c r="G87" s="60">
        <f>'REC Delivery Model'!E4+'REC Delivery Model'!I4</f>
        <v>710879.50247266702</v>
      </c>
      <c r="H87" s="21">
        <f t="shared" ref="H87:I102" si="29">G114</f>
        <v>0</v>
      </c>
      <c r="I87" s="21">
        <f t="shared" si="29"/>
        <v>0</v>
      </c>
      <c r="J87" s="60">
        <f t="shared" ref="J87:J109" si="30">SUM(D87:I87)</f>
        <v>3305877.502472667</v>
      </c>
      <c r="K87" s="21">
        <f>'Collections and ACP'!F111</f>
        <v>21149182.158790033</v>
      </c>
      <c r="L87" s="192">
        <f t="shared" ref="L87:L109" si="31">K87-J87</f>
        <v>17843304.656317368</v>
      </c>
      <c r="M87" s="202"/>
      <c r="N87" s="202"/>
      <c r="O87" s="202"/>
      <c r="P87" s="205"/>
    </row>
    <row r="88" spans="2:26" x14ac:dyDescent="0.3">
      <c r="C88" s="185" t="s">
        <v>145</v>
      </c>
      <c r="D88" s="21">
        <f>'REC Delivery Model'!F5</f>
        <v>1861725</v>
      </c>
      <c r="E88" s="21">
        <f>'REC Delivery Model'!G5</f>
        <v>21732</v>
      </c>
      <c r="F88" s="165">
        <f>'REC Delivery Model'!H5</f>
        <v>2983670.5745999999</v>
      </c>
      <c r="G88" s="60">
        <f>'REC Delivery Model'!E5+'REC Delivery Model'!I5</f>
        <v>1093239.1429146675</v>
      </c>
      <c r="H88" s="21">
        <f t="shared" si="29"/>
        <v>0</v>
      </c>
      <c r="I88" s="21">
        <f t="shared" si="29"/>
        <v>0</v>
      </c>
      <c r="J88" s="60">
        <f t="shared" si="30"/>
        <v>5960366.7175146677</v>
      </c>
      <c r="K88" s="21">
        <f>'Collections and ACP'!F112</f>
        <v>22785452.684823208</v>
      </c>
      <c r="L88" s="192">
        <f t="shared" si="31"/>
        <v>16825085.96730854</v>
      </c>
      <c r="M88" s="202"/>
      <c r="N88" s="202"/>
      <c r="O88" s="202"/>
      <c r="P88" s="205"/>
    </row>
    <row r="89" spans="2:26" x14ac:dyDescent="0.3">
      <c r="C89" s="185" t="s">
        <v>146</v>
      </c>
      <c r="D89" s="21">
        <f>'REC Delivery Model'!F6</f>
        <v>1861725</v>
      </c>
      <c r="E89" s="21">
        <f>'REC Delivery Model'!G6</f>
        <v>5613</v>
      </c>
      <c r="F89" s="165">
        <f>'REC Delivery Model'!H6</f>
        <v>4001148.5745999999</v>
      </c>
      <c r="G89" s="60">
        <f>'REC Delivery Model'!E6+'REC Delivery Model'!I6</f>
        <v>1177057.653438265</v>
      </c>
      <c r="H89" s="21">
        <f t="shared" si="29"/>
        <v>270933.21471990406</v>
      </c>
      <c r="I89" s="21">
        <f t="shared" si="29"/>
        <v>0</v>
      </c>
      <c r="J89" s="60">
        <f t="shared" si="30"/>
        <v>7316477.4427581681</v>
      </c>
      <c r="K89" s="21">
        <f>'Collections and ACP'!F113</f>
        <v>24661977.212590121</v>
      </c>
      <c r="L89" s="192">
        <f t="shared" si="31"/>
        <v>17345499.769831952</v>
      </c>
      <c r="M89" s="202"/>
      <c r="N89" s="202"/>
      <c r="O89" s="202"/>
      <c r="P89" s="205"/>
    </row>
    <row r="90" spans="2:26" x14ac:dyDescent="0.3">
      <c r="C90" s="185" t="s">
        <v>147</v>
      </c>
      <c r="D90" s="21">
        <f>'REC Delivery Model'!F7</f>
        <v>1861725</v>
      </c>
      <c r="E90" s="21">
        <f>'REC Delivery Model'!G7</f>
        <v>0</v>
      </c>
      <c r="F90" s="165">
        <f>'REC Delivery Model'!H7</f>
        <v>4001148.5745999999</v>
      </c>
      <c r="G90" s="60">
        <f>'REC Delivery Model'!E7+'REC Delivery Model'!I7</f>
        <v>1314907.3343563289</v>
      </c>
      <c r="H90" s="21">
        <f t="shared" si="29"/>
        <v>644285.00824630458</v>
      </c>
      <c r="I90" s="21">
        <f t="shared" si="29"/>
        <v>0</v>
      </c>
      <c r="J90" s="60">
        <f t="shared" si="30"/>
        <v>7822065.9172026329</v>
      </c>
      <c r="K90" s="21">
        <f>'Collections and ACP'!F114</f>
        <v>26530400.81338859</v>
      </c>
      <c r="L90" s="192">
        <f t="shared" si="31"/>
        <v>18708334.896185957</v>
      </c>
      <c r="M90" s="202"/>
      <c r="N90" s="202"/>
      <c r="O90" s="202"/>
      <c r="P90" s="205"/>
    </row>
    <row r="91" spans="2:26" x14ac:dyDescent="0.3">
      <c r="C91" s="185" t="s">
        <v>148</v>
      </c>
      <c r="D91" s="21">
        <f>'REC Delivery Model'!F8</f>
        <v>1861725</v>
      </c>
      <c r="E91" s="21">
        <f>'REC Delivery Model'!G8</f>
        <v>0</v>
      </c>
      <c r="F91" s="165">
        <f>'REC Delivery Model'!H8</f>
        <v>4001148.5745999999</v>
      </c>
      <c r="G91" s="60">
        <f>'REC Delivery Model'!E8+'REC Delivery Model'!I8</f>
        <v>1308770.015585033</v>
      </c>
      <c r="H91" s="21">
        <f t="shared" si="29"/>
        <v>641063.58320507302</v>
      </c>
      <c r="I91" s="21">
        <f t="shared" si="29"/>
        <v>0</v>
      </c>
      <c r="J91" s="60">
        <f t="shared" si="30"/>
        <v>7812707.1733901063</v>
      </c>
      <c r="K91" s="21">
        <f>'Collections and ACP'!F115</f>
        <v>28243094.260664791</v>
      </c>
      <c r="L91" s="192">
        <f t="shared" si="31"/>
        <v>20430387.087274686</v>
      </c>
      <c r="M91" s="202"/>
      <c r="N91" s="202"/>
      <c r="O91" s="202"/>
      <c r="P91" s="205"/>
    </row>
    <row r="92" spans="2:26" x14ac:dyDescent="0.3">
      <c r="C92" s="185" t="s">
        <v>149</v>
      </c>
      <c r="D92" s="21">
        <f>'REC Delivery Model'!F9</f>
        <v>1861725</v>
      </c>
      <c r="E92" s="21">
        <f>'REC Delivery Model'!G9</f>
        <v>0</v>
      </c>
      <c r="F92" s="165">
        <f>'REC Delivery Model'!H9</f>
        <v>4001148.5745999999</v>
      </c>
      <c r="G92" s="60">
        <f>'REC Delivery Model'!E9+'REC Delivery Model'!I9</f>
        <v>1302669.4659517191</v>
      </c>
      <c r="H92" s="21">
        <f t="shared" si="29"/>
        <v>637858.26528904762</v>
      </c>
      <c r="I92" s="21">
        <f t="shared" si="29"/>
        <v>2409391</v>
      </c>
      <c r="J92" s="60">
        <f t="shared" si="30"/>
        <v>10212792.305840768</v>
      </c>
      <c r="K92" s="21">
        <f>'Collections and ACP'!F116</f>
        <v>29941928.737549733</v>
      </c>
      <c r="L92" s="192">
        <f t="shared" si="31"/>
        <v>19729136.431708965</v>
      </c>
      <c r="M92" s="202"/>
      <c r="N92" s="202"/>
      <c r="O92" s="202"/>
      <c r="P92" s="205"/>
    </row>
    <row r="93" spans="2:26" x14ac:dyDescent="0.3">
      <c r="C93" s="185" t="s">
        <v>150</v>
      </c>
      <c r="D93" s="21">
        <f>'REC Delivery Model'!F10</f>
        <v>1861725</v>
      </c>
      <c r="E93" s="21">
        <f>'REC Delivery Model'!G10</f>
        <v>0</v>
      </c>
      <c r="F93" s="165">
        <f>'REC Delivery Model'!H10</f>
        <v>4001148.5745999999</v>
      </c>
      <c r="G93" s="60">
        <f>'REC Delivery Model'!E10+'REC Delivery Model'!I10</f>
        <v>1296588.5739500469</v>
      </c>
      <c r="H93" s="21">
        <f t="shared" si="29"/>
        <v>634668.97396260232</v>
      </c>
      <c r="I93" s="21">
        <f t="shared" si="29"/>
        <v>2399644.0449999999</v>
      </c>
      <c r="J93" s="60">
        <f t="shared" si="30"/>
        <v>10193775.167512648</v>
      </c>
      <c r="K93" s="21">
        <f>'Collections and ACP'!F117</f>
        <v>33570903.149883009</v>
      </c>
      <c r="L93" s="192">
        <f t="shared" si="31"/>
        <v>23377127.982370362</v>
      </c>
      <c r="P93" s="205"/>
    </row>
    <row r="94" spans="2:26" x14ac:dyDescent="0.3">
      <c r="C94" s="185" t="s">
        <v>151</v>
      </c>
      <c r="D94" s="21">
        <f>'REC Delivery Model'!F11</f>
        <v>1861725</v>
      </c>
      <c r="E94" s="21">
        <f>'REC Delivery Model'!G11</f>
        <v>0</v>
      </c>
      <c r="F94" s="165">
        <f>'REC Delivery Model'!H11</f>
        <v>4001148.5745999999</v>
      </c>
      <c r="G94" s="60">
        <f>'REC Delivery Model'!E11+'REC Delivery Model'!I11</f>
        <v>1289945.1873260573</v>
      </c>
      <c r="H94" s="21">
        <f t="shared" si="29"/>
        <v>631495.62909278937</v>
      </c>
      <c r="I94" s="21">
        <f t="shared" si="29"/>
        <v>2389945.8247750001</v>
      </c>
      <c r="J94" s="60">
        <f t="shared" si="30"/>
        <v>10174260.215793846</v>
      </c>
      <c r="K94" s="21">
        <f>'Collections and ACP'!F118</f>
        <v>37276269.831303</v>
      </c>
      <c r="L94" s="192">
        <f t="shared" si="31"/>
        <v>27102009.615509152</v>
      </c>
      <c r="P94" s="205"/>
    </row>
    <row r="95" spans="2:26" x14ac:dyDescent="0.3">
      <c r="C95" s="185" t="s">
        <v>152</v>
      </c>
      <c r="D95" s="21">
        <f>'REC Delivery Model'!F12</f>
        <v>1861725</v>
      </c>
      <c r="E95" s="21">
        <f>'REC Delivery Model'!G12</f>
        <v>0</v>
      </c>
      <c r="F95" s="165">
        <f>'REC Delivery Model'!H12</f>
        <v>4001148.5745999999</v>
      </c>
      <c r="G95" s="60">
        <f>'REC Delivery Model'!E12+'REC Delivery Model'!I12</f>
        <v>1283842.214987312</v>
      </c>
      <c r="H95" s="21">
        <f t="shared" si="29"/>
        <v>628338.15094732551</v>
      </c>
      <c r="I95" s="21">
        <f t="shared" si="29"/>
        <v>2380296.0956511246</v>
      </c>
      <c r="J95" s="60">
        <f t="shared" si="30"/>
        <v>10155350.036185762</v>
      </c>
      <c r="K95" s="21">
        <f>'Collections and ACP'!F119</f>
        <v>41078329.714906178</v>
      </c>
      <c r="L95" s="192">
        <f t="shared" si="31"/>
        <v>30922979.678720415</v>
      </c>
      <c r="P95" s="205"/>
    </row>
    <row r="96" spans="2:26" x14ac:dyDescent="0.3">
      <c r="C96" s="185" t="s">
        <v>153</v>
      </c>
      <c r="D96" s="21">
        <f>'REC Delivery Model'!F13</f>
        <v>1861725</v>
      </c>
      <c r="E96" s="21">
        <f>'REC Delivery Model'!G13</f>
        <v>0</v>
      </c>
      <c r="F96" s="165">
        <f>'REC Delivery Model'!H13</f>
        <v>4001148.5745999999</v>
      </c>
      <c r="G96" s="60">
        <f>'REC Delivery Model'!E13+'REC Delivery Model'!I13</f>
        <v>1277566.8146444117</v>
      </c>
      <c r="H96" s="21">
        <f t="shared" si="29"/>
        <v>625196.46019258886</v>
      </c>
      <c r="I96" s="21">
        <f t="shared" si="29"/>
        <v>2370694.6151728695</v>
      </c>
      <c r="J96" s="60">
        <f t="shared" si="30"/>
        <v>10136331.464609869</v>
      </c>
      <c r="K96" s="21">
        <f>'Collections and ACP'!F120</f>
        <v>44756858.107680932</v>
      </c>
      <c r="L96" s="192">
        <f t="shared" si="31"/>
        <v>34620526.643071063</v>
      </c>
      <c r="P96" s="205"/>
    </row>
    <row r="97" spans="2:16" x14ac:dyDescent="0.3">
      <c r="C97" s="185" t="s">
        <v>154</v>
      </c>
      <c r="D97" s="21">
        <f>'REC Delivery Model'!F14</f>
        <v>1861725</v>
      </c>
      <c r="E97" s="21">
        <f>'REC Delivery Model'!G14</f>
        <v>0</v>
      </c>
      <c r="F97" s="165">
        <f>'REC Delivery Model'!H14</f>
        <v>4001148.5745999999</v>
      </c>
      <c r="G97" s="60">
        <f>'REC Delivery Model'!E14+'REC Delivery Model'!I14</f>
        <v>1271621.4421854771</v>
      </c>
      <c r="H97" s="21">
        <f t="shared" si="29"/>
        <v>622070.47789162584</v>
      </c>
      <c r="I97" s="21">
        <f t="shared" si="29"/>
        <v>2361141.1420970052</v>
      </c>
      <c r="J97" s="60">
        <f t="shared" si="30"/>
        <v>10117706.636774108</v>
      </c>
      <c r="K97" s="21">
        <f>'Collections and ACP'!F121</f>
        <v>48533851.259857744</v>
      </c>
      <c r="L97" s="192">
        <f t="shared" si="31"/>
        <v>38416144.623083636</v>
      </c>
      <c r="P97" s="205"/>
    </row>
    <row r="98" spans="2:16" x14ac:dyDescent="0.3">
      <c r="C98" s="262" t="s">
        <v>155</v>
      </c>
      <c r="D98" s="21">
        <f>'REC Delivery Model'!F15</f>
        <v>1861725</v>
      </c>
      <c r="E98" s="21">
        <f>'REC Delivery Model'!G15</f>
        <v>0</v>
      </c>
      <c r="F98" s="165">
        <f>'REC Delivery Model'!H15</f>
        <v>4001148.5745999999</v>
      </c>
      <c r="G98" s="60">
        <f>'REC Delivery Model'!E15+'REC Delivery Model'!I15</f>
        <v>1261248.1243816298</v>
      </c>
      <c r="H98" s="21">
        <f t="shared" si="29"/>
        <v>618960.12550216774</v>
      </c>
      <c r="I98" s="21">
        <f t="shared" si="29"/>
        <v>2351635.43638652</v>
      </c>
      <c r="J98" s="60">
        <f t="shared" si="30"/>
        <v>10094717.260870317</v>
      </c>
      <c r="K98" s="21">
        <f>'Collections and ACP'!F122</f>
        <v>49808422.106116705</v>
      </c>
      <c r="L98" s="192">
        <f t="shared" si="31"/>
        <v>39713704.84524639</v>
      </c>
      <c r="P98" s="205"/>
    </row>
    <row r="99" spans="2:16" x14ac:dyDescent="0.3">
      <c r="C99" s="185" t="s">
        <v>156</v>
      </c>
      <c r="D99" s="21">
        <f>'REC Delivery Model'!F16</f>
        <v>0</v>
      </c>
      <c r="E99" s="21">
        <f>'REC Delivery Model'!G16</f>
        <v>0</v>
      </c>
      <c r="F99" s="165">
        <f>'REC Delivery Model'!H16</f>
        <v>4001148.5745999999</v>
      </c>
      <c r="G99" s="60">
        <f>'REC Delivery Model'!E16+'REC Delivery Model'!I16</f>
        <v>1258316.2940146669</v>
      </c>
      <c r="H99" s="21">
        <f t="shared" si="29"/>
        <v>615865.32487465697</v>
      </c>
      <c r="I99" s="21">
        <f t="shared" si="29"/>
        <v>2342177.259204587</v>
      </c>
      <c r="J99" s="60">
        <f t="shared" si="30"/>
        <v>8217507.4526939113</v>
      </c>
      <c r="K99" s="21">
        <f>'Collections and ACP'!F123</f>
        <v>51272192.199539334</v>
      </c>
      <c r="L99" s="192">
        <f t="shared" si="31"/>
        <v>43054684.746845424</v>
      </c>
      <c r="P99" s="205"/>
    </row>
    <row r="100" spans="2:16" x14ac:dyDescent="0.3">
      <c r="C100" s="185" t="s">
        <v>157</v>
      </c>
      <c r="D100" s="21">
        <f>'REC Delivery Model'!F17</f>
        <v>0</v>
      </c>
      <c r="E100" s="21">
        <f>'REC Delivery Model'!G17</f>
        <v>0</v>
      </c>
      <c r="F100" s="165">
        <f>'REC Delivery Model'!H17</f>
        <v>3571148.5745999999</v>
      </c>
      <c r="G100" s="60">
        <f>'REC Delivery Model'!E17+'REC Delivery Model'!I17</f>
        <v>1255178.4896424208</v>
      </c>
      <c r="H100" s="21">
        <f t="shared" si="29"/>
        <v>612785.99825028342</v>
      </c>
      <c r="I100" s="21">
        <f t="shared" si="29"/>
        <v>2332766.3729085643</v>
      </c>
      <c r="J100" s="60">
        <f t="shared" si="30"/>
        <v>7771879.4354012683</v>
      </c>
      <c r="K100" s="21">
        <f>'Collections and ACP'!F124</f>
        <v>52511963.78332454</v>
      </c>
      <c r="L100" s="192">
        <f t="shared" si="31"/>
        <v>44740084.347923271</v>
      </c>
      <c r="P100" s="205"/>
    </row>
    <row r="101" spans="2:16" x14ac:dyDescent="0.3">
      <c r="C101" s="185" t="s">
        <v>158</v>
      </c>
      <c r="D101" s="21">
        <f>'REC Delivery Model'!F18</f>
        <v>0</v>
      </c>
      <c r="E101" s="21">
        <f>'REC Delivery Model'!G18</f>
        <v>0</v>
      </c>
      <c r="F101" s="165">
        <f>'REC Delivery Model'!H18</f>
        <v>3571148.5745999999</v>
      </c>
      <c r="G101" s="60">
        <f>'REC Delivery Model'!E18+'REC Delivery Model'!I18</f>
        <v>1124106.5374679584</v>
      </c>
      <c r="H101" s="21">
        <f t="shared" si="29"/>
        <v>609722.06825903221</v>
      </c>
      <c r="I101" s="21">
        <f t="shared" si="29"/>
        <v>2323402.5410440215</v>
      </c>
      <c r="J101" s="60">
        <f t="shared" si="30"/>
        <v>7628379.7213710118</v>
      </c>
      <c r="K101" s="21">
        <f>'Collections and ACP'!F125</f>
        <v>53843558.60057117</v>
      </c>
      <c r="L101" s="192">
        <f t="shared" si="31"/>
        <v>46215178.879200161</v>
      </c>
      <c r="P101" s="205"/>
    </row>
    <row r="102" spans="2:16" x14ac:dyDescent="0.3">
      <c r="C102" s="185" t="s">
        <v>159</v>
      </c>
      <c r="D102" s="21">
        <f>'REC Delivery Model'!F19</f>
        <v>0</v>
      </c>
      <c r="E102" s="21">
        <f>'REC Delivery Model'!G19</f>
        <v>0</v>
      </c>
      <c r="F102" s="165">
        <f>'REC Delivery Model'!H19</f>
        <v>3271148.5745999999</v>
      </c>
      <c r="G102" s="60">
        <f>'REC Delivery Model'!E19+'REC Delivery Model'!I19</f>
        <v>648419.86434194515</v>
      </c>
      <c r="H102" s="21">
        <f t="shared" si="29"/>
        <v>606673.45791773708</v>
      </c>
      <c r="I102" s="21">
        <f t="shared" si="29"/>
        <v>2314085.5283388011</v>
      </c>
      <c r="J102" s="60">
        <f t="shared" si="30"/>
        <v>6840327.4251984833</v>
      </c>
      <c r="K102" s="21">
        <f>'Collections and ACP'!F126</f>
        <v>55239133.521410465</v>
      </c>
      <c r="L102" s="192">
        <f t="shared" si="31"/>
        <v>48398806.096211985</v>
      </c>
      <c r="P102" s="205"/>
    </row>
    <row r="103" spans="2:16" x14ac:dyDescent="0.3">
      <c r="C103" s="185" t="s">
        <v>314</v>
      </c>
      <c r="D103" s="21">
        <f>'REC Delivery Model'!F20</f>
        <v>0</v>
      </c>
      <c r="E103" s="21">
        <f>'REC Delivery Model'!G20</f>
        <v>0</v>
      </c>
      <c r="F103" s="165">
        <f>'REC Delivery Model'!H20</f>
        <v>0</v>
      </c>
      <c r="G103" s="60">
        <f>'REC Delivery Model'!E20+'REC Delivery Model'!I20</f>
        <v>223142.8222349303</v>
      </c>
      <c r="H103" s="21">
        <f t="shared" ref="H103:I109" si="32">G130</f>
        <v>603640.09062814829</v>
      </c>
      <c r="I103" s="21">
        <f t="shared" si="32"/>
        <v>2304815.1006971076</v>
      </c>
      <c r="J103" s="60">
        <f t="shared" si="30"/>
        <v>3131598.0135601861</v>
      </c>
      <c r="K103" s="21">
        <f>'Collections and ACP'!F127</f>
        <v>56727067.093467332</v>
      </c>
      <c r="L103" s="192">
        <f t="shared" si="31"/>
        <v>53595469.079907149</v>
      </c>
      <c r="P103" s="205"/>
    </row>
    <row r="104" spans="2:16" x14ac:dyDescent="0.3">
      <c r="C104" s="185" t="s">
        <v>315</v>
      </c>
      <c r="D104" s="21">
        <f>'REC Delivery Model'!F21</f>
        <v>0</v>
      </c>
      <c r="E104" s="21">
        <f>'REC Delivery Model'!G21</f>
        <v>0</v>
      </c>
      <c r="F104" s="165">
        <f>'REC Delivery Model'!H21</f>
        <v>0</v>
      </c>
      <c r="G104" s="60">
        <f>'REC Delivery Model'!E21+'REC Delivery Model'!I21</f>
        <v>60312.326277697503</v>
      </c>
      <c r="H104" s="21">
        <f t="shared" si="32"/>
        <v>350205.60392179945</v>
      </c>
      <c r="I104" s="21">
        <f t="shared" si="32"/>
        <v>2295591.0251936214</v>
      </c>
      <c r="J104" s="60">
        <f t="shared" si="30"/>
        <v>2706108.9553931183</v>
      </c>
      <c r="K104" s="21">
        <f>'Collections and ACP'!F128</f>
        <v>58042457.098967724</v>
      </c>
      <c r="L104" s="192">
        <f t="shared" si="31"/>
        <v>55336348.143574603</v>
      </c>
      <c r="P104" s="205"/>
    </row>
    <row r="105" spans="2:16" x14ac:dyDescent="0.3">
      <c r="C105" s="185" t="s">
        <v>316</v>
      </c>
      <c r="D105" s="21">
        <f>'REC Delivery Model'!F22</f>
        <v>0</v>
      </c>
      <c r="E105" s="21">
        <f>'REC Delivery Model'!G22</f>
        <v>0</v>
      </c>
      <c r="F105" s="165">
        <f>'REC Delivery Model'!H22</f>
        <v>0</v>
      </c>
      <c r="G105" s="60">
        <f>'REC Delivery Model'!E22+'REC Delivery Model'!I22</f>
        <v>59857.275492589011</v>
      </c>
      <c r="H105" s="21">
        <f t="shared" si="32"/>
        <v>344333.23893372319</v>
      </c>
      <c r="I105" s="21">
        <f t="shared" si="32"/>
        <v>2286413.0700676534</v>
      </c>
      <c r="J105" s="60">
        <f t="shared" si="30"/>
        <v>2690603.5844939658</v>
      </c>
      <c r="K105" s="21">
        <f>'Collections and ACP'!F129</f>
        <v>59525388.88160836</v>
      </c>
      <c r="L105" s="192">
        <f t="shared" si="31"/>
        <v>56834785.297114395</v>
      </c>
      <c r="P105" s="205"/>
    </row>
    <row r="106" spans="2:16" x14ac:dyDescent="0.3">
      <c r="C106" s="185" t="s">
        <v>317</v>
      </c>
      <c r="D106" s="21">
        <f>'REC Delivery Model'!F23</f>
        <v>0</v>
      </c>
      <c r="E106" s="21">
        <f>'REC Delivery Model'!G23</f>
        <v>0</v>
      </c>
      <c r="F106" s="165">
        <f>'REC Delivery Model'!H23</f>
        <v>0</v>
      </c>
      <c r="G106" s="60">
        <f>'REC Delivery Model'!E23+'REC Delivery Model'!I23</f>
        <v>59557.989115126067</v>
      </c>
      <c r="H106" s="21">
        <f t="shared" si="32"/>
        <v>342611.57273905457</v>
      </c>
      <c r="I106" s="21">
        <f t="shared" si="32"/>
        <v>2277281.0047173155</v>
      </c>
      <c r="J106" s="60">
        <f t="shared" si="30"/>
        <v>2679450.5665714964</v>
      </c>
      <c r="K106" s="21">
        <f>'Collections and ACP'!F130</f>
        <v>60868591.18679966</v>
      </c>
      <c r="L106" s="192">
        <f t="shared" si="31"/>
        <v>58189140.620228164</v>
      </c>
      <c r="P106" s="205"/>
    </row>
    <row r="107" spans="2:16" x14ac:dyDescent="0.3">
      <c r="C107" s="185" t="s">
        <v>318</v>
      </c>
      <c r="D107" s="21">
        <f>'REC Delivery Model'!F24</f>
        <v>0</v>
      </c>
      <c r="E107" s="21">
        <f>'REC Delivery Model'!G24</f>
        <v>0</v>
      </c>
      <c r="F107" s="165">
        <f>'REC Delivery Model'!H24</f>
        <v>0</v>
      </c>
      <c r="G107" s="60">
        <f>'REC Delivery Model'!E24+'REC Delivery Model'!I24</f>
        <v>59260.199169550433</v>
      </c>
      <c r="H107" s="21">
        <f t="shared" si="32"/>
        <v>340898.51487535931</v>
      </c>
      <c r="I107" s="21">
        <f t="shared" si="32"/>
        <v>2268194.5996937286</v>
      </c>
      <c r="J107" s="60">
        <f t="shared" si="30"/>
        <v>2668353.3137386385</v>
      </c>
      <c r="K107" s="21">
        <f>'Collections and ACP'!F131</f>
        <v>62242103.120648056</v>
      </c>
      <c r="L107" s="192">
        <f t="shared" si="31"/>
        <v>59573749.80690942</v>
      </c>
      <c r="P107" s="205"/>
    </row>
    <row r="108" spans="2:16" x14ac:dyDescent="0.3">
      <c r="C108" s="185" t="s">
        <v>319</v>
      </c>
      <c r="D108" s="21">
        <f>'REC Delivery Model'!F25</f>
        <v>0</v>
      </c>
      <c r="E108" s="21">
        <f>'REC Delivery Model'!G25</f>
        <v>0</v>
      </c>
      <c r="F108" s="165">
        <f>'REC Delivery Model'!H25</f>
        <v>0</v>
      </c>
      <c r="G108" s="60">
        <f>'REC Delivery Model'!E25+'REC Delivery Model'!I25</f>
        <v>58963.898173702677</v>
      </c>
      <c r="H108" s="21">
        <f t="shared" si="32"/>
        <v>339194.02230098256</v>
      </c>
      <c r="I108" s="21">
        <f t="shared" si="32"/>
        <v>2259153.6266952599</v>
      </c>
      <c r="J108" s="60">
        <f t="shared" si="30"/>
        <v>2657311.5471699452</v>
      </c>
      <c r="K108" s="21">
        <f>'Collections and ACP'!F132</f>
        <v>62242092.507341288</v>
      </c>
      <c r="L108" s="192">
        <f t="shared" si="31"/>
        <v>59584780.960171342</v>
      </c>
      <c r="P108" s="205"/>
    </row>
    <row r="109" spans="2:16" x14ac:dyDescent="0.3">
      <c r="C109" s="185" t="s">
        <v>320</v>
      </c>
      <c r="D109" s="21">
        <f>'REC Delivery Model'!F26</f>
        <v>0</v>
      </c>
      <c r="E109" s="21">
        <f>'REC Delivery Model'!G26</f>
        <v>0</v>
      </c>
      <c r="F109" s="165">
        <f>'REC Delivery Model'!H26</f>
        <v>0</v>
      </c>
      <c r="G109" s="60">
        <f>'REC Delivery Model'!E26+'REC Delivery Model'!I26</f>
        <v>58669.078682834166</v>
      </c>
      <c r="H109" s="21">
        <f t="shared" si="32"/>
        <v>336627.19762921083</v>
      </c>
      <c r="I109" s="21">
        <f t="shared" si="32"/>
        <v>2250157.8585617836</v>
      </c>
      <c r="J109" s="60">
        <f t="shared" si="30"/>
        <v>2645454.1348738284</v>
      </c>
      <c r="K109" s="21">
        <f>'Collections and ACP'!F133</f>
        <v>62242092.507341288</v>
      </c>
      <c r="L109" s="192">
        <f t="shared" si="31"/>
        <v>59596638.372467458</v>
      </c>
      <c r="P109" s="205"/>
    </row>
    <row r="110" spans="2:16" x14ac:dyDescent="0.3">
      <c r="D110" s="187"/>
      <c r="E110" s="187"/>
      <c r="F110" s="188"/>
      <c r="G110" s="189"/>
      <c r="H110" s="187"/>
      <c r="I110" s="190"/>
      <c r="J110" s="202"/>
    </row>
    <row r="111" spans="2:16" x14ac:dyDescent="0.3">
      <c r="B111" s="191" t="s">
        <v>199</v>
      </c>
    </row>
    <row r="113" spans="3:11" ht="43.2" x14ac:dyDescent="0.3">
      <c r="C113" s="54" t="s">
        <v>43</v>
      </c>
      <c r="D113" s="54" t="s">
        <v>200</v>
      </c>
      <c r="E113" s="54" t="s">
        <v>196</v>
      </c>
      <c r="F113" s="54" t="s">
        <v>253</v>
      </c>
      <c r="G113" s="54" t="s">
        <v>254</v>
      </c>
      <c r="H113" s="54" t="s">
        <v>336</v>
      </c>
      <c r="I113" s="54" t="s">
        <v>4</v>
      </c>
      <c r="J113" s="54" t="s">
        <v>201</v>
      </c>
      <c r="K113" s="54" t="s">
        <v>202</v>
      </c>
    </row>
    <row r="114" spans="3:11" x14ac:dyDescent="0.3">
      <c r="C114" s="185" t="s">
        <v>144</v>
      </c>
      <c r="D114" s="21">
        <f t="shared" ref="D114:D136" si="33">D87</f>
        <v>1861725</v>
      </c>
      <c r="E114" s="21">
        <f t="shared" ref="E114:F124" si="34">F87</f>
        <v>730000</v>
      </c>
      <c r="F114" s="21">
        <f t="shared" si="34"/>
        <v>710879.50247266702</v>
      </c>
      <c r="G114" s="21">
        <v>0</v>
      </c>
      <c r="H114" s="21"/>
      <c r="I114" s="60">
        <f t="shared" ref="I114:I136" si="35">SUM(D114:H114)</f>
        <v>3302604.502472667</v>
      </c>
      <c r="J114" s="21">
        <f t="shared" ref="J114:J136" si="36">K87-I114</f>
        <v>17846577.656317368</v>
      </c>
      <c r="K114" s="164">
        <f>'Collections and ACP'!D111</f>
        <v>0.17500000000000004</v>
      </c>
    </row>
    <row r="115" spans="3:11" x14ac:dyDescent="0.3">
      <c r="C115" s="185" t="s">
        <v>145</v>
      </c>
      <c r="D115" s="21">
        <f t="shared" si="33"/>
        <v>1861725</v>
      </c>
      <c r="E115" s="21">
        <f t="shared" si="34"/>
        <v>2983670.5745999999</v>
      </c>
      <c r="F115" s="21">
        <f t="shared" si="34"/>
        <v>1093239.1429146675</v>
      </c>
      <c r="G115" s="21">
        <v>0</v>
      </c>
      <c r="H115" s="21">
        <v>0</v>
      </c>
      <c r="I115" s="60">
        <f t="shared" si="35"/>
        <v>5938634.7175146677</v>
      </c>
      <c r="J115" s="21">
        <f t="shared" si="36"/>
        <v>16846817.96730854</v>
      </c>
      <c r="K115" s="164">
        <f>'Collections and ACP'!D112</f>
        <v>0.19000000000000006</v>
      </c>
    </row>
    <row r="116" spans="3:11" x14ac:dyDescent="0.3">
      <c r="C116" s="185" t="s">
        <v>146</v>
      </c>
      <c r="D116" s="21">
        <f t="shared" si="33"/>
        <v>1861725</v>
      </c>
      <c r="E116" s="21">
        <f t="shared" si="34"/>
        <v>4001148.5745999999</v>
      </c>
      <c r="F116" s="21">
        <f t="shared" si="34"/>
        <v>1177057.653438265</v>
      </c>
      <c r="G116" s="21">
        <f>'Reopening Summary'!B11</f>
        <v>270933.21471990406</v>
      </c>
      <c r="H116" s="21">
        <v>0</v>
      </c>
      <c r="I116" s="60">
        <f t="shared" si="35"/>
        <v>7310864.4427581681</v>
      </c>
      <c r="J116" s="21">
        <f t="shared" si="36"/>
        <v>17351112.769831952</v>
      </c>
      <c r="K116" s="164">
        <f>'Collections and ACP'!D113</f>
        <v>0.20500000000000007</v>
      </c>
    </row>
    <row r="117" spans="3:11" x14ac:dyDescent="0.3">
      <c r="C117" s="185" t="s">
        <v>147</v>
      </c>
      <c r="D117" s="21">
        <f t="shared" si="33"/>
        <v>1861725</v>
      </c>
      <c r="E117" s="21">
        <f t="shared" si="34"/>
        <v>4001148.5745999999</v>
      </c>
      <c r="F117" s="21">
        <f t="shared" si="34"/>
        <v>1314907.3343563289</v>
      </c>
      <c r="G117" s="21">
        <f>'Reopening Summary'!C11</f>
        <v>644285.00824630458</v>
      </c>
      <c r="H117" s="21">
        <v>0</v>
      </c>
      <c r="I117" s="60">
        <f t="shared" si="35"/>
        <v>7822065.9172026329</v>
      </c>
      <c r="J117" s="21">
        <f t="shared" si="36"/>
        <v>18708334.896185957</v>
      </c>
      <c r="K117" s="164">
        <f>'Collections and ACP'!D114</f>
        <v>0.22000000000000008</v>
      </c>
    </row>
    <row r="118" spans="3:11" x14ac:dyDescent="0.3">
      <c r="C118" s="185" t="s">
        <v>148</v>
      </c>
      <c r="D118" s="21">
        <f t="shared" si="33"/>
        <v>1861725</v>
      </c>
      <c r="E118" s="21">
        <f t="shared" si="34"/>
        <v>4001148.5745999999</v>
      </c>
      <c r="F118" s="21">
        <f t="shared" si="34"/>
        <v>1308770.015585033</v>
      </c>
      <c r="G118" s="21">
        <f>'Reopening Summary'!D11</f>
        <v>641063.58320507302</v>
      </c>
      <c r="H118" s="21">
        <v>0</v>
      </c>
      <c r="I118" s="60">
        <f t="shared" si="35"/>
        <v>7812707.1733901063</v>
      </c>
      <c r="J118" s="21">
        <f t="shared" si="36"/>
        <v>20430387.087274686</v>
      </c>
      <c r="K118" s="164">
        <f>'Collections and ACP'!D115</f>
        <v>0.2350000000000001</v>
      </c>
    </row>
    <row r="119" spans="3:11" x14ac:dyDescent="0.3">
      <c r="C119" s="185" t="s">
        <v>149</v>
      </c>
      <c r="D119" s="21">
        <f t="shared" si="33"/>
        <v>1861725</v>
      </c>
      <c r="E119" s="21">
        <f t="shared" si="34"/>
        <v>4001148.5745999999</v>
      </c>
      <c r="F119" s="21">
        <f t="shared" si="34"/>
        <v>1302669.4659517191</v>
      </c>
      <c r="G119" s="21">
        <f>SUM('Reopening Summary'!E2:E7)</f>
        <v>637858.26528904762</v>
      </c>
      <c r="H119" s="21">
        <f>'Fall 2022 Procurement'!L9</f>
        <v>2409391</v>
      </c>
      <c r="I119" s="60">
        <f t="shared" si="35"/>
        <v>10212792.305840768</v>
      </c>
      <c r="J119" s="21">
        <f t="shared" si="36"/>
        <v>19729136.431708965</v>
      </c>
      <c r="K119" s="164">
        <f>'Collections and ACP'!D116</f>
        <v>0.25000000000000011</v>
      </c>
    </row>
    <row r="120" spans="3:11" x14ac:dyDescent="0.3">
      <c r="C120" s="185" t="s">
        <v>150</v>
      </c>
      <c r="D120" s="21">
        <f t="shared" si="33"/>
        <v>1861725</v>
      </c>
      <c r="E120" s="21">
        <f t="shared" si="34"/>
        <v>4001148.5745999999</v>
      </c>
      <c r="F120" s="21">
        <f t="shared" si="34"/>
        <v>1296588.5739500469</v>
      </c>
      <c r="G120" s="21">
        <f>SUM('Reopening Summary'!F2:F7)</f>
        <v>634668.97396260232</v>
      </c>
      <c r="H120" s="21">
        <f>'Fall 2022 Procurement'!L10</f>
        <v>2399644.0449999999</v>
      </c>
      <c r="I120" s="60">
        <f t="shared" si="35"/>
        <v>10193775.167512648</v>
      </c>
      <c r="J120" s="21">
        <f t="shared" si="36"/>
        <v>23377127.982370362</v>
      </c>
      <c r="K120" s="164">
        <f>'Collections and ACP'!D117</f>
        <v>0.28000000000000003</v>
      </c>
    </row>
    <row r="121" spans="3:11" x14ac:dyDescent="0.3">
      <c r="C121" s="185" t="s">
        <v>151</v>
      </c>
      <c r="D121" s="21">
        <f t="shared" si="33"/>
        <v>1861725</v>
      </c>
      <c r="E121" s="21">
        <f t="shared" si="34"/>
        <v>4001148.5745999999</v>
      </c>
      <c r="F121" s="21">
        <f t="shared" si="34"/>
        <v>1289945.1873260573</v>
      </c>
      <c r="G121" s="21">
        <f>SUM('Reopening Summary'!G2:G7)</f>
        <v>631495.62909278937</v>
      </c>
      <c r="H121" s="21">
        <f>'Fall 2022 Procurement'!L11</f>
        <v>2389945.8247750001</v>
      </c>
      <c r="I121" s="60">
        <f t="shared" si="35"/>
        <v>10174260.215793846</v>
      </c>
      <c r="J121" s="21">
        <f t="shared" si="36"/>
        <v>27102009.615509152</v>
      </c>
      <c r="K121" s="164">
        <f>'Collections and ACP'!D118</f>
        <v>0.31</v>
      </c>
    </row>
    <row r="122" spans="3:11" x14ac:dyDescent="0.3">
      <c r="C122" s="185" t="s">
        <v>152</v>
      </c>
      <c r="D122" s="21">
        <f t="shared" si="33"/>
        <v>1861725</v>
      </c>
      <c r="E122" s="21">
        <f t="shared" si="34"/>
        <v>4001148.5745999999</v>
      </c>
      <c r="F122" s="21">
        <f t="shared" si="34"/>
        <v>1283842.214987312</v>
      </c>
      <c r="G122" s="21">
        <f>SUM('Reopening Summary'!H2:H7)</f>
        <v>628338.15094732551</v>
      </c>
      <c r="H122" s="21">
        <f>'Fall 2022 Procurement'!L12</f>
        <v>2380296.0956511246</v>
      </c>
      <c r="I122" s="60">
        <f t="shared" si="35"/>
        <v>10155350.036185762</v>
      </c>
      <c r="J122" s="21">
        <f t="shared" si="36"/>
        <v>30922979.678720415</v>
      </c>
      <c r="K122" s="164">
        <f>'Collections and ACP'!D119</f>
        <v>0.34</v>
      </c>
    </row>
    <row r="123" spans="3:11" x14ac:dyDescent="0.3">
      <c r="C123" s="185" t="s">
        <v>153</v>
      </c>
      <c r="D123" s="21">
        <f t="shared" si="33"/>
        <v>1861725</v>
      </c>
      <c r="E123" s="21">
        <f t="shared" si="34"/>
        <v>4001148.5745999999</v>
      </c>
      <c r="F123" s="21">
        <f t="shared" si="34"/>
        <v>1277566.8146444117</v>
      </c>
      <c r="G123" s="21">
        <f>SUM('Reopening Summary'!I2:I7)</f>
        <v>625196.46019258886</v>
      </c>
      <c r="H123" s="21">
        <f>'Fall 2022 Procurement'!L13</f>
        <v>2370694.6151728695</v>
      </c>
      <c r="I123" s="60">
        <f t="shared" si="35"/>
        <v>10136331.464609869</v>
      </c>
      <c r="J123" s="21">
        <f t="shared" si="36"/>
        <v>34620526.643071063</v>
      </c>
      <c r="K123" s="164">
        <f>'Collections and ACP'!D120</f>
        <v>0.37</v>
      </c>
    </row>
    <row r="124" spans="3:11" x14ac:dyDescent="0.3">
      <c r="C124" s="185" t="s">
        <v>154</v>
      </c>
      <c r="D124" s="21">
        <f t="shared" si="33"/>
        <v>1861725</v>
      </c>
      <c r="E124" s="21">
        <f t="shared" si="34"/>
        <v>4001148.5745999999</v>
      </c>
      <c r="F124" s="21">
        <f t="shared" si="34"/>
        <v>1271621.4421854771</v>
      </c>
      <c r="G124" s="21">
        <f>SUM('Reopening Summary'!J2:J7)</f>
        <v>622070.47789162584</v>
      </c>
      <c r="H124" s="21">
        <f>'Fall 2022 Procurement'!L14</f>
        <v>2361141.1420970052</v>
      </c>
      <c r="I124" s="60">
        <f t="shared" si="35"/>
        <v>10117706.636774108</v>
      </c>
      <c r="J124" s="21">
        <f t="shared" si="36"/>
        <v>38416144.623083636</v>
      </c>
      <c r="K124" s="164">
        <f>'Collections and ACP'!D121</f>
        <v>0.4</v>
      </c>
    </row>
    <row r="125" spans="3:11" x14ac:dyDescent="0.3">
      <c r="C125" s="262" t="s">
        <v>155</v>
      </c>
      <c r="D125" s="21">
        <f t="shared" si="33"/>
        <v>1861725</v>
      </c>
      <c r="E125" s="21">
        <f t="shared" ref="E125:F125" si="37">F98</f>
        <v>4001148.5745999999</v>
      </c>
      <c r="F125" s="21">
        <f t="shared" si="37"/>
        <v>1261248.1243816298</v>
      </c>
      <c r="G125" s="21">
        <f>SUM('Reopening Summary'!K2:K7)</f>
        <v>618960.12550216774</v>
      </c>
      <c r="H125" s="21">
        <f>'Fall 2022 Procurement'!L15</f>
        <v>2351635.43638652</v>
      </c>
      <c r="I125" s="60">
        <f t="shared" si="35"/>
        <v>10094717.260870317</v>
      </c>
      <c r="J125" s="21">
        <f t="shared" si="36"/>
        <v>39713704.84524639</v>
      </c>
      <c r="K125" s="164">
        <f>'Collections and ACP'!D122</f>
        <v>0.40902608000000001</v>
      </c>
    </row>
    <row r="126" spans="3:11" x14ac:dyDescent="0.3">
      <c r="C126" s="185" t="s">
        <v>156</v>
      </c>
      <c r="D126" s="21">
        <f t="shared" si="33"/>
        <v>0</v>
      </c>
      <c r="E126" s="21">
        <f t="shared" ref="E126:F126" si="38">F99</f>
        <v>4001148.5745999999</v>
      </c>
      <c r="F126" s="21">
        <f t="shared" si="38"/>
        <v>1258316.2940146669</v>
      </c>
      <c r="G126" s="21">
        <f>SUM('Reopening Summary'!L2:L7)</f>
        <v>615865.32487465697</v>
      </c>
      <c r="H126" s="21">
        <f>'Fall 2022 Procurement'!L16</f>
        <v>2342177.259204587</v>
      </c>
      <c r="I126" s="60">
        <f t="shared" si="35"/>
        <v>8217507.4526939113</v>
      </c>
      <c r="J126" s="21">
        <f t="shared" si="36"/>
        <v>43054684.746845424</v>
      </c>
      <c r="K126" s="164">
        <f>'Collections and ACP'!D123</f>
        <v>0.41825583530041599</v>
      </c>
    </row>
    <row r="127" spans="3:11" x14ac:dyDescent="0.3">
      <c r="C127" s="185" t="s">
        <v>157</v>
      </c>
      <c r="D127" s="21">
        <f t="shared" si="33"/>
        <v>0</v>
      </c>
      <c r="E127" s="21">
        <f t="shared" ref="E127:F127" si="39">F100</f>
        <v>3571148.5745999999</v>
      </c>
      <c r="F127" s="21">
        <f t="shared" si="39"/>
        <v>1255178.4896424208</v>
      </c>
      <c r="G127" s="21">
        <f>SUM('Reopening Summary'!M2:M7)</f>
        <v>612785.99825028342</v>
      </c>
      <c r="H127" s="21">
        <f>'Fall 2022 Procurement'!L17</f>
        <v>2332766.3729085643</v>
      </c>
      <c r="I127" s="60">
        <f t="shared" si="35"/>
        <v>7771879.4354012683</v>
      </c>
      <c r="J127" s="21">
        <f t="shared" si="36"/>
        <v>44740084.347923271</v>
      </c>
      <c r="K127" s="164">
        <f>'Collections and ACP'!D124</f>
        <v>0.42769386187513697</v>
      </c>
    </row>
    <row r="128" spans="3:11" x14ac:dyDescent="0.3">
      <c r="C128" s="185" t="s">
        <v>158</v>
      </c>
      <c r="D128" s="21">
        <f t="shared" si="33"/>
        <v>0</v>
      </c>
      <c r="E128" s="21">
        <f t="shared" ref="E128:F128" si="40">F101</f>
        <v>3571148.5745999999</v>
      </c>
      <c r="F128" s="21">
        <f t="shared" si="40"/>
        <v>1124106.5374679584</v>
      </c>
      <c r="G128" s="21">
        <f>SUM('Reopening Summary'!N2:N7)</f>
        <v>609722.06825903221</v>
      </c>
      <c r="H128" s="21">
        <f>'Fall 2022 Procurement'!L18</f>
        <v>2323402.5410440215</v>
      </c>
      <c r="I128" s="60">
        <f t="shared" si="35"/>
        <v>7628379.7213710118</v>
      </c>
      <c r="J128" s="21">
        <f t="shared" si="36"/>
        <v>46215178.879200161</v>
      </c>
      <c r="K128" s="164">
        <f>'Collections and ACP'!D125</f>
        <v>0.43734485940712181</v>
      </c>
    </row>
    <row r="129" spans="2:11" x14ac:dyDescent="0.3">
      <c r="C129" s="185" t="s">
        <v>159</v>
      </c>
      <c r="D129" s="21">
        <f t="shared" si="33"/>
        <v>0</v>
      </c>
      <c r="E129" s="21">
        <f t="shared" ref="E129:F129" si="41">F102</f>
        <v>3271148.5745999999</v>
      </c>
      <c r="F129" s="21">
        <f t="shared" si="41"/>
        <v>648419.86434194515</v>
      </c>
      <c r="G129" s="21">
        <f>SUM('Reopening Summary'!O2:O7)</f>
        <v>606673.45791773708</v>
      </c>
      <c r="H129" s="21">
        <f>'Fall 2022 Procurement'!L19</f>
        <v>2314085.5283388011</v>
      </c>
      <c r="I129" s="60">
        <f t="shared" si="35"/>
        <v>6840327.4251984833</v>
      </c>
      <c r="J129" s="21">
        <f t="shared" si="36"/>
        <v>48398806.096211985</v>
      </c>
      <c r="K129" s="164">
        <f>'Collections and ACP'!D126</f>
        <v>0.44721363362861538</v>
      </c>
    </row>
    <row r="130" spans="2:11" x14ac:dyDescent="0.3">
      <c r="C130" s="185" t="s">
        <v>314</v>
      </c>
      <c r="D130" s="21">
        <f t="shared" si="33"/>
        <v>0</v>
      </c>
      <c r="E130" s="21">
        <f t="shared" ref="E130:F130" si="42">F103</f>
        <v>0</v>
      </c>
      <c r="F130" s="21">
        <f t="shared" si="42"/>
        <v>223142.8222349303</v>
      </c>
      <c r="G130" s="21">
        <f>SUM('Reopening Summary'!P2:P7)</f>
        <v>603640.09062814829</v>
      </c>
      <c r="H130" s="21">
        <f>'Fall 2022 Procurement'!L20</f>
        <v>2304815.1006971076</v>
      </c>
      <c r="I130" s="60">
        <f t="shared" si="35"/>
        <v>3131598.0135601861</v>
      </c>
      <c r="J130" s="21">
        <f t="shared" si="36"/>
        <v>53595469.079907149</v>
      </c>
      <c r="K130" s="164">
        <f>'Collections and ACP'!D127</f>
        <v>0.45730509871417185</v>
      </c>
    </row>
    <row r="131" spans="2:11" x14ac:dyDescent="0.3">
      <c r="C131" s="185" t="s">
        <v>315</v>
      </c>
      <c r="D131" s="21">
        <f t="shared" si="33"/>
        <v>0</v>
      </c>
      <c r="E131" s="21">
        <f t="shared" ref="E131:F131" si="43">F104</f>
        <v>0</v>
      </c>
      <c r="F131" s="21">
        <f t="shared" si="43"/>
        <v>60312.326277697503</v>
      </c>
      <c r="G131" s="21">
        <f>SUM('Reopening Summary'!Q2:Q7)</f>
        <v>350205.60392179945</v>
      </c>
      <c r="H131" s="21">
        <f>'Fall 2022 Procurement'!L21</f>
        <v>2295591.0251936214</v>
      </c>
      <c r="I131" s="60">
        <f t="shared" si="35"/>
        <v>2706108.9553931183</v>
      </c>
      <c r="J131" s="21">
        <f t="shared" si="36"/>
        <v>55336348.143574603</v>
      </c>
      <c r="K131" s="164">
        <f>'Collections and ACP'!D128</f>
        <v>0.46762427972767689</v>
      </c>
    </row>
    <row r="132" spans="2:11" x14ac:dyDescent="0.3">
      <c r="C132" s="185" t="s">
        <v>316</v>
      </c>
      <c r="D132" s="21">
        <f t="shared" si="33"/>
        <v>0</v>
      </c>
      <c r="E132" s="21">
        <f t="shared" ref="E132:F132" si="44">F105</f>
        <v>0</v>
      </c>
      <c r="F132" s="21">
        <f t="shared" si="44"/>
        <v>59857.275492589011</v>
      </c>
      <c r="G132" s="21">
        <f>SUM('Reopening Summary'!R2:R7)</f>
        <v>344333.23893372319</v>
      </c>
      <c r="H132" s="21">
        <f>'Fall 2022 Procurement'!L22</f>
        <v>2286413.0700676534</v>
      </c>
      <c r="I132" s="60">
        <f t="shared" si="35"/>
        <v>2690603.5844939658</v>
      </c>
      <c r="J132" s="21">
        <f t="shared" si="36"/>
        <v>56834785.297114395</v>
      </c>
      <c r="K132" s="164">
        <f>'Collections and ACP'!D129</f>
        <v>0.47817631512458791</v>
      </c>
    </row>
    <row r="133" spans="2:11" x14ac:dyDescent="0.3">
      <c r="C133" s="185" t="s">
        <v>317</v>
      </c>
      <c r="D133" s="21">
        <f t="shared" si="33"/>
        <v>0</v>
      </c>
      <c r="E133" s="21">
        <f t="shared" ref="E133:F133" si="45">F106</f>
        <v>0</v>
      </c>
      <c r="F133" s="21">
        <f t="shared" si="45"/>
        <v>59557.989115126067</v>
      </c>
      <c r="G133" s="21">
        <f>SUM('Reopening Summary'!S2:S7)</f>
        <v>342611.57273905457</v>
      </c>
      <c r="H133" s="21">
        <f>'Fall 2022 Procurement'!L23</f>
        <v>2277281.0047173155</v>
      </c>
      <c r="I133" s="60">
        <f t="shared" si="35"/>
        <v>2679450.5665714964</v>
      </c>
      <c r="J133" s="21">
        <f t="shared" si="36"/>
        <v>58189140.620228164</v>
      </c>
      <c r="K133" s="164">
        <f>'Collections and ACP'!D130</f>
        <v>0.48896645931063754</v>
      </c>
    </row>
    <row r="134" spans="2:11" x14ac:dyDescent="0.3">
      <c r="C134" s="185" t="s">
        <v>318</v>
      </c>
      <c r="D134" s="21">
        <f t="shared" si="33"/>
        <v>0</v>
      </c>
      <c r="E134" s="21">
        <f t="shared" ref="E134:F134" si="46">F107</f>
        <v>0</v>
      </c>
      <c r="F134" s="21">
        <f t="shared" si="46"/>
        <v>59260.199169550433</v>
      </c>
      <c r="G134" s="21">
        <f>SUM('Reopening Summary'!T2:T7)</f>
        <v>340898.51487535931</v>
      </c>
      <c r="H134" s="21">
        <f>'Fall 2022 Procurement'!L24</f>
        <v>2268194.5996937286</v>
      </c>
      <c r="I134" s="60">
        <f t="shared" si="35"/>
        <v>2668353.3137386385</v>
      </c>
      <c r="J134" s="21">
        <f t="shared" si="36"/>
        <v>59573749.80690942</v>
      </c>
      <c r="K134" s="164">
        <f>'Collections and ACP'!D131</f>
        <v>0.50000008525827411</v>
      </c>
    </row>
    <row r="135" spans="2:11" x14ac:dyDescent="0.3">
      <c r="C135" s="185" t="s">
        <v>319</v>
      </c>
      <c r="D135" s="21">
        <f t="shared" si="33"/>
        <v>0</v>
      </c>
      <c r="E135" s="21">
        <f t="shared" ref="E135:F135" si="47">F108</f>
        <v>0</v>
      </c>
      <c r="F135" s="21">
        <f t="shared" si="47"/>
        <v>58963.898173702677</v>
      </c>
      <c r="G135" s="21">
        <f>SUM('Reopening Summary'!U2:U7)</f>
        <v>339194.02230098256</v>
      </c>
      <c r="H135" s="21">
        <f>'Fall 2022 Procurement'!L25</f>
        <v>2259153.6266952599</v>
      </c>
      <c r="I135" s="60">
        <f t="shared" si="35"/>
        <v>2657311.5471699452</v>
      </c>
      <c r="J135" s="21">
        <f t="shared" si="36"/>
        <v>59584780.960171342</v>
      </c>
      <c r="K135" s="164">
        <f>'Collections and ACP'!D132</f>
        <v>0.5</v>
      </c>
    </row>
    <row r="136" spans="2:11" x14ac:dyDescent="0.3">
      <c r="C136" s="185" t="s">
        <v>320</v>
      </c>
      <c r="D136" s="21">
        <f t="shared" si="33"/>
        <v>0</v>
      </c>
      <c r="E136" s="21">
        <f t="shared" ref="E136:F136" si="48">F109</f>
        <v>0</v>
      </c>
      <c r="F136" s="21">
        <f t="shared" si="48"/>
        <v>58669.078682834166</v>
      </c>
      <c r="G136" s="291">
        <f>SUM('Reopening Summary'!V2:V7)</f>
        <v>336627.19762921083</v>
      </c>
      <c r="H136" s="21">
        <f>'Fall 2022 Procurement'!L26</f>
        <v>2250157.8585617836</v>
      </c>
      <c r="I136" s="60">
        <f t="shared" si="35"/>
        <v>2645454.1348738284</v>
      </c>
      <c r="J136" s="21">
        <f t="shared" si="36"/>
        <v>59596638.372467458</v>
      </c>
      <c r="K136" s="164">
        <f>'Collections and ACP'!D133</f>
        <v>0.5</v>
      </c>
    </row>
    <row r="138" spans="2:11" x14ac:dyDescent="0.3">
      <c r="B138" s="191" t="s">
        <v>203</v>
      </c>
    </row>
    <row r="140" spans="2:11" ht="43.2" x14ac:dyDescent="0.3">
      <c r="C140" s="54" t="s">
        <v>43</v>
      </c>
      <c r="D140" s="54" t="s">
        <v>204</v>
      </c>
      <c r="E140" s="54" t="s">
        <v>205</v>
      </c>
      <c r="F140" s="54" t="s">
        <v>206</v>
      </c>
      <c r="G140" s="54" t="s">
        <v>207</v>
      </c>
    </row>
    <row r="141" spans="2:11" x14ac:dyDescent="0.3">
      <c r="C141" s="185" t="s">
        <v>144</v>
      </c>
      <c r="D141" s="114">
        <f>'RPS Spend Model'!H3</f>
        <v>11261800.036503479</v>
      </c>
      <c r="E141" s="114">
        <f>'RPS Spend Model'!G3</f>
        <v>0</v>
      </c>
      <c r="F141" s="114">
        <f>'RPS Spend Model'!F3</f>
        <v>6757080.0219020871</v>
      </c>
      <c r="G141" s="114">
        <f t="shared" ref="G141:G162" si="49">D141+E141+F141</f>
        <v>18018880.058405567</v>
      </c>
    </row>
    <row r="142" spans="2:11" x14ac:dyDescent="0.3">
      <c r="C142" s="185" t="s">
        <v>145</v>
      </c>
      <c r="D142" s="114">
        <f>'RPS Spend Model'!H4</f>
        <v>50000000</v>
      </c>
      <c r="E142" s="114">
        <f>'RPS Spend Model'!G4</f>
        <v>10000000</v>
      </c>
      <c r="F142" s="114">
        <f>'RPS Spend Model'!F4</f>
        <v>13942135.092404015</v>
      </c>
      <c r="G142" s="114">
        <f t="shared" si="49"/>
        <v>73942135.092404008</v>
      </c>
    </row>
    <row r="143" spans="2:11" x14ac:dyDescent="0.3">
      <c r="C143" s="185" t="s">
        <v>146</v>
      </c>
      <c r="D143" s="114">
        <f>'RPS Spend Model'!H5</f>
        <v>50000000</v>
      </c>
      <c r="E143" s="114">
        <f>'RPS Spend Model'!G5</f>
        <v>0</v>
      </c>
      <c r="F143" s="114">
        <f>'RPS Spend Model'!F5</f>
        <v>17623889.827927504</v>
      </c>
      <c r="G143" s="114">
        <f t="shared" si="49"/>
        <v>67623889.8279275</v>
      </c>
    </row>
    <row r="144" spans="2:11" x14ac:dyDescent="0.3">
      <c r="C144" s="185" t="s">
        <v>147</v>
      </c>
      <c r="D144" s="114">
        <f>'RPS Spend Model'!H6</f>
        <v>50000000</v>
      </c>
      <c r="E144" s="114">
        <f>'RPS Spend Model'!G6</f>
        <v>0</v>
      </c>
      <c r="F144" s="114">
        <f>'RPS Spend Model'!F6</f>
        <v>17669653.536230855</v>
      </c>
      <c r="G144" s="114">
        <f t="shared" si="49"/>
        <v>67669653.536230862</v>
      </c>
    </row>
    <row r="145" spans="3:7" x14ac:dyDescent="0.3">
      <c r="C145" s="185" t="s">
        <v>148</v>
      </c>
      <c r="D145" s="114">
        <f>'RPS Spend Model'!H7</f>
        <v>50000000</v>
      </c>
      <c r="E145" s="114">
        <f>'RPS Spend Model'!G7</f>
        <v>10000000</v>
      </c>
      <c r="F145" s="114">
        <f>'RPS Spend Model'!F7</f>
        <v>17613455.167095877</v>
      </c>
      <c r="G145" s="114">
        <f t="shared" si="49"/>
        <v>77613455.16709587</v>
      </c>
    </row>
    <row r="146" spans="3:7" x14ac:dyDescent="0.3">
      <c r="C146" s="185" t="s">
        <v>149</v>
      </c>
      <c r="D146" s="114">
        <f>'RPS Spend Model'!H8</f>
        <v>50000000</v>
      </c>
      <c r="E146" s="114">
        <f>'RPS Spend Model'!G8</f>
        <v>0</v>
      </c>
      <c r="F146" s="114">
        <f>'RPS Spend Model'!F8</f>
        <v>17553355.712971777</v>
      </c>
      <c r="G146" s="114">
        <f t="shared" si="49"/>
        <v>67553355.712971777</v>
      </c>
    </row>
    <row r="147" spans="3:7" x14ac:dyDescent="0.3">
      <c r="C147" s="185" t="s">
        <v>150</v>
      </c>
      <c r="D147" s="114">
        <f>'RPS Spend Model'!H9</f>
        <v>50000000</v>
      </c>
      <c r="E147" s="114">
        <f>'RPS Spend Model'!G9</f>
        <v>0</v>
      </c>
      <c r="F147" s="114">
        <f>'RPS Spend Model'!F9</f>
        <v>17572700.474246584</v>
      </c>
      <c r="G147" s="114">
        <f t="shared" si="49"/>
        <v>67572700.474246591</v>
      </c>
    </row>
    <row r="148" spans="3:7" x14ac:dyDescent="0.3">
      <c r="C148" s="185" t="s">
        <v>151</v>
      </c>
      <c r="D148" s="114">
        <f>'RPS Spend Model'!H10</f>
        <v>50000000</v>
      </c>
      <c r="E148" s="114">
        <f>'RPS Spend Model'!G10</f>
        <v>10000000</v>
      </c>
      <c r="F148" s="114">
        <f>'RPS Spend Model'!F10</f>
        <v>17625423.170190223</v>
      </c>
      <c r="G148" s="114">
        <f t="shared" si="49"/>
        <v>77625423.170190215</v>
      </c>
    </row>
    <row r="149" spans="3:7" x14ac:dyDescent="0.3">
      <c r="C149" s="185" t="s">
        <v>152</v>
      </c>
      <c r="D149" s="114">
        <f>'RPS Spend Model'!H11</f>
        <v>50000000</v>
      </c>
      <c r="E149" s="114">
        <f>'RPS Spend Model'!G11</f>
        <v>0</v>
      </c>
      <c r="F149" s="114">
        <f>'RPS Spend Model'!F11</f>
        <v>17711714.835542694</v>
      </c>
      <c r="G149" s="114">
        <f t="shared" si="49"/>
        <v>67711714.835542694</v>
      </c>
    </row>
    <row r="150" spans="3:7" x14ac:dyDescent="0.3">
      <c r="C150" s="185" t="s">
        <v>153</v>
      </c>
      <c r="D150" s="114">
        <f>'RPS Spend Model'!H12</f>
        <v>50000000</v>
      </c>
      <c r="E150" s="114">
        <f>'RPS Spend Model'!G12</f>
        <v>0</v>
      </c>
      <c r="F150" s="114">
        <f>'RPS Spend Model'!F12</f>
        <v>17733678.133388445</v>
      </c>
      <c r="G150" s="114">
        <f t="shared" si="49"/>
        <v>67733678.133388445</v>
      </c>
    </row>
    <row r="151" spans="3:7" x14ac:dyDescent="0.3">
      <c r="C151" s="185" t="s">
        <v>154</v>
      </c>
      <c r="D151" s="114">
        <f>'RPS Spend Model'!H13</f>
        <v>50000000</v>
      </c>
      <c r="E151" s="114">
        <f>'RPS Spend Model'!G13</f>
        <v>10000000</v>
      </c>
      <c r="F151" s="114">
        <f>'RPS Spend Model'!F13</f>
        <v>17789447.893524989</v>
      </c>
      <c r="G151" s="114">
        <f t="shared" si="49"/>
        <v>77789447.893524989</v>
      </c>
    </row>
    <row r="152" spans="3:7" x14ac:dyDescent="0.3">
      <c r="C152" s="262" t="s">
        <v>155</v>
      </c>
      <c r="D152" s="114">
        <f>'RPS Spend Model'!H14</f>
        <v>50000000</v>
      </c>
      <c r="E152" s="114">
        <f>'RPS Spend Model'!G14</f>
        <v>0</v>
      </c>
      <c r="F152" s="114">
        <f>'RPS Spend Model'!F14</f>
        <v>17855534.64060219</v>
      </c>
      <c r="G152" s="114">
        <f t="shared" si="49"/>
        <v>67855534.640602186</v>
      </c>
    </row>
    <row r="153" spans="3:7" x14ac:dyDescent="0.3">
      <c r="C153" s="185" t="s">
        <v>156</v>
      </c>
      <c r="D153" s="114">
        <f>'RPS Spend Model'!H15</f>
        <v>50000000</v>
      </c>
      <c r="E153" s="114">
        <f>'RPS Spend Model'!G15</f>
        <v>0</v>
      </c>
      <c r="F153" s="114">
        <f>'RPS Spend Model'!F15</f>
        <v>17977997.445554465</v>
      </c>
      <c r="G153" s="114">
        <f t="shared" si="49"/>
        <v>67977997.445554465</v>
      </c>
    </row>
    <row r="154" spans="3:7" x14ac:dyDescent="0.3">
      <c r="C154" s="185" t="s">
        <v>157</v>
      </c>
      <c r="D154" s="114">
        <f>'RPS Spend Model'!H16</f>
        <v>50000000</v>
      </c>
      <c r="E154" s="114">
        <f>'RPS Spend Model'!G16</f>
        <v>0</v>
      </c>
      <c r="F154" s="114">
        <f>'RPS Spend Model'!F16</f>
        <v>18007164.753511433</v>
      </c>
      <c r="G154" s="114">
        <f t="shared" si="49"/>
        <v>68007164.753511429</v>
      </c>
    </row>
    <row r="155" spans="3:7" x14ac:dyDescent="0.3">
      <c r="C155" s="185" t="s">
        <v>158</v>
      </c>
      <c r="D155" s="114">
        <f>'RPS Spend Model'!H17</f>
        <v>50000000</v>
      </c>
      <c r="E155" s="114">
        <f>'RPS Spend Model'!G17</f>
        <v>0</v>
      </c>
      <c r="F155" s="114">
        <f>'RPS Spend Model'!F17</f>
        <v>18057703.345901959</v>
      </c>
      <c r="G155" s="114">
        <f t="shared" si="49"/>
        <v>68057703.345901966</v>
      </c>
    </row>
    <row r="156" spans="3:7" x14ac:dyDescent="0.3">
      <c r="C156" s="185" t="s">
        <v>159</v>
      </c>
      <c r="D156" s="114">
        <f>'RPS Spend Model'!H18</f>
        <v>50000000</v>
      </c>
      <c r="E156" s="114">
        <f>'RPS Spend Model'!G18</f>
        <v>0</v>
      </c>
      <c r="F156" s="114">
        <f>'RPS Spend Model'!F18</f>
        <v>18118553.768141378</v>
      </c>
      <c r="G156" s="114">
        <f t="shared" si="49"/>
        <v>68118553.768141374</v>
      </c>
    </row>
    <row r="157" spans="3:7" x14ac:dyDescent="0.3">
      <c r="C157" s="185" t="s">
        <v>314</v>
      </c>
      <c r="D157" s="114">
        <f>'RPS Spend Model'!H19</f>
        <v>50000000</v>
      </c>
      <c r="E157" s="114">
        <f>'RPS Spend Model'!G19</f>
        <v>0</v>
      </c>
      <c r="F157" s="114">
        <f>'RPS Spend Model'!F19</f>
        <v>18198134.165855762</v>
      </c>
      <c r="G157" s="114">
        <f t="shared" si="49"/>
        <v>68198134.165855765</v>
      </c>
    </row>
    <row r="158" spans="3:7" x14ac:dyDescent="0.3">
      <c r="C158" s="185" t="s">
        <v>315</v>
      </c>
      <c r="D158" s="114">
        <f>'RPS Spend Model'!H20</f>
        <v>50000000</v>
      </c>
      <c r="E158" s="114">
        <f>'RPS Spend Model'!G20</f>
        <v>0</v>
      </c>
      <c r="F158" s="114">
        <f>'RPS Spend Model'!F20</f>
        <v>18209514.676376209</v>
      </c>
      <c r="G158" s="114">
        <f t="shared" si="49"/>
        <v>68209514.676376209</v>
      </c>
    </row>
    <row r="159" spans="3:7" x14ac:dyDescent="0.3">
      <c r="C159" s="185" t="s">
        <v>316</v>
      </c>
      <c r="D159" s="114">
        <f>'RPS Spend Model'!H21</f>
        <v>50000000</v>
      </c>
      <c r="E159" s="114">
        <f>'RPS Spend Model'!G21</f>
        <v>0</v>
      </c>
      <c r="F159" s="114">
        <f>'RPS Spend Model'!F21</f>
        <v>18264106.623428311</v>
      </c>
      <c r="G159" s="114">
        <f t="shared" si="49"/>
        <v>68264106.623428315</v>
      </c>
    </row>
    <row r="160" spans="3:7" x14ac:dyDescent="0.3">
      <c r="C160" s="185" t="s">
        <v>317</v>
      </c>
      <c r="D160" s="114">
        <f>'RPS Spend Model'!H22</f>
        <v>50000000</v>
      </c>
      <c r="E160" s="114">
        <f>'RPS Spend Model'!G22</f>
        <v>0</v>
      </c>
      <c r="F160" s="114">
        <f>'RPS Spend Model'!F22</f>
        <v>18264106.623428311</v>
      </c>
      <c r="G160" s="114">
        <f t="shared" si="49"/>
        <v>68264106.623428315</v>
      </c>
    </row>
    <row r="161" spans="2:11" x14ac:dyDescent="0.3">
      <c r="C161" s="185" t="s">
        <v>318</v>
      </c>
      <c r="D161" s="114">
        <f>'RPS Spend Model'!H23</f>
        <v>50000000</v>
      </c>
      <c r="E161" s="114">
        <f>'RPS Spend Model'!G23</f>
        <v>0</v>
      </c>
      <c r="F161" s="114">
        <f>'RPS Spend Model'!F23</f>
        <v>18264106.623428311</v>
      </c>
      <c r="G161" s="114">
        <f t="shared" si="49"/>
        <v>68264106.623428315</v>
      </c>
    </row>
    <row r="162" spans="2:11" x14ac:dyDescent="0.3">
      <c r="C162" s="185" t="s">
        <v>319</v>
      </c>
      <c r="D162" s="114">
        <f>'RPS Spend Model'!H24</f>
        <v>50000000</v>
      </c>
      <c r="E162" s="114">
        <f>'RPS Spend Model'!G24</f>
        <v>0</v>
      </c>
      <c r="F162" s="114">
        <f>'RPS Spend Model'!F24</f>
        <v>18264106.623428311</v>
      </c>
      <c r="G162" s="114">
        <f t="shared" si="49"/>
        <v>68264106.623428315</v>
      </c>
    </row>
    <row r="163" spans="2:11" x14ac:dyDescent="0.3">
      <c r="C163" s="185" t="s">
        <v>320</v>
      </c>
      <c r="D163" s="114">
        <f>'RPS Spend Model'!H25</f>
        <v>50000000</v>
      </c>
      <c r="E163" s="114">
        <f>'RPS Spend Model'!G25</f>
        <v>0</v>
      </c>
      <c r="F163" s="114">
        <f>'RPS Spend Model'!F25</f>
        <v>18264106.623428311</v>
      </c>
      <c r="G163" s="114">
        <f t="shared" ref="G163" si="50">D163+E163+F163</f>
        <v>68264106.623428315</v>
      </c>
    </row>
    <row r="164" spans="2:11" x14ac:dyDescent="0.3">
      <c r="F164" s="186"/>
    </row>
    <row r="165" spans="2:11" x14ac:dyDescent="0.3">
      <c r="B165" s="191" t="s">
        <v>258</v>
      </c>
      <c r="F165" s="186"/>
    </row>
    <row r="166" spans="2:11" ht="43.2" x14ac:dyDescent="0.3">
      <c r="C166" s="54" t="s">
        <v>43</v>
      </c>
      <c r="D166" s="54" t="s">
        <v>257</v>
      </c>
      <c r="E166" s="54" t="s">
        <v>255</v>
      </c>
      <c r="F166" s="54" t="s">
        <v>256</v>
      </c>
      <c r="H166" s="54" t="s">
        <v>43</v>
      </c>
      <c r="I166" s="54" t="s">
        <v>257</v>
      </c>
      <c r="J166" s="54" t="s">
        <v>255</v>
      </c>
      <c r="K166" s="54" t="s">
        <v>256</v>
      </c>
    </row>
    <row r="167" spans="2:11" x14ac:dyDescent="0.3">
      <c r="C167" s="185" t="s">
        <v>144</v>
      </c>
      <c r="D167" s="60">
        <f>E5</f>
        <v>714152.50247266702</v>
      </c>
      <c r="E167" s="210">
        <f>D5</f>
        <v>2591725</v>
      </c>
      <c r="F167" s="165">
        <f>F5</f>
        <v>3305877.502472667</v>
      </c>
      <c r="H167" s="185" t="s">
        <v>145</v>
      </c>
      <c r="I167" s="60">
        <v>2033122.7175146674</v>
      </c>
      <c r="J167" s="210">
        <v>3927244</v>
      </c>
      <c r="K167" s="165">
        <v>5960366.7175146677</v>
      </c>
    </row>
    <row r="168" spans="2:11" x14ac:dyDescent="0.3">
      <c r="C168" s="185" t="s">
        <v>145</v>
      </c>
      <c r="D168" s="60">
        <f t="shared" ref="D168:D189" si="51">E6</f>
        <v>2033122.7175146674</v>
      </c>
      <c r="E168" s="210">
        <f t="shared" ref="E168:E189" si="52">D6</f>
        <v>3927244</v>
      </c>
      <c r="F168" s="165">
        <f t="shared" ref="F168:F189" si="53">F6</f>
        <v>5960366.7175146677</v>
      </c>
      <c r="H168" s="185" t="s">
        <v>146</v>
      </c>
      <c r="I168" s="60">
        <v>3389233.442758169</v>
      </c>
      <c r="J168" s="210">
        <v>3927244</v>
      </c>
      <c r="K168" s="165">
        <v>7316477.442758169</v>
      </c>
    </row>
    <row r="169" spans="2:11" x14ac:dyDescent="0.3">
      <c r="C169" s="185" t="s">
        <v>146</v>
      </c>
      <c r="D169" s="60">
        <f t="shared" si="51"/>
        <v>3389233.442758169</v>
      </c>
      <c r="E169" s="210">
        <f t="shared" si="52"/>
        <v>3927244</v>
      </c>
      <c r="F169" s="165">
        <f t="shared" si="53"/>
        <v>7316477.442758169</v>
      </c>
      <c r="H169" s="185" t="s">
        <v>147</v>
      </c>
      <c r="I169" s="60">
        <v>3894821.9172026333</v>
      </c>
      <c r="J169" s="210">
        <v>3927244</v>
      </c>
      <c r="K169" s="165">
        <v>7822065.9172026329</v>
      </c>
    </row>
    <row r="170" spans="2:11" x14ac:dyDescent="0.3">
      <c r="C170" s="185" t="s">
        <v>147</v>
      </c>
      <c r="D170" s="60">
        <f t="shared" si="51"/>
        <v>3894821.9172026333</v>
      </c>
      <c r="E170" s="210">
        <f t="shared" si="52"/>
        <v>3927244</v>
      </c>
      <c r="F170" s="165">
        <f t="shared" si="53"/>
        <v>7822065.9172026329</v>
      </c>
      <c r="H170" s="185" t="s">
        <v>148</v>
      </c>
      <c r="I170" s="60">
        <v>3885463.1733901058</v>
      </c>
      <c r="J170" s="210">
        <v>3927244</v>
      </c>
      <c r="K170" s="165">
        <v>7812707.1733901054</v>
      </c>
    </row>
    <row r="171" spans="2:11" x14ac:dyDescent="0.3">
      <c r="C171" s="185" t="s">
        <v>148</v>
      </c>
      <c r="D171" s="60">
        <f t="shared" si="51"/>
        <v>3885463.1733901058</v>
      </c>
      <c r="E171" s="210">
        <f t="shared" si="52"/>
        <v>3927244</v>
      </c>
      <c r="F171" s="165">
        <f t="shared" si="53"/>
        <v>7812707.1733901054</v>
      </c>
      <c r="H171" s="185" t="s">
        <v>149</v>
      </c>
      <c r="I171" s="60">
        <v>4832741.3058407661</v>
      </c>
      <c r="J171" s="210">
        <v>4520580.6993800001</v>
      </c>
      <c r="K171" s="165">
        <v>9353322.0052207671</v>
      </c>
    </row>
    <row r="172" spans="2:11" x14ac:dyDescent="0.3">
      <c r="C172" s="185" t="s">
        <v>149</v>
      </c>
      <c r="D172" s="60">
        <f t="shared" si="51"/>
        <v>5776171.3058407661</v>
      </c>
      <c r="E172" s="210">
        <f t="shared" si="52"/>
        <v>4520580.6993800001</v>
      </c>
      <c r="F172" s="165">
        <f t="shared" si="53"/>
        <v>10296752.005220767</v>
      </c>
      <c r="H172" s="185" t="s">
        <v>150</v>
      </c>
      <c r="I172" s="60">
        <v>4818688.2025126508</v>
      </c>
      <c r="J172" s="210">
        <v>4519285.7018831</v>
      </c>
      <c r="K172" s="165">
        <v>9337973.9043957517</v>
      </c>
    </row>
    <row r="173" spans="2:11" x14ac:dyDescent="0.3">
      <c r="C173" s="185" t="s">
        <v>150</v>
      </c>
      <c r="D173" s="60">
        <f t="shared" si="51"/>
        <v>5757401.0525126504</v>
      </c>
      <c r="E173" s="210">
        <f t="shared" si="52"/>
        <v>4519285.7018831</v>
      </c>
      <c r="F173" s="165">
        <f t="shared" si="53"/>
        <v>10276686.754395749</v>
      </c>
      <c r="H173" s="185" t="s">
        <v>151</v>
      </c>
      <c r="I173" s="60">
        <v>4804112.4656188469</v>
      </c>
      <c r="J173" s="210">
        <v>4517997.1793736843</v>
      </c>
      <c r="K173" s="165">
        <v>9322109.6449925303</v>
      </c>
    </row>
    <row r="174" spans="2:11" x14ac:dyDescent="0.3">
      <c r="C174" s="185" t="s">
        <v>151</v>
      </c>
      <c r="D174" s="60">
        <f t="shared" si="51"/>
        <v>5738131.7513688467</v>
      </c>
      <c r="E174" s="210">
        <f t="shared" si="52"/>
        <v>4517997.1793736843</v>
      </c>
      <c r="F174" s="165">
        <f t="shared" si="53"/>
        <v>10256128.930742532</v>
      </c>
      <c r="H174" s="185" t="s">
        <v>152</v>
      </c>
      <c r="I174" s="60">
        <v>4790116.8047616379</v>
      </c>
      <c r="J174" s="210">
        <v>4516715.0994768161</v>
      </c>
      <c r="K174" s="165">
        <v>9306831.904238455</v>
      </c>
    </row>
    <row r="175" spans="2:11" x14ac:dyDescent="0.3">
      <c r="C175" s="185" t="s">
        <v>152</v>
      </c>
      <c r="D175" s="60">
        <f t="shared" si="51"/>
        <v>5719465.9940828877</v>
      </c>
      <c r="E175" s="210">
        <f t="shared" si="52"/>
        <v>4516715.0994768161</v>
      </c>
      <c r="F175" s="165">
        <f t="shared" si="53"/>
        <v>10236181.093559705</v>
      </c>
      <c r="H175" s="185" t="s">
        <v>153</v>
      </c>
      <c r="I175" s="60">
        <v>4775988.1793428659</v>
      </c>
      <c r="J175" s="210">
        <v>4515439.4299794324</v>
      </c>
      <c r="K175" s="165">
        <v>9291427.6093222983</v>
      </c>
    </row>
    <row r="176" spans="2:11" x14ac:dyDescent="0.3">
      <c r="C176" s="185" t="s">
        <v>153</v>
      </c>
      <c r="D176" s="60">
        <f t="shared" si="51"/>
        <v>5700690.622717509</v>
      </c>
      <c r="E176" s="210">
        <f t="shared" si="52"/>
        <v>4515439.4299794324</v>
      </c>
      <c r="F176" s="165">
        <f t="shared" si="53"/>
        <v>10216130.052696941</v>
      </c>
      <c r="H176" s="185" t="s">
        <v>154</v>
      </c>
      <c r="I176" s="60">
        <v>4762228.8479334386</v>
      </c>
      <c r="J176" s="210">
        <v>4514170.1388295349</v>
      </c>
      <c r="K176" s="165">
        <v>9276398.9867629744</v>
      </c>
    </row>
    <row r="177" spans="3:11" x14ac:dyDescent="0.3">
      <c r="C177" s="185" t="s">
        <v>154</v>
      </c>
      <c r="D177" s="60">
        <f t="shared" si="51"/>
        <v>5682307.7790912092</v>
      </c>
      <c r="E177" s="210">
        <f t="shared" si="52"/>
        <v>4514170.1388295349</v>
      </c>
      <c r="F177" s="165">
        <f t="shared" si="53"/>
        <v>10196477.917920744</v>
      </c>
      <c r="H177" s="185" t="s">
        <v>155</v>
      </c>
      <c r="I177" s="60">
        <v>4744080.640973852</v>
      </c>
      <c r="J177" s="210">
        <v>4512907.1941353874</v>
      </c>
      <c r="K177" s="165">
        <v>9256987.8351092394</v>
      </c>
    </row>
    <row r="178" spans="3:11" x14ac:dyDescent="0.3">
      <c r="C178" s="185" t="s">
        <v>155</v>
      </c>
      <c r="D178" s="60">
        <f t="shared" si="51"/>
        <v>5659559.1774758333</v>
      </c>
      <c r="E178" s="210">
        <f t="shared" si="52"/>
        <v>4512907.1941353874</v>
      </c>
      <c r="F178" s="165">
        <f t="shared" si="53"/>
        <v>10172466.371611221</v>
      </c>
      <c r="H178" s="185" t="s">
        <v>156</v>
      </c>
      <c r="I178" s="60">
        <v>4733412.7958969269</v>
      </c>
      <c r="J178" s="210">
        <v>2649925.5641647102</v>
      </c>
      <c r="K178" s="165">
        <v>7383338.3600616371</v>
      </c>
    </row>
    <row r="179" spans="3:11" x14ac:dyDescent="0.3">
      <c r="C179" s="185" t="s">
        <v>156</v>
      </c>
      <c r="D179" s="60">
        <f t="shared" si="51"/>
        <v>5644313.9397163996</v>
      </c>
      <c r="E179" s="210">
        <f t="shared" si="52"/>
        <v>2649925.5641647102</v>
      </c>
      <c r="F179" s="165">
        <f t="shared" si="53"/>
        <v>8294239.5038811099</v>
      </c>
      <c r="H179" s="185" t="s">
        <v>157</v>
      </c>
      <c r="I179" s="60">
        <v>4722577.6568882698</v>
      </c>
      <c r="J179" s="210">
        <v>2218675.2173438868</v>
      </c>
      <c r="K179" s="165">
        <v>6941252.8742321562</v>
      </c>
    </row>
    <row r="180" spans="3:11" x14ac:dyDescent="0.3">
      <c r="C180" s="185" t="s">
        <v>157</v>
      </c>
      <c r="D180" s="60">
        <f t="shared" si="51"/>
        <v>5628924.2949886443</v>
      </c>
      <c r="E180" s="210">
        <f t="shared" si="52"/>
        <v>2218675.2173438868</v>
      </c>
      <c r="F180" s="165">
        <f t="shared" si="53"/>
        <v>7847599.5123325307</v>
      </c>
      <c r="H180" s="185" t="s">
        <v>158</v>
      </c>
      <c r="I180" s="60">
        <v>4583846.8567505786</v>
      </c>
      <c r="J180" s="210">
        <v>2217431.1222571675</v>
      </c>
      <c r="K180" s="165">
        <v>6801277.9790077461</v>
      </c>
    </row>
    <row r="181" spans="3:11" x14ac:dyDescent="0.3">
      <c r="C181" s="185" t="s">
        <v>158</v>
      </c>
      <c r="D181" s="60">
        <f t="shared" si="51"/>
        <v>5485661.7616604501</v>
      </c>
      <c r="E181" s="210">
        <f t="shared" si="52"/>
        <v>2217431.1222571675</v>
      </c>
      <c r="F181" s="165">
        <f t="shared" si="53"/>
        <v>7703092.8839176176</v>
      </c>
      <c r="H181" s="185" t="s">
        <v>159</v>
      </c>
      <c r="I181" s="60">
        <v>4100539.6299011526</v>
      </c>
      <c r="J181" s="210">
        <v>1916193.2476458813</v>
      </c>
      <c r="K181" s="165">
        <v>6016732.8775470341</v>
      </c>
    </row>
    <row r="182" spans="3:11" x14ac:dyDescent="0.3">
      <c r="C182" s="185" t="s">
        <v>159</v>
      </c>
      <c r="D182" s="60">
        <f t="shared" si="51"/>
        <v>4997845.4602864757</v>
      </c>
      <c r="E182" s="210">
        <f t="shared" si="52"/>
        <v>1916193.2476458813</v>
      </c>
      <c r="F182" s="165">
        <f t="shared" si="53"/>
        <v>6914038.7079323567</v>
      </c>
      <c r="H182" s="185" t="s">
        <v>314</v>
      </c>
      <c r="I182" s="60">
        <v>1732050.562239341</v>
      </c>
      <c r="J182" s="210">
        <v>579442.56240765192</v>
      </c>
      <c r="K182" s="165">
        <v>2311493.1246469929</v>
      </c>
    </row>
    <row r="183" spans="3:11" x14ac:dyDescent="0.3">
      <c r="C183" s="185" t="s">
        <v>314</v>
      </c>
      <c r="D183" s="60">
        <f t="shared" si="51"/>
        <v>2624869.8634727378</v>
      </c>
      <c r="E183" s="210">
        <f t="shared" si="52"/>
        <v>579442.56240765192</v>
      </c>
      <c r="F183" s="165">
        <f t="shared" si="53"/>
        <v>3204312.4258803898</v>
      </c>
      <c r="H183" s="185" t="s">
        <v>315</v>
      </c>
      <c r="I183" s="60">
        <v>1311259.2413288781</v>
      </c>
      <c r="J183" s="210">
        <v>578217.03559561365</v>
      </c>
      <c r="K183" s="165">
        <v>1889476.2769244919</v>
      </c>
    </row>
    <row r="184" spans="3:11" x14ac:dyDescent="0.3">
      <c r="C184" s="185" t="s">
        <v>315</v>
      </c>
      <c r="D184" s="60">
        <f t="shared" si="51"/>
        <v>2199614.4460561075</v>
      </c>
      <c r="E184" s="210">
        <f t="shared" si="52"/>
        <v>578217.03559561365</v>
      </c>
      <c r="F184" s="165">
        <f t="shared" si="53"/>
        <v>2777831.4816517211</v>
      </c>
      <c r="H184" s="185" t="s">
        <v>316</v>
      </c>
      <c r="I184" s="60">
        <v>1300428.1190000465</v>
      </c>
      <c r="J184" s="210">
        <v>576997.6364176356</v>
      </c>
      <c r="K184" s="165">
        <v>1877425.7554176822</v>
      </c>
    </row>
    <row r="185" spans="3:11" x14ac:dyDescent="0.3">
      <c r="C185" s="185" t="s">
        <v>316</v>
      </c>
      <c r="D185" s="60">
        <f t="shared" si="51"/>
        <v>2184341.5477036396</v>
      </c>
      <c r="E185" s="210">
        <f t="shared" si="52"/>
        <v>576997.6364176356</v>
      </c>
      <c r="F185" s="165">
        <f t="shared" si="53"/>
        <v>2761339.1841212753</v>
      </c>
      <c r="H185" s="185" t="s">
        <v>317</v>
      </c>
      <c r="I185" s="60">
        <v>1293925.9784050463</v>
      </c>
      <c r="J185" s="210">
        <v>575784.33423554746</v>
      </c>
      <c r="K185" s="165">
        <v>1869710.3126405939</v>
      </c>
    </row>
    <row r="186" spans="3:11" x14ac:dyDescent="0.3">
      <c r="C186" s="185" t="s">
        <v>317</v>
      </c>
      <c r="D186" s="60">
        <f t="shared" si="51"/>
        <v>2173419.8399651214</v>
      </c>
      <c r="E186" s="210">
        <f t="shared" si="52"/>
        <v>575784.33423554746</v>
      </c>
      <c r="F186" s="165">
        <f t="shared" si="53"/>
        <v>2749204.1742006689</v>
      </c>
      <c r="H186" s="185" t="s">
        <v>318</v>
      </c>
      <c r="I186" s="60">
        <v>1287456.3485130211</v>
      </c>
      <c r="J186" s="210">
        <v>574577.0985643696</v>
      </c>
      <c r="K186" s="165">
        <v>1862033.4470773907</v>
      </c>
    </row>
    <row r="187" spans="3:11" x14ac:dyDescent="0.3">
      <c r="C187" s="185" t="s">
        <v>318</v>
      </c>
      <c r="D187" s="60">
        <f t="shared" si="51"/>
        <v>2162552.7407652959</v>
      </c>
      <c r="E187" s="210">
        <f t="shared" si="52"/>
        <v>574577.0985643696</v>
      </c>
      <c r="F187" s="165">
        <f t="shared" si="53"/>
        <v>2737129.8393296655</v>
      </c>
      <c r="H187" s="185" t="s">
        <v>319</v>
      </c>
      <c r="I187" s="60">
        <v>1281019.066770456</v>
      </c>
      <c r="J187" s="210">
        <v>573375.89907154778</v>
      </c>
      <c r="K187" s="165">
        <v>1854394.9658420039</v>
      </c>
    </row>
    <row r="188" spans="3:11" x14ac:dyDescent="0.3">
      <c r="C188" s="185" t="s">
        <v>319</v>
      </c>
      <c r="D188" s="60">
        <f t="shared" si="51"/>
        <v>2151739.9770614696</v>
      </c>
      <c r="E188" s="210">
        <f t="shared" si="52"/>
        <v>573375.89907154778</v>
      </c>
      <c r="F188" s="165">
        <f t="shared" si="53"/>
        <v>2725115.8761330172</v>
      </c>
      <c r="H188" s="185" t="s">
        <v>320</v>
      </c>
      <c r="I188" s="60">
        <v>1273743.116876337</v>
      </c>
      <c r="J188" s="210">
        <v>572180.70557619003</v>
      </c>
      <c r="K188" s="165">
        <v>1845923.822452527</v>
      </c>
    </row>
    <row r="189" spans="3:11" x14ac:dyDescent="0.3">
      <c r="C189" s="185" t="s">
        <v>320</v>
      </c>
      <c r="D189" s="60">
        <f t="shared" si="51"/>
        <v>2140110.422615895</v>
      </c>
      <c r="E189" s="210">
        <f t="shared" si="52"/>
        <v>572180.70557619003</v>
      </c>
      <c r="F189" s="165">
        <f t="shared" si="53"/>
        <v>2712291.1281920848</v>
      </c>
      <c r="I189" s="202"/>
      <c r="J189" s="292"/>
      <c r="K189" s="293"/>
    </row>
  </sheetData>
  <mergeCells count="8">
    <mergeCell ref="C58:C59"/>
    <mergeCell ref="T58:T59"/>
    <mergeCell ref="U58:V58"/>
    <mergeCell ref="W58:X58"/>
    <mergeCell ref="Y58:Z58"/>
    <mergeCell ref="D58:E58"/>
    <mergeCell ref="F58:G58"/>
    <mergeCell ref="H58:I58"/>
  </mergeCells>
  <phoneticPr fontId="5" type="noConversion"/>
  <printOptions horizontalCentered="1" verticalCentered="1"/>
  <pageMargins left="0.7" right="0.7" top="0.75" bottom="0.75" header="0.3" footer="0.3"/>
  <pageSetup scale="40" orientation="landscape" r:id="rId1"/>
  <headerFooter>
    <oddHeader>&amp;A</oddHeader>
  </headerFooter>
  <rowBreaks count="1" manualBreakCount="1">
    <brk id="84"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C6CA9-772C-4953-9BA0-D2345A251F1F}">
  <dimension ref="A1:V45"/>
  <sheetViews>
    <sheetView zoomScaleNormal="100" workbookViewId="0"/>
  </sheetViews>
  <sheetFormatPr defaultRowHeight="14.4" x14ac:dyDescent="0.3"/>
  <cols>
    <col min="1" max="1" width="45.109375" bestFit="1" customWidth="1"/>
    <col min="2" max="2" width="13.44140625" bestFit="1" customWidth="1"/>
    <col min="3" max="3" width="12.33203125" bestFit="1" customWidth="1"/>
    <col min="4" max="7" width="12.77734375" bestFit="1" customWidth="1"/>
    <col min="8" max="8" width="12.33203125" bestFit="1" customWidth="1"/>
    <col min="9" max="10" width="12.77734375" bestFit="1" customWidth="1"/>
    <col min="11" max="11" width="12.33203125" bestFit="1" customWidth="1"/>
    <col min="12" max="14" width="12" bestFit="1" customWidth="1"/>
    <col min="15" max="16" width="12.33203125" bestFit="1" customWidth="1"/>
    <col min="17" max="19" width="12.77734375" bestFit="1" customWidth="1"/>
    <col min="20" max="20" width="12.33203125" bestFit="1" customWidth="1"/>
    <col min="21" max="22" width="12.77734375" bestFit="1" customWidth="1"/>
  </cols>
  <sheetData>
    <row r="1" spans="1:22" ht="15.6" x14ac:dyDescent="0.3">
      <c r="A1" s="41"/>
      <c r="B1" s="2">
        <v>2022</v>
      </c>
      <c r="C1" s="2">
        <f t="shared" ref="C1:V1" si="0">B1+1</f>
        <v>2023</v>
      </c>
      <c r="D1" s="2">
        <f t="shared" si="0"/>
        <v>2024</v>
      </c>
      <c r="E1" s="2">
        <f t="shared" si="0"/>
        <v>2025</v>
      </c>
      <c r="F1" s="2">
        <f t="shared" si="0"/>
        <v>2026</v>
      </c>
      <c r="G1" s="2">
        <f t="shared" si="0"/>
        <v>2027</v>
      </c>
      <c r="H1" s="2">
        <f t="shared" si="0"/>
        <v>2028</v>
      </c>
      <c r="I1" s="2">
        <f t="shared" si="0"/>
        <v>2029</v>
      </c>
      <c r="J1" s="2">
        <f t="shared" si="0"/>
        <v>2030</v>
      </c>
      <c r="K1" s="2">
        <f t="shared" si="0"/>
        <v>2031</v>
      </c>
      <c r="L1" s="2">
        <f t="shared" si="0"/>
        <v>2032</v>
      </c>
      <c r="M1" s="2">
        <f t="shared" si="0"/>
        <v>2033</v>
      </c>
      <c r="N1" s="2">
        <f t="shared" si="0"/>
        <v>2034</v>
      </c>
      <c r="O1" s="2">
        <f t="shared" si="0"/>
        <v>2035</v>
      </c>
      <c r="P1" s="2">
        <f t="shared" si="0"/>
        <v>2036</v>
      </c>
      <c r="Q1" s="2">
        <f t="shared" si="0"/>
        <v>2037</v>
      </c>
      <c r="R1" s="2">
        <f t="shared" si="0"/>
        <v>2038</v>
      </c>
      <c r="S1" s="2">
        <f t="shared" si="0"/>
        <v>2039</v>
      </c>
      <c r="T1" s="2">
        <f t="shared" si="0"/>
        <v>2040</v>
      </c>
      <c r="U1" s="2">
        <f t="shared" si="0"/>
        <v>2041</v>
      </c>
      <c r="V1" s="2">
        <f t="shared" si="0"/>
        <v>2042</v>
      </c>
    </row>
    <row r="2" spans="1:22" x14ac:dyDescent="0.3">
      <c r="A2" s="29" t="s">
        <v>6</v>
      </c>
      <c r="B2" s="10">
        <f>'Reopening Activities'!F9</f>
        <v>141374.73563951999</v>
      </c>
      <c r="C2" s="10">
        <f>'Reopening Activities'!G9</f>
        <v>140667.8619613224</v>
      </c>
      <c r="D2" s="10">
        <f>'Reopening Activities'!H9</f>
        <v>139964.52265151578</v>
      </c>
      <c r="E2" s="10">
        <f>'Reopening Activities'!I9</f>
        <v>139264.70003825822</v>
      </c>
      <c r="F2" s="10">
        <f>'Reopening Activities'!J9</f>
        <v>138568.37653806692</v>
      </c>
      <c r="G2" s="10">
        <f>'Reopening Activities'!K9</f>
        <v>137875.5346553766</v>
      </c>
      <c r="H2" s="10">
        <f>'Reopening Activities'!L9</f>
        <v>137186.1569820997</v>
      </c>
      <c r="I2" s="10">
        <f>'Reopening Activities'!M9</f>
        <v>136500.22619718921</v>
      </c>
      <c r="J2" s="10">
        <f>'Reopening Activities'!N9</f>
        <v>135817.72506620327</v>
      </c>
      <c r="K2" s="10">
        <f>'Reopening Activities'!O9</f>
        <v>135138.63644087224</v>
      </c>
      <c r="L2" s="10">
        <f>'Reopening Activities'!P9</f>
        <v>134462.94325866789</v>
      </c>
      <c r="M2" s="10">
        <f>'Reopening Activities'!Q9</f>
        <v>133790.62854237453</v>
      </c>
      <c r="N2" s="10">
        <f>'Reopening Activities'!R9</f>
        <v>133121.67539966266</v>
      </c>
      <c r="O2" s="10">
        <f>'Reopening Activities'!S9</f>
        <v>132456.06702266436</v>
      </c>
      <c r="P2" s="10">
        <f>'Reopening Activities'!T9</f>
        <v>131793.78668755104</v>
      </c>
      <c r="Q2" s="10">
        <f>'Reopening Activities'!U9</f>
        <v>0</v>
      </c>
      <c r="R2" s="10">
        <f>'Reopening Activities'!V9</f>
        <v>0</v>
      </c>
      <c r="S2" s="10">
        <f>'Reopening Activities'!W9</f>
        <v>0</v>
      </c>
      <c r="T2" s="10">
        <f>'Reopening Activities'!X9</f>
        <v>0</v>
      </c>
      <c r="U2" s="10">
        <f>'Reopening Activities'!Y9</f>
        <v>0</v>
      </c>
      <c r="V2" s="10">
        <f>'Reopening Activities'!Z9</f>
        <v>0</v>
      </c>
    </row>
    <row r="3" spans="1:22" x14ac:dyDescent="0.3">
      <c r="A3" s="29" t="s">
        <v>12</v>
      </c>
      <c r="B3" s="28">
        <f>'Reopening Activities'!F16</f>
        <v>128595.79450038407</v>
      </c>
      <c r="C3" s="28">
        <f>'Reopening Activities'!G16</f>
        <v>127952.81552788217</v>
      </c>
      <c r="D3" s="28">
        <f>'Reopening Activities'!H16</f>
        <v>127313.05145024274</v>
      </c>
      <c r="E3" s="28">
        <f>'Reopening Activities'!I16</f>
        <v>126676.48619299152</v>
      </c>
      <c r="F3" s="28">
        <f>'Reopening Activities'!J16</f>
        <v>126043.10376202657</v>
      </c>
      <c r="G3" s="28">
        <f>'Reopening Activities'!K16</f>
        <v>125412.88824321644</v>
      </c>
      <c r="H3" s="28">
        <f>'Reopening Activities'!L16</f>
        <v>124785.82380200036</v>
      </c>
      <c r="I3" s="28">
        <f>'Reopening Activities'!M16</f>
        <v>124161.89468299036</v>
      </c>
      <c r="J3" s="28">
        <f>'Reopening Activities'!N16</f>
        <v>123541.08520957539</v>
      </c>
      <c r="K3" s="28">
        <f>'Reopening Activities'!O16</f>
        <v>122923.37978352752</v>
      </c>
      <c r="L3" s="28">
        <f>'Reopening Activities'!P16</f>
        <v>122308.76288460988</v>
      </c>
      <c r="M3" s="28">
        <f>'Reopening Activities'!Q16</f>
        <v>121697.21907018684</v>
      </c>
      <c r="N3" s="28">
        <f>'Reopening Activities'!R16</f>
        <v>121088.7329748359</v>
      </c>
      <c r="O3" s="28">
        <f>'Reopening Activities'!S16</f>
        <v>120483.28930996171</v>
      </c>
      <c r="P3" s="28">
        <f>'Reopening Activities'!T16</f>
        <v>119880.8728634119</v>
      </c>
      <c r="Q3" s="28">
        <f>'Reopening Activities'!U16</f>
        <v>0</v>
      </c>
      <c r="R3" s="28">
        <f>'Reopening Activities'!V16</f>
        <v>0</v>
      </c>
      <c r="S3" s="28">
        <f>'Reopening Activities'!W16</f>
        <v>0</v>
      </c>
      <c r="T3" s="28">
        <f>'Reopening Activities'!X16</f>
        <v>0</v>
      </c>
      <c r="U3" s="28">
        <f>'Reopening Activities'!Y16</f>
        <v>0</v>
      </c>
      <c r="V3" s="28">
        <f>'Reopening Activities'!Z16</f>
        <v>0</v>
      </c>
    </row>
    <row r="4" spans="1:22" x14ac:dyDescent="0.3">
      <c r="A4" s="29" t="s">
        <v>21</v>
      </c>
      <c r="B4" s="28">
        <f>'Reopening Activities'!F27</f>
        <v>0</v>
      </c>
      <c r="C4" s="28">
        <f>'Reopening Activities'!G27</f>
        <v>370263.3</v>
      </c>
      <c r="D4" s="28">
        <f>'Reopening Activities'!H27</f>
        <v>368411.98349999997</v>
      </c>
      <c r="E4" s="28">
        <f>'Reopening Activities'!I27</f>
        <v>366569.92358249996</v>
      </c>
      <c r="F4" s="28">
        <f>'Reopening Activities'!J27</f>
        <v>364737.07396458747</v>
      </c>
      <c r="G4" s="28">
        <f>'Reopening Activities'!K27</f>
        <v>362913.38859476452</v>
      </c>
      <c r="H4" s="28">
        <f>'Reopening Activities'!L27</f>
        <v>361098.8216517907</v>
      </c>
      <c r="I4" s="28">
        <f>'Reopening Activities'!M27</f>
        <v>359293.32754353178</v>
      </c>
      <c r="J4" s="28">
        <f>'Reopening Activities'!N27</f>
        <v>357496.8609058141</v>
      </c>
      <c r="K4" s="28">
        <f>'Reopening Activities'!O27</f>
        <v>355709.37660128501</v>
      </c>
      <c r="L4" s="28">
        <f>'Reopening Activities'!P27</f>
        <v>353930.8297182786</v>
      </c>
      <c r="M4" s="28">
        <f>'Reopening Activities'!Q27</f>
        <v>352161.17556968716</v>
      </c>
      <c r="N4" s="28">
        <f>'Reopening Activities'!R27</f>
        <v>350400.36969183874</v>
      </c>
      <c r="O4" s="28">
        <f>'Reopening Activities'!S27</f>
        <v>348648.36784337956</v>
      </c>
      <c r="P4" s="28">
        <f>'Reopening Activities'!T27</f>
        <v>346905.12600416265</v>
      </c>
      <c r="Q4" s="28">
        <f>'Reopening Activities'!U27</f>
        <v>345170.60037414182</v>
      </c>
      <c r="R4" s="28">
        <f>'Reopening Activities'!V27</f>
        <v>343444.74737227114</v>
      </c>
      <c r="S4" s="28">
        <f>'Reopening Activities'!W27</f>
        <v>341727.52363540977</v>
      </c>
      <c r="T4" s="28">
        <f>'Reopening Activities'!X27</f>
        <v>340018.88601723273</v>
      </c>
      <c r="U4" s="28">
        <f>'Reopening Activities'!Y27</f>
        <v>338318.79158714658</v>
      </c>
      <c r="V4" s="28">
        <f>'Reopening Activities'!Z27</f>
        <v>336627.19762921083</v>
      </c>
    </row>
    <row r="5" spans="1:22" x14ac:dyDescent="0.3">
      <c r="A5" s="29" t="s">
        <v>25</v>
      </c>
      <c r="B5" s="28">
        <f>'Reopening Activities'!F30</f>
        <v>962.68457999999987</v>
      </c>
      <c r="C5" s="28">
        <f>'Reopening Activities'!G30</f>
        <v>957.87115709999989</v>
      </c>
      <c r="D5" s="28">
        <f>'Reopening Activities'!H30</f>
        <v>953.0818013144999</v>
      </c>
      <c r="E5" s="28">
        <f>'Reopening Activities'!I30</f>
        <v>948.31639230792734</v>
      </c>
      <c r="F5" s="28">
        <f>'Reopening Activities'!J30</f>
        <v>943.57481034638784</v>
      </c>
      <c r="G5" s="28">
        <f>'Reopening Activities'!K30</f>
        <v>938.85693629465584</v>
      </c>
      <c r="H5" s="28">
        <f>'Reopening Activities'!L30</f>
        <v>934.16265161318245</v>
      </c>
      <c r="I5" s="28">
        <f>'Reopening Activities'!M30</f>
        <v>929.49183835511656</v>
      </c>
      <c r="J5" s="28">
        <f>'Reopening Activities'!N30</f>
        <v>924.84437916334093</v>
      </c>
      <c r="K5" s="28">
        <f>'Reopening Activities'!O30</f>
        <v>920.22015726752431</v>
      </c>
      <c r="L5" s="28">
        <f>'Reopening Activities'!P30</f>
        <v>915.61905648118682</v>
      </c>
      <c r="M5" s="28">
        <f>'Reopening Activities'!Q30</f>
        <v>911.04096119878079</v>
      </c>
      <c r="N5" s="28">
        <f>'Reopening Activities'!R30</f>
        <v>906.48575639278693</v>
      </c>
      <c r="O5" s="28">
        <f>'Reopening Activities'!S30</f>
        <v>901.95332761082295</v>
      </c>
      <c r="P5" s="28">
        <f>'Reopening Activities'!T30</f>
        <v>897.44356097276886</v>
      </c>
      <c r="Q5" s="28">
        <f>'Reopening Activities'!U30</f>
        <v>892.95634316790506</v>
      </c>
      <c r="R5" s="28">
        <f>'Reopening Activities'!V30</f>
        <v>888.49156145206541</v>
      </c>
      <c r="S5" s="28">
        <f>'Reopening Activities'!W30</f>
        <v>884.04910364480509</v>
      </c>
      <c r="T5" s="28">
        <f>'Reopening Activities'!X30</f>
        <v>879.62885812658124</v>
      </c>
      <c r="U5" s="28">
        <f>'Reopening Activities'!Y30</f>
        <v>875.23071383594834</v>
      </c>
      <c r="V5" s="28">
        <f>'Reopening Activities'!Z30</f>
        <v>0</v>
      </c>
    </row>
    <row r="6" spans="1:22" x14ac:dyDescent="0.3">
      <c r="A6" s="29" t="s">
        <v>29</v>
      </c>
      <c r="B6" s="28">
        <f>'Reopening Activities'!F43</f>
        <v>0</v>
      </c>
      <c r="C6" s="28">
        <f>'Reopening Activities'!G43</f>
        <v>4443.1596</v>
      </c>
      <c r="D6" s="28">
        <f>'Reopening Activities'!H43</f>
        <v>4420.9438019999998</v>
      </c>
      <c r="E6" s="28">
        <f>'Reopening Activities'!I43</f>
        <v>4398.83908299</v>
      </c>
      <c r="F6" s="28">
        <f>'Reopening Activities'!J43</f>
        <v>4376.8448875750501</v>
      </c>
      <c r="G6" s="28">
        <f>'Reopening Activities'!K43</f>
        <v>4354.9606631371744</v>
      </c>
      <c r="H6" s="28">
        <f>'Reopening Activities'!L43</f>
        <v>4333.1858598214885</v>
      </c>
      <c r="I6" s="28">
        <f>'Reopening Activities'!M43</f>
        <v>4311.5199305223814</v>
      </c>
      <c r="J6" s="28">
        <f>'Reopening Activities'!N43</f>
        <v>4289.9623308697692</v>
      </c>
      <c r="K6" s="28">
        <f>'Reopening Activities'!O43</f>
        <v>4268.5125192154201</v>
      </c>
      <c r="L6" s="28">
        <f>'Reopening Activities'!P43</f>
        <v>4247.1699566193429</v>
      </c>
      <c r="M6" s="28">
        <f>'Reopening Activities'!Q43</f>
        <v>4225.9341068362464</v>
      </c>
      <c r="N6" s="28">
        <f>'Reopening Activities'!R43</f>
        <v>4204.8044363020654</v>
      </c>
      <c r="O6" s="28">
        <f>'Reopening Activities'!S43</f>
        <v>4183.7804141205552</v>
      </c>
      <c r="P6" s="28">
        <f>'Reopening Activities'!T43</f>
        <v>4162.8615120499526</v>
      </c>
      <c r="Q6" s="28">
        <f>'Reopening Activities'!U43</f>
        <v>4142.0472044897024</v>
      </c>
      <c r="R6" s="28">
        <f>'Reopening Activities'!V43</f>
        <v>0</v>
      </c>
      <c r="S6" s="28">
        <f>'Reopening Activities'!W43</f>
        <v>0</v>
      </c>
      <c r="T6" s="28">
        <f>'Reopening Activities'!X43</f>
        <v>0</v>
      </c>
      <c r="U6" s="28">
        <f>'Reopening Activities'!Y43</f>
        <v>0</v>
      </c>
      <c r="V6" s="28">
        <f>'Reopening Activities'!Z43</f>
        <v>0</v>
      </c>
    </row>
    <row r="7" spans="1:22" x14ac:dyDescent="0.3">
      <c r="A7" s="30" t="s">
        <v>33</v>
      </c>
      <c r="B7" s="28">
        <f>'Reopening Activities'!F46</f>
        <v>0</v>
      </c>
      <c r="C7" s="28">
        <f>'Reopening Activities'!G46</f>
        <v>0</v>
      </c>
      <c r="D7" s="28">
        <f>'Reopening Activities'!H46</f>
        <v>0</v>
      </c>
      <c r="E7" s="28">
        <f>'Reopening Activities'!I46</f>
        <v>0</v>
      </c>
      <c r="F7" s="28">
        <f>'Reopening Activities'!J46</f>
        <v>0</v>
      </c>
      <c r="G7" s="28">
        <f>'Reopening Activities'!K46</f>
        <v>0</v>
      </c>
      <c r="H7" s="28">
        <f>'Reopening Activities'!L46</f>
        <v>0</v>
      </c>
      <c r="I7" s="28">
        <f>'Reopening Activities'!M46</f>
        <v>0</v>
      </c>
      <c r="J7" s="28">
        <f>'Reopening Activities'!N46</f>
        <v>0</v>
      </c>
      <c r="K7" s="28">
        <f>'Reopening Activities'!O46</f>
        <v>0</v>
      </c>
      <c r="L7" s="28">
        <f>'Reopening Activities'!P46</f>
        <v>0</v>
      </c>
      <c r="M7" s="28">
        <f>'Reopening Activities'!Q46</f>
        <v>0</v>
      </c>
      <c r="N7" s="28">
        <f>'Reopening Activities'!R46</f>
        <v>0</v>
      </c>
      <c r="O7" s="28">
        <f>'Reopening Activities'!S46</f>
        <v>0</v>
      </c>
      <c r="P7" s="28">
        <f>'Reopening Activities'!T46</f>
        <v>0</v>
      </c>
      <c r="Q7" s="28">
        <f>'Reopening Activities'!U46</f>
        <v>0</v>
      </c>
      <c r="R7" s="28">
        <f>'Reopening Activities'!V46</f>
        <v>0</v>
      </c>
      <c r="S7" s="28">
        <f>'Reopening Activities'!W46</f>
        <v>0</v>
      </c>
      <c r="T7" s="28">
        <f>'Reopening Activities'!X46</f>
        <v>0</v>
      </c>
      <c r="U7" s="28">
        <f>'Reopening Activities'!Y46</f>
        <v>0</v>
      </c>
      <c r="V7" s="28">
        <f>'Reopening Activities'!Z46</f>
        <v>0</v>
      </c>
    </row>
    <row r="8" spans="1:22" x14ac:dyDescent="0.3">
      <c r="A8" s="30" t="s">
        <v>40</v>
      </c>
      <c r="B8" s="28">
        <f>'Reopening Activities'!F57</f>
        <v>0</v>
      </c>
      <c r="C8" s="28">
        <f>'Reopening Activities'!G57</f>
        <v>0</v>
      </c>
      <c r="D8" s="28">
        <f>'Reopening Activities'!H57</f>
        <v>0</v>
      </c>
      <c r="E8" s="28">
        <f>'Reopening Activities'!I57</f>
        <v>460000</v>
      </c>
      <c r="F8" s="28">
        <f>'Reopening Activities'!J57</f>
        <v>460000</v>
      </c>
      <c r="G8" s="28">
        <f>'Reopening Activities'!K57</f>
        <v>460000</v>
      </c>
      <c r="H8" s="28">
        <f>'Reopening Activities'!L57</f>
        <v>460000</v>
      </c>
      <c r="I8" s="28">
        <f>'Reopening Activities'!M57</f>
        <v>460000</v>
      </c>
      <c r="J8" s="28">
        <f>'Reopening Activities'!N57</f>
        <v>460000</v>
      </c>
      <c r="K8" s="28">
        <f>'Reopening Activities'!O57</f>
        <v>460000</v>
      </c>
      <c r="L8" s="28">
        <f>'Reopening Activities'!P57</f>
        <v>460000</v>
      </c>
      <c r="M8" s="28">
        <f>'Reopening Activities'!Q57</f>
        <v>460000</v>
      </c>
      <c r="N8" s="28">
        <f>'Reopening Activities'!R57</f>
        <v>460000</v>
      </c>
      <c r="O8" s="28">
        <f>'Reopening Activities'!S57</f>
        <v>460000</v>
      </c>
      <c r="P8" s="28">
        <f>'Reopening Activities'!T57</f>
        <v>460000</v>
      </c>
      <c r="Q8" s="28">
        <f>'Reopening Activities'!U57</f>
        <v>460000</v>
      </c>
      <c r="R8" s="28">
        <f>'Reopening Activities'!V57</f>
        <v>460000</v>
      </c>
      <c r="S8" s="28">
        <f>'Reopening Activities'!W57</f>
        <v>460000</v>
      </c>
      <c r="T8" s="28">
        <f>'Reopening Activities'!X57</f>
        <v>460000</v>
      </c>
      <c r="U8" s="28">
        <f>'Reopening Activities'!Y57</f>
        <v>460000</v>
      </c>
      <c r="V8" s="28">
        <f>'Reopening Activities'!Z57</f>
        <v>460000</v>
      </c>
    </row>
    <row r="9" spans="1:22" x14ac:dyDescent="0.3">
      <c r="A9" s="30" t="s">
        <v>41</v>
      </c>
      <c r="B9" s="28">
        <f>'Reopening Activities'!F58</f>
        <v>0</v>
      </c>
      <c r="C9" s="28">
        <f>'Reopening Activities'!G58</f>
        <v>0</v>
      </c>
      <c r="D9" s="28">
        <f>'Reopening Activities'!H58</f>
        <v>0</v>
      </c>
      <c r="E9" s="28">
        <f>'Reopening Activities'!I58</f>
        <v>948091</v>
      </c>
      <c r="F9" s="28">
        <f>'Reopening Activities'!J58</f>
        <v>943350.54500000004</v>
      </c>
      <c r="G9" s="28">
        <f>'Reopening Activities'!K58</f>
        <v>938633.79227500001</v>
      </c>
      <c r="H9" s="28">
        <f>'Reopening Activities'!L58</f>
        <v>933940.62331362499</v>
      </c>
      <c r="I9" s="28">
        <f>'Reopening Activities'!M58</f>
        <v>929270.92019705684</v>
      </c>
      <c r="J9" s="28">
        <f>'Reopening Activities'!N58</f>
        <v>924624.56559607154</v>
      </c>
      <c r="K9" s="28">
        <f>'Reopening Activities'!O58</f>
        <v>920001.44276809122</v>
      </c>
      <c r="L9" s="28">
        <f>'Reopening Activities'!P58</f>
        <v>915401.43555425073</v>
      </c>
      <c r="M9" s="28">
        <f>'Reopening Activities'!Q58</f>
        <v>910824.42837647942</v>
      </c>
      <c r="N9" s="28">
        <f>'Reopening Activities'!R58</f>
        <v>906270.306234597</v>
      </c>
      <c r="O9" s="28">
        <f>'Reopening Activities'!S58</f>
        <v>901738.95470342401</v>
      </c>
      <c r="P9" s="28">
        <f>'Reopening Activities'!T58</f>
        <v>897230.25992990693</v>
      </c>
      <c r="Q9" s="28">
        <f>'Reopening Activities'!U58</f>
        <v>892744.10863025743</v>
      </c>
      <c r="R9" s="28">
        <f>'Reopening Activities'!V58</f>
        <v>888280.38808710617</v>
      </c>
      <c r="S9" s="28">
        <f>'Reopening Activities'!W58</f>
        <v>883838.98614667065</v>
      </c>
      <c r="T9" s="28">
        <f>'Reopening Activities'!X58</f>
        <v>879419.79121593724</v>
      </c>
      <c r="U9" s="28">
        <f>'Reopening Activities'!Y58</f>
        <v>875022.69225985755</v>
      </c>
      <c r="V9" s="28">
        <f>'Reopening Activities'!Z58</f>
        <v>870647.57879855821</v>
      </c>
    </row>
    <row r="10" spans="1:22" x14ac:dyDescent="0.3">
      <c r="A10" s="30" t="s">
        <v>42</v>
      </c>
      <c r="B10" s="28">
        <f>'Reopening Activities'!F59</f>
        <v>0</v>
      </c>
      <c r="C10" s="28">
        <f>'Reopening Activities'!G59</f>
        <v>0</v>
      </c>
      <c r="D10" s="28">
        <f>'Reopening Activities'!H59</f>
        <v>0</v>
      </c>
      <c r="E10" s="28">
        <f>'Reopening Activities'!I59</f>
        <v>8493</v>
      </c>
      <c r="F10" s="28">
        <f>'Reopening Activities'!J59</f>
        <v>8450.5349999999999</v>
      </c>
      <c r="G10" s="28">
        <f>'Reopening Activities'!K59</f>
        <v>8408.2823250000001</v>
      </c>
      <c r="H10" s="28">
        <f>'Reopening Activities'!L59</f>
        <v>8366.2409133750007</v>
      </c>
      <c r="I10" s="28">
        <f>'Reopening Activities'!M59</f>
        <v>8324.4097088081253</v>
      </c>
      <c r="J10" s="28">
        <f>'Reopening Activities'!N59</f>
        <v>8282.7876602640845</v>
      </c>
      <c r="K10" s="28">
        <f>'Reopening Activities'!O59</f>
        <v>8241.3737219627637</v>
      </c>
      <c r="L10" s="28">
        <f>'Reopening Activities'!P59</f>
        <v>8200.1668533529501</v>
      </c>
      <c r="M10" s="28">
        <f>'Reopening Activities'!Q59</f>
        <v>8159.1660190861849</v>
      </c>
      <c r="N10" s="28">
        <f>'Reopening Activities'!R59</f>
        <v>8118.3701889907543</v>
      </c>
      <c r="O10" s="28">
        <f>'Reopening Activities'!S59</f>
        <v>8077.7783380458004</v>
      </c>
      <c r="P10" s="28">
        <f>'Reopening Activities'!T59</f>
        <v>8037.3894463555716</v>
      </c>
      <c r="Q10" s="28">
        <f>'Reopening Activities'!U59</f>
        <v>7997.202499123794</v>
      </c>
      <c r="R10" s="28">
        <f>'Reopening Activities'!V59</f>
        <v>7957.2164866281746</v>
      </c>
      <c r="S10" s="28">
        <f>'Reopening Activities'!W59</f>
        <v>7917.4304041950336</v>
      </c>
      <c r="T10" s="28">
        <f>'Reopening Activities'!X59</f>
        <v>7877.8432521740588</v>
      </c>
      <c r="U10" s="28">
        <f>'Reopening Activities'!Y59</f>
        <v>7838.4540359131888</v>
      </c>
      <c r="V10" s="28">
        <f>'Reopening Activities'!Z59</f>
        <v>7799.2617657336232</v>
      </c>
    </row>
    <row r="11" spans="1:22" x14ac:dyDescent="0.3">
      <c r="A11" s="26" t="s">
        <v>141</v>
      </c>
      <c r="B11" s="27">
        <f t="shared" ref="B11:V11" si="1">SUM(B2:B10)</f>
        <v>270933.21471990406</v>
      </c>
      <c r="C11" s="27">
        <f t="shared" si="1"/>
        <v>644285.00824630458</v>
      </c>
      <c r="D11" s="27">
        <f t="shared" si="1"/>
        <v>641063.58320507302</v>
      </c>
      <c r="E11" s="27">
        <f t="shared" si="1"/>
        <v>2054442.2652890477</v>
      </c>
      <c r="F11" s="27">
        <f t="shared" si="1"/>
        <v>2046470.053962602</v>
      </c>
      <c r="G11" s="27">
        <f t="shared" si="1"/>
        <v>2038537.7036927892</v>
      </c>
      <c r="H11" s="27">
        <f t="shared" si="1"/>
        <v>2030645.0151743253</v>
      </c>
      <c r="I11" s="27">
        <f t="shared" si="1"/>
        <v>2022791.7900984539</v>
      </c>
      <c r="J11" s="27">
        <f t="shared" si="1"/>
        <v>2014977.8311479616</v>
      </c>
      <c r="K11" s="27">
        <f t="shared" si="1"/>
        <v>2007202.9419922219</v>
      </c>
      <c r="L11" s="27">
        <f t="shared" si="1"/>
        <v>1999466.9272822607</v>
      </c>
      <c r="M11" s="27">
        <f t="shared" si="1"/>
        <v>1991769.5926458491</v>
      </c>
      <c r="N11" s="27">
        <f t="shared" si="1"/>
        <v>1984110.74468262</v>
      </c>
      <c r="O11" s="27">
        <f t="shared" si="1"/>
        <v>1976490.1909592068</v>
      </c>
      <c r="P11" s="27">
        <f t="shared" si="1"/>
        <v>1968907.7400044107</v>
      </c>
      <c r="Q11" s="27">
        <f t="shared" si="1"/>
        <v>1710946.9150511806</v>
      </c>
      <c r="R11" s="27">
        <f t="shared" si="1"/>
        <v>1700570.8435074575</v>
      </c>
      <c r="S11" s="27">
        <f t="shared" si="1"/>
        <v>1694367.9892899203</v>
      </c>
      <c r="T11" s="27">
        <f t="shared" si="1"/>
        <v>1688196.1493434706</v>
      </c>
      <c r="U11" s="27">
        <f t="shared" si="1"/>
        <v>1682055.1685967534</v>
      </c>
      <c r="V11" s="27">
        <f t="shared" si="1"/>
        <v>1675074.0381935027</v>
      </c>
    </row>
    <row r="13" spans="1:22" x14ac:dyDescent="0.3">
      <c r="E13" s="202"/>
      <c r="F13" s="202">
        <f t="shared" ref="F13:V13" si="2">SUM(F2:F7)</f>
        <v>634668.97396260232</v>
      </c>
      <c r="G13" s="202">
        <f t="shared" si="2"/>
        <v>631495.62909278937</v>
      </c>
      <c r="H13" s="202">
        <f t="shared" si="2"/>
        <v>628338.15094732551</v>
      </c>
      <c r="I13" s="202">
        <f t="shared" si="2"/>
        <v>625196.46019258886</v>
      </c>
      <c r="J13" s="202">
        <f t="shared" si="2"/>
        <v>622070.47789162584</v>
      </c>
      <c r="K13" s="202">
        <f t="shared" si="2"/>
        <v>618960.12550216774</v>
      </c>
      <c r="L13" s="202">
        <f t="shared" si="2"/>
        <v>615865.32487465697</v>
      </c>
      <c r="M13" s="202">
        <f t="shared" si="2"/>
        <v>612785.99825028342</v>
      </c>
      <c r="N13" s="202">
        <f t="shared" si="2"/>
        <v>609722.06825903221</v>
      </c>
      <c r="O13" s="202">
        <f t="shared" si="2"/>
        <v>606673.45791773708</v>
      </c>
      <c r="P13" s="202">
        <f t="shared" si="2"/>
        <v>603640.09062814829</v>
      </c>
      <c r="Q13" s="202">
        <f t="shared" si="2"/>
        <v>350205.60392179945</v>
      </c>
      <c r="R13" s="202">
        <f t="shared" si="2"/>
        <v>344333.23893372319</v>
      </c>
      <c r="S13" s="202">
        <f t="shared" si="2"/>
        <v>342611.57273905457</v>
      </c>
      <c r="T13" s="202">
        <f t="shared" si="2"/>
        <v>340898.51487535931</v>
      </c>
      <c r="U13" s="202">
        <f t="shared" si="2"/>
        <v>339194.02230098256</v>
      </c>
      <c r="V13" s="202">
        <f t="shared" si="2"/>
        <v>336627.19762921083</v>
      </c>
    </row>
    <row r="35" spans="1:22" ht="15.6" x14ac:dyDescent="0.3">
      <c r="A35" s="42"/>
      <c r="B35" s="2">
        <v>2022</v>
      </c>
      <c r="C35" s="2">
        <f t="shared" ref="C35:V35" si="3">B35+1</f>
        <v>2023</v>
      </c>
      <c r="D35" s="2">
        <f t="shared" si="3"/>
        <v>2024</v>
      </c>
      <c r="E35" s="2">
        <f t="shared" si="3"/>
        <v>2025</v>
      </c>
      <c r="F35" s="2">
        <f t="shared" si="3"/>
        <v>2026</v>
      </c>
      <c r="G35" s="2">
        <f t="shared" si="3"/>
        <v>2027</v>
      </c>
      <c r="H35" s="2">
        <f t="shared" si="3"/>
        <v>2028</v>
      </c>
      <c r="I35" s="2">
        <f t="shared" si="3"/>
        <v>2029</v>
      </c>
      <c r="J35" s="2">
        <f t="shared" si="3"/>
        <v>2030</v>
      </c>
      <c r="K35" s="2">
        <f t="shared" si="3"/>
        <v>2031</v>
      </c>
      <c r="L35" s="2">
        <f t="shared" si="3"/>
        <v>2032</v>
      </c>
      <c r="M35" s="2">
        <f t="shared" si="3"/>
        <v>2033</v>
      </c>
      <c r="N35" s="2">
        <f t="shared" si="3"/>
        <v>2034</v>
      </c>
      <c r="O35" s="2">
        <f t="shared" si="3"/>
        <v>2035</v>
      </c>
      <c r="P35" s="2">
        <f t="shared" si="3"/>
        <v>2036</v>
      </c>
      <c r="Q35" s="2">
        <f t="shared" si="3"/>
        <v>2037</v>
      </c>
      <c r="R35" s="2">
        <f t="shared" si="3"/>
        <v>2038</v>
      </c>
      <c r="S35" s="2">
        <f t="shared" si="3"/>
        <v>2039</v>
      </c>
      <c r="T35" s="2">
        <f t="shared" si="3"/>
        <v>2040</v>
      </c>
      <c r="U35" s="2">
        <f t="shared" si="3"/>
        <v>2041</v>
      </c>
      <c r="V35" s="2">
        <f t="shared" si="3"/>
        <v>2042</v>
      </c>
    </row>
    <row r="36" spans="1:22" x14ac:dyDescent="0.3">
      <c r="A36" s="29" t="s">
        <v>6</v>
      </c>
      <c r="B36" s="45">
        <f>'Reopening Activities'!F67</f>
        <v>138837111.63146961</v>
      </c>
      <c r="C36" s="45">
        <f>'Reopening Activities'!G67</f>
        <v>0</v>
      </c>
      <c r="D36" s="45">
        <f>'Reopening Activities'!H67</f>
        <v>0</v>
      </c>
      <c r="E36" s="45">
        <f>'Reopening Activities'!I67</f>
        <v>0</v>
      </c>
      <c r="F36" s="45">
        <f>'Reopening Activities'!J67</f>
        <v>0</v>
      </c>
      <c r="G36" s="45">
        <f>'Reopening Activities'!K67</f>
        <v>0</v>
      </c>
      <c r="H36" s="45">
        <f>'Reopening Activities'!L67</f>
        <v>0</v>
      </c>
      <c r="I36" s="45">
        <f>'Reopening Activities'!M67</f>
        <v>0</v>
      </c>
      <c r="J36" s="45">
        <f>'Reopening Activities'!N67</f>
        <v>0</v>
      </c>
      <c r="K36" s="45">
        <f>'Reopening Activities'!O67</f>
        <v>0</v>
      </c>
      <c r="L36" s="45">
        <f>'Reopening Activities'!P67</f>
        <v>0</v>
      </c>
      <c r="M36" s="45">
        <f>'Reopening Activities'!Q67</f>
        <v>0</v>
      </c>
      <c r="N36" s="45">
        <f>'Reopening Activities'!R67</f>
        <v>0</v>
      </c>
      <c r="O36" s="45">
        <f>'Reopening Activities'!S67</f>
        <v>0</v>
      </c>
      <c r="P36" s="45">
        <f>'Reopening Activities'!T67</f>
        <v>0</v>
      </c>
      <c r="Q36" s="45">
        <f>'Reopening Activities'!U67</f>
        <v>0</v>
      </c>
      <c r="R36" s="45">
        <f>'Reopening Activities'!V67</f>
        <v>0</v>
      </c>
      <c r="S36" s="45">
        <f>'Reopening Activities'!W67</f>
        <v>0</v>
      </c>
      <c r="T36" s="45">
        <f>'Reopening Activities'!X67</f>
        <v>0</v>
      </c>
      <c r="U36" s="45">
        <f>'Reopening Activities'!Y67</f>
        <v>0</v>
      </c>
      <c r="V36" s="45">
        <f>'Reopening Activities'!Z67</f>
        <v>0</v>
      </c>
    </row>
    <row r="37" spans="1:22" x14ac:dyDescent="0.3">
      <c r="A37" s="29" t="s">
        <v>12</v>
      </c>
      <c r="B37" s="45">
        <f>'Reopening Activities'!F74</f>
        <v>11407011.035787132</v>
      </c>
      <c r="C37" s="45">
        <f>'Reopening Activities'!G74</f>
        <v>10773288.200465625</v>
      </c>
      <c r="D37" s="45">
        <f>'Reopening Activities'!H74</f>
        <v>10773288.200465625</v>
      </c>
      <c r="E37" s="45">
        <f>'Reopening Activities'!I74</f>
        <v>10773288.200465625</v>
      </c>
      <c r="F37" s="45">
        <f>'Reopening Activities'!J74</f>
        <v>10773288.200465625</v>
      </c>
      <c r="G37" s="45">
        <f>'Reopening Activities'!K74</f>
        <v>10773288.200465625</v>
      </c>
      <c r="H37" s="45">
        <f>'Reopening Activities'!L74</f>
        <v>10773288.200465625</v>
      </c>
      <c r="I37" s="45">
        <f>'Reopening Activities'!M74</f>
        <v>0</v>
      </c>
      <c r="J37" s="45">
        <f>'Reopening Activities'!N74</f>
        <v>0</v>
      </c>
      <c r="K37" s="45">
        <f>'Reopening Activities'!O74</f>
        <v>0</v>
      </c>
      <c r="L37" s="45">
        <f>'Reopening Activities'!P74</f>
        <v>0</v>
      </c>
      <c r="M37" s="45">
        <f>'Reopening Activities'!Q74</f>
        <v>0</v>
      </c>
      <c r="N37" s="45">
        <f>'Reopening Activities'!R74</f>
        <v>0</v>
      </c>
      <c r="O37" s="45">
        <f>'Reopening Activities'!S74</f>
        <v>0</v>
      </c>
      <c r="P37" s="45">
        <f>'Reopening Activities'!T74</f>
        <v>0</v>
      </c>
      <c r="Q37" s="45">
        <f>'Reopening Activities'!U74</f>
        <v>0</v>
      </c>
      <c r="R37" s="45">
        <f>'Reopening Activities'!V74</f>
        <v>0</v>
      </c>
      <c r="S37" s="45">
        <f>'Reopening Activities'!W74</f>
        <v>0</v>
      </c>
      <c r="T37" s="45">
        <f>'Reopening Activities'!X74</f>
        <v>0</v>
      </c>
      <c r="U37" s="45">
        <f>'Reopening Activities'!Y74</f>
        <v>0</v>
      </c>
      <c r="V37" s="45">
        <f>'Reopening Activities'!Z74</f>
        <v>0</v>
      </c>
    </row>
    <row r="38" spans="1:22" x14ac:dyDescent="0.3">
      <c r="A38" s="29" t="s">
        <v>21</v>
      </c>
      <c r="B38" s="45">
        <f>'Reopening Activities'!F85</f>
        <v>0</v>
      </c>
      <c r="C38" s="45">
        <f>'Reopening Activities'!G85</f>
        <v>22628271.316199999</v>
      </c>
      <c r="D38" s="45">
        <f>'Reopening Activities'!H85</f>
        <v>22515129.959619001</v>
      </c>
      <c r="E38" s="45">
        <f>'Reopening Activities'!I85</f>
        <v>22402554.309820905</v>
      </c>
      <c r="F38" s="45">
        <f>'Reopening Activities'!J85</f>
        <v>22290541.5382718</v>
      </c>
      <c r="G38" s="45">
        <f>'Reopening Activities'!K85</f>
        <v>22179088.830580443</v>
      </c>
      <c r="H38" s="45">
        <f>'Reopening Activities'!L85</f>
        <v>22068193.386427537</v>
      </c>
      <c r="I38" s="45">
        <f>'Reopening Activities'!M85</f>
        <v>21957852.4194954</v>
      </c>
      <c r="J38" s="45">
        <f>'Reopening Activities'!N85</f>
        <v>21848063.157397922</v>
      </c>
      <c r="K38" s="45">
        <f>'Reopening Activities'!O85</f>
        <v>21738822.841610931</v>
      </c>
      <c r="L38" s="45">
        <f>'Reopening Activities'!P85</f>
        <v>21630128.727402877</v>
      </c>
      <c r="M38" s="45">
        <f>'Reopening Activities'!Q85</f>
        <v>21521978.083765864</v>
      </c>
      <c r="N38" s="45">
        <f>'Reopening Activities'!R85</f>
        <v>21414368.193347033</v>
      </c>
      <c r="O38" s="45">
        <f>'Reopening Activities'!S85</f>
        <v>21307296.352380298</v>
      </c>
      <c r="P38" s="45">
        <f>'Reopening Activities'!T85</f>
        <v>21200759.870618396</v>
      </c>
      <c r="Q38" s="45">
        <f>'Reopening Activities'!U85</f>
        <v>21094756.071265306</v>
      </c>
      <c r="R38" s="45">
        <f>'Reopening Activities'!V85</f>
        <v>20989282.290908977</v>
      </c>
      <c r="S38" s="45">
        <f>'Reopening Activities'!W85</f>
        <v>20884335.879454434</v>
      </c>
      <c r="T38" s="45">
        <f>'Reopening Activities'!X85</f>
        <v>20779914.20005716</v>
      </c>
      <c r="U38" s="45">
        <f>'Reopening Activities'!Y85</f>
        <v>20676014.629056875</v>
      </c>
      <c r="V38" s="45">
        <f>'Reopening Activities'!Z85</f>
        <v>20572634.555911593</v>
      </c>
    </row>
    <row r="39" spans="1:22" x14ac:dyDescent="0.3">
      <c r="A39" s="29" t="s">
        <v>25</v>
      </c>
      <c r="B39" s="45">
        <f>'Reopening Activities'!F88</f>
        <v>43118.909750583334</v>
      </c>
      <c r="C39" s="45">
        <f>'Reopening Activities'!G88</f>
        <v>42903.315201830417</v>
      </c>
      <c r="D39" s="45">
        <f>'Reopening Activities'!H88</f>
        <v>42688.798625821262</v>
      </c>
      <c r="E39" s="45">
        <f>'Reopening Activities'!I88</f>
        <v>42475.354632692164</v>
      </c>
      <c r="F39" s="45">
        <f>'Reopening Activities'!J88</f>
        <v>42262.977859528699</v>
      </c>
      <c r="G39" s="45">
        <f>'Reopening Activities'!K88</f>
        <v>42051.662970231046</v>
      </c>
      <c r="H39" s="45">
        <f>'Reopening Activities'!L88</f>
        <v>41841.404655379891</v>
      </c>
      <c r="I39" s="45">
        <f>'Reopening Activities'!M88</f>
        <v>41632.197632102994</v>
      </c>
      <c r="J39" s="45">
        <f>'Reopening Activities'!N88</f>
        <v>41424.036643942476</v>
      </c>
      <c r="K39" s="45">
        <f>'Reopening Activities'!O88</f>
        <v>41216.916460722772</v>
      </c>
      <c r="L39" s="45">
        <f>'Reopening Activities'!P88</f>
        <v>41010.831878419158</v>
      </c>
      <c r="M39" s="45">
        <f>'Reopening Activities'!Q88</f>
        <v>40805.777719027057</v>
      </c>
      <c r="N39" s="45">
        <f>'Reopening Activities'!R88</f>
        <v>40601.748830431927</v>
      </c>
      <c r="O39" s="45">
        <f>'Reopening Activities'!S88</f>
        <v>40398.740086279766</v>
      </c>
      <c r="P39" s="45">
        <f>'Reopening Activities'!T88</f>
        <v>40196.746385848368</v>
      </c>
      <c r="Q39" s="45">
        <f>'Reopening Activities'!U88</f>
        <v>39995.762653919126</v>
      </c>
      <c r="R39" s="45">
        <f>'Reopening Activities'!V88</f>
        <v>39795.783840649528</v>
      </c>
      <c r="S39" s="45">
        <f>'Reopening Activities'!W88</f>
        <v>39596.804921446281</v>
      </c>
      <c r="T39" s="45">
        <f>'Reopening Activities'!X88</f>
        <v>39398.820896839046</v>
      </c>
      <c r="U39" s="45">
        <f>'Reopening Activities'!Y88</f>
        <v>39201.826792354856</v>
      </c>
      <c r="V39" s="45">
        <f>'Reopening Activities'!Z88</f>
        <v>0</v>
      </c>
    </row>
    <row r="40" spans="1:22" x14ac:dyDescent="0.3">
      <c r="A40" s="29" t="s">
        <v>29</v>
      </c>
      <c r="B40" s="45">
        <f>'Reopening Activities'!F101</f>
        <v>0</v>
      </c>
      <c r="C40" s="45">
        <f>'Reopening Activities'!G101</f>
        <v>617609.8121744924</v>
      </c>
      <c r="D40" s="45">
        <f>'Reopening Activities'!H101</f>
        <v>583298.15594257612</v>
      </c>
      <c r="E40" s="45">
        <f>'Reopening Activities'!I101</f>
        <v>583298.15594257612</v>
      </c>
      <c r="F40" s="45">
        <f>'Reopening Activities'!J101</f>
        <v>583298.15594257612</v>
      </c>
      <c r="G40" s="45">
        <f>'Reopening Activities'!K101</f>
        <v>583298.15594257612</v>
      </c>
      <c r="H40" s="45">
        <f>'Reopening Activities'!L101</f>
        <v>583298.15594257612</v>
      </c>
      <c r="I40" s="45">
        <f>'Reopening Activities'!M101</f>
        <v>583298.15594257612</v>
      </c>
      <c r="J40" s="45">
        <f>'Reopening Activities'!N101</f>
        <v>0</v>
      </c>
      <c r="K40" s="45">
        <f>'Reopening Activities'!O101</f>
        <v>0</v>
      </c>
      <c r="L40" s="45">
        <f>'Reopening Activities'!P101</f>
        <v>0</v>
      </c>
      <c r="M40" s="45">
        <f>'Reopening Activities'!Q101</f>
        <v>0</v>
      </c>
      <c r="N40" s="45">
        <f>'Reopening Activities'!R101</f>
        <v>0</v>
      </c>
      <c r="O40" s="45">
        <f>'Reopening Activities'!S101</f>
        <v>0</v>
      </c>
      <c r="P40" s="45">
        <f>'Reopening Activities'!T101</f>
        <v>0</v>
      </c>
      <c r="Q40" s="45">
        <f>'Reopening Activities'!U101</f>
        <v>0</v>
      </c>
      <c r="R40" s="45">
        <f>'Reopening Activities'!V101</f>
        <v>0</v>
      </c>
      <c r="S40" s="45">
        <f>'Reopening Activities'!W101</f>
        <v>0</v>
      </c>
      <c r="T40" s="45">
        <f>'Reopening Activities'!X101</f>
        <v>0</v>
      </c>
      <c r="U40" s="45">
        <f>'Reopening Activities'!Y101</f>
        <v>0</v>
      </c>
      <c r="V40" s="45">
        <f>'Reopening Activities'!Z101</f>
        <v>0</v>
      </c>
    </row>
    <row r="41" spans="1:22" x14ac:dyDescent="0.3">
      <c r="A41" s="30" t="s">
        <v>33</v>
      </c>
      <c r="B41" s="45">
        <f>'Reopening Activities'!F104</f>
        <v>0</v>
      </c>
      <c r="C41" s="45">
        <f>'Reopening Activities'!G104</f>
        <v>0</v>
      </c>
      <c r="D41" s="45">
        <f>'Reopening Activities'!H104</f>
        <v>0</v>
      </c>
      <c r="E41" s="45">
        <f>'Reopening Activities'!I104</f>
        <v>0</v>
      </c>
      <c r="F41" s="45">
        <f>'Reopening Activities'!J104</f>
        <v>0</v>
      </c>
      <c r="G41" s="45">
        <f>'Reopening Activities'!K104</f>
        <v>0</v>
      </c>
      <c r="H41" s="45">
        <f>'Reopening Activities'!L104</f>
        <v>0</v>
      </c>
      <c r="I41" s="45">
        <f>'Reopening Activities'!M104</f>
        <v>0</v>
      </c>
      <c r="J41" s="45">
        <f>'Reopening Activities'!N104</f>
        <v>0</v>
      </c>
      <c r="K41" s="45">
        <f>'Reopening Activities'!O104</f>
        <v>0</v>
      </c>
      <c r="L41" s="45">
        <f>'Reopening Activities'!P104</f>
        <v>0</v>
      </c>
      <c r="M41" s="45">
        <f>'Reopening Activities'!Q104</f>
        <v>0</v>
      </c>
      <c r="N41" s="45">
        <f>'Reopening Activities'!R104</f>
        <v>0</v>
      </c>
      <c r="O41" s="45">
        <f>'Reopening Activities'!S104</f>
        <v>0</v>
      </c>
      <c r="P41" s="45">
        <f>'Reopening Activities'!T104</f>
        <v>0</v>
      </c>
      <c r="Q41" s="45">
        <f>'Reopening Activities'!U104</f>
        <v>0</v>
      </c>
      <c r="R41" s="45">
        <f>'Reopening Activities'!V104</f>
        <v>0</v>
      </c>
      <c r="S41" s="45">
        <f>'Reopening Activities'!W104</f>
        <v>0</v>
      </c>
      <c r="T41" s="45">
        <f>'Reopening Activities'!X104</f>
        <v>0</v>
      </c>
      <c r="U41" s="45">
        <f>'Reopening Activities'!Y104</f>
        <v>0</v>
      </c>
      <c r="V41" s="45">
        <f>'Reopening Activities'!Z104</f>
        <v>0</v>
      </c>
    </row>
    <row r="42" spans="1:22" x14ac:dyDescent="0.3">
      <c r="A42" s="30" t="s">
        <v>40</v>
      </c>
      <c r="B42" s="45">
        <f>'Reopening Activities'!F115</f>
        <v>0</v>
      </c>
      <c r="C42" s="45">
        <f>'Reopening Activities'!G115</f>
        <v>0</v>
      </c>
      <c r="D42" s="45">
        <f>'Reopening Activities'!H115</f>
        <v>0</v>
      </c>
      <c r="E42" s="45">
        <f>'Reopening Activities'!I115</f>
        <v>0</v>
      </c>
      <c r="F42" s="45">
        <f>'Reopening Activities'!J115</f>
        <v>0</v>
      </c>
      <c r="G42" s="45">
        <f>'Reopening Activities'!K115</f>
        <v>0</v>
      </c>
      <c r="H42" s="45">
        <f>'Reopening Activities'!L115</f>
        <v>0</v>
      </c>
      <c r="I42" s="45">
        <f>'Reopening Activities'!M115</f>
        <v>0</v>
      </c>
      <c r="J42" s="45">
        <f>'Reopening Activities'!N115</f>
        <v>0</v>
      </c>
      <c r="K42" s="45">
        <f>'Reopening Activities'!O115</f>
        <v>0</v>
      </c>
      <c r="L42" s="45">
        <f>'Reopening Activities'!P115</f>
        <v>0</v>
      </c>
      <c r="M42" s="45">
        <f>'Reopening Activities'!Q115</f>
        <v>0</v>
      </c>
      <c r="N42" s="45">
        <f>'Reopening Activities'!R115</f>
        <v>0</v>
      </c>
      <c r="O42" s="45">
        <f>'Reopening Activities'!S115</f>
        <v>0</v>
      </c>
      <c r="P42" s="45">
        <f>'Reopening Activities'!T115</f>
        <v>0</v>
      </c>
      <c r="Q42" s="45">
        <f>'Reopening Activities'!U115</f>
        <v>0</v>
      </c>
      <c r="R42" s="45">
        <f>'Reopening Activities'!V115</f>
        <v>0</v>
      </c>
      <c r="S42" s="45">
        <f>'Reopening Activities'!W115</f>
        <v>0</v>
      </c>
      <c r="T42" s="45">
        <f>'Reopening Activities'!X115</f>
        <v>0</v>
      </c>
      <c r="U42" s="45">
        <f>'Reopening Activities'!Y115</f>
        <v>0</v>
      </c>
      <c r="V42" s="45">
        <f>'Reopening Activities'!Z115</f>
        <v>0</v>
      </c>
    </row>
    <row r="43" spans="1:22" x14ac:dyDescent="0.3">
      <c r="A43" s="30" t="s">
        <v>41</v>
      </c>
      <c r="B43" s="45">
        <f>'Reopening Activities'!F116</f>
        <v>0</v>
      </c>
      <c r="C43" s="45">
        <f>'Reopening Activities'!G116</f>
        <v>0</v>
      </c>
      <c r="D43" s="45">
        <f>'Reopening Activities'!H116</f>
        <v>0</v>
      </c>
      <c r="E43" s="45">
        <f>'Reopening Activities'!I116</f>
        <v>0</v>
      </c>
      <c r="F43" s="45">
        <f>'Reopening Activities'!J116</f>
        <v>0</v>
      </c>
      <c r="G43" s="45">
        <f>'Reopening Activities'!K116</f>
        <v>0</v>
      </c>
      <c r="H43" s="45">
        <f>'Reopening Activities'!L116</f>
        <v>0</v>
      </c>
      <c r="I43" s="45">
        <f>'Reopening Activities'!M116</f>
        <v>0</v>
      </c>
      <c r="J43" s="45">
        <f>'Reopening Activities'!N116</f>
        <v>0</v>
      </c>
      <c r="K43" s="45">
        <f>'Reopening Activities'!O116</f>
        <v>0</v>
      </c>
      <c r="L43" s="45">
        <f>'Reopening Activities'!P116</f>
        <v>0</v>
      </c>
      <c r="M43" s="45">
        <f>'Reopening Activities'!Q116</f>
        <v>0</v>
      </c>
      <c r="N43" s="45">
        <f>'Reopening Activities'!R116</f>
        <v>0</v>
      </c>
      <c r="O43" s="45">
        <f>'Reopening Activities'!S116</f>
        <v>0</v>
      </c>
      <c r="P43" s="45">
        <f>'Reopening Activities'!T116</f>
        <v>0</v>
      </c>
      <c r="Q43" s="45">
        <f>'Reopening Activities'!U116</f>
        <v>0</v>
      </c>
      <c r="R43" s="45">
        <f>'Reopening Activities'!V116</f>
        <v>0</v>
      </c>
      <c r="S43" s="45">
        <f>'Reopening Activities'!W116</f>
        <v>0</v>
      </c>
      <c r="T43" s="45">
        <f>'Reopening Activities'!X116</f>
        <v>0</v>
      </c>
      <c r="U43" s="45">
        <f>'Reopening Activities'!Y116</f>
        <v>0</v>
      </c>
      <c r="V43" s="45">
        <f>'Reopening Activities'!Z116</f>
        <v>0</v>
      </c>
    </row>
    <row r="44" spans="1:22" x14ac:dyDescent="0.3">
      <c r="A44" s="30" t="s">
        <v>42</v>
      </c>
      <c r="B44" s="45">
        <f>'Reopening Activities'!F117</f>
        <v>0</v>
      </c>
      <c r="C44" s="45">
        <f>'Reopening Activities'!G117</f>
        <v>0</v>
      </c>
      <c r="D44" s="45">
        <f>'Reopening Activities'!H117</f>
        <v>0</v>
      </c>
      <c r="E44" s="45">
        <f>'Reopening Activities'!I117</f>
        <v>0</v>
      </c>
      <c r="F44" s="45">
        <f>'Reopening Activities'!J117</f>
        <v>0</v>
      </c>
      <c r="G44" s="45">
        <f>'Reopening Activities'!K117</f>
        <v>0</v>
      </c>
      <c r="H44" s="45">
        <f>'Reopening Activities'!L117</f>
        <v>0</v>
      </c>
      <c r="I44" s="45">
        <f>'Reopening Activities'!M117</f>
        <v>0</v>
      </c>
      <c r="J44" s="45">
        <f>'Reopening Activities'!N117</f>
        <v>0</v>
      </c>
      <c r="K44" s="45">
        <f>'Reopening Activities'!O117</f>
        <v>0</v>
      </c>
      <c r="L44" s="45">
        <f>'Reopening Activities'!P117</f>
        <v>0</v>
      </c>
      <c r="M44" s="45">
        <f>'Reopening Activities'!Q117</f>
        <v>0</v>
      </c>
      <c r="N44" s="45">
        <f>'Reopening Activities'!R117</f>
        <v>0</v>
      </c>
      <c r="O44" s="45">
        <f>'Reopening Activities'!S117</f>
        <v>0</v>
      </c>
      <c r="P44" s="45">
        <f>'Reopening Activities'!T117</f>
        <v>0</v>
      </c>
      <c r="Q44" s="45">
        <f>'Reopening Activities'!U117</f>
        <v>0</v>
      </c>
      <c r="R44" s="45">
        <f>'Reopening Activities'!V117</f>
        <v>0</v>
      </c>
      <c r="S44" s="45">
        <f>'Reopening Activities'!W117</f>
        <v>0</v>
      </c>
      <c r="T44" s="45">
        <f>'Reopening Activities'!X117</f>
        <v>0</v>
      </c>
      <c r="U44" s="45">
        <f>'Reopening Activities'!Y117</f>
        <v>0</v>
      </c>
      <c r="V44" s="45">
        <f>'Reopening Activities'!Z117</f>
        <v>0</v>
      </c>
    </row>
    <row r="45" spans="1:22" x14ac:dyDescent="0.3">
      <c r="A45" s="5" t="s">
        <v>233</v>
      </c>
      <c r="B45" s="24">
        <f t="shared" ref="B45:V45" si="4">SUM(B36:B44)</f>
        <v>150287241.57700732</v>
      </c>
      <c r="C45" s="24">
        <f t="shared" si="4"/>
        <v>34062072.644041948</v>
      </c>
      <c r="D45" s="24">
        <f t="shared" si="4"/>
        <v>33914405.114653029</v>
      </c>
      <c r="E45" s="24">
        <f t="shared" si="4"/>
        <v>33801616.020861797</v>
      </c>
      <c r="F45" s="24">
        <f t="shared" si="4"/>
        <v>33689390.872539528</v>
      </c>
      <c r="G45" s="24">
        <f t="shared" si="4"/>
        <v>33577726.849958874</v>
      </c>
      <c r="H45" s="24">
        <f t="shared" si="4"/>
        <v>33466621.14749112</v>
      </c>
      <c r="I45" s="24">
        <f t="shared" si="4"/>
        <v>22582782.773070082</v>
      </c>
      <c r="J45" s="24">
        <f t="shared" si="4"/>
        <v>21889487.194041863</v>
      </c>
      <c r="K45" s="24">
        <f t="shared" si="4"/>
        <v>21780039.758071654</v>
      </c>
      <c r="L45" s="24">
        <f t="shared" si="4"/>
        <v>21671139.559281297</v>
      </c>
      <c r="M45" s="24">
        <f t="shared" si="4"/>
        <v>21562783.861484893</v>
      </c>
      <c r="N45" s="24">
        <f t="shared" si="4"/>
        <v>21454969.942177463</v>
      </c>
      <c r="O45" s="24">
        <f t="shared" si="4"/>
        <v>21347695.092466578</v>
      </c>
      <c r="P45" s="24">
        <f t="shared" si="4"/>
        <v>21240956.617004246</v>
      </c>
      <c r="Q45" s="24">
        <f t="shared" si="4"/>
        <v>21134751.833919227</v>
      </c>
      <c r="R45" s="24">
        <f t="shared" si="4"/>
        <v>21029078.074749626</v>
      </c>
      <c r="S45" s="24">
        <f t="shared" si="4"/>
        <v>20923932.684375878</v>
      </c>
      <c r="T45" s="24">
        <f t="shared" si="4"/>
        <v>20819313.020953998</v>
      </c>
      <c r="U45" s="24">
        <f t="shared" si="4"/>
        <v>20715216.45584923</v>
      </c>
      <c r="V45" s="24">
        <f t="shared" si="4"/>
        <v>20572634.555911593</v>
      </c>
    </row>
  </sheetData>
  <printOptions horizontalCentered="1" verticalCentered="1"/>
  <pageMargins left="0.7" right="0.7" top="0.75" bottom="0.75" header="0.3" footer="0.3"/>
  <pageSetup scale="39" orientation="landscape" r:id="rId1"/>
  <headerFooter>
    <oddHeader>&amp;A</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1576B-254D-46C1-83E2-F7D6D1E7BEE6}">
  <dimension ref="A1:V45"/>
  <sheetViews>
    <sheetView zoomScaleNormal="100" workbookViewId="0"/>
  </sheetViews>
  <sheetFormatPr defaultRowHeight="14.4" x14ac:dyDescent="0.3"/>
  <cols>
    <col min="1" max="1" width="32.44140625" bestFit="1" customWidth="1"/>
    <col min="2" max="2" width="11.77734375" bestFit="1" customWidth="1"/>
    <col min="3" max="22" width="10.77734375" bestFit="1" customWidth="1"/>
  </cols>
  <sheetData>
    <row r="1" spans="1:22" ht="15.6" x14ac:dyDescent="0.3">
      <c r="A1" s="41"/>
      <c r="B1" s="2">
        <v>2022</v>
      </c>
      <c r="C1" s="2">
        <f t="shared" ref="C1:V1" si="0">B1+1</f>
        <v>2023</v>
      </c>
      <c r="D1" s="2">
        <f t="shared" si="0"/>
        <v>2024</v>
      </c>
      <c r="E1" s="2">
        <f t="shared" si="0"/>
        <v>2025</v>
      </c>
      <c r="F1" s="2">
        <f t="shared" si="0"/>
        <v>2026</v>
      </c>
      <c r="G1" s="2">
        <f t="shared" si="0"/>
        <v>2027</v>
      </c>
      <c r="H1" s="2">
        <f t="shared" si="0"/>
        <v>2028</v>
      </c>
      <c r="I1" s="2">
        <f t="shared" si="0"/>
        <v>2029</v>
      </c>
      <c r="J1" s="2">
        <f t="shared" si="0"/>
        <v>2030</v>
      </c>
      <c r="K1" s="2">
        <f t="shared" si="0"/>
        <v>2031</v>
      </c>
      <c r="L1" s="2">
        <f t="shared" si="0"/>
        <v>2032</v>
      </c>
      <c r="M1" s="2">
        <f t="shared" si="0"/>
        <v>2033</v>
      </c>
      <c r="N1" s="2">
        <f t="shared" si="0"/>
        <v>2034</v>
      </c>
      <c r="O1" s="2">
        <f t="shared" si="0"/>
        <v>2035</v>
      </c>
      <c r="P1" s="2">
        <f t="shared" si="0"/>
        <v>2036</v>
      </c>
      <c r="Q1" s="2">
        <f t="shared" si="0"/>
        <v>2037</v>
      </c>
      <c r="R1" s="2">
        <f t="shared" si="0"/>
        <v>2038</v>
      </c>
      <c r="S1" s="2">
        <f t="shared" si="0"/>
        <v>2039</v>
      </c>
      <c r="T1" s="2">
        <f t="shared" si="0"/>
        <v>2040</v>
      </c>
      <c r="U1" s="2">
        <f t="shared" si="0"/>
        <v>2041</v>
      </c>
      <c r="V1" s="2">
        <f t="shared" si="0"/>
        <v>2042</v>
      </c>
    </row>
    <row r="2" spans="1:22" x14ac:dyDescent="0.3">
      <c r="A2" s="29" t="s">
        <v>6</v>
      </c>
      <c r="B2" s="10">
        <f>'DY 2022 Activities'!E9</f>
        <v>183009.9510192</v>
      </c>
      <c r="C2" s="10">
        <f>'DY 2022 Activities'!F9</f>
        <v>182094.901264104</v>
      </c>
      <c r="D2" s="10">
        <f>'DY 2022 Activities'!G9</f>
        <v>181184.42675778345</v>
      </c>
      <c r="E2" s="10">
        <f>'DY 2022 Activities'!H9</f>
        <v>180278.50462399455</v>
      </c>
      <c r="F2" s="10">
        <f>'DY 2022 Activities'!I9</f>
        <v>179377.11210087457</v>
      </c>
      <c r="G2" s="10">
        <f>'DY 2022 Activities'!J9</f>
        <v>178480.2265403702</v>
      </c>
      <c r="H2" s="10">
        <f>'DY 2022 Activities'!K9</f>
        <v>177587.82540766837</v>
      </c>
      <c r="I2" s="10">
        <f>'DY 2022 Activities'!L9</f>
        <v>176699.88628063002</v>
      </c>
      <c r="J2" s="10">
        <f>'DY 2022 Activities'!M9</f>
        <v>175816.3868492269</v>
      </c>
      <c r="K2" s="10">
        <f>'DY 2022 Activities'!N9</f>
        <v>174937.30491498075</v>
      </c>
      <c r="L2" s="10">
        <f>'DY 2022 Activities'!O9</f>
        <v>174062.61839040584</v>
      </c>
      <c r="M2" s="10">
        <f>'DY 2022 Activities'!P9</f>
        <v>173192.30529845384</v>
      </c>
      <c r="N2" s="10">
        <f>'DY 2022 Activities'!Q9</f>
        <v>172326.34377196158</v>
      </c>
      <c r="O2" s="10">
        <f>'DY 2022 Activities'!R9</f>
        <v>171464.71205310174</v>
      </c>
      <c r="P2" s="10">
        <f>'DY 2022 Activities'!S9</f>
        <v>170607.38849283624</v>
      </c>
      <c r="Q2" s="10">
        <f>'DY 2022 Activities'!T9</f>
        <v>0</v>
      </c>
      <c r="R2" s="10">
        <f>'DY 2022 Activities'!U9</f>
        <v>0</v>
      </c>
      <c r="S2" s="10">
        <f>'DY 2022 Activities'!V9</f>
        <v>0</v>
      </c>
      <c r="T2" s="10">
        <f>'DY 2022 Activities'!W9</f>
        <v>0</v>
      </c>
      <c r="U2" s="10">
        <f>'DY 2022 Activities'!X9</f>
        <v>0</v>
      </c>
      <c r="V2" s="10">
        <f>'DY 2022 Activities'!Y9</f>
        <v>0</v>
      </c>
    </row>
    <row r="3" spans="1:22" x14ac:dyDescent="0.3">
      <c r="A3" s="29" t="s">
        <v>12</v>
      </c>
      <c r="B3" s="28">
        <f>'DY 2022 Activities'!E16</f>
        <v>234824.40306947764</v>
      </c>
      <c r="C3" s="28">
        <f>'DY 2022 Activities'!F16</f>
        <v>233650.28105413029</v>
      </c>
      <c r="D3" s="28">
        <f>'DY 2022 Activities'!G16</f>
        <v>232482.02964885964</v>
      </c>
      <c r="E3" s="28">
        <f>'DY 2022 Activities'!H16</f>
        <v>231319.61950061534</v>
      </c>
      <c r="F3" s="28">
        <f>'DY 2022 Activities'!I16</f>
        <v>230163.02140311227</v>
      </c>
      <c r="G3" s="28">
        <f>'DY 2022 Activities'!J16</f>
        <v>229012.2062960967</v>
      </c>
      <c r="H3" s="28">
        <f>'DY 2022 Activities'!K16</f>
        <v>227867.14526461624</v>
      </c>
      <c r="I3" s="28">
        <f>'DY 2022 Activities'!L16</f>
        <v>226727.80953829316</v>
      </c>
      <c r="J3" s="28">
        <f>'DY 2022 Activities'!M16</f>
        <v>225594.17049060171</v>
      </c>
      <c r="K3" s="28">
        <f>'DY 2022 Activities'!N16</f>
        <v>224466.19963814871</v>
      </c>
      <c r="L3" s="28">
        <f>'DY 2022 Activities'!O16</f>
        <v>223343.86863995797</v>
      </c>
      <c r="M3" s="28">
        <f>'DY 2022 Activities'!P16</f>
        <v>222227.14929675817</v>
      </c>
      <c r="N3" s="28">
        <f>'DY 2022 Activities'!Q16</f>
        <v>221116.01355027442</v>
      </c>
      <c r="O3" s="28">
        <f>'DY 2022 Activities'!R16</f>
        <v>220010.43348252302</v>
      </c>
      <c r="P3" s="28">
        <f>'DY 2022 Activities'!S16</f>
        <v>218910.3813151104</v>
      </c>
      <c r="Q3" s="28">
        <f>'DY 2022 Activities'!T16</f>
        <v>0</v>
      </c>
      <c r="R3" s="28">
        <f>'DY 2022 Activities'!U16</f>
        <v>0</v>
      </c>
      <c r="S3" s="28">
        <f>'DY 2022 Activities'!V16</f>
        <v>0</v>
      </c>
      <c r="T3" s="28">
        <f>'DY 2022 Activities'!W16</f>
        <v>0</v>
      </c>
      <c r="U3" s="28">
        <f>'DY 2022 Activities'!X16</f>
        <v>0</v>
      </c>
      <c r="V3" s="28">
        <f>'DY 2022 Activities'!Y16</f>
        <v>0</v>
      </c>
    </row>
    <row r="4" spans="1:22" x14ac:dyDescent="0.3">
      <c r="A4" s="29" t="s">
        <v>21</v>
      </c>
      <c r="B4" s="28">
        <f>'DY 2022 Activities'!E29</f>
        <v>0</v>
      </c>
      <c r="C4" s="28">
        <f>'DY 2022 Activities'!F29</f>
        <v>236968.51199999999</v>
      </c>
      <c r="D4" s="28">
        <f>'DY 2022 Activities'!G29</f>
        <v>235783.66944</v>
      </c>
      <c r="E4" s="28">
        <f>'DY 2022 Activities'!H29</f>
        <v>234604.7510928</v>
      </c>
      <c r="F4" s="28">
        <f>'DY 2022 Activities'!I29</f>
        <v>233431.72733733599</v>
      </c>
      <c r="G4" s="28">
        <f>'DY 2022 Activities'!J29</f>
        <v>232264.56870064931</v>
      </c>
      <c r="H4" s="28">
        <f>'DY 2022 Activities'!K29</f>
        <v>231103.2458571461</v>
      </c>
      <c r="I4" s="28">
        <f>'DY 2022 Activities'!L29</f>
        <v>229947.72962786036</v>
      </c>
      <c r="J4" s="28">
        <f>'DY 2022 Activities'!M29</f>
        <v>228797.99097972107</v>
      </c>
      <c r="K4" s="28">
        <f>'DY 2022 Activities'!N29</f>
        <v>227654.00102482247</v>
      </c>
      <c r="L4" s="28">
        <f>'DY 2022 Activities'!O29</f>
        <v>226515.73101969832</v>
      </c>
      <c r="M4" s="28">
        <f>'DY 2022 Activities'!P29</f>
        <v>225383.15236459984</v>
      </c>
      <c r="N4" s="28">
        <f>'DY 2022 Activities'!Q29</f>
        <v>224256.23660277683</v>
      </c>
      <c r="O4" s="28">
        <f>'DY 2022 Activities'!R29</f>
        <v>223134.95541976293</v>
      </c>
      <c r="P4" s="28">
        <f>'DY 2022 Activities'!S29</f>
        <v>222019.28064266415</v>
      </c>
      <c r="Q4" s="28">
        <f>'DY 2022 Activities'!T29</f>
        <v>220909.18423945084</v>
      </c>
      <c r="R4" s="28">
        <f>'DY 2022 Activities'!U29</f>
        <v>219804.63831825356</v>
      </c>
      <c r="S4" s="28">
        <f>'DY 2022 Activities'!V29</f>
        <v>218705.61512666231</v>
      </c>
      <c r="T4" s="28">
        <f>'DY 2022 Activities'!W29</f>
        <v>217612.08705102903</v>
      </c>
      <c r="U4" s="28">
        <f>'DY 2022 Activities'!X29</f>
        <v>216524.02661577388</v>
      </c>
      <c r="V4" s="28">
        <f>'DY 2022 Activities'!Y29</f>
        <v>215441.40648269499</v>
      </c>
    </row>
    <row r="5" spans="1:22" x14ac:dyDescent="0.3">
      <c r="A5" s="29" t="s">
        <v>25</v>
      </c>
      <c r="B5" s="28">
        <f>'DY 2022 Activities'!E32</f>
        <v>295247.95542000001</v>
      </c>
      <c r="C5" s="28">
        <f>'DY 2022 Activities'!F32</f>
        <v>293771.71564289997</v>
      </c>
      <c r="D5" s="28">
        <f>'DY 2022 Activities'!G32</f>
        <v>292302.85706468544</v>
      </c>
      <c r="E5" s="28">
        <f>'DY 2022 Activities'!H32</f>
        <v>290841.34277936205</v>
      </c>
      <c r="F5" s="28">
        <f>'DY 2022 Activities'!I32</f>
        <v>289387.13606546522</v>
      </c>
      <c r="G5" s="28">
        <f>'DY 2022 Activities'!J32</f>
        <v>287940.20038513793</v>
      </c>
      <c r="H5" s="28">
        <f>'DY 2022 Activities'!K32</f>
        <v>286500.49938321218</v>
      </c>
      <c r="I5" s="28">
        <f>'DY 2022 Activities'!L32</f>
        <v>285067.99688629614</v>
      </c>
      <c r="J5" s="28">
        <f>'DY 2022 Activities'!M32</f>
        <v>283642.65690186468</v>
      </c>
      <c r="K5" s="28">
        <f>'DY 2022 Activities'!N32</f>
        <v>282224.44361735537</v>
      </c>
      <c r="L5" s="28">
        <f>'DY 2022 Activities'!O32</f>
        <v>280813.32139926858</v>
      </c>
      <c r="M5" s="28">
        <f>'DY 2022 Activities'!P32</f>
        <v>279409.25479227223</v>
      </c>
      <c r="N5" s="28">
        <f>'DY 2022 Activities'!Q32</f>
        <v>278012.20851831092</v>
      </c>
      <c r="O5" s="28">
        <f>'DY 2022 Activities'!R32</f>
        <v>276622.14747571934</v>
      </c>
      <c r="P5" s="28">
        <f>'DY 2022 Activities'!S32</f>
        <v>275239.03673834074</v>
      </c>
      <c r="Q5" s="28">
        <f>'DY 2022 Activities'!T32</f>
        <v>273862.841554649</v>
      </c>
      <c r="R5" s="28">
        <f>'DY 2022 Activities'!U32</f>
        <v>272493.52734687581</v>
      </c>
      <c r="S5" s="28">
        <f>'DY 2022 Activities'!V32</f>
        <v>271131.05971014139</v>
      </c>
      <c r="T5" s="28">
        <f>'DY 2022 Activities'!W32</f>
        <v>269775.40441159066</v>
      </c>
      <c r="U5" s="28">
        <f>'DY 2022 Activities'!X32</f>
        <v>268426.52738953271</v>
      </c>
      <c r="V5" s="28">
        <f>'DY 2022 Activities'!Y32</f>
        <v>0</v>
      </c>
    </row>
    <row r="6" spans="1:22" x14ac:dyDescent="0.3">
      <c r="A6" s="29" t="s">
        <v>29</v>
      </c>
      <c r="B6" s="28">
        <f>'DY 2022 Activities'!E47</f>
        <v>0</v>
      </c>
      <c r="C6" s="28">
        <f>'DY 2022 Activities'!F47</f>
        <v>59242.127999999997</v>
      </c>
      <c r="D6" s="28">
        <f>'DY 2022 Activities'!G47</f>
        <v>58945.917359999992</v>
      </c>
      <c r="E6" s="28">
        <f>'DY 2022 Activities'!H47</f>
        <v>58651.187773199999</v>
      </c>
      <c r="F6" s="28">
        <f>'DY 2022 Activities'!I47</f>
        <v>58357.931834333998</v>
      </c>
      <c r="G6" s="28">
        <f>'DY 2022 Activities'!J47</f>
        <v>58066.142175162327</v>
      </c>
      <c r="H6" s="28">
        <f>'DY 2022 Activities'!K47</f>
        <v>57775.811464286518</v>
      </c>
      <c r="I6" s="28">
        <f>'DY 2022 Activities'!L47</f>
        <v>57486.932406965083</v>
      </c>
      <c r="J6" s="28">
        <f>'DY 2022 Activities'!M47</f>
        <v>57199.497744930261</v>
      </c>
      <c r="K6" s="28">
        <f>'DY 2022 Activities'!N47</f>
        <v>56913.500256205611</v>
      </c>
      <c r="L6" s="28">
        <f>'DY 2022 Activities'!O47</f>
        <v>56628.932754924579</v>
      </c>
      <c r="M6" s="28">
        <f>'DY 2022 Activities'!P47</f>
        <v>56345.788091149952</v>
      </c>
      <c r="N6" s="28">
        <f>'DY 2022 Activities'!Q47</f>
        <v>56064.059150694207</v>
      </c>
      <c r="O6" s="28">
        <f>'DY 2022 Activities'!R47</f>
        <v>55783.738854940733</v>
      </c>
      <c r="P6" s="28">
        <f>'DY 2022 Activities'!S47</f>
        <v>55504.82016066603</v>
      </c>
      <c r="Q6" s="28">
        <f>'DY 2022 Activities'!T47</f>
        <v>55227.296059862696</v>
      </c>
      <c r="R6" s="28">
        <f>'DY 2022 Activities'!U47</f>
        <v>0</v>
      </c>
      <c r="S6" s="28">
        <f>'DY 2022 Activities'!V47</f>
        <v>0</v>
      </c>
      <c r="T6" s="28">
        <f>'DY 2022 Activities'!W47</f>
        <v>0</v>
      </c>
      <c r="U6" s="28">
        <f>'DY 2022 Activities'!X47</f>
        <v>0</v>
      </c>
      <c r="V6" s="28">
        <f>'DY 2022 Activities'!Y47</f>
        <v>0</v>
      </c>
    </row>
    <row r="7" spans="1:22" x14ac:dyDescent="0.3">
      <c r="A7" s="30" t="s">
        <v>33</v>
      </c>
      <c r="B7" s="28">
        <f>'DY 2022 Activities'!E50</f>
        <v>182432.62174992182</v>
      </c>
      <c r="C7" s="28">
        <f>'DY 2022 Activities'!F50</f>
        <v>181520.45864117221</v>
      </c>
      <c r="D7" s="28">
        <f>'DY 2022 Activities'!G50</f>
        <v>180612.85634796636</v>
      </c>
      <c r="E7" s="28">
        <f>'DY 2022 Activities'!H50</f>
        <v>179709.79206622654</v>
      </c>
      <c r="F7" s="28">
        <f>'DY 2022 Activities'!I50</f>
        <v>178811.24310589541</v>
      </c>
      <c r="G7" s="28">
        <f>'DY 2022 Activities'!J50</f>
        <v>177917.18689036591</v>
      </c>
      <c r="H7" s="28">
        <f>'DY 2022 Activities'!K50</f>
        <v>177027.60095591407</v>
      </c>
      <c r="I7" s="28">
        <f>'DY 2022 Activities'!L50</f>
        <v>176142.46295113451</v>
      </c>
      <c r="J7" s="28">
        <f>'DY 2022 Activities'!M50</f>
        <v>175261.75063637883</v>
      </c>
      <c r="K7" s="28">
        <f>'DY 2022 Activities'!N50</f>
        <v>174385.44188319694</v>
      </c>
      <c r="L7" s="28">
        <f>'DY 2022 Activities'!O50</f>
        <v>173513.51467378094</v>
      </c>
      <c r="M7" s="28">
        <f>'DY 2022 Activities'!P50</f>
        <v>172645.94710041204</v>
      </c>
      <c r="N7" s="28">
        <f>'DY 2022 Activities'!Q50</f>
        <v>171782.71736491</v>
      </c>
      <c r="O7" s="28">
        <f>'DY 2022 Activities'!R50</f>
        <v>170923.80377808545</v>
      </c>
      <c r="P7" s="28">
        <f>'DY 2022 Activities'!S50</f>
        <v>170069.18475919502</v>
      </c>
      <c r="Q7" s="28">
        <f>'DY 2022 Activities'!T50</f>
        <v>0</v>
      </c>
      <c r="R7" s="28">
        <f>'DY 2022 Activities'!U50</f>
        <v>0</v>
      </c>
      <c r="S7" s="28">
        <f>'DY 2022 Activities'!V50</f>
        <v>0</v>
      </c>
      <c r="T7" s="28">
        <f>'DY 2022 Activities'!W50</f>
        <v>0</v>
      </c>
      <c r="U7" s="28">
        <f>'DY 2022 Activities'!X50</f>
        <v>0</v>
      </c>
      <c r="V7" s="28">
        <f>'DY 2022 Activities'!Y50</f>
        <v>0</v>
      </c>
    </row>
    <row r="8" spans="1:22" x14ac:dyDescent="0.3">
      <c r="A8" s="30" t="s">
        <v>40</v>
      </c>
      <c r="B8" s="28">
        <f>'DY 2022 Activities'!E63</f>
        <v>0</v>
      </c>
      <c r="C8" s="28">
        <f>'DY 2022 Activities'!F63</f>
        <v>0</v>
      </c>
      <c r="D8" s="28">
        <f>'DY 2022 Activities'!G63</f>
        <v>0</v>
      </c>
      <c r="E8" s="28">
        <f>'DY 2022 Activities'!H63</f>
        <v>0</v>
      </c>
      <c r="F8" s="28">
        <f>'DY 2022 Activities'!I63</f>
        <v>0</v>
      </c>
      <c r="G8" s="28">
        <f>'DY 2022 Activities'!J63</f>
        <v>0</v>
      </c>
      <c r="H8" s="28">
        <f>'DY 2022 Activities'!K63</f>
        <v>0</v>
      </c>
      <c r="I8" s="28">
        <f>'DY 2022 Activities'!L63</f>
        <v>0</v>
      </c>
      <c r="J8" s="28">
        <f>'DY 2022 Activities'!M63</f>
        <v>0</v>
      </c>
      <c r="K8" s="28">
        <f>'DY 2022 Activities'!N63</f>
        <v>0</v>
      </c>
      <c r="L8" s="28">
        <f>'DY 2022 Activities'!O63</f>
        <v>0</v>
      </c>
      <c r="M8" s="28">
        <f>'DY 2022 Activities'!P63</f>
        <v>0</v>
      </c>
      <c r="N8" s="28">
        <f>'DY 2022 Activities'!Q63</f>
        <v>0</v>
      </c>
      <c r="O8" s="28">
        <f>'DY 2022 Activities'!R63</f>
        <v>0</v>
      </c>
      <c r="P8" s="28">
        <f>'DY 2022 Activities'!S63</f>
        <v>0</v>
      </c>
      <c r="Q8" s="28">
        <f>'DY 2022 Activities'!T63</f>
        <v>0</v>
      </c>
      <c r="R8" s="28">
        <f>'DY 2022 Activities'!U63</f>
        <v>0</v>
      </c>
      <c r="S8" s="28">
        <f>'DY 2022 Activities'!V63</f>
        <v>0</v>
      </c>
      <c r="T8" s="28">
        <f>'DY 2022 Activities'!W63</f>
        <v>0</v>
      </c>
      <c r="U8" s="28">
        <f>'DY 2022 Activities'!X63</f>
        <v>0</v>
      </c>
      <c r="V8" s="28">
        <f>'DY 2022 Activities'!Y63</f>
        <v>0</v>
      </c>
    </row>
    <row r="9" spans="1:22" x14ac:dyDescent="0.3">
      <c r="A9" s="30" t="s">
        <v>41</v>
      </c>
      <c r="B9" s="28">
        <f>'DY 2022 Activities'!E64</f>
        <v>0</v>
      </c>
      <c r="C9" s="28">
        <f>'DY 2022 Activities'!F64</f>
        <v>0</v>
      </c>
      <c r="D9" s="28">
        <f>'DY 2022 Activities'!G64</f>
        <v>0</v>
      </c>
      <c r="E9" s="28">
        <f>'DY 2022 Activities'!H64</f>
        <v>943430</v>
      </c>
      <c r="F9" s="28">
        <f>'DY 2022 Activities'!I64</f>
        <v>938712.85</v>
      </c>
      <c r="G9" s="28">
        <f>'DY 2022 Activities'!J64</f>
        <v>934019.28574999992</v>
      </c>
      <c r="H9" s="28">
        <f>'DY 2022 Activities'!K64</f>
        <v>929349.18932124996</v>
      </c>
      <c r="I9" s="28">
        <f>'DY 2022 Activities'!L64</f>
        <v>924702.44337464368</v>
      </c>
      <c r="J9" s="28">
        <f>'DY 2022 Activities'!M64</f>
        <v>920078.93115777045</v>
      </c>
      <c r="K9" s="28">
        <f>'DY 2022 Activities'!N64</f>
        <v>915478.53650198155</v>
      </c>
      <c r="L9" s="28">
        <f>'DY 2022 Activities'!O64</f>
        <v>910901.14381947159</v>
      </c>
      <c r="M9" s="28">
        <f>'DY 2022 Activities'!P64</f>
        <v>906346.63810037426</v>
      </c>
      <c r="N9" s="28">
        <f>'DY 2022 Activities'!Q64</f>
        <v>901814.90490987233</v>
      </c>
      <c r="O9" s="28">
        <f>'DY 2022 Activities'!R64</f>
        <v>897305.83038532292</v>
      </c>
      <c r="P9" s="28">
        <f>'DY 2022 Activities'!S64</f>
        <v>892819.30123339628</v>
      </c>
      <c r="Q9" s="28">
        <f>'DY 2022 Activities'!T64</f>
        <v>888355.20472722931</v>
      </c>
      <c r="R9" s="28">
        <f>'DY 2022 Activities'!U64</f>
        <v>883913.42870359321</v>
      </c>
      <c r="S9" s="28">
        <f>'DY 2022 Activities'!V64</f>
        <v>879493.86156007519</v>
      </c>
      <c r="T9" s="28">
        <f>'DY 2022 Activities'!W64</f>
        <v>875096.39225227479</v>
      </c>
      <c r="U9" s="28">
        <f>'DY 2022 Activities'!X64</f>
        <v>870720.91029101342</v>
      </c>
      <c r="V9" s="28">
        <f>'DY 2022 Activities'!Y64</f>
        <v>866367.3057395583</v>
      </c>
    </row>
    <row r="10" spans="1:22" x14ac:dyDescent="0.3">
      <c r="A10" s="30" t="s">
        <v>42</v>
      </c>
      <c r="B10" s="28">
        <f>'DY 2022 Activities'!E65</f>
        <v>0</v>
      </c>
      <c r="C10" s="28">
        <f>'DY 2022 Activities'!F65</f>
        <v>0</v>
      </c>
      <c r="D10" s="28">
        <f>'DY 2022 Activities'!G65</f>
        <v>0</v>
      </c>
      <c r="E10" s="28">
        <f>'DY 2022 Activities'!H65</f>
        <v>49377</v>
      </c>
      <c r="F10" s="28">
        <f>'DY 2022 Activities'!I65</f>
        <v>49130.114999999998</v>
      </c>
      <c r="G10" s="28">
        <f>'DY 2022 Activities'!J65</f>
        <v>48884.464424999998</v>
      </c>
      <c r="H10" s="28">
        <f>'DY 2022 Activities'!K65</f>
        <v>48640.042102874999</v>
      </c>
      <c r="I10" s="28">
        <f>'DY 2022 Activities'!L65</f>
        <v>48396.841892360622</v>
      </c>
      <c r="J10" s="28">
        <f>'DY 2022 Activities'!M65</f>
        <v>48154.857682898823</v>
      </c>
      <c r="K10" s="28">
        <f>'DY 2022 Activities'!N65</f>
        <v>47914.083394484325</v>
      </c>
      <c r="L10" s="28">
        <f>'DY 2022 Activities'!O65</f>
        <v>47674.512977511906</v>
      </c>
      <c r="M10" s="28">
        <f>'DY 2022 Activities'!P65</f>
        <v>47436.140412624343</v>
      </c>
      <c r="N10" s="28">
        <f>'DY 2022 Activities'!Q65</f>
        <v>47198.959710561219</v>
      </c>
      <c r="O10" s="28">
        <f>'DY 2022 Activities'!R65</f>
        <v>46962.964912008414</v>
      </c>
      <c r="P10" s="28">
        <f>'DY 2022 Activities'!S65</f>
        <v>46728.150087448375</v>
      </c>
      <c r="Q10" s="28">
        <f>'DY 2022 Activities'!T65</f>
        <v>46494.509337011135</v>
      </c>
      <c r="R10" s="28">
        <f>'DY 2022 Activities'!U65</f>
        <v>46262.036790326078</v>
      </c>
      <c r="S10" s="28">
        <f>'DY 2022 Activities'!V65</f>
        <v>46030.726606374446</v>
      </c>
      <c r="T10" s="28">
        <f>'DY 2022 Activities'!W65</f>
        <v>45800.572973342576</v>
      </c>
      <c r="U10" s="28">
        <f>'DY 2022 Activities'!X65</f>
        <v>45571.570108475862</v>
      </c>
      <c r="V10" s="28">
        <f>'DY 2022 Activities'!Y65</f>
        <v>45343.712257933483</v>
      </c>
    </row>
    <row r="11" spans="1:22" x14ac:dyDescent="0.3">
      <c r="A11" s="26" t="s">
        <v>141</v>
      </c>
      <c r="B11" s="27">
        <f t="shared" ref="B11:V11" si="1">SUM(B2:B10)</f>
        <v>895514.93125859951</v>
      </c>
      <c r="C11" s="27">
        <f t="shared" si="1"/>
        <v>1187247.9966023064</v>
      </c>
      <c r="D11" s="27">
        <f t="shared" si="1"/>
        <v>1181311.7566192949</v>
      </c>
      <c r="E11" s="27">
        <f t="shared" si="1"/>
        <v>2168212.1978361984</v>
      </c>
      <c r="F11" s="27">
        <f t="shared" si="1"/>
        <v>2157371.1368470178</v>
      </c>
      <c r="G11" s="27">
        <f t="shared" si="1"/>
        <v>2146584.2811627821</v>
      </c>
      <c r="H11" s="27">
        <f t="shared" si="1"/>
        <v>2135851.3597569684</v>
      </c>
      <c r="I11" s="27">
        <f t="shared" si="1"/>
        <v>2125172.1029581837</v>
      </c>
      <c r="J11" s="27">
        <f t="shared" si="1"/>
        <v>2114546.2424433925</v>
      </c>
      <c r="K11" s="27">
        <f t="shared" si="1"/>
        <v>2103973.5112311756</v>
      </c>
      <c r="L11" s="27">
        <f t="shared" si="1"/>
        <v>2093453.6436750197</v>
      </c>
      <c r="M11" s="27">
        <f t="shared" si="1"/>
        <v>2082986.3754566447</v>
      </c>
      <c r="N11" s="27">
        <f t="shared" si="1"/>
        <v>2072571.4435793613</v>
      </c>
      <c r="O11" s="27">
        <f t="shared" si="1"/>
        <v>2062208.5863614646</v>
      </c>
      <c r="P11" s="27">
        <f t="shared" si="1"/>
        <v>2051897.5434296574</v>
      </c>
      <c r="Q11" s="27">
        <f t="shared" si="1"/>
        <v>1484849.0359182029</v>
      </c>
      <c r="R11" s="27">
        <f t="shared" si="1"/>
        <v>1422473.6311590485</v>
      </c>
      <c r="S11" s="27">
        <f t="shared" si="1"/>
        <v>1415361.2630032531</v>
      </c>
      <c r="T11" s="27">
        <f t="shared" si="1"/>
        <v>1408284.4566882371</v>
      </c>
      <c r="U11" s="27">
        <f t="shared" si="1"/>
        <v>1401243.0344047958</v>
      </c>
      <c r="V11" s="27">
        <f t="shared" si="1"/>
        <v>1127152.4244801868</v>
      </c>
    </row>
    <row r="35" spans="1:22" ht="15.6" x14ac:dyDescent="0.3">
      <c r="A35" s="41"/>
      <c r="B35" s="2">
        <v>2022</v>
      </c>
      <c r="C35" s="2">
        <f t="shared" ref="C35:V35" si="2">B35+1</f>
        <v>2023</v>
      </c>
      <c r="D35" s="2">
        <f t="shared" si="2"/>
        <v>2024</v>
      </c>
      <c r="E35" s="2">
        <f t="shared" si="2"/>
        <v>2025</v>
      </c>
      <c r="F35" s="2">
        <f t="shared" si="2"/>
        <v>2026</v>
      </c>
      <c r="G35" s="2">
        <f t="shared" si="2"/>
        <v>2027</v>
      </c>
      <c r="H35" s="2">
        <f t="shared" si="2"/>
        <v>2028</v>
      </c>
      <c r="I35" s="2">
        <f t="shared" si="2"/>
        <v>2029</v>
      </c>
      <c r="J35" s="2">
        <f t="shared" si="2"/>
        <v>2030</v>
      </c>
      <c r="K35" s="2">
        <f t="shared" si="2"/>
        <v>2031</v>
      </c>
      <c r="L35" s="2">
        <f t="shared" si="2"/>
        <v>2032</v>
      </c>
      <c r="M35" s="2">
        <f t="shared" si="2"/>
        <v>2033</v>
      </c>
      <c r="N35" s="2">
        <f t="shared" si="2"/>
        <v>2034</v>
      </c>
      <c r="O35" s="2">
        <f t="shared" si="2"/>
        <v>2035</v>
      </c>
      <c r="P35" s="2">
        <f t="shared" si="2"/>
        <v>2036</v>
      </c>
      <c r="Q35" s="2">
        <f t="shared" si="2"/>
        <v>2037</v>
      </c>
      <c r="R35" s="2">
        <f t="shared" si="2"/>
        <v>2038</v>
      </c>
      <c r="S35" s="2">
        <f t="shared" si="2"/>
        <v>2039</v>
      </c>
      <c r="T35" s="2">
        <f t="shared" si="2"/>
        <v>2040</v>
      </c>
      <c r="U35" s="2">
        <f t="shared" si="2"/>
        <v>2041</v>
      </c>
      <c r="V35" s="2">
        <f t="shared" si="2"/>
        <v>2042</v>
      </c>
    </row>
    <row r="36" spans="1:22" x14ac:dyDescent="0.3">
      <c r="A36" s="29" t="s">
        <v>6</v>
      </c>
      <c r="B36" s="45">
        <f>'DY 2022 Activities'!E73</f>
        <v>196896443.51041692</v>
      </c>
      <c r="C36" s="45">
        <f>'DY 2022 Activities'!F73</f>
        <v>0</v>
      </c>
      <c r="D36" s="45">
        <f>'DY 2022 Activities'!G73</f>
        <v>0</v>
      </c>
      <c r="E36" s="45">
        <f>'DY 2022 Activities'!H73</f>
        <v>0</v>
      </c>
      <c r="F36" s="45">
        <f>'DY 2022 Activities'!I73</f>
        <v>0</v>
      </c>
      <c r="G36" s="45">
        <f>'DY 2022 Activities'!J73</f>
        <v>0</v>
      </c>
      <c r="H36" s="45">
        <f>'DY 2022 Activities'!K73</f>
        <v>0</v>
      </c>
      <c r="I36" s="45">
        <f>'DY 2022 Activities'!L73</f>
        <v>0</v>
      </c>
      <c r="J36" s="45">
        <f>'DY 2022 Activities'!M73</f>
        <v>0</v>
      </c>
      <c r="K36" s="45">
        <f>'DY 2022 Activities'!N73</f>
        <v>0</v>
      </c>
      <c r="L36" s="45">
        <f>'DY 2022 Activities'!O73</f>
        <v>0</v>
      </c>
      <c r="M36" s="45">
        <f>'DY 2022 Activities'!P73</f>
        <v>0</v>
      </c>
      <c r="N36" s="45">
        <f>'DY 2022 Activities'!Q73</f>
        <v>0</v>
      </c>
      <c r="O36" s="45">
        <f>'DY 2022 Activities'!R73</f>
        <v>0</v>
      </c>
      <c r="P36" s="45">
        <f>'DY 2022 Activities'!S73</f>
        <v>0</v>
      </c>
      <c r="Q36" s="45">
        <f>'DY 2022 Activities'!T73</f>
        <v>0</v>
      </c>
      <c r="R36" s="45">
        <f>'DY 2022 Activities'!U73</f>
        <v>0</v>
      </c>
      <c r="S36" s="45">
        <f>'DY 2022 Activities'!V73</f>
        <v>0</v>
      </c>
      <c r="T36" s="45">
        <f>'DY 2022 Activities'!W73</f>
        <v>0</v>
      </c>
      <c r="U36" s="45">
        <f>'DY 2022 Activities'!X73</f>
        <v>0</v>
      </c>
      <c r="V36" s="45">
        <f>'DY 2022 Activities'!Y73</f>
        <v>0</v>
      </c>
    </row>
    <row r="37" spans="1:22" x14ac:dyDescent="0.3">
      <c r="A37" s="29" t="s">
        <v>12</v>
      </c>
      <c r="B37" s="45">
        <f>'DY 2022 Activities'!E80</f>
        <v>25347753.897498447</v>
      </c>
      <c r="C37" s="45">
        <f>'DY 2022 Activities'!F80</f>
        <v>23939545.347637422</v>
      </c>
      <c r="D37" s="45">
        <f>'DY 2022 Activities'!G80</f>
        <v>23939545.347637422</v>
      </c>
      <c r="E37" s="45">
        <f>'DY 2022 Activities'!H80</f>
        <v>23939545.347637422</v>
      </c>
      <c r="F37" s="45">
        <f>'DY 2022 Activities'!I80</f>
        <v>23939545.347637422</v>
      </c>
      <c r="G37" s="45">
        <f>'DY 2022 Activities'!J80</f>
        <v>23939545.347637422</v>
      </c>
      <c r="H37" s="45">
        <f>'DY 2022 Activities'!K80</f>
        <v>23939545.347637422</v>
      </c>
      <c r="I37" s="45">
        <f>'DY 2022 Activities'!L80</f>
        <v>0</v>
      </c>
      <c r="J37" s="45">
        <f>'DY 2022 Activities'!M80</f>
        <v>0</v>
      </c>
      <c r="K37" s="45">
        <f>'DY 2022 Activities'!N80</f>
        <v>0</v>
      </c>
      <c r="L37" s="45">
        <f>'DY 2022 Activities'!O80</f>
        <v>0</v>
      </c>
      <c r="M37" s="45">
        <f>'DY 2022 Activities'!P80</f>
        <v>0</v>
      </c>
      <c r="N37" s="45">
        <f>'DY 2022 Activities'!Q80</f>
        <v>0</v>
      </c>
      <c r="O37" s="45">
        <f>'DY 2022 Activities'!R80</f>
        <v>0</v>
      </c>
      <c r="P37" s="45">
        <f>'DY 2022 Activities'!S80</f>
        <v>0</v>
      </c>
      <c r="Q37" s="45">
        <f>'DY 2022 Activities'!T80</f>
        <v>0</v>
      </c>
      <c r="R37" s="45">
        <f>'DY 2022 Activities'!U80</f>
        <v>0</v>
      </c>
      <c r="S37" s="45">
        <f>'DY 2022 Activities'!V80</f>
        <v>0</v>
      </c>
      <c r="T37" s="45">
        <f>'DY 2022 Activities'!W80</f>
        <v>0</v>
      </c>
      <c r="U37" s="45">
        <f>'DY 2022 Activities'!X80</f>
        <v>0</v>
      </c>
      <c r="V37" s="45">
        <f>'DY 2022 Activities'!Y80</f>
        <v>0</v>
      </c>
    </row>
    <row r="38" spans="1:22" x14ac:dyDescent="0.3">
      <c r="A38" s="29" t="s">
        <v>21</v>
      </c>
      <c r="B38" s="45">
        <f>'DY 2022 Activities'!E93</f>
        <v>0</v>
      </c>
      <c r="C38" s="45">
        <f>'DY 2022 Activities'!F93</f>
        <v>12854593.901951998</v>
      </c>
      <c r="D38" s="45">
        <f>'DY 2022 Activities'!G93</f>
        <v>12790320.93244224</v>
      </c>
      <c r="E38" s="45">
        <f>'DY 2022 Activities'!H93</f>
        <v>12726369.327780029</v>
      </c>
      <c r="F38" s="45">
        <f>'DY 2022 Activities'!I93</f>
        <v>12662737.48114113</v>
      </c>
      <c r="G38" s="45">
        <f>'DY 2022 Activities'!J93</f>
        <v>12599423.793735424</v>
      </c>
      <c r="H38" s="45">
        <f>'DY 2022 Activities'!K93</f>
        <v>12536426.674766747</v>
      </c>
      <c r="I38" s="45">
        <f>'DY 2022 Activities'!L93</f>
        <v>12473744.541392913</v>
      </c>
      <c r="J38" s="45">
        <f>'DY 2022 Activities'!M93</f>
        <v>12411375.818685949</v>
      </c>
      <c r="K38" s="45">
        <f>'DY 2022 Activities'!N93</f>
        <v>12349318.93959252</v>
      </c>
      <c r="L38" s="45">
        <f>'DY 2022 Activities'!O93</f>
        <v>12287572.344894556</v>
      </c>
      <c r="M38" s="45">
        <f>'DY 2022 Activities'!P93</f>
        <v>12226134.483170083</v>
      </c>
      <c r="N38" s="45">
        <f>'DY 2022 Activities'!Q93</f>
        <v>12165003.810754232</v>
      </c>
      <c r="O38" s="45">
        <f>'DY 2022 Activities'!R93</f>
        <v>12104178.791700462</v>
      </c>
      <c r="P38" s="45">
        <f>'DY 2022 Activities'!S93</f>
        <v>12043657.897741958</v>
      </c>
      <c r="Q38" s="45">
        <f>'DY 2022 Activities'!T93</f>
        <v>11983439.608253248</v>
      </c>
      <c r="R38" s="45">
        <f>'DY 2022 Activities'!U93</f>
        <v>11923522.410211984</v>
      </c>
      <c r="S38" s="45">
        <f>'DY 2022 Activities'!V93</f>
        <v>11863904.798160924</v>
      </c>
      <c r="T38" s="45">
        <f>'DY 2022 Activities'!W93</f>
        <v>11804585.274170119</v>
      </c>
      <c r="U38" s="45">
        <f>'DY 2022 Activities'!X93</f>
        <v>11745562.347799269</v>
      </c>
      <c r="V38" s="45">
        <f>'DY 2022 Activities'!Y93</f>
        <v>11686834.536060272</v>
      </c>
    </row>
    <row r="39" spans="1:22" x14ac:dyDescent="0.3">
      <c r="A39" s="29" t="s">
        <v>25</v>
      </c>
      <c r="B39" s="45">
        <f>'DY 2022 Activities'!E96</f>
        <v>18094414.836347114</v>
      </c>
      <c r="C39" s="45">
        <f>'DY 2022 Activities'!F96</f>
        <v>18003942.762165383</v>
      </c>
      <c r="D39" s="45">
        <f>'DY 2022 Activities'!G96</f>
        <v>17913923.048354551</v>
      </c>
      <c r="E39" s="45">
        <f>'DY 2022 Activities'!H96</f>
        <v>17824353.433112781</v>
      </c>
      <c r="F39" s="45">
        <f>'DY 2022 Activities'!I96</f>
        <v>17735231.665947214</v>
      </c>
      <c r="G39" s="45">
        <f>'DY 2022 Activities'!J96</f>
        <v>17646555.507617481</v>
      </c>
      <c r="H39" s="45">
        <f>'DY 2022 Activities'!K96</f>
        <v>17558322.730079394</v>
      </c>
      <c r="I39" s="45">
        <f>'DY 2022 Activities'!L96</f>
        <v>17470531.116428994</v>
      </c>
      <c r="J39" s="45">
        <f>'DY 2022 Activities'!M96</f>
        <v>17383178.460846849</v>
      </c>
      <c r="K39" s="45">
        <f>'DY 2022 Activities'!N96</f>
        <v>17296262.568542615</v>
      </c>
      <c r="L39" s="45">
        <f>'DY 2022 Activities'!O96</f>
        <v>17209781.255699903</v>
      </c>
      <c r="M39" s="45">
        <f>'DY 2022 Activities'!P96</f>
        <v>17123732.349421404</v>
      </c>
      <c r="N39" s="45">
        <f>'DY 2022 Activities'!Q96</f>
        <v>17038113.687674299</v>
      </c>
      <c r="O39" s="45">
        <f>'DY 2022 Activities'!R96</f>
        <v>16952923.119235925</v>
      </c>
      <c r="P39" s="45">
        <f>'DY 2022 Activities'!S96</f>
        <v>16868158.503639746</v>
      </c>
      <c r="Q39" s="45">
        <f>'DY 2022 Activities'!T96</f>
        <v>16783817.711121552</v>
      </c>
      <c r="R39" s="45">
        <f>'DY 2022 Activities'!U96</f>
        <v>16699898.62256594</v>
      </c>
      <c r="S39" s="45">
        <f>'DY 2022 Activities'!V96</f>
        <v>16616399.12945311</v>
      </c>
      <c r="T39" s="45">
        <f>'DY 2022 Activities'!W96</f>
        <v>16533317.133805845</v>
      </c>
      <c r="U39" s="45">
        <f>'DY 2022 Activities'!X96</f>
        <v>16450650.548136815</v>
      </c>
      <c r="V39" s="45">
        <f>'DY 2022 Activities'!Y96</f>
        <v>0</v>
      </c>
    </row>
    <row r="40" spans="1:22" x14ac:dyDescent="0.3">
      <c r="A40" s="29" t="s">
        <v>29</v>
      </c>
      <c r="B40" s="45">
        <f>'DY 2022 Activities'!E111</f>
        <v>0</v>
      </c>
      <c r="C40" s="45">
        <f>'DY 2022 Activities'!F111</f>
        <v>8853984.2387289014</v>
      </c>
      <c r="D40" s="45">
        <f>'DY 2022 Activities'!G111</f>
        <v>8362096.2254661843</v>
      </c>
      <c r="E40" s="45">
        <f>'DY 2022 Activities'!H111</f>
        <v>8362096.2254661843</v>
      </c>
      <c r="F40" s="45">
        <f>'DY 2022 Activities'!I111</f>
        <v>8362096.2254661843</v>
      </c>
      <c r="G40" s="45">
        <f>'DY 2022 Activities'!J111</f>
        <v>8362096.2254661843</v>
      </c>
      <c r="H40" s="45">
        <f>'DY 2022 Activities'!K111</f>
        <v>8362096.2254661843</v>
      </c>
      <c r="I40" s="45">
        <f>'DY 2022 Activities'!L111</f>
        <v>8362096.2254661843</v>
      </c>
      <c r="J40" s="45">
        <f>'DY 2022 Activities'!M111</f>
        <v>0</v>
      </c>
      <c r="K40" s="45">
        <f>'DY 2022 Activities'!N111</f>
        <v>0</v>
      </c>
      <c r="L40" s="45">
        <f>'DY 2022 Activities'!O111</f>
        <v>0</v>
      </c>
      <c r="M40" s="45">
        <f>'DY 2022 Activities'!P111</f>
        <v>0</v>
      </c>
      <c r="N40" s="45">
        <f>'DY 2022 Activities'!Q111</f>
        <v>0</v>
      </c>
      <c r="O40" s="45">
        <f>'DY 2022 Activities'!R111</f>
        <v>0</v>
      </c>
      <c r="P40" s="45">
        <f>'DY 2022 Activities'!S111</f>
        <v>0</v>
      </c>
      <c r="Q40" s="45">
        <f>'DY 2022 Activities'!T111</f>
        <v>0</v>
      </c>
      <c r="R40" s="45">
        <f>'DY 2022 Activities'!U111</f>
        <v>0</v>
      </c>
      <c r="S40" s="45">
        <f>'DY 2022 Activities'!V111</f>
        <v>0</v>
      </c>
      <c r="T40" s="45">
        <f>'DY 2022 Activities'!W111</f>
        <v>0</v>
      </c>
      <c r="U40" s="45">
        <f>'DY 2022 Activities'!X111</f>
        <v>0</v>
      </c>
      <c r="V40" s="45">
        <f>'DY 2022 Activities'!Y111</f>
        <v>0</v>
      </c>
    </row>
    <row r="41" spans="1:22" x14ac:dyDescent="0.3">
      <c r="A41" s="30" t="s">
        <v>33</v>
      </c>
      <c r="B41" s="45">
        <f>'DY 2022 Activities'!E114</f>
        <v>19783279.830774501</v>
      </c>
      <c r="C41" s="45">
        <f>'DY 2022 Activities'!F114</f>
        <v>18684208.729064807</v>
      </c>
      <c r="D41" s="45">
        <f>'DY 2022 Activities'!G114</f>
        <v>18684208.729064807</v>
      </c>
      <c r="E41" s="45">
        <f>'DY 2022 Activities'!H114</f>
        <v>18684208.729064807</v>
      </c>
      <c r="F41" s="45">
        <f>'DY 2022 Activities'!I114</f>
        <v>18684208.729064807</v>
      </c>
      <c r="G41" s="45">
        <f>'DY 2022 Activities'!J114</f>
        <v>18684208.729064807</v>
      </c>
      <c r="H41" s="45">
        <f>'DY 2022 Activities'!K114</f>
        <v>18684208.729064807</v>
      </c>
      <c r="I41" s="45">
        <f>'DY 2022 Activities'!L114</f>
        <v>0</v>
      </c>
      <c r="J41" s="45">
        <f>'DY 2022 Activities'!M114</f>
        <v>0</v>
      </c>
      <c r="K41" s="45">
        <f>'DY 2022 Activities'!N114</f>
        <v>0</v>
      </c>
      <c r="L41" s="45">
        <f>'DY 2022 Activities'!O114</f>
        <v>0</v>
      </c>
      <c r="M41" s="45">
        <f>'DY 2022 Activities'!P114</f>
        <v>0</v>
      </c>
      <c r="N41" s="45">
        <f>'DY 2022 Activities'!Q114</f>
        <v>0</v>
      </c>
      <c r="O41" s="45">
        <f>'DY 2022 Activities'!R114</f>
        <v>0</v>
      </c>
      <c r="P41" s="45">
        <f>'DY 2022 Activities'!S114</f>
        <v>0</v>
      </c>
      <c r="Q41" s="45">
        <f>'DY 2022 Activities'!T114</f>
        <v>0</v>
      </c>
      <c r="R41" s="45">
        <f>'DY 2022 Activities'!U114</f>
        <v>0</v>
      </c>
      <c r="S41" s="45">
        <f>'DY 2022 Activities'!V114</f>
        <v>0</v>
      </c>
      <c r="T41" s="45">
        <f>'DY 2022 Activities'!W114</f>
        <v>0</v>
      </c>
      <c r="U41" s="45">
        <f>'DY 2022 Activities'!X114</f>
        <v>0</v>
      </c>
      <c r="V41" s="45">
        <f>'DY 2022 Activities'!Y114</f>
        <v>0</v>
      </c>
    </row>
    <row r="42" spans="1:22" x14ac:dyDescent="0.3">
      <c r="A42" s="30" t="s">
        <v>40</v>
      </c>
      <c r="B42" s="45">
        <f>'DY 2022 Activities'!E127</f>
        <v>0</v>
      </c>
      <c r="C42" s="45">
        <f>'DY 2022 Activities'!F127</f>
        <v>0</v>
      </c>
      <c r="D42" s="45">
        <f>'DY 2022 Activities'!G127</f>
        <v>0</v>
      </c>
      <c r="E42" s="45">
        <f>'DY 2022 Activities'!H127</f>
        <v>0</v>
      </c>
      <c r="F42" s="45">
        <f>'DY 2022 Activities'!I127</f>
        <v>0</v>
      </c>
      <c r="G42" s="45">
        <f>'DY 2022 Activities'!J127</f>
        <v>0</v>
      </c>
      <c r="H42" s="45">
        <f>'DY 2022 Activities'!K127</f>
        <v>0</v>
      </c>
      <c r="I42" s="45">
        <f>'DY 2022 Activities'!L127</f>
        <v>0</v>
      </c>
      <c r="J42" s="45">
        <f>'DY 2022 Activities'!M127</f>
        <v>0</v>
      </c>
      <c r="K42" s="45">
        <f>'DY 2022 Activities'!N127</f>
        <v>0</v>
      </c>
      <c r="L42" s="45">
        <f>'DY 2022 Activities'!O127</f>
        <v>0</v>
      </c>
      <c r="M42" s="45">
        <f>'DY 2022 Activities'!P127</f>
        <v>0</v>
      </c>
      <c r="N42" s="45">
        <f>'DY 2022 Activities'!Q127</f>
        <v>0</v>
      </c>
      <c r="O42" s="45">
        <f>'DY 2022 Activities'!R127</f>
        <v>0</v>
      </c>
      <c r="P42" s="45">
        <f>'DY 2022 Activities'!S127</f>
        <v>0</v>
      </c>
      <c r="Q42" s="45">
        <f>'DY 2022 Activities'!T127</f>
        <v>0</v>
      </c>
      <c r="R42" s="45">
        <f>'DY 2022 Activities'!U127</f>
        <v>0</v>
      </c>
      <c r="S42" s="45">
        <f>'DY 2022 Activities'!V127</f>
        <v>0</v>
      </c>
      <c r="T42" s="45">
        <f>'DY 2022 Activities'!W127</f>
        <v>0</v>
      </c>
      <c r="U42" s="45">
        <f>'DY 2022 Activities'!X127</f>
        <v>0</v>
      </c>
      <c r="V42" s="45">
        <f>'DY 2022 Activities'!Y127</f>
        <v>0</v>
      </c>
    </row>
    <row r="43" spans="1:22" x14ac:dyDescent="0.3">
      <c r="A43" s="30" t="s">
        <v>41</v>
      </c>
      <c r="B43" s="45">
        <f>'DY 2022 Activities'!E128</f>
        <v>0</v>
      </c>
      <c r="C43" s="45">
        <f>'DY 2022 Activities'!F128</f>
        <v>0</v>
      </c>
      <c r="D43" s="45">
        <f>'DY 2022 Activities'!G128</f>
        <v>0</v>
      </c>
      <c r="E43" s="45">
        <f>'DY 2022 Activities'!H128</f>
        <v>67568456.600000009</v>
      </c>
      <c r="F43" s="45">
        <f>'DY 2022 Activities'!I128</f>
        <v>67230614.317000002</v>
      </c>
      <c r="G43" s="45">
        <f>'DY 2022 Activities'!J128</f>
        <v>66894461.245415002</v>
      </c>
      <c r="H43" s="45">
        <f>'DY 2022 Activities'!K128</f>
        <v>66559988.939187929</v>
      </c>
      <c r="I43" s="45">
        <f>'DY 2022 Activities'!L128</f>
        <v>66227188.994491987</v>
      </c>
      <c r="J43" s="45">
        <f>'DY 2022 Activities'!M128</f>
        <v>65896053.049519524</v>
      </c>
      <c r="K43" s="45">
        <f>'DY 2022 Activities'!N128</f>
        <v>65566572.784271926</v>
      </c>
      <c r="L43" s="45">
        <f>'DY 2022 Activities'!O128</f>
        <v>65238739.920350559</v>
      </c>
      <c r="M43" s="45">
        <f>'DY 2022 Activities'!P128</f>
        <v>64912546.220748812</v>
      </c>
      <c r="N43" s="45">
        <f>'DY 2022 Activities'!Q128</f>
        <v>64587983.489645064</v>
      </c>
      <c r="O43" s="45">
        <f>'DY 2022 Activities'!R128</f>
        <v>64265043.572196834</v>
      </c>
      <c r="P43" s="45">
        <f>'DY 2022 Activities'!S128</f>
        <v>63943718.354335845</v>
      </c>
      <c r="Q43" s="45">
        <f>'DY 2022 Activities'!T128</f>
        <v>63623999.762564167</v>
      </c>
      <c r="R43" s="45">
        <f>'DY 2022 Activities'!U128</f>
        <v>63305879.76375135</v>
      </c>
      <c r="S43" s="45">
        <f>'DY 2022 Activities'!V128</f>
        <v>62989350.364932589</v>
      </c>
      <c r="T43" s="45">
        <f>'DY 2022 Activities'!W128</f>
        <v>62674403.613107927</v>
      </c>
      <c r="U43" s="45">
        <f>'DY 2022 Activities'!X128</f>
        <v>62361031.595042385</v>
      </c>
      <c r="V43" s="45">
        <f>'DY 2022 Activities'!Y128</f>
        <v>62049226.437067166</v>
      </c>
    </row>
    <row r="44" spans="1:22" x14ac:dyDescent="0.3">
      <c r="A44" s="30" t="s">
        <v>42</v>
      </c>
      <c r="B44" s="45">
        <f>'DY 2022 Activities'!E129</f>
        <v>0</v>
      </c>
      <c r="C44" s="45">
        <f>'DY 2022 Activities'!F129</f>
        <v>0</v>
      </c>
      <c r="D44" s="45">
        <f>'DY 2022 Activities'!G129</f>
        <v>0</v>
      </c>
      <c r="E44" s="45">
        <f>'DY 2022 Activities'!H129</f>
        <v>4502688.63</v>
      </c>
      <c r="F44" s="45">
        <f>'DY 2022 Activities'!I129</f>
        <v>4480175.1868499992</v>
      </c>
      <c r="G44" s="45">
        <f>'DY 2022 Activities'!J129</f>
        <v>4457774.3109157495</v>
      </c>
      <c r="H44" s="45">
        <f>'DY 2022 Activities'!K129</f>
        <v>4435485.4393611709</v>
      </c>
      <c r="I44" s="45">
        <f>'DY 2022 Activities'!L129</f>
        <v>4413308.0121643655</v>
      </c>
      <c r="J44" s="45">
        <f>'DY 2022 Activities'!M129</f>
        <v>4391241.4721035436</v>
      </c>
      <c r="K44" s="45">
        <f>'DY 2022 Activities'!N129</f>
        <v>4369285.2647430254</v>
      </c>
      <c r="L44" s="45">
        <f>'DY 2022 Activities'!O129</f>
        <v>4347438.8384193107</v>
      </c>
      <c r="M44" s="45">
        <f>'DY 2022 Activities'!P129</f>
        <v>4325701.6442272142</v>
      </c>
      <c r="N44" s="45">
        <f>'DY 2022 Activities'!Q129</f>
        <v>4304073.1360060778</v>
      </c>
      <c r="O44" s="45">
        <f>'DY 2022 Activities'!R129</f>
        <v>4282552.7703260472</v>
      </c>
      <c r="P44" s="45">
        <f>'DY 2022 Activities'!S129</f>
        <v>4261140.0064744176</v>
      </c>
      <c r="Q44" s="45">
        <f>'DY 2022 Activities'!T129</f>
        <v>4239834.3064420456</v>
      </c>
      <c r="R44" s="45">
        <f>'DY 2022 Activities'!U129</f>
        <v>4218635.1349098347</v>
      </c>
      <c r="S44" s="45">
        <f>'DY 2022 Activities'!V129</f>
        <v>4197541.9592352854</v>
      </c>
      <c r="T44" s="45">
        <f>'DY 2022 Activities'!W129</f>
        <v>4176554.2494391096</v>
      </c>
      <c r="U44" s="45">
        <f>'DY 2022 Activities'!X129</f>
        <v>4155671.4781919136</v>
      </c>
      <c r="V44" s="45">
        <f>'DY 2022 Activities'!Y129</f>
        <v>4134893.1208009543</v>
      </c>
    </row>
    <row r="45" spans="1:22" x14ac:dyDescent="0.3">
      <c r="A45" s="5" t="s">
        <v>233</v>
      </c>
      <c r="B45" s="24">
        <f t="shared" ref="B45:V45" si="3">SUM(B36:B44)</f>
        <v>260121892.075037</v>
      </c>
      <c r="C45" s="24">
        <f t="shared" si="3"/>
        <v>82336274.979548514</v>
      </c>
      <c r="D45" s="24">
        <f t="shared" si="3"/>
        <v>81690094.282965213</v>
      </c>
      <c r="E45" s="24">
        <f t="shared" si="3"/>
        <v>153607718.29306126</v>
      </c>
      <c r="F45" s="24">
        <f t="shared" si="3"/>
        <v>153094608.95310676</v>
      </c>
      <c r="G45" s="24">
        <f t="shared" si="3"/>
        <v>152584065.15985206</v>
      </c>
      <c r="H45" s="24">
        <f t="shared" si="3"/>
        <v>152076074.08556369</v>
      </c>
      <c r="I45" s="24">
        <f t="shared" si="3"/>
        <v>108946868.88994445</v>
      </c>
      <c r="J45" s="24">
        <f t="shared" si="3"/>
        <v>100081848.80115587</v>
      </c>
      <c r="K45" s="24">
        <f t="shared" si="3"/>
        <v>99581439.557150096</v>
      </c>
      <c r="L45" s="24">
        <f t="shared" si="3"/>
        <v>99083532.359364331</v>
      </c>
      <c r="M45" s="24">
        <f t="shared" si="3"/>
        <v>98588114.697567523</v>
      </c>
      <c r="N45" s="24">
        <f t="shared" si="3"/>
        <v>98095174.12407966</v>
      </c>
      <c r="O45" s="24">
        <f t="shared" si="3"/>
        <v>97604698.253459275</v>
      </c>
      <c r="P45" s="24">
        <f t="shared" si="3"/>
        <v>97116674.762191966</v>
      </c>
      <c r="Q45" s="24">
        <f t="shared" si="3"/>
        <v>96631091.388381019</v>
      </c>
      <c r="R45" s="24">
        <f t="shared" si="3"/>
        <v>96147935.931439117</v>
      </c>
      <c r="S45" s="24">
        <f t="shared" si="3"/>
        <v>95667196.251781911</v>
      </c>
      <c r="T45" s="24">
        <f t="shared" si="3"/>
        <v>95188860.270522997</v>
      </c>
      <c r="U45" s="24">
        <f t="shared" si="3"/>
        <v>94712915.969170392</v>
      </c>
      <c r="V45" s="24">
        <f t="shared" si="3"/>
        <v>77870954.093928397</v>
      </c>
    </row>
  </sheetData>
  <printOptions horizontalCentered="1" verticalCentered="1"/>
  <pageMargins left="0.7" right="0.7" top="0.75" bottom="0.75" header="0.3" footer="0.3"/>
  <pageSetup scale="47"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6A21B-B31F-489B-BB9E-53B255E00A97}">
  <dimension ref="A1:V45"/>
  <sheetViews>
    <sheetView zoomScaleNormal="100" workbookViewId="0"/>
  </sheetViews>
  <sheetFormatPr defaultRowHeight="14.4" x14ac:dyDescent="0.3"/>
  <cols>
    <col min="1" max="1" width="45.109375" bestFit="1" customWidth="1"/>
    <col min="2" max="2" width="13.109375" bestFit="1" customWidth="1"/>
    <col min="3" max="4" width="12.33203125" bestFit="1" customWidth="1"/>
    <col min="5" max="8" width="12.77734375" bestFit="1" customWidth="1"/>
    <col min="9" max="9" width="12.33203125" bestFit="1" customWidth="1"/>
    <col min="10" max="12" width="12.77734375" bestFit="1" customWidth="1"/>
    <col min="13" max="13" width="12.33203125" bestFit="1" customWidth="1"/>
    <col min="14" max="20" width="12.77734375" bestFit="1" customWidth="1"/>
    <col min="21" max="21" width="12.33203125" bestFit="1" customWidth="1"/>
    <col min="22" max="22" width="12.77734375" bestFit="1" customWidth="1"/>
  </cols>
  <sheetData>
    <row r="1" spans="1:22" ht="15.6" x14ac:dyDescent="0.3">
      <c r="A1" s="41"/>
      <c r="B1" s="2">
        <v>2023</v>
      </c>
      <c r="C1" s="2">
        <f t="shared" ref="C1:V1" si="0">B1+1</f>
        <v>2024</v>
      </c>
      <c r="D1" s="2">
        <f t="shared" si="0"/>
        <v>2025</v>
      </c>
      <c r="E1" s="2">
        <f t="shared" si="0"/>
        <v>2026</v>
      </c>
      <c r="F1" s="2">
        <f t="shared" si="0"/>
        <v>2027</v>
      </c>
      <c r="G1" s="2">
        <f t="shared" si="0"/>
        <v>2028</v>
      </c>
      <c r="H1" s="2">
        <f t="shared" si="0"/>
        <v>2029</v>
      </c>
      <c r="I1" s="2">
        <f t="shared" si="0"/>
        <v>2030</v>
      </c>
      <c r="J1" s="2">
        <f t="shared" si="0"/>
        <v>2031</v>
      </c>
      <c r="K1" s="2">
        <f t="shared" si="0"/>
        <v>2032</v>
      </c>
      <c r="L1" s="2">
        <f t="shared" si="0"/>
        <v>2033</v>
      </c>
      <c r="M1" s="2">
        <f t="shared" si="0"/>
        <v>2034</v>
      </c>
      <c r="N1" s="2">
        <f t="shared" si="0"/>
        <v>2035</v>
      </c>
      <c r="O1" s="2">
        <f t="shared" si="0"/>
        <v>2036</v>
      </c>
      <c r="P1" s="2">
        <f t="shared" si="0"/>
        <v>2037</v>
      </c>
      <c r="Q1" s="2">
        <f t="shared" si="0"/>
        <v>2038</v>
      </c>
      <c r="R1" s="2">
        <f t="shared" si="0"/>
        <v>2039</v>
      </c>
      <c r="S1" s="2">
        <f t="shared" si="0"/>
        <v>2040</v>
      </c>
      <c r="T1" s="2">
        <f t="shared" si="0"/>
        <v>2041</v>
      </c>
      <c r="U1" s="2">
        <f t="shared" si="0"/>
        <v>2042</v>
      </c>
      <c r="V1" s="2">
        <f t="shared" si="0"/>
        <v>2043</v>
      </c>
    </row>
    <row r="2" spans="1:22" x14ac:dyDescent="0.3">
      <c r="A2" s="29" t="s">
        <v>6</v>
      </c>
      <c r="B2" s="10">
        <f>'DY 2023 Activities'!F9</f>
        <v>162118.73341728002</v>
      </c>
      <c r="C2" s="10">
        <f>'DY 2023 Activities'!G9</f>
        <v>161308.1397501936</v>
      </c>
      <c r="D2" s="10">
        <f>'DY 2023 Activities'!H9</f>
        <v>160501.59905144264</v>
      </c>
      <c r="E2" s="10">
        <f>'DY 2023 Activities'!I9</f>
        <v>159699.09105618543</v>
      </c>
      <c r="F2" s="10">
        <f>'DY 2023 Activities'!J9</f>
        <v>158900.59560090449</v>
      </c>
      <c r="G2" s="10">
        <f>'DY 2023 Activities'!K9</f>
        <v>158106.09262289997</v>
      </c>
      <c r="H2" s="10">
        <f>'DY 2023 Activities'!L9</f>
        <v>157315.56215978548</v>
      </c>
      <c r="I2" s="10">
        <f>'DY 2023 Activities'!M9</f>
        <v>156528.98434898653</v>
      </c>
      <c r="J2" s="10">
        <f>'DY 2023 Activities'!N9</f>
        <v>155746.33942724159</v>
      </c>
      <c r="K2" s="10">
        <f>'DY 2023 Activities'!O9</f>
        <v>154967.6077301054</v>
      </c>
      <c r="L2" s="10">
        <f>'DY 2023 Activities'!P9</f>
        <v>154192.76969145489</v>
      </c>
      <c r="M2" s="10">
        <f>'DY 2023 Activities'!Q9</f>
        <v>153421.80584299756</v>
      </c>
      <c r="N2" s="10">
        <f>'DY 2023 Activities'!R9</f>
        <v>152654.69681378259</v>
      </c>
      <c r="O2" s="10">
        <f>'DY 2023 Activities'!S9</f>
        <v>151891.42332971367</v>
      </c>
      <c r="P2" s="10">
        <f>'DY 2023 Activities'!T9</f>
        <v>151131.96621306511</v>
      </c>
      <c r="Q2" s="10">
        <f>'DY 2023 Activities'!U9</f>
        <v>0</v>
      </c>
      <c r="R2" s="10">
        <f>'DY 2023 Activities'!V9</f>
        <v>0</v>
      </c>
      <c r="S2" s="10">
        <f>'DY 2023 Activities'!W9</f>
        <v>0</v>
      </c>
      <c r="T2" s="10">
        <f>'DY 2023 Activities'!X9</f>
        <v>0</v>
      </c>
      <c r="U2" s="10">
        <f>'DY 2023 Activities'!Y9</f>
        <v>0</v>
      </c>
      <c r="V2" s="10">
        <f>'DY 2023 Activities'!Z9</f>
        <v>0</v>
      </c>
    </row>
    <row r="3" spans="1:22" x14ac:dyDescent="0.3">
      <c r="A3" s="29" t="s">
        <v>12</v>
      </c>
      <c r="B3" s="28">
        <f>'DY 2023 Activities'!F16</f>
        <v>172602.59970134808</v>
      </c>
      <c r="C3" s="28">
        <f>'DY 2023 Activities'!G16</f>
        <v>171739.58670284133</v>
      </c>
      <c r="D3" s="28">
        <f>'DY 2023 Activities'!H16</f>
        <v>170880.88876932714</v>
      </c>
      <c r="E3" s="28">
        <f>'DY 2023 Activities'!I16</f>
        <v>170026.4843254805</v>
      </c>
      <c r="F3" s="28">
        <f>'DY 2023 Activities'!J16</f>
        <v>169176.35190385312</v>
      </c>
      <c r="G3" s="28">
        <f>'DY 2023 Activities'!K16</f>
        <v>168330.47014433384</v>
      </c>
      <c r="H3" s="28">
        <f>'DY 2023 Activities'!L16</f>
        <v>167488.81779361214</v>
      </c>
      <c r="I3" s="28">
        <f>'DY 2023 Activities'!M16</f>
        <v>166651.37370464409</v>
      </c>
      <c r="J3" s="28">
        <f>'DY 2023 Activities'!N16</f>
        <v>165818.11683612087</v>
      </c>
      <c r="K3" s="28">
        <f>'DY 2023 Activities'!O16</f>
        <v>164989.02625194026</v>
      </c>
      <c r="L3" s="28">
        <f>'DY 2023 Activities'!P16</f>
        <v>164164.08112068055</v>
      </c>
      <c r="M3" s="28">
        <f>'DY 2023 Activities'!Q16</f>
        <v>163343.26071507717</v>
      </c>
      <c r="N3" s="28">
        <f>'DY 2023 Activities'!R16</f>
        <v>162526.54441150179</v>
      </c>
      <c r="O3" s="28">
        <f>'DY 2023 Activities'!S16</f>
        <v>161713.91168944424</v>
      </c>
      <c r="P3" s="28">
        <f>'DY 2023 Activities'!T16</f>
        <v>160905.34213099704</v>
      </c>
      <c r="Q3" s="28">
        <f>'DY 2023 Activities'!U16</f>
        <v>0</v>
      </c>
      <c r="R3" s="28">
        <f>'DY 2023 Activities'!V16</f>
        <v>0</v>
      </c>
      <c r="S3" s="28">
        <f>'DY 2023 Activities'!W16</f>
        <v>0</v>
      </c>
      <c r="T3" s="28">
        <f>'DY 2023 Activities'!X16</f>
        <v>0</v>
      </c>
      <c r="U3" s="28">
        <f>'DY 2023 Activities'!Y16</f>
        <v>0</v>
      </c>
      <c r="V3" s="28">
        <f>'DY 2023 Activities'!Z16</f>
        <v>0</v>
      </c>
    </row>
    <row r="4" spans="1:22" x14ac:dyDescent="0.3">
      <c r="A4" s="29" t="s">
        <v>21</v>
      </c>
      <c r="B4" s="28">
        <f>'DY 2023 Activities'!F29</f>
        <v>0</v>
      </c>
      <c r="C4" s="28">
        <f>'DY 2023 Activities'!G29</f>
        <v>296358.74531999999</v>
      </c>
      <c r="D4" s="28">
        <f>'DY 2023 Activities'!H29</f>
        <v>294876.95159339998</v>
      </c>
      <c r="E4" s="28">
        <f>'DY 2023 Activities'!I29</f>
        <v>293402.56683543301</v>
      </c>
      <c r="F4" s="28">
        <f>'DY 2023 Activities'!J29</f>
        <v>291935.55400125583</v>
      </c>
      <c r="G4" s="28">
        <f>'DY 2023 Activities'!K29</f>
        <v>290475.87623124954</v>
      </c>
      <c r="H4" s="28">
        <f>'DY 2023 Activities'!L29</f>
        <v>289023.4968500933</v>
      </c>
      <c r="I4" s="28">
        <f>'DY 2023 Activities'!M29</f>
        <v>287578.37936584279</v>
      </c>
      <c r="J4" s="28">
        <f>'DY 2023 Activities'!N29</f>
        <v>286140.48746901361</v>
      </c>
      <c r="K4" s="28">
        <f>'DY 2023 Activities'!O29</f>
        <v>284709.78503166855</v>
      </c>
      <c r="L4" s="28">
        <f>'DY 2023 Activities'!P29</f>
        <v>283286.23610651016</v>
      </c>
      <c r="M4" s="28">
        <f>'DY 2023 Activities'!Q29</f>
        <v>281869.8049259776</v>
      </c>
      <c r="N4" s="28">
        <f>'DY 2023 Activities'!R29</f>
        <v>280460.45590134774</v>
      </c>
      <c r="O4" s="28">
        <f>'DY 2023 Activities'!S29</f>
        <v>279058.15362184099</v>
      </c>
      <c r="P4" s="28">
        <f>'DY 2023 Activities'!T29</f>
        <v>277662.86285373179</v>
      </c>
      <c r="Q4" s="28">
        <f>'DY 2023 Activities'!U29</f>
        <v>276274.54853946314</v>
      </c>
      <c r="R4" s="28">
        <f>'DY 2023 Activities'!V29</f>
        <v>274893.17579676583</v>
      </c>
      <c r="S4" s="28">
        <f>'DY 2023 Activities'!W29</f>
        <v>273518.70991778199</v>
      </c>
      <c r="T4" s="28">
        <f>'DY 2023 Activities'!X29</f>
        <v>272151.11636819306</v>
      </c>
      <c r="U4" s="28">
        <f>'DY 2023 Activities'!Y29</f>
        <v>270790.36078635213</v>
      </c>
      <c r="V4" s="28">
        <f>'DY 2023 Activities'!Z29</f>
        <v>269436.40898242034</v>
      </c>
    </row>
    <row r="5" spans="1:22" x14ac:dyDescent="0.3">
      <c r="A5" s="29" t="s">
        <v>25</v>
      </c>
      <c r="B5" s="28">
        <f>'DY 2023 Activities'!F32</f>
        <v>148179.37265999999</v>
      </c>
      <c r="C5" s="28">
        <f>'DY 2023 Activities'!G32</f>
        <v>147438.47579669999</v>
      </c>
      <c r="D5" s="28">
        <f>'DY 2023 Activities'!H32</f>
        <v>146701.28341771651</v>
      </c>
      <c r="E5" s="28">
        <f>'DY 2023 Activities'!I32</f>
        <v>145967.77700062795</v>
      </c>
      <c r="F5" s="28">
        <f>'DY 2023 Activities'!J32</f>
        <v>145237.9381156248</v>
      </c>
      <c r="G5" s="28">
        <f>'DY 2023 Activities'!K32</f>
        <v>144511.74842504668</v>
      </c>
      <c r="H5" s="28">
        <f>'DY 2023 Activities'!L32</f>
        <v>143789.18968292145</v>
      </c>
      <c r="I5" s="28">
        <f>'DY 2023 Activities'!M32</f>
        <v>143070.24373450683</v>
      </c>
      <c r="J5" s="28">
        <f>'DY 2023 Activities'!N32</f>
        <v>142354.8925158343</v>
      </c>
      <c r="K5" s="28">
        <f>'DY 2023 Activities'!O32</f>
        <v>141643.11805325511</v>
      </c>
      <c r="L5" s="28">
        <f>'DY 2023 Activities'!P32</f>
        <v>140934.90246298886</v>
      </c>
      <c r="M5" s="28">
        <f>'DY 2023 Activities'!Q32</f>
        <v>140230.2279506739</v>
      </c>
      <c r="N5" s="28">
        <f>'DY 2023 Activities'!R32</f>
        <v>139529.07681092052</v>
      </c>
      <c r="O5" s="28">
        <f>'DY 2023 Activities'!S32</f>
        <v>138831.43142686592</v>
      </c>
      <c r="P5" s="28">
        <f>'DY 2023 Activities'!T32</f>
        <v>138137.2742697316</v>
      </c>
      <c r="Q5" s="28">
        <f>'DY 2023 Activities'!U32</f>
        <v>137446.58789838295</v>
      </c>
      <c r="R5" s="28">
        <f>'DY 2023 Activities'!V32</f>
        <v>136759.35495889102</v>
      </c>
      <c r="S5" s="28">
        <f>'DY 2023 Activities'!W32</f>
        <v>136075.55818409656</v>
      </c>
      <c r="T5" s="28">
        <f>'DY 2023 Activities'!X32</f>
        <v>135395.1803931761</v>
      </c>
      <c r="U5" s="28">
        <f>'DY 2023 Activities'!Y32</f>
        <v>134718.20449121023</v>
      </c>
      <c r="V5" s="28">
        <f>'DY 2023 Activities'!Z32</f>
        <v>0</v>
      </c>
    </row>
    <row r="6" spans="1:22" x14ac:dyDescent="0.3">
      <c r="A6" s="29" t="s">
        <v>29</v>
      </c>
      <c r="B6" s="28">
        <f>'DY 2023 Activities'!F47</f>
        <v>0</v>
      </c>
      <c r="C6" s="28">
        <f>'DY 2023 Activities'!G47</f>
        <v>49393.124220000005</v>
      </c>
      <c r="D6" s="28">
        <f>'DY 2023 Activities'!H47</f>
        <v>49146.158598900001</v>
      </c>
      <c r="E6" s="28">
        <f>'DY 2023 Activities'!I47</f>
        <v>48900.4278059055</v>
      </c>
      <c r="F6" s="28">
        <f>'DY 2023 Activities'!J47</f>
        <v>48655.92566687597</v>
      </c>
      <c r="G6" s="28">
        <f>'DY 2023 Activities'!K47</f>
        <v>48412.646038541592</v>
      </c>
      <c r="H6" s="28">
        <f>'DY 2023 Activities'!L47</f>
        <v>48170.582808348889</v>
      </c>
      <c r="I6" s="28">
        <f>'DY 2023 Activities'!M47</f>
        <v>47929.729894307144</v>
      </c>
      <c r="J6" s="28">
        <f>'DY 2023 Activities'!N47</f>
        <v>47690.081244835608</v>
      </c>
      <c r="K6" s="28">
        <f>'DY 2023 Activities'!O47</f>
        <v>47451.630838611432</v>
      </c>
      <c r="L6" s="28">
        <f>'DY 2023 Activities'!P47</f>
        <v>47214.372684418369</v>
      </c>
      <c r="M6" s="28">
        <f>'DY 2023 Activities'!Q47</f>
        <v>46978.300820996279</v>
      </c>
      <c r="N6" s="28">
        <f>'DY 2023 Activities'!R47</f>
        <v>46743.409316891295</v>
      </c>
      <c r="O6" s="28">
        <f>'DY 2023 Activities'!S47</f>
        <v>46509.692270306841</v>
      </c>
      <c r="P6" s="28">
        <f>'DY 2023 Activities'!T47</f>
        <v>46277.143808955305</v>
      </c>
      <c r="Q6" s="28">
        <f>'DY 2023 Activities'!U47</f>
        <v>46045.758089910531</v>
      </c>
      <c r="R6" s="28">
        <f>'DY 2023 Activities'!V47</f>
        <v>0</v>
      </c>
      <c r="S6" s="28">
        <f>'DY 2023 Activities'!W47</f>
        <v>0</v>
      </c>
      <c r="T6" s="28">
        <f>'DY 2023 Activities'!X47</f>
        <v>0</v>
      </c>
      <c r="U6" s="28">
        <f>'DY 2023 Activities'!Y47</f>
        <v>0</v>
      </c>
      <c r="V6" s="28">
        <f>'DY 2023 Activities'!Z47</f>
        <v>0</v>
      </c>
    </row>
    <row r="7" spans="1:22" x14ac:dyDescent="0.3">
      <c r="A7" s="30" t="s">
        <v>33</v>
      </c>
      <c r="B7" s="28">
        <f>'DY 2023 Activities'!F50</f>
        <v>86301.29985067404</v>
      </c>
      <c r="C7" s="28">
        <f>'DY 2023 Activities'!G50</f>
        <v>85869.793351420667</v>
      </c>
      <c r="D7" s="28">
        <f>'DY 2023 Activities'!H50</f>
        <v>85440.44438466357</v>
      </c>
      <c r="E7" s="28">
        <f>'DY 2023 Activities'!I50</f>
        <v>85013.242162740251</v>
      </c>
      <c r="F7" s="28">
        <f>'DY 2023 Activities'!J50</f>
        <v>84588.175951926562</v>
      </c>
      <c r="G7" s="28">
        <f>'DY 2023 Activities'!K50</f>
        <v>84165.235072166921</v>
      </c>
      <c r="H7" s="28">
        <f>'DY 2023 Activities'!L50</f>
        <v>83744.408896806068</v>
      </c>
      <c r="I7" s="28">
        <f>'DY 2023 Activities'!M50</f>
        <v>83325.686852322047</v>
      </c>
      <c r="J7" s="28">
        <f>'DY 2023 Activities'!N50</f>
        <v>82909.058418060435</v>
      </c>
      <c r="K7" s="28">
        <f>'DY 2023 Activities'!O50</f>
        <v>82494.51312597013</v>
      </c>
      <c r="L7" s="28">
        <f>'DY 2023 Activities'!P50</f>
        <v>82082.040560340276</v>
      </c>
      <c r="M7" s="28">
        <f>'DY 2023 Activities'!Q50</f>
        <v>81671.630357538583</v>
      </c>
      <c r="N7" s="28">
        <f>'DY 2023 Activities'!R50</f>
        <v>81263.272205750894</v>
      </c>
      <c r="O7" s="28">
        <f>'DY 2023 Activities'!S50</f>
        <v>80856.955844722121</v>
      </c>
      <c r="P7" s="28">
        <f>'DY 2023 Activities'!T50</f>
        <v>80452.671065498522</v>
      </c>
      <c r="Q7" s="28">
        <f>'DY 2023 Activities'!U50</f>
        <v>0</v>
      </c>
      <c r="R7" s="28">
        <f>'DY 2023 Activities'!V50</f>
        <v>0</v>
      </c>
      <c r="S7" s="28">
        <f>'DY 2023 Activities'!W50</f>
        <v>0</v>
      </c>
      <c r="T7" s="28">
        <f>'DY 2023 Activities'!X50</f>
        <v>0</v>
      </c>
      <c r="U7" s="28">
        <f>'DY 2023 Activities'!Y50</f>
        <v>0</v>
      </c>
      <c r="V7" s="28">
        <f>'DY 2023 Activities'!Z50</f>
        <v>0</v>
      </c>
    </row>
    <row r="8" spans="1:22" x14ac:dyDescent="0.3">
      <c r="A8" s="30" t="s">
        <v>40</v>
      </c>
      <c r="B8" s="28">
        <f>'DY 2023 Activities'!F63</f>
        <v>0</v>
      </c>
      <c r="C8" s="28">
        <f>'DY 2023 Activities'!G63</f>
        <v>0</v>
      </c>
      <c r="D8" s="28">
        <f>'DY 2023 Activities'!H63</f>
        <v>0</v>
      </c>
      <c r="E8" s="28">
        <f>'DY 2023 Activities'!I63</f>
        <v>3500000</v>
      </c>
      <c r="F8" s="28">
        <f>'DY 2023 Activities'!J63</f>
        <v>3500000</v>
      </c>
      <c r="G8" s="28">
        <f>'DY 2023 Activities'!K63</f>
        <v>3500000</v>
      </c>
      <c r="H8" s="28">
        <f>'DY 2023 Activities'!L63</f>
        <v>3500000</v>
      </c>
      <c r="I8" s="28">
        <f>'DY 2023 Activities'!M63</f>
        <v>3500000</v>
      </c>
      <c r="J8" s="28">
        <f>'DY 2023 Activities'!N63</f>
        <v>3500000</v>
      </c>
      <c r="K8" s="28">
        <f>'DY 2023 Activities'!O63</f>
        <v>3500000</v>
      </c>
      <c r="L8" s="28">
        <f>'DY 2023 Activities'!P63</f>
        <v>3500000</v>
      </c>
      <c r="M8" s="28">
        <f>'DY 2023 Activities'!Q63</f>
        <v>3500000</v>
      </c>
      <c r="N8" s="28">
        <f>'DY 2023 Activities'!R63</f>
        <v>3500000</v>
      </c>
      <c r="O8" s="28">
        <f>'DY 2023 Activities'!S63</f>
        <v>3500000</v>
      </c>
      <c r="P8" s="28">
        <f>'DY 2023 Activities'!T63</f>
        <v>3500000</v>
      </c>
      <c r="Q8" s="28">
        <f>'DY 2023 Activities'!U63</f>
        <v>3500000</v>
      </c>
      <c r="R8" s="28">
        <f>'DY 2023 Activities'!V63</f>
        <v>3500000</v>
      </c>
      <c r="S8" s="28">
        <f>'DY 2023 Activities'!W63</f>
        <v>3500000</v>
      </c>
      <c r="T8" s="28">
        <f>'DY 2023 Activities'!X63</f>
        <v>3500000</v>
      </c>
      <c r="U8" s="28">
        <f>'DY 2023 Activities'!Y63</f>
        <v>3500000</v>
      </c>
      <c r="V8" s="28">
        <f>'DY 2023 Activities'!Z63</f>
        <v>3500000</v>
      </c>
    </row>
    <row r="9" spans="1:22" x14ac:dyDescent="0.3">
      <c r="A9" s="30" t="s">
        <v>41</v>
      </c>
      <c r="B9" s="28">
        <f>'DY 2023 Activities'!F64</f>
        <v>0</v>
      </c>
      <c r="C9" s="28">
        <f>'DY 2023 Activities'!G64</f>
        <v>0</v>
      </c>
      <c r="D9" s="28">
        <f>'DY 2023 Activities'!H64</f>
        <v>0</v>
      </c>
      <c r="E9" s="28">
        <f>'DY 2023 Activities'!I64</f>
        <v>1056570</v>
      </c>
      <c r="F9" s="28">
        <f>'DY 2023 Activities'!J64</f>
        <v>1051287.1499999999</v>
      </c>
      <c r="G9" s="28">
        <f>'DY 2023 Activities'!K64</f>
        <v>1046030.71425</v>
      </c>
      <c r="H9" s="28">
        <f>'DY 2023 Activities'!L64</f>
        <v>1040800.5606787499</v>
      </c>
      <c r="I9" s="28">
        <f>'DY 2023 Activities'!M64</f>
        <v>1035596.5578753562</v>
      </c>
      <c r="J9" s="28">
        <f>'DY 2023 Activities'!N64</f>
        <v>1030418.5750859794</v>
      </c>
      <c r="K9" s="28">
        <f>'DY 2023 Activities'!O64</f>
        <v>1025266.4822105495</v>
      </c>
      <c r="L9" s="28">
        <f>'DY 2023 Activities'!P64</f>
        <v>1020140.1497994968</v>
      </c>
      <c r="M9" s="28">
        <f>'DY 2023 Activities'!Q64</f>
        <v>1015039.4490504992</v>
      </c>
      <c r="N9" s="28">
        <f>'DY 2023 Activities'!R64</f>
        <v>1009964.2518052467</v>
      </c>
      <c r="O9" s="28">
        <f>'DY 2023 Activities'!S64</f>
        <v>1004914.4305462205</v>
      </c>
      <c r="P9" s="28">
        <f>'DY 2023 Activities'!T64</f>
        <v>999889.85839348938</v>
      </c>
      <c r="Q9" s="28">
        <f>'DY 2023 Activities'!U64</f>
        <v>994890.40910152195</v>
      </c>
      <c r="R9" s="28">
        <f>'DY 2023 Activities'!V64</f>
        <v>989915.95705601433</v>
      </c>
      <c r="S9" s="28">
        <f>'DY 2023 Activities'!W64</f>
        <v>984966.37727073429</v>
      </c>
      <c r="T9" s="28">
        <f>'DY 2023 Activities'!X64</f>
        <v>980041.54538438062</v>
      </c>
      <c r="U9" s="28">
        <f>'DY 2023 Activities'!Y64</f>
        <v>975141.33765745873</v>
      </c>
      <c r="V9" s="28">
        <f>'DY 2023 Activities'!Z64</f>
        <v>970265.63096917141</v>
      </c>
    </row>
    <row r="10" spans="1:22" x14ac:dyDescent="0.3">
      <c r="A10" s="30" t="s">
        <v>42</v>
      </c>
      <c r="B10" s="28">
        <f>'DY 2023 Activities'!F65</f>
        <v>0</v>
      </c>
      <c r="C10" s="28">
        <f>'DY 2023 Activities'!G65</f>
        <v>0</v>
      </c>
      <c r="D10" s="28">
        <f>'DY 2023 Activities'!H65</f>
        <v>0</v>
      </c>
      <c r="E10" s="28">
        <f>'DY 2023 Activities'!I65</f>
        <v>80623</v>
      </c>
      <c r="F10" s="28">
        <f>'DY 2023 Activities'!J65</f>
        <v>80219.884999999995</v>
      </c>
      <c r="G10" s="28">
        <f>'DY 2023 Activities'!K65</f>
        <v>79818.785575000002</v>
      </c>
      <c r="H10" s="28">
        <f>'DY 2023 Activities'!L65</f>
        <v>79419.691647125001</v>
      </c>
      <c r="I10" s="28">
        <f>'DY 2023 Activities'!M65</f>
        <v>79022.593188889368</v>
      </c>
      <c r="J10" s="28">
        <f>'DY 2023 Activities'!N65</f>
        <v>78627.480222944927</v>
      </c>
      <c r="K10" s="28">
        <f>'DY 2023 Activities'!O65</f>
        <v>78234.3428218302</v>
      </c>
      <c r="L10" s="28">
        <f>'DY 2023 Activities'!P65</f>
        <v>77843.171107721049</v>
      </c>
      <c r="M10" s="28">
        <f>'DY 2023 Activities'!Q65</f>
        <v>77453.955252182437</v>
      </c>
      <c r="N10" s="28">
        <f>'DY 2023 Activities'!R65</f>
        <v>77066.68547592152</v>
      </c>
      <c r="O10" s="28">
        <f>'DY 2023 Activities'!S65</f>
        <v>76681.352048541914</v>
      </c>
      <c r="P10" s="28">
        <f>'DY 2023 Activities'!T65</f>
        <v>76297.945288299205</v>
      </c>
      <c r="Q10" s="28">
        <f>'DY 2023 Activities'!U65</f>
        <v>75916.455561857714</v>
      </c>
      <c r="R10" s="28">
        <f>'DY 2023 Activities'!V65</f>
        <v>75536.87328404843</v>
      </c>
      <c r="S10" s="28">
        <f>'DY 2023 Activities'!W65</f>
        <v>75159.188917628184</v>
      </c>
      <c r="T10" s="28">
        <f>'DY 2023 Activities'!X65</f>
        <v>74783.392973040041</v>
      </c>
      <c r="U10" s="28">
        <f>'DY 2023 Activities'!Y65</f>
        <v>74409.476008174839</v>
      </c>
      <c r="V10" s="28">
        <f>'DY 2023 Activities'!Z65</f>
        <v>74037.428628133959</v>
      </c>
    </row>
    <row r="11" spans="1:22" x14ac:dyDescent="0.3">
      <c r="A11" s="26" t="s">
        <v>141</v>
      </c>
      <c r="B11" s="27">
        <f t="shared" ref="B11:V11" si="1">SUM(B2:B10)</f>
        <v>569202.00562930212</v>
      </c>
      <c r="C11" s="27">
        <f t="shared" si="1"/>
        <v>912107.86514115555</v>
      </c>
      <c r="D11" s="27">
        <f t="shared" si="1"/>
        <v>907547.32581544982</v>
      </c>
      <c r="E11" s="27">
        <f t="shared" si="1"/>
        <v>5540202.5891863722</v>
      </c>
      <c r="F11" s="27">
        <f t="shared" si="1"/>
        <v>5530001.5762404408</v>
      </c>
      <c r="G11" s="27">
        <f t="shared" si="1"/>
        <v>5519851.5683592381</v>
      </c>
      <c r="H11" s="27">
        <f t="shared" si="1"/>
        <v>5509752.3105174433</v>
      </c>
      <c r="I11" s="27">
        <f t="shared" si="1"/>
        <v>5499703.5489648543</v>
      </c>
      <c r="J11" s="27">
        <f t="shared" si="1"/>
        <v>5489705.031220031</v>
      </c>
      <c r="K11" s="27">
        <f t="shared" si="1"/>
        <v>5479756.5060639307</v>
      </c>
      <c r="L11" s="27">
        <f t="shared" si="1"/>
        <v>5469857.7235336117</v>
      </c>
      <c r="M11" s="27">
        <f t="shared" si="1"/>
        <v>5460008.4349159431</v>
      </c>
      <c r="N11" s="27">
        <f t="shared" si="1"/>
        <v>5450208.3927413626</v>
      </c>
      <c r="O11" s="27">
        <f t="shared" si="1"/>
        <v>5440457.3507776568</v>
      </c>
      <c r="P11" s="27">
        <f t="shared" si="1"/>
        <v>5430755.0640237685</v>
      </c>
      <c r="Q11" s="27">
        <f t="shared" si="1"/>
        <v>5030573.7591911359</v>
      </c>
      <c r="R11" s="27">
        <f t="shared" si="1"/>
        <v>4977105.36109572</v>
      </c>
      <c r="S11" s="27">
        <f t="shared" si="1"/>
        <v>4969719.8342902409</v>
      </c>
      <c r="T11" s="27">
        <f t="shared" si="1"/>
        <v>4962371.2351187905</v>
      </c>
      <c r="U11" s="27">
        <f t="shared" si="1"/>
        <v>4955059.3789431965</v>
      </c>
      <c r="V11" s="27">
        <f t="shared" si="1"/>
        <v>4813739.4685797254</v>
      </c>
    </row>
    <row r="35" spans="1:22" ht="15.6" x14ac:dyDescent="0.3">
      <c r="A35" s="41"/>
      <c r="B35" s="2">
        <v>2023</v>
      </c>
      <c r="C35" s="2">
        <f t="shared" ref="C35:V35" si="2">B35+1</f>
        <v>2024</v>
      </c>
      <c r="D35" s="2">
        <f t="shared" si="2"/>
        <v>2025</v>
      </c>
      <c r="E35" s="2">
        <f t="shared" si="2"/>
        <v>2026</v>
      </c>
      <c r="F35" s="2">
        <f t="shared" si="2"/>
        <v>2027</v>
      </c>
      <c r="G35" s="2">
        <f t="shared" si="2"/>
        <v>2028</v>
      </c>
      <c r="H35" s="2">
        <f t="shared" si="2"/>
        <v>2029</v>
      </c>
      <c r="I35" s="2">
        <f t="shared" si="2"/>
        <v>2030</v>
      </c>
      <c r="J35" s="2">
        <f t="shared" si="2"/>
        <v>2031</v>
      </c>
      <c r="K35" s="2">
        <f t="shared" si="2"/>
        <v>2032</v>
      </c>
      <c r="L35" s="2">
        <f t="shared" si="2"/>
        <v>2033</v>
      </c>
      <c r="M35" s="2">
        <f t="shared" si="2"/>
        <v>2034</v>
      </c>
      <c r="N35" s="2">
        <f t="shared" si="2"/>
        <v>2035</v>
      </c>
      <c r="O35" s="2">
        <f t="shared" si="2"/>
        <v>2036</v>
      </c>
      <c r="P35" s="2">
        <f t="shared" si="2"/>
        <v>2037</v>
      </c>
      <c r="Q35" s="2">
        <f t="shared" si="2"/>
        <v>2038</v>
      </c>
      <c r="R35" s="2">
        <f t="shared" si="2"/>
        <v>2039</v>
      </c>
      <c r="S35" s="2">
        <f t="shared" si="2"/>
        <v>2040</v>
      </c>
      <c r="T35" s="2">
        <f t="shared" si="2"/>
        <v>2041</v>
      </c>
      <c r="U35" s="2">
        <f t="shared" si="2"/>
        <v>2042</v>
      </c>
      <c r="V35" s="2">
        <f t="shared" si="2"/>
        <v>2043</v>
      </c>
    </row>
    <row r="36" spans="1:22" x14ac:dyDescent="0.3">
      <c r="A36" s="29" t="s">
        <v>6</v>
      </c>
      <c r="B36" s="45">
        <f>'DY 2023 Activities'!F73</f>
        <v>153483990.97419566</v>
      </c>
      <c r="C36" s="45">
        <f>'DY 2023 Activities'!G73</f>
        <v>0</v>
      </c>
      <c r="D36" s="45">
        <f>'DY 2023 Activities'!H73</f>
        <v>0</v>
      </c>
      <c r="E36" s="45">
        <f>'DY 2023 Activities'!I73</f>
        <v>0</v>
      </c>
      <c r="F36" s="45">
        <f>'DY 2023 Activities'!J73</f>
        <v>0</v>
      </c>
      <c r="G36" s="45">
        <f>'DY 2023 Activities'!K73</f>
        <v>0</v>
      </c>
      <c r="H36" s="45">
        <f>'DY 2023 Activities'!L73</f>
        <v>0</v>
      </c>
      <c r="I36" s="45">
        <f>'DY 2023 Activities'!M73</f>
        <v>0</v>
      </c>
      <c r="J36" s="45">
        <f>'DY 2023 Activities'!N73</f>
        <v>0</v>
      </c>
      <c r="K36" s="45">
        <f>'DY 2023 Activities'!O73</f>
        <v>0</v>
      </c>
      <c r="L36" s="45">
        <f>'DY 2023 Activities'!P73</f>
        <v>0</v>
      </c>
      <c r="M36" s="45">
        <f>'DY 2023 Activities'!Q73</f>
        <v>0</v>
      </c>
      <c r="N36" s="45">
        <f>'DY 2023 Activities'!R73</f>
        <v>0</v>
      </c>
      <c r="O36" s="45">
        <f>'DY 2023 Activities'!S73</f>
        <v>0</v>
      </c>
      <c r="P36" s="45">
        <f>'DY 2023 Activities'!T73</f>
        <v>0</v>
      </c>
      <c r="Q36" s="45">
        <f>'DY 2023 Activities'!U73</f>
        <v>0</v>
      </c>
      <c r="R36" s="45">
        <f>'DY 2023 Activities'!V73</f>
        <v>0</v>
      </c>
      <c r="S36" s="45">
        <f>'DY 2023 Activities'!W73</f>
        <v>0</v>
      </c>
      <c r="T36" s="45">
        <f>'DY 2023 Activities'!X73</f>
        <v>0</v>
      </c>
      <c r="U36" s="45">
        <f>'DY 2023 Activities'!Y73</f>
        <v>0</v>
      </c>
      <c r="V36" s="45">
        <f>'DY 2023 Activities'!Z73</f>
        <v>0</v>
      </c>
    </row>
    <row r="37" spans="1:22" x14ac:dyDescent="0.3">
      <c r="A37" s="29" t="s">
        <v>12</v>
      </c>
      <c r="B37" s="45">
        <f>'DY 2023 Activities'!F80</f>
        <v>16469891.409817562</v>
      </c>
      <c r="C37" s="45">
        <f>'DY 2023 Activities'!G80</f>
        <v>15554897.442605475</v>
      </c>
      <c r="D37" s="45">
        <f>'DY 2023 Activities'!H80</f>
        <v>15554897.442605475</v>
      </c>
      <c r="E37" s="45">
        <f>'DY 2023 Activities'!I80</f>
        <v>15554897.442605475</v>
      </c>
      <c r="F37" s="45">
        <f>'DY 2023 Activities'!J80</f>
        <v>15554897.442605475</v>
      </c>
      <c r="G37" s="45">
        <f>'DY 2023 Activities'!K80</f>
        <v>15554897.442605475</v>
      </c>
      <c r="H37" s="45">
        <f>'DY 2023 Activities'!L80</f>
        <v>15554897.442605475</v>
      </c>
      <c r="I37" s="45">
        <f>'DY 2023 Activities'!M80</f>
        <v>0</v>
      </c>
      <c r="J37" s="45">
        <f>'DY 2023 Activities'!N80</f>
        <v>0</v>
      </c>
      <c r="K37" s="45">
        <f>'DY 2023 Activities'!O80</f>
        <v>0</v>
      </c>
      <c r="L37" s="45">
        <f>'DY 2023 Activities'!P80</f>
        <v>0</v>
      </c>
      <c r="M37" s="45">
        <f>'DY 2023 Activities'!Q80</f>
        <v>0</v>
      </c>
      <c r="N37" s="45">
        <f>'DY 2023 Activities'!R80</f>
        <v>0</v>
      </c>
      <c r="O37" s="45">
        <f>'DY 2023 Activities'!S80</f>
        <v>0</v>
      </c>
      <c r="P37" s="45">
        <f>'DY 2023 Activities'!T80</f>
        <v>0</v>
      </c>
      <c r="Q37" s="45">
        <f>'DY 2023 Activities'!U80</f>
        <v>0</v>
      </c>
      <c r="R37" s="45">
        <f>'DY 2023 Activities'!V80</f>
        <v>0</v>
      </c>
      <c r="S37" s="45">
        <f>'DY 2023 Activities'!W80</f>
        <v>0</v>
      </c>
      <c r="T37" s="45">
        <f>'DY 2023 Activities'!X80</f>
        <v>0</v>
      </c>
      <c r="U37" s="45">
        <f>'DY 2023 Activities'!Y80</f>
        <v>0</v>
      </c>
      <c r="V37" s="45">
        <f>'DY 2023 Activities'!Z80</f>
        <v>0</v>
      </c>
    </row>
    <row r="38" spans="1:22" x14ac:dyDescent="0.3">
      <c r="A38" s="29" t="s">
        <v>21</v>
      </c>
      <c r="B38" s="45">
        <f>'DY 2023 Activities'!F93</f>
        <v>0</v>
      </c>
      <c r="C38" s="45">
        <f>'DY 2023 Activities'!G93</f>
        <v>14147123.318793274</v>
      </c>
      <c r="D38" s="45">
        <f>'DY 2023 Activities'!H93</f>
        <v>14076387.702199306</v>
      </c>
      <c r="E38" s="45">
        <f>'DY 2023 Activities'!I93</f>
        <v>14006005.763688311</v>
      </c>
      <c r="F38" s="45">
        <f>'DY 2023 Activities'!J93</f>
        <v>13935975.734869869</v>
      </c>
      <c r="G38" s="45">
        <f>'DY 2023 Activities'!K93</f>
        <v>13866295.856195521</v>
      </c>
      <c r="H38" s="45">
        <f>'DY 2023 Activities'!L93</f>
        <v>13796964.376914542</v>
      </c>
      <c r="I38" s="45">
        <f>'DY 2023 Activities'!M93</f>
        <v>13727979.55502997</v>
      </c>
      <c r="J38" s="45">
        <f>'DY 2023 Activities'!N93</f>
        <v>13659339.657254821</v>
      </c>
      <c r="K38" s="45">
        <f>'DY 2023 Activities'!O93</f>
        <v>13591042.958968544</v>
      </c>
      <c r="L38" s="45">
        <f>'DY 2023 Activities'!P93</f>
        <v>13523087.744173702</v>
      </c>
      <c r="M38" s="45">
        <f>'DY 2023 Activities'!Q93</f>
        <v>13455472.305452833</v>
      </c>
      <c r="N38" s="45">
        <f>'DY 2023 Activities'!R93</f>
        <v>13388194.943925569</v>
      </c>
      <c r="O38" s="45">
        <f>'DY 2023 Activities'!S93</f>
        <v>13321253.969205942</v>
      </c>
      <c r="P38" s="45">
        <f>'DY 2023 Activities'!T93</f>
        <v>13254647.699359912</v>
      </c>
      <c r="Q38" s="45">
        <f>'DY 2023 Activities'!U93</f>
        <v>13188374.460863113</v>
      </c>
      <c r="R38" s="45">
        <f>'DY 2023 Activities'!V93</f>
        <v>13122432.588558799</v>
      </c>
      <c r="S38" s="45">
        <f>'DY 2023 Activities'!W93</f>
        <v>13056820.425616004</v>
      </c>
      <c r="T38" s="45">
        <f>'DY 2023 Activities'!X93</f>
        <v>12991536.323487923</v>
      </c>
      <c r="U38" s="45">
        <f>'DY 2023 Activities'!Y93</f>
        <v>12926578.641870482</v>
      </c>
      <c r="V38" s="45">
        <f>'DY 2023 Activities'!Z93</f>
        <v>12861945.748661131</v>
      </c>
    </row>
    <row r="39" spans="1:22" x14ac:dyDescent="0.3">
      <c r="A39" s="29" t="s">
        <v>25</v>
      </c>
      <c r="B39" s="45">
        <f>'DY 2023 Activities'!F96</f>
        <v>7994999.9410580872</v>
      </c>
      <c r="C39" s="45">
        <f>'DY 2023 Activities'!G96</f>
        <v>7955024.9413527967</v>
      </c>
      <c r="D39" s="45">
        <f>'DY 2023 Activities'!H96</f>
        <v>7915249.816646032</v>
      </c>
      <c r="E39" s="45">
        <f>'DY 2023 Activities'!I96</f>
        <v>7875673.5675628018</v>
      </c>
      <c r="F39" s="45">
        <f>'DY 2023 Activities'!J96</f>
        <v>7836295.1997249871</v>
      </c>
      <c r="G39" s="45">
        <f>'DY 2023 Activities'!K96</f>
        <v>7797113.7237263639</v>
      </c>
      <c r="H39" s="45">
        <f>'DY 2023 Activities'!L96</f>
        <v>7758128.155107731</v>
      </c>
      <c r="I39" s="45">
        <f>'DY 2023 Activities'!M96</f>
        <v>7719337.514332192</v>
      </c>
      <c r="J39" s="45">
        <f>'DY 2023 Activities'!N96</f>
        <v>7680740.8267605323</v>
      </c>
      <c r="K39" s="45">
        <f>'DY 2023 Activities'!O96</f>
        <v>7642337.1226267302</v>
      </c>
      <c r="L39" s="45">
        <f>'DY 2023 Activities'!P96</f>
        <v>7604125.4370135954</v>
      </c>
      <c r="M39" s="45">
        <f>'DY 2023 Activities'!Q96</f>
        <v>7566104.8098285282</v>
      </c>
      <c r="N39" s="45">
        <f>'DY 2023 Activities'!R96</f>
        <v>7528274.2857793849</v>
      </c>
      <c r="O39" s="45">
        <f>'DY 2023 Activities'!S96</f>
        <v>7490632.9143504873</v>
      </c>
      <c r="P39" s="45">
        <f>'DY 2023 Activities'!T96</f>
        <v>7453179.7497787355</v>
      </c>
      <c r="Q39" s="45">
        <f>'DY 2023 Activities'!U96</f>
        <v>7415913.8510298431</v>
      </c>
      <c r="R39" s="45">
        <f>'DY 2023 Activities'!V96</f>
        <v>7378834.2817746932</v>
      </c>
      <c r="S39" s="45">
        <f>'DY 2023 Activities'!W96</f>
        <v>7341940.1103658192</v>
      </c>
      <c r="T39" s="45">
        <f>'DY 2023 Activities'!X96</f>
        <v>7305230.4098139908</v>
      </c>
      <c r="U39" s="45">
        <f>'DY 2023 Activities'!Y96</f>
        <v>7268704.2577649206</v>
      </c>
      <c r="V39" s="45">
        <f>'DY 2023 Activities'!Z96</f>
        <v>0</v>
      </c>
    </row>
    <row r="40" spans="1:22" x14ac:dyDescent="0.3">
      <c r="A40" s="29" t="s">
        <v>29</v>
      </c>
      <c r="B40" s="45">
        <f>'DY 2023 Activities'!F111</f>
        <v>0</v>
      </c>
      <c r="C40" s="45">
        <f>'DY 2023 Activities'!G111</f>
        <v>6470856.0363735966</v>
      </c>
      <c r="D40" s="45">
        <f>'DY 2023 Activities'!H111</f>
        <v>6111364.0343528409</v>
      </c>
      <c r="E40" s="45">
        <f>'DY 2023 Activities'!I111</f>
        <v>6111364.0343528409</v>
      </c>
      <c r="F40" s="45">
        <f>'DY 2023 Activities'!J111</f>
        <v>6111364.0343528409</v>
      </c>
      <c r="G40" s="45">
        <f>'DY 2023 Activities'!K111</f>
        <v>6111364.0343528409</v>
      </c>
      <c r="H40" s="45">
        <f>'DY 2023 Activities'!L111</f>
        <v>6111364.0343528409</v>
      </c>
      <c r="I40" s="45">
        <f>'DY 2023 Activities'!M111</f>
        <v>6111364.0343528409</v>
      </c>
      <c r="J40" s="45">
        <f>'DY 2023 Activities'!N111</f>
        <v>0</v>
      </c>
      <c r="K40" s="45">
        <f>'DY 2023 Activities'!O111</f>
        <v>0</v>
      </c>
      <c r="L40" s="45">
        <f>'DY 2023 Activities'!P111</f>
        <v>0</v>
      </c>
      <c r="M40" s="45">
        <f>'DY 2023 Activities'!Q111</f>
        <v>0</v>
      </c>
      <c r="N40" s="45">
        <f>'DY 2023 Activities'!R111</f>
        <v>0</v>
      </c>
      <c r="O40" s="45">
        <f>'DY 2023 Activities'!S111</f>
        <v>0</v>
      </c>
      <c r="P40" s="45">
        <f>'DY 2023 Activities'!T111</f>
        <v>0</v>
      </c>
      <c r="Q40" s="45">
        <f>'DY 2023 Activities'!U111</f>
        <v>0</v>
      </c>
      <c r="R40" s="45">
        <f>'DY 2023 Activities'!V111</f>
        <v>0</v>
      </c>
      <c r="S40" s="45">
        <f>'DY 2023 Activities'!W111</f>
        <v>0</v>
      </c>
      <c r="T40" s="45">
        <f>'DY 2023 Activities'!X111</f>
        <v>0</v>
      </c>
      <c r="U40" s="45">
        <f>'DY 2023 Activities'!Y111</f>
        <v>0</v>
      </c>
      <c r="V40" s="45">
        <f>'DY 2023 Activities'!Z111</f>
        <v>0</v>
      </c>
    </row>
    <row r="41" spans="1:22" x14ac:dyDescent="0.3">
      <c r="A41" s="30" t="s">
        <v>33</v>
      </c>
      <c r="B41" s="45">
        <f>'DY 2023 Activities'!F114</f>
        <v>8234945.7049087808</v>
      </c>
      <c r="C41" s="45">
        <f>'DY 2023 Activities'!G114</f>
        <v>7777448.7213027375</v>
      </c>
      <c r="D41" s="45">
        <f>'DY 2023 Activities'!H114</f>
        <v>7777448.7213027375</v>
      </c>
      <c r="E41" s="45">
        <f>'DY 2023 Activities'!I114</f>
        <v>7777448.7213027375</v>
      </c>
      <c r="F41" s="45">
        <f>'DY 2023 Activities'!J114</f>
        <v>7777448.7213027375</v>
      </c>
      <c r="G41" s="45">
        <f>'DY 2023 Activities'!K114</f>
        <v>7777448.7213027375</v>
      </c>
      <c r="H41" s="45">
        <f>'DY 2023 Activities'!L114</f>
        <v>7777448.7213027375</v>
      </c>
      <c r="I41" s="45">
        <f>'DY 2023 Activities'!M114</f>
        <v>0</v>
      </c>
      <c r="J41" s="45">
        <f>'DY 2023 Activities'!N114</f>
        <v>0</v>
      </c>
      <c r="K41" s="45">
        <f>'DY 2023 Activities'!O114</f>
        <v>0</v>
      </c>
      <c r="L41" s="45">
        <f>'DY 2023 Activities'!P114</f>
        <v>0</v>
      </c>
      <c r="M41" s="45">
        <f>'DY 2023 Activities'!Q114</f>
        <v>0</v>
      </c>
      <c r="N41" s="45">
        <f>'DY 2023 Activities'!R114</f>
        <v>0</v>
      </c>
      <c r="O41" s="45">
        <f>'DY 2023 Activities'!S114</f>
        <v>0</v>
      </c>
      <c r="P41" s="45">
        <f>'DY 2023 Activities'!T114</f>
        <v>0</v>
      </c>
      <c r="Q41" s="45">
        <f>'DY 2023 Activities'!U114</f>
        <v>0</v>
      </c>
      <c r="R41" s="45">
        <f>'DY 2023 Activities'!V114</f>
        <v>0</v>
      </c>
      <c r="S41" s="45">
        <f>'DY 2023 Activities'!W114</f>
        <v>0</v>
      </c>
      <c r="T41" s="45">
        <f>'DY 2023 Activities'!X114</f>
        <v>0</v>
      </c>
      <c r="U41" s="45">
        <f>'DY 2023 Activities'!Y114</f>
        <v>0</v>
      </c>
      <c r="V41" s="45">
        <f>'DY 2023 Activities'!Z114</f>
        <v>0</v>
      </c>
    </row>
    <row r="42" spans="1:22" x14ac:dyDescent="0.3">
      <c r="A42" s="30" t="s">
        <v>40</v>
      </c>
      <c r="B42" s="45">
        <f>'DY 2023 Activities'!F127</f>
        <v>0</v>
      </c>
      <c r="C42" s="45">
        <f>'DY 2023 Activities'!G127</f>
        <v>0</v>
      </c>
      <c r="D42" s="45">
        <f>'DY 2023 Activities'!H127</f>
        <v>0</v>
      </c>
      <c r="E42" s="45">
        <f>'DY 2023 Activities'!I127</f>
        <v>184205000</v>
      </c>
      <c r="F42" s="45">
        <f>'DY 2023 Activities'!J127</f>
        <v>184205000</v>
      </c>
      <c r="G42" s="45">
        <f>'DY 2023 Activities'!K127</f>
        <v>184205000</v>
      </c>
      <c r="H42" s="45">
        <f>'DY 2023 Activities'!L127</f>
        <v>184205000</v>
      </c>
      <c r="I42" s="45">
        <f>'DY 2023 Activities'!M127</f>
        <v>184205000</v>
      </c>
      <c r="J42" s="45">
        <f>'DY 2023 Activities'!N127</f>
        <v>184205000</v>
      </c>
      <c r="K42" s="45">
        <f>'DY 2023 Activities'!O127</f>
        <v>184205000</v>
      </c>
      <c r="L42" s="45">
        <f>'DY 2023 Activities'!P127</f>
        <v>184205000</v>
      </c>
      <c r="M42" s="45">
        <f>'DY 2023 Activities'!Q127</f>
        <v>184205000</v>
      </c>
      <c r="N42" s="45">
        <f>'DY 2023 Activities'!R127</f>
        <v>184205000</v>
      </c>
      <c r="O42" s="45">
        <f>'DY 2023 Activities'!S127</f>
        <v>184205000</v>
      </c>
      <c r="P42" s="45">
        <f>'DY 2023 Activities'!T127</f>
        <v>184205000</v>
      </c>
      <c r="Q42" s="45">
        <f>'DY 2023 Activities'!U127</f>
        <v>184205000</v>
      </c>
      <c r="R42" s="45">
        <f>'DY 2023 Activities'!V127</f>
        <v>184205000</v>
      </c>
      <c r="S42" s="45">
        <f>'DY 2023 Activities'!W127</f>
        <v>184205000</v>
      </c>
      <c r="T42" s="45">
        <f>'DY 2023 Activities'!X127</f>
        <v>184205000</v>
      </c>
      <c r="U42" s="45">
        <f>'DY 2023 Activities'!Y127</f>
        <v>184205000</v>
      </c>
      <c r="V42" s="45">
        <f>'DY 2023 Activities'!Z127</f>
        <v>0</v>
      </c>
    </row>
    <row r="43" spans="1:22" x14ac:dyDescent="0.3">
      <c r="A43" s="30" t="s">
        <v>41</v>
      </c>
      <c r="B43" s="45">
        <f>'DY 2023 Activities'!F128</f>
        <v>0</v>
      </c>
      <c r="C43" s="45">
        <f>'DY 2023 Activities'!G128</f>
        <v>0</v>
      </c>
      <c r="D43" s="45">
        <f>'DY 2023 Activities'!H128</f>
        <v>0</v>
      </c>
      <c r="E43" s="45">
        <f>'DY 2023 Activities'!I128</f>
        <v>75671543.400000006</v>
      </c>
      <c r="F43" s="45">
        <f>'DY 2023 Activities'!J128</f>
        <v>75293185.682999998</v>
      </c>
      <c r="G43" s="45">
        <f>'DY 2023 Activities'!K128</f>
        <v>74916719.754584998</v>
      </c>
      <c r="H43" s="45">
        <f>'DY 2023 Activities'!L128</f>
        <v>74542136.15581207</v>
      </c>
      <c r="I43" s="45">
        <f>'DY 2023 Activities'!M128</f>
        <v>74169425.475033015</v>
      </c>
      <c r="J43" s="45">
        <f>'DY 2023 Activities'!N128</f>
        <v>73798578.347657844</v>
      </c>
      <c r="K43" s="45">
        <f>'DY 2023 Activities'!O128</f>
        <v>73429585.455919564</v>
      </c>
      <c r="L43" s="45">
        <f>'DY 2023 Activities'!P128</f>
        <v>73062437.528639957</v>
      </c>
      <c r="M43" s="45">
        <f>'DY 2023 Activities'!Q128</f>
        <v>72697125.340996757</v>
      </c>
      <c r="N43" s="45">
        <f>'DY 2023 Activities'!R128</f>
        <v>72333639.714291766</v>
      </c>
      <c r="O43" s="45">
        <f>'DY 2023 Activities'!S128</f>
        <v>71971971.515720323</v>
      </c>
      <c r="P43" s="45">
        <f>'DY 2023 Activities'!T128</f>
        <v>71612111.658141717</v>
      </c>
      <c r="Q43" s="45">
        <f>'DY 2023 Activities'!U128</f>
        <v>71254051.099851012</v>
      </c>
      <c r="R43" s="45">
        <f>'DY 2023 Activities'!V128</f>
        <v>70897780.844351754</v>
      </c>
      <c r="S43" s="45">
        <f>'DY 2023 Activities'!W128</f>
        <v>70543291.940129995</v>
      </c>
      <c r="T43" s="45">
        <f>'DY 2023 Activities'!X128</f>
        <v>70190575.480429351</v>
      </c>
      <c r="U43" s="45">
        <f>'DY 2023 Activities'!Y128</f>
        <v>69839622.603027195</v>
      </c>
      <c r="V43" s="45">
        <f>'DY 2023 Activities'!Z128</f>
        <v>0</v>
      </c>
    </row>
    <row r="44" spans="1:22" x14ac:dyDescent="0.3">
      <c r="A44" s="30" t="s">
        <v>42</v>
      </c>
      <c r="B44" s="45">
        <f>'DY 2023 Activities'!F129</f>
        <v>0</v>
      </c>
      <c r="C44" s="45">
        <f>'DY 2023 Activities'!G129</f>
        <v>0</v>
      </c>
      <c r="D44" s="45">
        <f>'DY 2023 Activities'!H129</f>
        <v>0</v>
      </c>
      <c r="E44" s="45">
        <f>'DY 2023 Activities'!I129</f>
        <v>7352011.3700000001</v>
      </c>
      <c r="F44" s="45">
        <f>'DY 2023 Activities'!J129</f>
        <v>7315251.3131499989</v>
      </c>
      <c r="G44" s="45">
        <f>'DY 2023 Activities'!K129</f>
        <v>7278675.0565842502</v>
      </c>
      <c r="H44" s="45">
        <f>'DY 2023 Activities'!L129</f>
        <v>7242281.6813013284</v>
      </c>
      <c r="I44" s="45">
        <f>'DY 2023 Activities'!M129</f>
        <v>7206070.2728948211</v>
      </c>
      <c r="J44" s="45">
        <f>'DY 2023 Activities'!N129</f>
        <v>7170039.9215303473</v>
      </c>
      <c r="K44" s="45">
        <f>'DY 2023 Activities'!O129</f>
        <v>7134189.7219226956</v>
      </c>
      <c r="L44" s="45">
        <f>'DY 2023 Activities'!P129</f>
        <v>7098518.7733130828</v>
      </c>
      <c r="M44" s="45">
        <f>'DY 2023 Activities'!Q129</f>
        <v>7063026.1794465166</v>
      </c>
      <c r="N44" s="45">
        <f>'DY 2023 Activities'!R129</f>
        <v>7027711.0485492833</v>
      </c>
      <c r="O44" s="45">
        <f>'DY 2023 Activities'!S129</f>
        <v>6992572.4933065372</v>
      </c>
      <c r="P44" s="45">
        <f>'DY 2023 Activities'!T129</f>
        <v>6957609.6308400044</v>
      </c>
      <c r="Q44" s="45">
        <f>'DY 2023 Activities'!U129</f>
        <v>6922821.5826858049</v>
      </c>
      <c r="R44" s="45">
        <f>'DY 2023 Activities'!V129</f>
        <v>6888207.474772376</v>
      </c>
      <c r="S44" s="45">
        <f>'DY 2023 Activities'!W129</f>
        <v>6853766.4373985138</v>
      </c>
      <c r="T44" s="45">
        <f>'DY 2023 Activities'!X129</f>
        <v>6819497.6052115215</v>
      </c>
      <c r="U44" s="45">
        <f>'DY 2023 Activities'!Y129</f>
        <v>6785400.1171854632</v>
      </c>
      <c r="V44" s="45">
        <f>'DY 2023 Activities'!Z129</f>
        <v>0</v>
      </c>
    </row>
    <row r="45" spans="1:22" x14ac:dyDescent="0.3">
      <c r="A45" s="5" t="s">
        <v>233</v>
      </c>
      <c r="B45" s="24">
        <f t="shared" ref="B45:V45" si="3">SUM(B36:B44)</f>
        <v>186183828.02998012</v>
      </c>
      <c r="C45" s="24">
        <f t="shared" si="3"/>
        <v>51905350.460427888</v>
      </c>
      <c r="D45" s="24">
        <f t="shared" si="3"/>
        <v>51435347.717106394</v>
      </c>
      <c r="E45" s="24">
        <f t="shared" si="3"/>
        <v>318553944.29951215</v>
      </c>
      <c r="F45" s="24">
        <f t="shared" si="3"/>
        <v>318029418.12900591</v>
      </c>
      <c r="G45" s="24">
        <f t="shared" si="3"/>
        <v>317507514.58935213</v>
      </c>
      <c r="H45" s="24">
        <f t="shared" si="3"/>
        <v>316988220.56739676</v>
      </c>
      <c r="I45" s="24">
        <f t="shared" si="3"/>
        <v>293139176.85164279</v>
      </c>
      <c r="J45" s="24">
        <f t="shared" si="3"/>
        <v>286513698.75320357</v>
      </c>
      <c r="K45" s="24">
        <f t="shared" si="3"/>
        <v>286002155.2594375</v>
      </c>
      <c r="L45" s="24">
        <f t="shared" si="3"/>
        <v>285493169.48314035</v>
      </c>
      <c r="M45" s="24">
        <f t="shared" si="3"/>
        <v>284986728.63572466</v>
      </c>
      <c r="N45" s="24">
        <f t="shared" si="3"/>
        <v>284482819.99254602</v>
      </c>
      <c r="O45" s="24">
        <f t="shared" si="3"/>
        <v>283981430.89258325</v>
      </c>
      <c r="P45" s="24">
        <f t="shared" si="3"/>
        <v>283482548.73812038</v>
      </c>
      <c r="Q45" s="24">
        <f t="shared" si="3"/>
        <v>282986160.99442983</v>
      </c>
      <c r="R45" s="24">
        <f t="shared" si="3"/>
        <v>282492255.18945765</v>
      </c>
      <c r="S45" s="24">
        <f t="shared" si="3"/>
        <v>282000818.91351032</v>
      </c>
      <c r="T45" s="24">
        <f t="shared" si="3"/>
        <v>281511839.81894279</v>
      </c>
      <c r="U45" s="24">
        <f t="shared" si="3"/>
        <v>281025305.61984807</v>
      </c>
      <c r="V45" s="24">
        <f t="shared" si="3"/>
        <v>12861945.748661131</v>
      </c>
    </row>
  </sheetData>
  <printOptions horizontalCentered="1" verticalCentered="1"/>
  <pageMargins left="0.7" right="0.7" top="0.75" bottom="0.75" header="0.3" footer="0.3"/>
  <pageSetup scale="39" orientation="landscape" r:id="rId1"/>
  <headerFooter>
    <oddHeader>&amp;A</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D7E6A-AF3A-4DD6-9EEA-C62EEC559441}">
  <sheetPr>
    <tabColor theme="2"/>
  </sheetPr>
  <dimension ref="B3:Z129"/>
  <sheetViews>
    <sheetView zoomScaleNormal="100" workbookViewId="0"/>
  </sheetViews>
  <sheetFormatPr defaultRowHeight="14.4" x14ac:dyDescent="0.3"/>
  <cols>
    <col min="1" max="1" width="15.21875" customWidth="1"/>
    <col min="2" max="2" width="45.109375" bestFit="1" customWidth="1"/>
    <col min="3" max="3" width="11.21875" bestFit="1" customWidth="1"/>
    <col min="4" max="4" width="9.33203125" bestFit="1" customWidth="1"/>
    <col min="5" max="5" width="17.44140625" bestFit="1" customWidth="1"/>
    <col min="6" max="11" width="16.21875" bestFit="1" customWidth="1"/>
    <col min="12" max="13" width="15.77734375" bestFit="1" customWidth="1"/>
    <col min="14" max="21" width="16.21875" bestFit="1" customWidth="1"/>
    <col min="22" max="23" width="15.77734375" bestFit="1" customWidth="1"/>
    <col min="24" max="26" width="16.21875" bestFit="1" customWidth="1"/>
  </cols>
  <sheetData>
    <row r="3" spans="2:26" x14ac:dyDescent="0.3">
      <c r="B3" s="63" t="s">
        <v>243</v>
      </c>
      <c r="C3" s="19"/>
    </row>
    <row r="4" spans="2:26" ht="15.6" x14ac:dyDescent="0.3">
      <c r="B4" s="9"/>
      <c r="C4" s="9"/>
      <c r="D4" s="9"/>
      <c r="E4" s="9"/>
      <c r="F4" s="2" t="s">
        <v>49</v>
      </c>
      <c r="G4" s="2" t="s">
        <v>50</v>
      </c>
      <c r="H4" s="2" t="s">
        <v>51</v>
      </c>
      <c r="I4" s="2" t="s">
        <v>52</v>
      </c>
      <c r="J4" s="2" t="s">
        <v>53</v>
      </c>
      <c r="K4" s="2" t="s">
        <v>54</v>
      </c>
      <c r="L4" s="2" t="s">
        <v>55</v>
      </c>
      <c r="M4" s="2" t="s">
        <v>56</v>
      </c>
      <c r="N4" s="2" t="s">
        <v>57</v>
      </c>
      <c r="O4" s="2" t="s">
        <v>58</v>
      </c>
      <c r="P4" s="2" t="s">
        <v>59</v>
      </c>
      <c r="Q4" s="2" t="s">
        <v>60</v>
      </c>
      <c r="R4" s="2" t="s">
        <v>61</v>
      </c>
      <c r="S4" s="2" t="s">
        <v>62</v>
      </c>
      <c r="T4" s="2" t="s">
        <v>63</v>
      </c>
      <c r="U4" s="2" t="s">
        <v>64</v>
      </c>
      <c r="V4" s="2" t="s">
        <v>65</v>
      </c>
      <c r="W4" s="2" t="s">
        <v>66</v>
      </c>
      <c r="X4" s="2" t="s">
        <v>67</v>
      </c>
      <c r="Y4" s="2" t="s">
        <v>250</v>
      </c>
      <c r="Z4" s="2" t="s">
        <v>251</v>
      </c>
    </row>
    <row r="5" spans="2:26" ht="15.6" x14ac:dyDescent="0.3">
      <c r="B5" s="1"/>
      <c r="C5" s="2" t="s">
        <v>244</v>
      </c>
      <c r="D5" s="2" t="s">
        <v>245</v>
      </c>
      <c r="E5" s="2" t="s">
        <v>225</v>
      </c>
      <c r="F5" s="2">
        <v>2024</v>
      </c>
      <c r="G5" s="2">
        <f t="shared" ref="G5:Z5" si="0">F5+1</f>
        <v>2025</v>
      </c>
      <c r="H5" s="2">
        <f t="shared" si="0"/>
        <v>2026</v>
      </c>
      <c r="I5" s="2">
        <f t="shared" si="0"/>
        <v>2027</v>
      </c>
      <c r="J5" s="2">
        <f t="shared" si="0"/>
        <v>2028</v>
      </c>
      <c r="K5" s="2">
        <f t="shared" si="0"/>
        <v>2029</v>
      </c>
      <c r="L5" s="2">
        <f t="shared" si="0"/>
        <v>2030</v>
      </c>
      <c r="M5" s="2">
        <f t="shared" si="0"/>
        <v>2031</v>
      </c>
      <c r="N5" s="2">
        <f t="shared" si="0"/>
        <v>2032</v>
      </c>
      <c r="O5" s="2">
        <f t="shared" si="0"/>
        <v>2033</v>
      </c>
      <c r="P5" s="2">
        <f t="shared" si="0"/>
        <v>2034</v>
      </c>
      <c r="Q5" s="2">
        <f t="shared" si="0"/>
        <v>2035</v>
      </c>
      <c r="R5" s="2">
        <f t="shared" si="0"/>
        <v>2036</v>
      </c>
      <c r="S5" s="2">
        <f t="shared" si="0"/>
        <v>2037</v>
      </c>
      <c r="T5" s="2">
        <f t="shared" si="0"/>
        <v>2038</v>
      </c>
      <c r="U5" s="2">
        <f t="shared" si="0"/>
        <v>2039</v>
      </c>
      <c r="V5" s="2">
        <f t="shared" si="0"/>
        <v>2040</v>
      </c>
      <c r="W5" s="2">
        <f t="shared" si="0"/>
        <v>2041</v>
      </c>
      <c r="X5" s="2">
        <f t="shared" si="0"/>
        <v>2042</v>
      </c>
      <c r="Y5" s="2">
        <f t="shared" si="0"/>
        <v>2043</v>
      </c>
      <c r="Z5" s="2">
        <f t="shared" si="0"/>
        <v>2044</v>
      </c>
    </row>
    <row r="6" spans="2:26" x14ac:dyDescent="0.3">
      <c r="B6" s="71" t="s">
        <v>246</v>
      </c>
      <c r="C6" s="4"/>
      <c r="D6" s="47"/>
      <c r="E6" s="4">
        <f>SUM(E9:E65)</f>
        <v>18110395.190213159</v>
      </c>
      <c r="F6" s="20"/>
      <c r="G6" s="20"/>
      <c r="H6" s="20"/>
      <c r="I6" s="20"/>
      <c r="J6" s="20"/>
      <c r="K6" s="20"/>
      <c r="L6" s="20"/>
      <c r="M6" s="20"/>
      <c r="N6" s="20"/>
      <c r="O6" s="20"/>
      <c r="P6" s="20"/>
      <c r="Q6" s="20"/>
      <c r="R6" s="20"/>
      <c r="S6" s="20"/>
      <c r="T6" s="20"/>
      <c r="U6" s="20"/>
      <c r="V6" s="20"/>
      <c r="W6" s="20"/>
      <c r="X6" s="20"/>
      <c r="Y6" s="70"/>
      <c r="Z6" s="47"/>
    </row>
    <row r="7" spans="2:26" x14ac:dyDescent="0.3">
      <c r="B7" s="121" t="s">
        <v>5</v>
      </c>
      <c r="C7" s="120">
        <f>C9+C16+C29+C32+C47+C50</f>
        <v>667000</v>
      </c>
      <c r="D7" s="47"/>
      <c r="E7" s="4">
        <f>SUM(F7:Z7)</f>
        <v>15295395.190213159</v>
      </c>
      <c r="F7" s="20">
        <f t="shared" ref="F7:Y7" si="1">F11+F12+F14+F15+F18+F19+F20+F21+F24+F25+F26+F27+F30+F31+F34+F35+F36+F37+F38+F41+F42+F43+F44+F45+F40+F48+F49+F52+F53+F54+F55+F58+F59+F60+F61</f>
        <v>569202.00562930224</v>
      </c>
      <c r="G7" s="20">
        <f t="shared" si="1"/>
        <v>912107.86514115555</v>
      </c>
      <c r="H7" s="20">
        <f t="shared" si="1"/>
        <v>907547.32581544982</v>
      </c>
      <c r="I7" s="20">
        <f t="shared" si="1"/>
        <v>903009.58918637247</v>
      </c>
      <c r="J7" s="20">
        <f t="shared" si="1"/>
        <v>898494.54124044068</v>
      </c>
      <c r="K7" s="20">
        <f t="shared" si="1"/>
        <v>894002.0685342385</v>
      </c>
      <c r="L7" s="20">
        <f t="shared" si="1"/>
        <v>889532.05819156743</v>
      </c>
      <c r="M7" s="20">
        <f t="shared" si="1"/>
        <v>885084.39790060977</v>
      </c>
      <c r="N7" s="20">
        <f t="shared" si="1"/>
        <v>880658.97591110657</v>
      </c>
      <c r="O7" s="20">
        <f t="shared" si="1"/>
        <v>876255.68103155075</v>
      </c>
      <c r="P7" s="20">
        <f t="shared" si="1"/>
        <v>871874.40262639301</v>
      </c>
      <c r="Q7" s="20">
        <f t="shared" si="1"/>
        <v>867515.03061326127</v>
      </c>
      <c r="R7" s="20">
        <f t="shared" si="1"/>
        <v>863177.45546019508</v>
      </c>
      <c r="S7" s="20">
        <f t="shared" si="1"/>
        <v>858861.5681828938</v>
      </c>
      <c r="T7" s="20">
        <f t="shared" si="1"/>
        <v>854567.26034197945</v>
      </c>
      <c r="U7" s="20">
        <f t="shared" si="1"/>
        <v>459766.89452775661</v>
      </c>
      <c r="V7" s="20">
        <f t="shared" si="1"/>
        <v>411652.53075565695</v>
      </c>
      <c r="W7" s="20">
        <f t="shared" si="1"/>
        <v>409594.26810187858</v>
      </c>
      <c r="X7" s="20">
        <f t="shared" si="1"/>
        <v>407546.29676136916</v>
      </c>
      <c r="Y7" s="20">
        <f t="shared" si="1"/>
        <v>405508.5652775623</v>
      </c>
      <c r="Z7" s="70">
        <f>Z11+Z12+Z14+Z15+Z18+Z19+Z20+Z21+Z24+Z25+Z26+Z27+Z30+Z31+Z33+Z40+Z48+Z49+Z52+Z53+Z54+Z55+Z58+Z59+Z60+Z61</f>
        <v>269436.40898242034</v>
      </c>
    </row>
    <row r="8" spans="2:26" x14ac:dyDescent="0.3">
      <c r="B8" s="121" t="s">
        <v>5</v>
      </c>
      <c r="C8" s="120">
        <f>C10+C13+C17+C23+C30+C31+C33+C40+C48+C49+C51+C57</f>
        <v>667000</v>
      </c>
      <c r="D8" s="47"/>
      <c r="E8" s="4">
        <f>SUM(E9:E61)</f>
        <v>15295395.190213161</v>
      </c>
      <c r="F8" s="20">
        <f>F9+F16+F29+F32+F47+F50</f>
        <v>569202.00562930212</v>
      </c>
      <c r="G8" s="20"/>
      <c r="H8" s="20"/>
      <c r="I8" s="20"/>
      <c r="J8" s="20"/>
      <c r="K8" s="20"/>
      <c r="L8" s="20"/>
      <c r="M8" s="20"/>
      <c r="N8" s="20"/>
      <c r="O8" s="20"/>
      <c r="P8" s="20"/>
      <c r="Q8" s="20"/>
      <c r="R8" s="20"/>
      <c r="S8" s="20"/>
      <c r="T8" s="20"/>
      <c r="U8" s="70"/>
      <c r="V8" s="70"/>
      <c r="W8" s="70"/>
      <c r="X8" s="70"/>
      <c r="Y8" s="70"/>
      <c r="Z8" s="70"/>
    </row>
    <row r="9" spans="2:26" x14ac:dyDescent="0.3">
      <c r="B9" s="5" t="s">
        <v>6</v>
      </c>
      <c r="C9" s="6">
        <f>'Future Plan Assumptions'!C6</f>
        <v>133400</v>
      </c>
      <c r="D9" s="6"/>
      <c r="E9" s="32"/>
      <c r="F9" s="6">
        <f t="shared" ref="F9:Y9" si="2">SUM(F10:F15)</f>
        <v>162118.73341728002</v>
      </c>
      <c r="G9" s="6">
        <f t="shared" si="2"/>
        <v>161308.1397501936</v>
      </c>
      <c r="H9" s="6">
        <f t="shared" si="2"/>
        <v>160501.59905144264</v>
      </c>
      <c r="I9" s="6">
        <f t="shared" si="2"/>
        <v>159699.09105618543</v>
      </c>
      <c r="J9" s="6">
        <f t="shared" si="2"/>
        <v>158900.59560090449</v>
      </c>
      <c r="K9" s="6">
        <f t="shared" si="2"/>
        <v>158106.09262289997</v>
      </c>
      <c r="L9" s="6">
        <f t="shared" si="2"/>
        <v>157315.56215978548</v>
      </c>
      <c r="M9" s="6">
        <f t="shared" si="2"/>
        <v>156528.98434898653</v>
      </c>
      <c r="N9" s="6">
        <f t="shared" si="2"/>
        <v>155746.33942724159</v>
      </c>
      <c r="O9" s="6">
        <f t="shared" si="2"/>
        <v>154967.6077301054</v>
      </c>
      <c r="P9" s="6">
        <f t="shared" si="2"/>
        <v>154192.76969145489</v>
      </c>
      <c r="Q9" s="6">
        <f t="shared" si="2"/>
        <v>153421.80584299756</v>
      </c>
      <c r="R9" s="6">
        <f t="shared" si="2"/>
        <v>152654.69681378259</v>
      </c>
      <c r="S9" s="6">
        <f t="shared" si="2"/>
        <v>151891.42332971367</v>
      </c>
      <c r="T9" s="6">
        <f t="shared" si="2"/>
        <v>151131.96621306511</v>
      </c>
      <c r="U9" s="6">
        <f t="shared" si="2"/>
        <v>0</v>
      </c>
      <c r="V9" s="6">
        <f t="shared" si="2"/>
        <v>0</v>
      </c>
      <c r="W9" s="6">
        <f t="shared" si="2"/>
        <v>0</v>
      </c>
      <c r="X9" s="6">
        <f t="shared" si="2"/>
        <v>0</v>
      </c>
      <c r="Y9" s="6">
        <f t="shared" si="2"/>
        <v>0</v>
      </c>
      <c r="Z9" s="6"/>
    </row>
    <row r="10" spans="2:26" x14ac:dyDescent="0.3">
      <c r="B10" s="1" t="s">
        <v>7</v>
      </c>
      <c r="C10" s="46">
        <f>'Future Plan Assumptions'!C7</f>
        <v>40020</v>
      </c>
      <c r="D10" s="46"/>
      <c r="E10" s="31"/>
      <c r="F10" s="20"/>
      <c r="G10" s="20"/>
      <c r="H10" s="20"/>
      <c r="I10" s="20"/>
      <c r="J10" s="20"/>
      <c r="K10" s="20"/>
      <c r="L10" s="20"/>
      <c r="M10" s="20"/>
      <c r="N10" s="20"/>
      <c r="O10" s="20"/>
      <c r="P10" s="20"/>
      <c r="Q10" s="20"/>
      <c r="R10" s="20"/>
      <c r="S10" s="20"/>
      <c r="T10" s="20"/>
      <c r="U10" s="1"/>
      <c r="V10" s="1"/>
      <c r="W10" s="1"/>
      <c r="X10" s="1"/>
      <c r="Y10" s="1"/>
      <c r="Z10" s="1"/>
    </row>
    <row r="11" spans="2:26" x14ac:dyDescent="0.3">
      <c r="B11" s="9" t="s">
        <v>8</v>
      </c>
      <c r="C11" s="6">
        <f>'Future Plan Assumptions'!C8</f>
        <v>15207.6</v>
      </c>
      <c r="D11" s="11">
        <f>'DY 22 &amp; DY 23 Assumptions'!F8</f>
        <v>0.14884</v>
      </c>
      <c r="E11" s="32">
        <f>SUM(F11:Z11)</f>
        <v>287236.16011794034</v>
      </c>
      <c r="F11" s="21">
        <f>(C11*D11*8760)/1000</f>
        <v>19828.252851839999</v>
      </c>
      <c r="G11" s="21">
        <f>F11*'DY 22 &amp; DY 23 Assumptions'!$D$102</f>
        <v>19729.111587580799</v>
      </c>
      <c r="H11" s="21">
        <f>G11*'DY 22 &amp; DY 23 Assumptions'!$D$102</f>
        <v>19630.466029642896</v>
      </c>
      <c r="I11" s="21">
        <f>H11*'DY 22 &amp; DY 23 Assumptions'!$D$102</f>
        <v>19532.31369949468</v>
      </c>
      <c r="J11" s="21">
        <f>I11*'DY 22 &amp; DY 23 Assumptions'!$D$102</f>
        <v>19434.652130997205</v>
      </c>
      <c r="K11" s="21">
        <f>J11*'DY 22 &amp; DY 23 Assumptions'!$D$102</f>
        <v>19337.47887034222</v>
      </c>
      <c r="L11" s="21">
        <f>K11*'DY 22 &amp; DY 23 Assumptions'!$D$102</f>
        <v>19240.791475990511</v>
      </c>
      <c r="M11" s="21">
        <f>L11*'DY 22 &amp; DY 23 Assumptions'!$D$102</f>
        <v>19144.587518610559</v>
      </c>
      <c r="N11" s="21">
        <f>M11*'DY 22 &amp; DY 23 Assumptions'!$D$102</f>
        <v>19048.864581017504</v>
      </c>
      <c r="O11" s="21">
        <f>N11*'DY 22 &amp; DY 23 Assumptions'!$D$102</f>
        <v>18953.620258112416</v>
      </c>
      <c r="P11" s="21">
        <f>O11*'DY 22 &amp; DY 23 Assumptions'!$D$102</f>
        <v>18858.852156821853</v>
      </c>
      <c r="Q11" s="21">
        <f>P11*'DY 22 &amp; DY 23 Assumptions'!$D$102</f>
        <v>18764.557896037742</v>
      </c>
      <c r="R11" s="21">
        <f>Q11*'DY 22 &amp; DY 23 Assumptions'!$D$102</f>
        <v>18670.735106557553</v>
      </c>
      <c r="S11" s="21">
        <f>R11*'DY 22 &amp; DY 23 Assumptions'!$D$102</f>
        <v>18577.381431024765</v>
      </c>
      <c r="T11" s="21">
        <f>S11*'DY 22 &amp; DY 23 Assumptions'!$D$102</f>
        <v>18484.494523869642</v>
      </c>
      <c r="U11" s="12"/>
      <c r="V11" s="12"/>
      <c r="W11" s="12"/>
      <c r="X11" s="12"/>
      <c r="Y11" s="12"/>
      <c r="Z11" s="12"/>
    </row>
    <row r="12" spans="2:26" x14ac:dyDescent="0.3">
      <c r="B12" s="9" t="s">
        <v>9</v>
      </c>
      <c r="C12" s="6">
        <f>'Future Plan Assumptions'!C9</f>
        <v>24812.400000000001</v>
      </c>
      <c r="D12" s="11">
        <f>'DY 22 &amp; DY 23 Assumptions'!F9</f>
        <v>0.15130000000000002</v>
      </c>
      <c r="E12" s="32">
        <f>SUM(F12:Z12)</f>
        <v>476394.20706133608</v>
      </c>
      <c r="F12" s="21">
        <f>(C12*D12*8760)/1000</f>
        <v>32886.057211200008</v>
      </c>
      <c r="G12" s="21">
        <f>F12*'DY 22 &amp; DY 23 Assumptions'!$D$102</f>
        <v>32721.626925144006</v>
      </c>
      <c r="H12" s="21">
        <f>G12*'DY 22 &amp; DY 23 Assumptions'!$D$102</f>
        <v>32558.018790518287</v>
      </c>
      <c r="I12" s="21">
        <f>H12*'DY 22 &amp; DY 23 Assumptions'!$D$102</f>
        <v>32395.228696565697</v>
      </c>
      <c r="J12" s="21">
        <f>I12*'DY 22 &amp; DY 23 Assumptions'!$D$102</f>
        <v>32233.252553082868</v>
      </c>
      <c r="K12" s="21">
        <f>J12*'DY 22 &amp; DY 23 Assumptions'!$D$102</f>
        <v>32072.086290317453</v>
      </c>
      <c r="L12" s="21">
        <f>K12*'DY 22 &amp; DY 23 Assumptions'!$D$102</f>
        <v>31911.725858865866</v>
      </c>
      <c r="M12" s="21">
        <f>L12*'DY 22 &amp; DY 23 Assumptions'!$D$102</f>
        <v>31752.167229571536</v>
      </c>
      <c r="N12" s="21">
        <f>M12*'DY 22 &amp; DY 23 Assumptions'!$D$102</f>
        <v>31593.40639342368</v>
      </c>
      <c r="O12" s="21">
        <f>N12*'DY 22 &amp; DY 23 Assumptions'!$D$102</f>
        <v>31435.439361456563</v>
      </c>
      <c r="P12" s="21">
        <f>O12*'DY 22 &amp; DY 23 Assumptions'!$D$102</f>
        <v>31278.262164649281</v>
      </c>
      <c r="Q12" s="21">
        <f>P12*'DY 22 &amp; DY 23 Assumptions'!$D$102</f>
        <v>31121.870853826033</v>
      </c>
      <c r="R12" s="21">
        <f>Q12*'DY 22 &amp; DY 23 Assumptions'!$D$102</f>
        <v>30966.261499556902</v>
      </c>
      <c r="S12" s="21">
        <f>R12*'DY 22 &amp; DY 23 Assumptions'!$D$102</f>
        <v>30811.430192059117</v>
      </c>
      <c r="T12" s="21">
        <f>S12*'DY 22 &amp; DY 23 Assumptions'!$D$102</f>
        <v>30657.373041098821</v>
      </c>
      <c r="U12" s="12"/>
      <c r="V12" s="12"/>
      <c r="W12" s="12"/>
      <c r="X12" s="12"/>
      <c r="Y12" s="12"/>
      <c r="Z12" s="12"/>
    </row>
    <row r="13" spans="2:26" x14ac:dyDescent="0.3">
      <c r="B13" s="1" t="s">
        <v>10</v>
      </c>
      <c r="C13" s="46">
        <f>'Future Plan Assumptions'!C10</f>
        <v>93380</v>
      </c>
      <c r="D13" s="11"/>
      <c r="E13" s="31"/>
      <c r="F13" s="20"/>
      <c r="G13" s="21"/>
      <c r="H13" s="20"/>
      <c r="I13" s="20"/>
      <c r="J13" s="20"/>
      <c r="K13" s="20"/>
      <c r="L13" s="20"/>
      <c r="M13" s="20"/>
      <c r="N13" s="20"/>
      <c r="O13" s="20"/>
      <c r="P13" s="20"/>
      <c r="Q13" s="20"/>
      <c r="R13" s="20"/>
      <c r="S13" s="20"/>
      <c r="T13" s="20"/>
      <c r="U13" s="1"/>
      <c r="V13" s="1"/>
      <c r="W13" s="1"/>
      <c r="X13" s="1"/>
      <c r="Y13" s="1"/>
      <c r="Z13" s="1"/>
    </row>
    <row r="14" spans="2:26" x14ac:dyDescent="0.3">
      <c r="B14" s="9" t="s">
        <v>11</v>
      </c>
      <c r="C14" s="6">
        <f>'Future Plan Assumptions'!C11</f>
        <v>35484.400000000001</v>
      </c>
      <c r="D14" s="11">
        <f>'DY 22 &amp; DY 23 Assumptions'!F11</f>
        <v>0.13464999999999999</v>
      </c>
      <c r="E14" s="32">
        <f>SUM(F14:Z14)</f>
        <v>606320.97715480765</v>
      </c>
      <c r="F14" s="21">
        <f>(C14*D14*8760)/1000</f>
        <v>41855.056269600005</v>
      </c>
      <c r="G14" s="21">
        <f>F14*'DY 22 &amp; DY 23 Assumptions'!$D$102</f>
        <v>41645.780988252001</v>
      </c>
      <c r="H14" s="21">
        <f>G14*'DY 22 &amp; DY 23 Assumptions'!$D$102</f>
        <v>41437.552083310744</v>
      </c>
      <c r="I14" s="21">
        <f>H14*'DY 22 &amp; DY 23 Assumptions'!$D$102</f>
        <v>41230.364322894187</v>
      </c>
      <c r="J14" s="21">
        <f>I14*'DY 22 &amp; DY 23 Assumptions'!$D$102</f>
        <v>41024.212501279719</v>
      </c>
      <c r="K14" s="21">
        <f>J14*'DY 22 &amp; DY 23 Assumptions'!$D$102</f>
        <v>40819.091438773321</v>
      </c>
      <c r="L14" s="21">
        <f>K14*'DY 22 &amp; DY 23 Assumptions'!$D$102</f>
        <v>40614.995981579457</v>
      </c>
      <c r="M14" s="21">
        <f>L14*'DY 22 &amp; DY 23 Assumptions'!$D$102</f>
        <v>40411.921001671559</v>
      </c>
      <c r="N14" s="21">
        <f>M14*'DY 22 &amp; DY 23 Assumptions'!$D$102</f>
        <v>40209.861396663204</v>
      </c>
      <c r="O14" s="21">
        <f>N14*'DY 22 &amp; DY 23 Assumptions'!$D$102</f>
        <v>40008.812089679886</v>
      </c>
      <c r="P14" s="21">
        <f>O14*'DY 22 &amp; DY 23 Assumptions'!$D$102</f>
        <v>39808.768029231484</v>
      </c>
      <c r="Q14" s="21">
        <f>P14*'DY 22 &amp; DY 23 Assumptions'!$D$102</f>
        <v>39609.724189085326</v>
      </c>
      <c r="R14" s="21">
        <f>Q14*'DY 22 &amp; DY 23 Assumptions'!$D$102</f>
        <v>39411.675568139901</v>
      </c>
      <c r="S14" s="21">
        <f>R14*'DY 22 &amp; DY 23 Assumptions'!$D$102</f>
        <v>39214.617190299199</v>
      </c>
      <c r="T14" s="21">
        <f>S14*'DY 22 &amp; DY 23 Assumptions'!$D$102</f>
        <v>39018.544104347704</v>
      </c>
      <c r="U14" s="12"/>
      <c r="V14" s="12"/>
      <c r="W14" s="12"/>
      <c r="X14" s="12"/>
      <c r="Y14" s="12"/>
      <c r="Z14" s="12"/>
    </row>
    <row r="15" spans="2:26" x14ac:dyDescent="0.3">
      <c r="B15" s="9" t="s">
        <v>9</v>
      </c>
      <c r="C15" s="6">
        <f>'Future Plan Assumptions'!C12</f>
        <v>57895.6</v>
      </c>
      <c r="D15" s="11">
        <f>'DY 22 &amp; DY 23 Assumptions'!F12</f>
        <v>0.13319</v>
      </c>
      <c r="E15" s="32">
        <f>SUM(F15:Z15)</f>
        <v>978534.06272195489</v>
      </c>
      <c r="F15" s="21">
        <f>(C15*D15*8760)/1000</f>
        <v>67549.367084639991</v>
      </c>
      <c r="G15" s="21">
        <f>F15*'DY 22 &amp; DY 23 Assumptions'!$D$102</f>
        <v>67211.620249216794</v>
      </c>
      <c r="H15" s="21">
        <f>G15*'DY 22 &amp; DY 23 Assumptions'!$D$102</f>
        <v>66875.562147970704</v>
      </c>
      <c r="I15" s="21">
        <f>H15*'DY 22 &amp; DY 23 Assumptions'!$D$102</f>
        <v>66541.18433723085</v>
      </c>
      <c r="J15" s="21">
        <f>I15*'DY 22 &amp; DY 23 Assumptions'!$D$102</f>
        <v>66208.478415544698</v>
      </c>
      <c r="K15" s="21">
        <f>J15*'DY 22 &amp; DY 23 Assumptions'!$D$102</f>
        <v>65877.436023466973</v>
      </c>
      <c r="L15" s="21">
        <f>K15*'DY 22 &amp; DY 23 Assumptions'!$D$102</f>
        <v>65548.048843349636</v>
      </c>
      <c r="M15" s="21">
        <f>L15*'DY 22 &amp; DY 23 Assumptions'!$D$102</f>
        <v>65220.308599132884</v>
      </c>
      <c r="N15" s="21">
        <f>M15*'DY 22 &amp; DY 23 Assumptions'!$D$102</f>
        <v>64894.207056137217</v>
      </c>
      <c r="O15" s="21">
        <f>N15*'DY 22 &amp; DY 23 Assumptions'!$D$102</f>
        <v>64569.73602085653</v>
      </c>
      <c r="P15" s="21">
        <f>O15*'DY 22 &amp; DY 23 Assumptions'!$D$102</f>
        <v>64246.887340752248</v>
      </c>
      <c r="Q15" s="21">
        <f>P15*'DY 22 &amp; DY 23 Assumptions'!$D$102</f>
        <v>63925.652904048489</v>
      </c>
      <c r="R15" s="21">
        <f>Q15*'DY 22 &amp; DY 23 Assumptions'!$D$102</f>
        <v>63606.024639528245</v>
      </c>
      <c r="S15" s="21">
        <f>R15*'DY 22 &amp; DY 23 Assumptions'!$D$102</f>
        <v>63287.994516330604</v>
      </c>
      <c r="T15" s="21">
        <f>S15*'DY 22 &amp; DY 23 Assumptions'!$D$102</f>
        <v>62971.554543748949</v>
      </c>
      <c r="U15" s="12"/>
      <c r="V15" s="12"/>
      <c r="W15" s="12"/>
      <c r="X15" s="12"/>
      <c r="Y15" s="12"/>
      <c r="Z15" s="12"/>
    </row>
    <row r="16" spans="2:26" x14ac:dyDescent="0.3">
      <c r="B16" s="5" t="s">
        <v>12</v>
      </c>
      <c r="C16" s="6">
        <f>'Future Plan Assumptions'!C13</f>
        <v>133400</v>
      </c>
      <c r="D16" s="118"/>
      <c r="E16" s="31"/>
      <c r="F16" s="23">
        <f t="shared" ref="F16:Z16" si="3">SUM(F18:F27)</f>
        <v>172602.59970134808</v>
      </c>
      <c r="G16" s="23">
        <f t="shared" si="3"/>
        <v>171739.58670284133</v>
      </c>
      <c r="H16" s="23">
        <f t="shared" si="3"/>
        <v>170880.88876932714</v>
      </c>
      <c r="I16" s="23">
        <f t="shared" si="3"/>
        <v>170026.4843254805</v>
      </c>
      <c r="J16" s="23">
        <f t="shared" si="3"/>
        <v>169176.35190385312</v>
      </c>
      <c r="K16" s="23">
        <f t="shared" si="3"/>
        <v>168330.47014433384</v>
      </c>
      <c r="L16" s="23">
        <f t="shared" si="3"/>
        <v>167488.81779361214</v>
      </c>
      <c r="M16" s="23">
        <f t="shared" si="3"/>
        <v>166651.37370464409</v>
      </c>
      <c r="N16" s="23">
        <f t="shared" si="3"/>
        <v>165818.11683612087</v>
      </c>
      <c r="O16" s="23">
        <f t="shared" si="3"/>
        <v>164989.02625194026</v>
      </c>
      <c r="P16" s="23">
        <f t="shared" si="3"/>
        <v>164164.08112068055</v>
      </c>
      <c r="Q16" s="23">
        <f t="shared" si="3"/>
        <v>163343.26071507717</v>
      </c>
      <c r="R16" s="23">
        <f t="shared" si="3"/>
        <v>162526.54441150179</v>
      </c>
      <c r="S16" s="23">
        <f t="shared" si="3"/>
        <v>161713.91168944424</v>
      </c>
      <c r="T16" s="23">
        <f t="shared" si="3"/>
        <v>160905.34213099704</v>
      </c>
      <c r="U16" s="23">
        <f t="shared" si="3"/>
        <v>0</v>
      </c>
      <c r="V16" s="23">
        <f t="shared" si="3"/>
        <v>0</v>
      </c>
      <c r="W16" s="23">
        <f t="shared" si="3"/>
        <v>0</v>
      </c>
      <c r="X16" s="23">
        <f t="shared" si="3"/>
        <v>0</v>
      </c>
      <c r="Y16" s="23">
        <f t="shared" si="3"/>
        <v>0</v>
      </c>
      <c r="Z16" s="23">
        <f t="shared" si="3"/>
        <v>0</v>
      </c>
    </row>
    <row r="17" spans="2:26" x14ac:dyDescent="0.3">
      <c r="B17" s="1" t="s">
        <v>13</v>
      </c>
      <c r="C17" s="46">
        <f>'Future Plan Assumptions'!C14</f>
        <v>40020</v>
      </c>
      <c r="D17" s="52"/>
      <c r="E17" s="31"/>
      <c r="F17" s="20"/>
      <c r="G17" s="20"/>
      <c r="H17" s="20"/>
      <c r="I17" s="20"/>
      <c r="J17" s="20"/>
      <c r="K17" s="20"/>
      <c r="L17" s="20"/>
      <c r="M17" s="20"/>
      <c r="N17" s="20"/>
      <c r="O17" s="20"/>
      <c r="P17" s="20"/>
      <c r="Q17" s="20"/>
      <c r="R17" s="20"/>
      <c r="S17" s="20"/>
      <c r="T17" s="20"/>
      <c r="U17" s="1"/>
      <c r="V17" s="1"/>
      <c r="W17" s="1"/>
      <c r="X17" s="1"/>
      <c r="Y17" s="1"/>
      <c r="Z17" s="1"/>
    </row>
    <row r="18" spans="2:26" x14ac:dyDescent="0.3">
      <c r="B18" s="9" t="s">
        <v>14</v>
      </c>
      <c r="C18" s="6">
        <f>'Future Plan Assumptions'!C15</f>
        <v>3305.2461204279521</v>
      </c>
      <c r="D18" s="11">
        <f>'DY 22 &amp; DY 23 Assumptions'!F15</f>
        <v>0.15196999999999999</v>
      </c>
      <c r="E18" s="32">
        <f>SUM(F18:Z18)</f>
        <v>63741.229695580587</v>
      </c>
      <c r="F18" s="21">
        <f>(C18*D18*8760)/1000</f>
        <v>4400.1326955917775</v>
      </c>
      <c r="G18" s="21">
        <f>F18*'DY 22 &amp; DY 23 Assumptions'!$D$102</f>
        <v>4378.1320321138182</v>
      </c>
      <c r="H18" s="21">
        <f>G18*'DY 22 &amp; DY 23 Assumptions'!$D$102</f>
        <v>4356.2413719532487</v>
      </c>
      <c r="I18" s="21">
        <f>H18*'DY 22 &amp; DY 23 Assumptions'!$D$102</f>
        <v>4334.4601650934828</v>
      </c>
      <c r="J18" s="21">
        <f>I18*'DY 22 &amp; DY 23 Assumptions'!$D$102</f>
        <v>4312.7878642680153</v>
      </c>
      <c r="K18" s="21">
        <f>J18*'DY 22 &amp; DY 23 Assumptions'!$D$102</f>
        <v>4291.2239249466747</v>
      </c>
      <c r="L18" s="21">
        <f>K18*'DY 22 &amp; DY 23 Assumptions'!$D$102</f>
        <v>4269.7678053219415</v>
      </c>
      <c r="M18" s="21">
        <f>L18*'DY 22 &amp; DY 23 Assumptions'!$D$102</f>
        <v>4248.4189662953322</v>
      </c>
      <c r="N18" s="21">
        <f>M18*'DY 22 &amp; DY 23 Assumptions'!$D$102</f>
        <v>4227.1768714638556</v>
      </c>
      <c r="O18" s="21">
        <f>N18*'DY 22 &amp; DY 23 Assumptions'!$D$102</f>
        <v>4206.0409871065367</v>
      </c>
      <c r="P18" s="21">
        <f>O18*'DY 22 &amp; DY 23 Assumptions'!$D$102</f>
        <v>4185.0107821710044</v>
      </c>
      <c r="Q18" s="21">
        <f>P18*'DY 22 &amp; DY 23 Assumptions'!$D$102</f>
        <v>4164.0857282601492</v>
      </c>
      <c r="R18" s="21">
        <f>Q18*'DY 22 &amp; DY 23 Assumptions'!$D$102</f>
        <v>4143.2652996188481</v>
      </c>
      <c r="S18" s="21">
        <f>R18*'DY 22 &amp; DY 23 Assumptions'!$D$102</f>
        <v>4122.5489731207535</v>
      </c>
      <c r="T18" s="21">
        <f>S18*'DY 22 &amp; DY 23 Assumptions'!$D$102</f>
        <v>4101.9362282551501</v>
      </c>
      <c r="U18" s="12"/>
      <c r="V18" s="12"/>
      <c r="W18" s="12"/>
      <c r="X18" s="12"/>
      <c r="Y18" s="12"/>
      <c r="Z18" s="12"/>
    </row>
    <row r="19" spans="2:26" x14ac:dyDescent="0.3">
      <c r="B19" s="9" t="s">
        <v>15</v>
      </c>
      <c r="C19" s="6">
        <f>'Future Plan Assumptions'!C16</f>
        <v>2553.1450264857485</v>
      </c>
      <c r="D19" s="11">
        <f>'DY 22 &amp; DY 23 Assumptions'!F16</f>
        <v>0.14819000000000002</v>
      </c>
      <c r="E19" s="32">
        <f>SUM(F19:Z19)</f>
        <v>48012.37094526986</v>
      </c>
      <c r="F19" s="21">
        <f>(C19*D19*8760)/1000</f>
        <v>3314.3509185203261</v>
      </c>
      <c r="G19" s="21">
        <f>F19*'DY 22 &amp; DY 23 Assumptions'!$D$102</f>
        <v>3297.7791639277243</v>
      </c>
      <c r="H19" s="21">
        <f>G19*'DY 22 &amp; DY 23 Assumptions'!$D$102</f>
        <v>3281.2902681080855</v>
      </c>
      <c r="I19" s="21">
        <f>H19*'DY 22 &amp; DY 23 Assumptions'!$D$102</f>
        <v>3264.8838167675449</v>
      </c>
      <c r="J19" s="21">
        <f>I19*'DY 22 &amp; DY 23 Assumptions'!$D$102</f>
        <v>3248.5593976837072</v>
      </c>
      <c r="K19" s="21">
        <f>J19*'DY 22 &amp; DY 23 Assumptions'!$D$102</f>
        <v>3232.3166006952888</v>
      </c>
      <c r="L19" s="21">
        <f>K19*'DY 22 &amp; DY 23 Assumptions'!$D$102</f>
        <v>3216.1550176918122</v>
      </c>
      <c r="M19" s="21">
        <f>L19*'DY 22 &amp; DY 23 Assumptions'!$D$102</f>
        <v>3200.074242603353</v>
      </c>
      <c r="N19" s="21">
        <f>M19*'DY 22 &amp; DY 23 Assumptions'!$D$102</f>
        <v>3184.0738713903361</v>
      </c>
      <c r="O19" s="21">
        <f>N19*'DY 22 &amp; DY 23 Assumptions'!$D$102</f>
        <v>3168.1535020333845</v>
      </c>
      <c r="P19" s="21">
        <f>O19*'DY 22 &amp; DY 23 Assumptions'!$D$102</f>
        <v>3152.3127345232174</v>
      </c>
      <c r="Q19" s="21">
        <f>P19*'DY 22 &amp; DY 23 Assumptions'!$D$102</f>
        <v>3136.5511708506015</v>
      </c>
      <c r="R19" s="21">
        <f>Q19*'DY 22 &amp; DY 23 Assumptions'!$D$102</f>
        <v>3120.8684149963483</v>
      </c>
      <c r="S19" s="21">
        <f>R19*'DY 22 &amp; DY 23 Assumptions'!$D$102</f>
        <v>3105.2640729213667</v>
      </c>
      <c r="T19" s="21">
        <f>S19*'DY 22 &amp; DY 23 Assumptions'!$D$102</f>
        <v>3089.7377525567599</v>
      </c>
      <c r="U19" s="12"/>
      <c r="V19" s="12"/>
      <c r="W19" s="12"/>
      <c r="X19" s="12"/>
      <c r="Y19" s="12"/>
      <c r="Z19" s="12"/>
    </row>
    <row r="20" spans="2:26" x14ac:dyDescent="0.3">
      <c r="B20" s="9" t="s">
        <v>16</v>
      </c>
      <c r="C20" s="6">
        <f>'Future Plan Assumptions'!C17</f>
        <v>5926.6545474380619</v>
      </c>
      <c r="D20" s="11">
        <f>'DY 22 &amp; DY 23 Assumptions'!F17</f>
        <v>0.15303</v>
      </c>
      <c r="E20" s="32">
        <f>SUM(F20:Z20)</f>
        <v>115091.95364094165</v>
      </c>
      <c r="F20" s="21">
        <f>(C20*D20*8760)/1000</f>
        <v>7944.9340816553522</v>
      </c>
      <c r="G20" s="21">
        <f>F20*'DY 22 &amp; DY 23 Assumptions'!$D$102</f>
        <v>7905.209411247075</v>
      </c>
      <c r="H20" s="21">
        <f>G20*'DY 22 &amp; DY 23 Assumptions'!$D$102</f>
        <v>7865.6833641908397</v>
      </c>
      <c r="I20" s="21">
        <f>H20*'DY 22 &amp; DY 23 Assumptions'!$D$102</f>
        <v>7826.3549473698858</v>
      </c>
      <c r="J20" s="21">
        <f>I20*'DY 22 &amp; DY 23 Assumptions'!$D$102</f>
        <v>7787.2231726330365</v>
      </c>
      <c r="K20" s="21">
        <f>J20*'DY 22 &amp; DY 23 Assumptions'!$D$102</f>
        <v>7748.287056769871</v>
      </c>
      <c r="L20" s="21">
        <f>K20*'DY 22 &amp; DY 23 Assumptions'!$D$102</f>
        <v>7709.5456214860214</v>
      </c>
      <c r="M20" s="21">
        <f>L20*'DY 22 &amp; DY 23 Assumptions'!$D$102</f>
        <v>7670.9978933785915</v>
      </c>
      <c r="N20" s="21">
        <f>M20*'DY 22 &amp; DY 23 Assumptions'!$D$102</f>
        <v>7632.6429039116983</v>
      </c>
      <c r="O20" s="21">
        <f>N20*'DY 22 &amp; DY 23 Assumptions'!$D$102</f>
        <v>7594.4796893921402</v>
      </c>
      <c r="P20" s="21">
        <f>O20*'DY 22 &amp; DY 23 Assumptions'!$D$102</f>
        <v>7556.5072909451792</v>
      </c>
      <c r="Q20" s="21">
        <f>P20*'DY 22 &amp; DY 23 Assumptions'!$D$102</f>
        <v>7518.7247544904531</v>
      </c>
      <c r="R20" s="21">
        <f>Q20*'DY 22 &amp; DY 23 Assumptions'!$D$102</f>
        <v>7481.1311307180003</v>
      </c>
      <c r="S20" s="21">
        <f>R20*'DY 22 &amp; DY 23 Assumptions'!$D$102</f>
        <v>7443.7254750644106</v>
      </c>
      <c r="T20" s="21">
        <f>S20*'DY 22 &amp; DY 23 Assumptions'!$D$102</f>
        <v>7406.5068476890883</v>
      </c>
      <c r="U20" s="12"/>
      <c r="V20" s="12"/>
      <c r="W20" s="12"/>
      <c r="X20" s="12"/>
      <c r="Y20" s="12"/>
      <c r="Z20" s="12"/>
    </row>
    <row r="21" spans="2:26" x14ac:dyDescent="0.3">
      <c r="B21" s="9" t="s">
        <v>20</v>
      </c>
      <c r="C21" s="6">
        <f>'Future Plan Assumptions'!C18</f>
        <v>28234.872699670323</v>
      </c>
      <c r="D21" s="11">
        <f>'DY 22 &amp; DY 23 Assumptions'!F18</f>
        <v>0.14410999999999999</v>
      </c>
      <c r="E21" s="32">
        <f>SUM(F21:Z21)</f>
        <v>516343.50943177368</v>
      </c>
      <c r="F21" s="21">
        <f>(C21*D21*8760)/1000</f>
        <v>35643.804941605529</v>
      </c>
      <c r="G21" s="21">
        <f>F21*'DY 22 &amp; DY 23 Assumptions'!$D$102</f>
        <v>35465.5859168975</v>
      </c>
      <c r="H21" s="21">
        <f>G21*'DY 22 &amp; DY 23 Assumptions'!$D$102</f>
        <v>35288.257987313016</v>
      </c>
      <c r="I21" s="21">
        <f>H21*'DY 22 &amp; DY 23 Assumptions'!$D$102</f>
        <v>35111.816697376453</v>
      </c>
      <c r="J21" s="21">
        <f>I21*'DY 22 &amp; DY 23 Assumptions'!$D$102</f>
        <v>34936.257613889567</v>
      </c>
      <c r="K21" s="21">
        <f>J21*'DY 22 &amp; DY 23 Assumptions'!$D$102</f>
        <v>34761.576325820119</v>
      </c>
      <c r="L21" s="21">
        <f>K21*'DY 22 &amp; DY 23 Assumptions'!$D$102</f>
        <v>34587.768444191017</v>
      </c>
      <c r="M21" s="21">
        <f>L21*'DY 22 &amp; DY 23 Assumptions'!$D$102</f>
        <v>34414.829601970065</v>
      </c>
      <c r="N21" s="21">
        <f>M21*'DY 22 &amp; DY 23 Assumptions'!$D$102</f>
        <v>34242.755453960213</v>
      </c>
      <c r="O21" s="21">
        <f>N21*'DY 22 &amp; DY 23 Assumptions'!$D$102</f>
        <v>34071.541676690409</v>
      </c>
      <c r="P21" s="21">
        <f>O21*'DY 22 &amp; DY 23 Assumptions'!$D$102</f>
        <v>33901.183968306956</v>
      </c>
      <c r="Q21" s="21">
        <f>P21*'DY 22 &amp; DY 23 Assumptions'!$D$102</f>
        <v>33731.678048465423</v>
      </c>
      <c r="R21" s="21">
        <f>Q21*'DY 22 &amp; DY 23 Assumptions'!$D$102</f>
        <v>33563.019658223093</v>
      </c>
      <c r="S21" s="21">
        <f>R21*'DY 22 &amp; DY 23 Assumptions'!$D$102</f>
        <v>33395.204559931975</v>
      </c>
      <c r="T21" s="21">
        <f>S21*'DY 22 &amp; DY 23 Assumptions'!$D$102</f>
        <v>33228.228537132316</v>
      </c>
      <c r="U21" s="12"/>
      <c r="V21" s="12"/>
      <c r="W21" s="12"/>
      <c r="X21" s="12"/>
      <c r="Y21" s="12"/>
      <c r="Z21" s="12"/>
    </row>
    <row r="22" spans="2:26" x14ac:dyDescent="0.3">
      <c r="B22" s="9" t="s">
        <v>79</v>
      </c>
      <c r="C22" s="6">
        <f>'Future Plan Assumptions'!C19</f>
        <v>0</v>
      </c>
      <c r="D22" s="11">
        <f>'DY 22 &amp; DY 23 Assumptions'!F19</f>
        <v>0.14410999999999999</v>
      </c>
      <c r="E22" s="32"/>
      <c r="F22" s="21"/>
      <c r="G22" s="21"/>
      <c r="H22" s="21"/>
      <c r="I22" s="21"/>
      <c r="J22" s="21"/>
      <c r="K22" s="21"/>
      <c r="L22" s="21"/>
      <c r="M22" s="21"/>
      <c r="N22" s="21"/>
      <c r="O22" s="21"/>
      <c r="P22" s="21"/>
      <c r="Q22" s="21"/>
      <c r="R22" s="21"/>
      <c r="S22" s="21"/>
      <c r="T22" s="21"/>
      <c r="U22" s="12"/>
      <c r="V22" s="12"/>
      <c r="W22" s="12"/>
      <c r="X22" s="12"/>
      <c r="Y22" s="12"/>
      <c r="Z22" s="12"/>
    </row>
    <row r="23" spans="2:26" x14ac:dyDescent="0.3">
      <c r="B23" s="1" t="s">
        <v>18</v>
      </c>
      <c r="C23" s="46">
        <f>'Future Plan Assumptions'!C20</f>
        <v>93380</v>
      </c>
      <c r="D23" s="52"/>
      <c r="E23" s="31"/>
      <c r="F23" s="20"/>
      <c r="G23" s="21"/>
      <c r="H23" s="20"/>
      <c r="I23" s="20"/>
      <c r="J23" s="20"/>
      <c r="K23" s="20"/>
      <c r="L23" s="20"/>
      <c r="M23" s="20"/>
      <c r="N23" s="20"/>
      <c r="O23" s="20"/>
      <c r="P23" s="20"/>
      <c r="Q23" s="20"/>
      <c r="R23" s="20"/>
      <c r="S23" s="20"/>
      <c r="T23" s="20"/>
      <c r="U23" s="1"/>
      <c r="V23" s="1"/>
      <c r="W23" s="1"/>
      <c r="X23" s="1"/>
      <c r="Y23" s="1"/>
      <c r="Z23" s="1"/>
    </row>
    <row r="24" spans="2:26" x14ac:dyDescent="0.3">
      <c r="B24" s="9" t="s">
        <v>19</v>
      </c>
      <c r="C24" s="6">
        <f>'Future Plan Assumptions'!C21</f>
        <v>3531.4549095663756</v>
      </c>
      <c r="D24" s="11">
        <f>'DY 22 &amp; DY 23 Assumptions'!F21</f>
        <v>0.14305999999999999</v>
      </c>
      <c r="E24" s="32">
        <f>SUM(F24:Z24)</f>
        <v>64110.72027844868</v>
      </c>
      <c r="F24" s="21">
        <f>(C24*D24*8760)/1000</f>
        <v>4425.6390688160755</v>
      </c>
      <c r="G24" s="21">
        <f>F24*'DY 22 &amp; DY 23 Assumptions'!$D$102</f>
        <v>4403.5108734719952</v>
      </c>
      <c r="H24" s="21">
        <f>G24*'DY 22 &amp; DY 23 Assumptions'!$D$102</f>
        <v>4381.4933191046348</v>
      </c>
      <c r="I24" s="21">
        <f>H24*'DY 22 &amp; DY 23 Assumptions'!$D$102</f>
        <v>4359.5858525091116</v>
      </c>
      <c r="J24" s="21">
        <f>I24*'DY 22 &amp; DY 23 Assumptions'!$D$102</f>
        <v>4337.7879232465657</v>
      </c>
      <c r="K24" s="21">
        <f>J24*'DY 22 &amp; DY 23 Assumptions'!$D$102</f>
        <v>4316.0989836303324</v>
      </c>
      <c r="L24" s="21">
        <f>K24*'DY 22 &amp; DY 23 Assumptions'!$D$102</f>
        <v>4294.5184887121804</v>
      </c>
      <c r="M24" s="21">
        <f>L24*'DY 22 &amp; DY 23 Assumptions'!$D$102</f>
        <v>4273.0458962686198</v>
      </c>
      <c r="N24" s="21">
        <f>M24*'DY 22 &amp; DY 23 Assumptions'!$D$102</f>
        <v>4251.680666787277</v>
      </c>
      <c r="O24" s="21">
        <f>N24*'DY 22 &amp; DY 23 Assumptions'!$D$102</f>
        <v>4230.4222634533407</v>
      </c>
      <c r="P24" s="21">
        <f>O24*'DY 22 &amp; DY 23 Assumptions'!$D$102</f>
        <v>4209.2701521360741</v>
      </c>
      <c r="Q24" s="21">
        <f>P24*'DY 22 &amp; DY 23 Assumptions'!$D$102</f>
        <v>4188.223801375394</v>
      </c>
      <c r="R24" s="21">
        <f>Q24*'DY 22 &amp; DY 23 Assumptions'!$D$102</f>
        <v>4167.2826823685173</v>
      </c>
      <c r="S24" s="21">
        <f>R24*'DY 22 &amp; DY 23 Assumptions'!$D$102</f>
        <v>4146.4462689566744</v>
      </c>
      <c r="T24" s="21">
        <f>S24*'DY 22 &amp; DY 23 Assumptions'!$D$102</f>
        <v>4125.7140376118914</v>
      </c>
      <c r="U24" s="12"/>
      <c r="V24" s="12"/>
      <c r="W24" s="12"/>
      <c r="X24" s="12"/>
      <c r="Y24" s="12"/>
      <c r="Z24" s="12"/>
    </row>
    <row r="25" spans="2:26" x14ac:dyDescent="0.3">
      <c r="B25" s="9" t="s">
        <v>15</v>
      </c>
      <c r="C25" s="6">
        <f>'Future Plan Assumptions'!C22</f>
        <v>2749.9472612294699</v>
      </c>
      <c r="D25" s="11">
        <f>'DY 22 &amp; DY 23 Assumptions'!F22</f>
        <v>0.14176</v>
      </c>
      <c r="E25" s="32">
        <f>SUM(F25:Z25)</f>
        <v>49469.42238949734</v>
      </c>
      <c r="F25" s="21">
        <f>(C25*D25*8760)/1000</f>
        <v>3414.9329080665534</v>
      </c>
      <c r="G25" s="21">
        <f>F25*'DY 22 &amp; DY 23 Assumptions'!$D$102</f>
        <v>3397.8582435262206</v>
      </c>
      <c r="H25" s="21">
        <f>G25*'DY 22 &amp; DY 23 Assumptions'!$D$102</f>
        <v>3380.8689523085895</v>
      </c>
      <c r="I25" s="21">
        <f>H25*'DY 22 &amp; DY 23 Assumptions'!$D$102</f>
        <v>3363.9646075470464</v>
      </c>
      <c r="J25" s="21">
        <f>I25*'DY 22 &amp; DY 23 Assumptions'!$D$102</f>
        <v>3347.1447845093112</v>
      </c>
      <c r="K25" s="21">
        <f>J25*'DY 22 &amp; DY 23 Assumptions'!$D$102</f>
        <v>3330.4090605867646</v>
      </c>
      <c r="L25" s="21">
        <f>K25*'DY 22 &amp; DY 23 Assumptions'!$D$102</f>
        <v>3313.7570152838307</v>
      </c>
      <c r="M25" s="21">
        <f>L25*'DY 22 &amp; DY 23 Assumptions'!$D$102</f>
        <v>3297.1882302074114</v>
      </c>
      <c r="N25" s="21">
        <f>M25*'DY 22 &amp; DY 23 Assumptions'!$D$102</f>
        <v>3280.7022890563744</v>
      </c>
      <c r="O25" s="21">
        <f>N25*'DY 22 &amp; DY 23 Assumptions'!$D$102</f>
        <v>3264.2987776110926</v>
      </c>
      <c r="P25" s="21">
        <f>O25*'DY 22 &amp; DY 23 Assumptions'!$D$102</f>
        <v>3247.9772837230371</v>
      </c>
      <c r="Q25" s="21">
        <f>P25*'DY 22 &amp; DY 23 Assumptions'!$D$102</f>
        <v>3231.7373973044218</v>
      </c>
      <c r="R25" s="21">
        <f>Q25*'DY 22 &amp; DY 23 Assumptions'!$D$102</f>
        <v>3215.5787103178995</v>
      </c>
      <c r="S25" s="21">
        <f>R25*'DY 22 &amp; DY 23 Assumptions'!$D$102</f>
        <v>3199.50081676631</v>
      </c>
      <c r="T25" s="21">
        <f>S25*'DY 22 &amp; DY 23 Assumptions'!$D$102</f>
        <v>3183.5033126824783</v>
      </c>
      <c r="U25" s="12"/>
      <c r="V25" s="12"/>
      <c r="W25" s="12"/>
      <c r="X25" s="12"/>
      <c r="Y25" s="12"/>
      <c r="Z25" s="12"/>
    </row>
    <row r="26" spans="2:26" x14ac:dyDescent="0.3">
      <c r="B26" s="9" t="s">
        <v>16</v>
      </c>
      <c r="C26" s="6">
        <f>'Future Plan Assumptions'!C23</f>
        <v>10192.344615055583</v>
      </c>
      <c r="D26" s="11">
        <f>'DY 22 &amp; DY 23 Assumptions'!F23</f>
        <v>0.14119000000000001</v>
      </c>
      <c r="E26" s="32">
        <f>SUM(F26:Z26)</f>
        <v>182615.15131711276</v>
      </c>
      <c r="F26" s="21">
        <f>(C26*D26*8760)/1000</f>
        <v>12606.140513109354</v>
      </c>
      <c r="G26" s="21">
        <f>F26*'DY 22 &amp; DY 23 Assumptions'!$D$102</f>
        <v>12543.109810543807</v>
      </c>
      <c r="H26" s="21">
        <f>G26*'DY 22 &amp; DY 23 Assumptions'!$D$102</f>
        <v>12480.394261491088</v>
      </c>
      <c r="I26" s="21">
        <f>H26*'DY 22 &amp; DY 23 Assumptions'!$D$102</f>
        <v>12417.992290183633</v>
      </c>
      <c r="J26" s="21">
        <f>I26*'DY 22 &amp; DY 23 Assumptions'!$D$102</f>
        <v>12355.902328732715</v>
      </c>
      <c r="K26" s="21">
        <f>J26*'DY 22 &amp; DY 23 Assumptions'!$D$102</f>
        <v>12294.122817089052</v>
      </c>
      <c r="L26" s="21">
        <f>K26*'DY 22 &amp; DY 23 Assumptions'!$D$102</f>
        <v>12232.652203003607</v>
      </c>
      <c r="M26" s="21">
        <f>L26*'DY 22 &amp; DY 23 Assumptions'!$D$102</f>
        <v>12171.488941988589</v>
      </c>
      <c r="N26" s="21">
        <f>M26*'DY 22 &amp; DY 23 Assumptions'!$D$102</f>
        <v>12110.631497278646</v>
      </c>
      <c r="O26" s="21">
        <f>N26*'DY 22 &amp; DY 23 Assumptions'!$D$102</f>
        <v>12050.078339792253</v>
      </c>
      <c r="P26" s="21">
        <f>O26*'DY 22 &amp; DY 23 Assumptions'!$D$102</f>
        <v>11989.827948093292</v>
      </c>
      <c r="Q26" s="21">
        <f>P26*'DY 22 &amp; DY 23 Assumptions'!$D$102</f>
        <v>11929.878808352825</v>
      </c>
      <c r="R26" s="21">
        <f>Q26*'DY 22 &amp; DY 23 Assumptions'!$D$102</f>
        <v>11870.229414311061</v>
      </c>
      <c r="S26" s="21">
        <f>R26*'DY 22 &amp; DY 23 Assumptions'!$D$102</f>
        <v>11810.878267239506</v>
      </c>
      <c r="T26" s="21">
        <f>S26*'DY 22 &amp; DY 23 Assumptions'!$D$102</f>
        <v>11751.823875903308</v>
      </c>
      <c r="U26" s="12"/>
      <c r="V26" s="12"/>
      <c r="W26" s="12"/>
      <c r="X26" s="12"/>
      <c r="Y26" s="12"/>
      <c r="Z26" s="12"/>
    </row>
    <row r="27" spans="2:26" x14ac:dyDescent="0.3">
      <c r="B27" s="9" t="s">
        <v>20</v>
      </c>
      <c r="C27" s="6">
        <f>'Future Plan Assumptions'!C24</f>
        <v>76906.220793171669</v>
      </c>
      <c r="D27" s="11">
        <f>'DY 22 &amp; DY 23 Assumptions'!F24</f>
        <v>0.1497</v>
      </c>
      <c r="E27" s="32">
        <f>SUM(F27:Z27)</f>
        <v>1460972.4985025774</v>
      </c>
      <c r="F27" s="21">
        <f>(C27*D27*8760)/1000</f>
        <v>100852.66457398311</v>
      </c>
      <c r="G27" s="21">
        <f>F27*'DY 22 &amp; DY 23 Assumptions'!$D$102</f>
        <v>100348.4012511132</v>
      </c>
      <c r="H27" s="21">
        <f>G27*'DY 22 &amp; DY 23 Assumptions'!$D$102</f>
        <v>99846.659244857641</v>
      </c>
      <c r="I27" s="21">
        <f>H27*'DY 22 &amp; DY 23 Assumptions'!$D$102</f>
        <v>99347.425948633347</v>
      </c>
      <c r="J27" s="21">
        <f>I27*'DY 22 &amp; DY 23 Assumptions'!$D$102</f>
        <v>98850.688818890179</v>
      </c>
      <c r="K27" s="21">
        <f>J27*'DY 22 &amp; DY 23 Assumptions'!$D$102</f>
        <v>98356.435374795721</v>
      </c>
      <c r="L27" s="21">
        <f>K27*'DY 22 &amp; DY 23 Assumptions'!$D$102</f>
        <v>97864.65319792174</v>
      </c>
      <c r="M27" s="21">
        <f>L27*'DY 22 &amp; DY 23 Assumptions'!$D$102</f>
        <v>97375.329931932138</v>
      </c>
      <c r="N27" s="21">
        <f>M27*'DY 22 &amp; DY 23 Assumptions'!$D$102</f>
        <v>96888.453282272472</v>
      </c>
      <c r="O27" s="21">
        <f>N27*'DY 22 &amp; DY 23 Assumptions'!$D$102</f>
        <v>96404.011015861106</v>
      </c>
      <c r="P27" s="21">
        <f>O27*'DY 22 &amp; DY 23 Assumptions'!$D$102</f>
        <v>95921.990960781797</v>
      </c>
      <c r="Q27" s="21">
        <f>P27*'DY 22 &amp; DY 23 Assumptions'!$D$102</f>
        <v>95442.381005977892</v>
      </c>
      <c r="R27" s="21">
        <f>Q27*'DY 22 &amp; DY 23 Assumptions'!$D$102</f>
        <v>94965.169100947998</v>
      </c>
      <c r="S27" s="21">
        <f>R27*'DY 22 &amp; DY 23 Assumptions'!$D$102</f>
        <v>94490.343255443251</v>
      </c>
      <c r="T27" s="21">
        <f>S27*'DY 22 &amp; DY 23 Assumptions'!$D$102</f>
        <v>94017.891539166041</v>
      </c>
      <c r="U27" s="12"/>
      <c r="V27" s="12"/>
      <c r="W27" s="12"/>
      <c r="X27" s="12"/>
      <c r="Y27" s="12"/>
      <c r="Z27" s="12"/>
    </row>
    <row r="28" spans="2:26" x14ac:dyDescent="0.3">
      <c r="B28" s="9" t="s">
        <v>79</v>
      </c>
      <c r="C28" s="6">
        <f>'Future Plan Assumptions'!C25</f>
        <v>0</v>
      </c>
      <c r="D28" s="11">
        <f>'DY 22 &amp; DY 23 Assumptions'!F25</f>
        <v>0.1497</v>
      </c>
      <c r="E28" s="32"/>
      <c r="F28" s="21"/>
      <c r="G28" s="21"/>
      <c r="H28" s="21"/>
      <c r="I28" s="21"/>
      <c r="J28" s="21"/>
      <c r="K28" s="21"/>
      <c r="L28" s="21"/>
      <c r="M28" s="21"/>
      <c r="N28" s="21"/>
      <c r="O28" s="21"/>
      <c r="P28" s="21"/>
      <c r="Q28" s="21"/>
      <c r="R28" s="21"/>
      <c r="S28" s="21"/>
      <c r="T28" s="21"/>
      <c r="U28" s="12"/>
      <c r="V28" s="12"/>
      <c r="W28" s="12"/>
      <c r="X28" s="12"/>
      <c r="Y28" s="12"/>
      <c r="Z28" s="12"/>
    </row>
    <row r="29" spans="2:26" x14ac:dyDescent="0.3">
      <c r="B29" s="5" t="s">
        <v>21</v>
      </c>
      <c r="C29" s="6">
        <f>'Future Plan Assumptions'!C26</f>
        <v>200100</v>
      </c>
      <c r="D29" s="118"/>
      <c r="E29" s="31"/>
      <c r="F29" s="23">
        <f t="shared" ref="F29:Z29" si="4">SUM(F30:F31)</f>
        <v>0</v>
      </c>
      <c r="G29" s="23">
        <f t="shared" si="4"/>
        <v>296358.74531999999</v>
      </c>
      <c r="H29" s="23">
        <f t="shared" si="4"/>
        <v>294876.95159339998</v>
      </c>
      <c r="I29" s="23">
        <f t="shared" si="4"/>
        <v>293402.56683543301</v>
      </c>
      <c r="J29" s="23">
        <f t="shared" si="4"/>
        <v>291935.55400125583</v>
      </c>
      <c r="K29" s="23">
        <f t="shared" si="4"/>
        <v>290475.87623124954</v>
      </c>
      <c r="L29" s="23">
        <f t="shared" si="4"/>
        <v>289023.4968500933</v>
      </c>
      <c r="M29" s="23">
        <f t="shared" si="4"/>
        <v>287578.37936584279</v>
      </c>
      <c r="N29" s="23">
        <f t="shared" si="4"/>
        <v>286140.48746901361</v>
      </c>
      <c r="O29" s="23">
        <f t="shared" si="4"/>
        <v>284709.78503166855</v>
      </c>
      <c r="P29" s="23">
        <f t="shared" si="4"/>
        <v>283286.23610651016</v>
      </c>
      <c r="Q29" s="23">
        <f t="shared" si="4"/>
        <v>281869.8049259776</v>
      </c>
      <c r="R29" s="23">
        <f t="shared" si="4"/>
        <v>280460.45590134774</v>
      </c>
      <c r="S29" s="23">
        <f t="shared" si="4"/>
        <v>279058.15362184099</v>
      </c>
      <c r="T29" s="23">
        <f t="shared" si="4"/>
        <v>277662.86285373179</v>
      </c>
      <c r="U29" s="23">
        <f t="shared" si="4"/>
        <v>276274.54853946314</v>
      </c>
      <c r="V29" s="23">
        <f t="shared" si="4"/>
        <v>274893.17579676583</v>
      </c>
      <c r="W29" s="23">
        <f t="shared" si="4"/>
        <v>273518.70991778199</v>
      </c>
      <c r="X29" s="23">
        <f t="shared" si="4"/>
        <v>272151.11636819306</v>
      </c>
      <c r="Y29" s="23">
        <f t="shared" si="4"/>
        <v>270790.36078635213</v>
      </c>
      <c r="Z29" s="23">
        <f t="shared" si="4"/>
        <v>269436.40898242034</v>
      </c>
    </row>
    <row r="30" spans="2:26" x14ac:dyDescent="0.3">
      <c r="B30" s="1" t="s">
        <v>22</v>
      </c>
      <c r="C30" s="46">
        <f>'Future Plan Assumptions'!C27</f>
        <v>60030</v>
      </c>
      <c r="D30" s="11">
        <f>'DY 22 &amp; DY 23 Assumptions'!F27</f>
        <v>0.16907</v>
      </c>
      <c r="E30" s="32">
        <f>SUM(F30:Z30)</f>
        <v>1696171.1029495024</v>
      </c>
      <c r="F30" s="21"/>
      <c r="G30" s="21">
        <f>(($C30*$D30)*8760)/1000</f>
        <v>88907.623596000005</v>
      </c>
      <c r="H30" s="21">
        <f>G30*'Reopening Assumptions'!$A$121</f>
        <v>88463.085478020002</v>
      </c>
      <c r="I30" s="21">
        <f>H30*'Reopening Assumptions'!$A$121</f>
        <v>88020.770050629901</v>
      </c>
      <c r="J30" s="21">
        <f>I30*'Reopening Assumptions'!$A$121</f>
        <v>87580.666200376756</v>
      </c>
      <c r="K30" s="21">
        <f>J30*'Reopening Assumptions'!$A$121</f>
        <v>87142.76286937487</v>
      </c>
      <c r="L30" s="21">
        <f>K30*'Reopening Assumptions'!$A$121</f>
        <v>86707.049055027994</v>
      </c>
      <c r="M30" s="21">
        <f>L30*'Reopening Assumptions'!$A$121</f>
        <v>86273.513809752854</v>
      </c>
      <c r="N30" s="21">
        <f>M30*'Reopening Assumptions'!$A$121</f>
        <v>85842.146240704096</v>
      </c>
      <c r="O30" s="21">
        <f>N30*'Reopening Assumptions'!$A$121</f>
        <v>85412.935509500574</v>
      </c>
      <c r="P30" s="21">
        <f>O30*'Reopening Assumptions'!$A$121</f>
        <v>84985.870831953071</v>
      </c>
      <c r="Q30" s="21">
        <f>P30*'Reopening Assumptions'!$A$121</f>
        <v>84560.941477793298</v>
      </c>
      <c r="R30" s="21">
        <f>Q30*'Reopening Assumptions'!$A$121</f>
        <v>84138.136770404337</v>
      </c>
      <c r="S30" s="21">
        <f>R30*'Reopening Assumptions'!$A$121</f>
        <v>83717.446086552314</v>
      </c>
      <c r="T30" s="21">
        <f>S30*'Reopening Assumptions'!$A$121</f>
        <v>83298.85885611955</v>
      </c>
      <c r="U30" s="21">
        <f>T30*'Reopening Assumptions'!$A$121</f>
        <v>82882.364561838956</v>
      </c>
      <c r="V30" s="21">
        <f>U30*'Reopening Assumptions'!$A$121</f>
        <v>82467.952739029759</v>
      </c>
      <c r="W30" s="21">
        <f>V30*'Reopening Assumptions'!$A$121</f>
        <v>82055.612975334603</v>
      </c>
      <c r="X30" s="21">
        <f>W30*'Reopening Assumptions'!$A$121</f>
        <v>81645.334910457925</v>
      </c>
      <c r="Y30" s="21">
        <f>X30*'Reopening Assumptions'!$A$121</f>
        <v>81237.108235905631</v>
      </c>
      <c r="Z30" s="21">
        <f>Y30*'Reopening Assumptions'!$A$121</f>
        <v>80830.922694726105</v>
      </c>
    </row>
    <row r="31" spans="2:26" x14ac:dyDescent="0.3">
      <c r="B31" s="1" t="s">
        <v>24</v>
      </c>
      <c r="C31" s="46">
        <f>'Future Plan Assumptions'!C35</f>
        <v>140070</v>
      </c>
      <c r="D31" s="11">
        <f>'DY 22 &amp; DY 23 Assumptions'!F35</f>
        <v>0.16907</v>
      </c>
      <c r="E31" s="32">
        <f>SUM(F31:Z31)</f>
        <v>3957732.5735488399</v>
      </c>
      <c r="F31" s="21"/>
      <c r="G31" s="21">
        <f>(($C31*$D31)*8760)/1000</f>
        <v>207451.121724</v>
      </c>
      <c r="H31" s="21">
        <f>G31*'Reopening Assumptions'!$A$121</f>
        <v>206413.86611537999</v>
      </c>
      <c r="I31" s="21">
        <f>H31*'Reopening Assumptions'!$A$121</f>
        <v>205381.7967848031</v>
      </c>
      <c r="J31" s="21">
        <f>I31*'Reopening Assumptions'!$A$121</f>
        <v>204354.88780087908</v>
      </c>
      <c r="K31" s="21">
        <f>J31*'Reopening Assumptions'!$A$121</f>
        <v>203333.11336187468</v>
      </c>
      <c r="L31" s="21">
        <f>K31*'Reopening Assumptions'!$A$121</f>
        <v>202316.44779506529</v>
      </c>
      <c r="M31" s="21">
        <f>L31*'Reopening Assumptions'!$A$121</f>
        <v>201304.86555608996</v>
      </c>
      <c r="N31" s="21">
        <f>M31*'Reopening Assumptions'!$A$121</f>
        <v>200298.34122830952</v>
      </c>
      <c r="O31" s="21">
        <f>N31*'Reopening Assumptions'!$A$121</f>
        <v>199296.84952216796</v>
      </c>
      <c r="P31" s="21">
        <f>O31*'Reopening Assumptions'!$A$121</f>
        <v>198300.36527455712</v>
      </c>
      <c r="Q31" s="21">
        <f>P31*'Reopening Assumptions'!$A$121</f>
        <v>197308.86344818433</v>
      </c>
      <c r="R31" s="21">
        <f>Q31*'Reopening Assumptions'!$A$121</f>
        <v>196322.31913094342</v>
      </c>
      <c r="S31" s="21">
        <f>R31*'Reopening Assumptions'!$A$121</f>
        <v>195340.7075352887</v>
      </c>
      <c r="T31" s="21">
        <f>S31*'Reopening Assumptions'!$A$121</f>
        <v>194364.00399761225</v>
      </c>
      <c r="U31" s="21">
        <f>T31*'Reopening Assumptions'!$A$121</f>
        <v>193392.1839776242</v>
      </c>
      <c r="V31" s="21">
        <f>U31*'Reopening Assumptions'!$A$121</f>
        <v>192425.22305773609</v>
      </c>
      <c r="W31" s="21">
        <f>V31*'Reopening Assumptions'!$A$121</f>
        <v>191463.09694244742</v>
      </c>
      <c r="X31" s="21">
        <f>W31*'Reopening Assumptions'!$A$121</f>
        <v>190505.78145773517</v>
      </c>
      <c r="Y31" s="21">
        <f>X31*'Reopening Assumptions'!$A$121</f>
        <v>189553.25255044649</v>
      </c>
      <c r="Z31" s="21">
        <f>Y31*'Reopening Assumptions'!$A$121</f>
        <v>188605.48628769425</v>
      </c>
    </row>
    <row r="32" spans="2:26" x14ac:dyDescent="0.3">
      <c r="B32" s="5" t="s">
        <v>25</v>
      </c>
      <c r="C32" s="6">
        <f>'Future Plan Assumptions'!C43</f>
        <v>100050</v>
      </c>
      <c r="D32" s="118"/>
      <c r="E32" s="31"/>
      <c r="F32" s="23">
        <f t="shared" ref="F32:Z32" si="5">SUM(F33:F45)</f>
        <v>148179.37265999999</v>
      </c>
      <c r="G32" s="23">
        <f t="shared" si="5"/>
        <v>147438.47579669999</v>
      </c>
      <c r="H32" s="23">
        <f t="shared" si="5"/>
        <v>146701.28341771651</v>
      </c>
      <c r="I32" s="23">
        <f t="shared" si="5"/>
        <v>145967.77700062795</v>
      </c>
      <c r="J32" s="23">
        <f t="shared" si="5"/>
        <v>145237.9381156248</v>
      </c>
      <c r="K32" s="23">
        <f t="shared" si="5"/>
        <v>144511.74842504668</v>
      </c>
      <c r="L32" s="23">
        <f t="shared" si="5"/>
        <v>143789.18968292145</v>
      </c>
      <c r="M32" s="23">
        <f t="shared" si="5"/>
        <v>143070.24373450683</v>
      </c>
      <c r="N32" s="23">
        <f t="shared" si="5"/>
        <v>142354.8925158343</v>
      </c>
      <c r="O32" s="23">
        <f t="shared" si="5"/>
        <v>141643.11805325511</v>
      </c>
      <c r="P32" s="23">
        <f t="shared" si="5"/>
        <v>140934.90246298886</v>
      </c>
      <c r="Q32" s="23">
        <f t="shared" si="5"/>
        <v>140230.2279506739</v>
      </c>
      <c r="R32" s="23">
        <f t="shared" si="5"/>
        <v>139529.07681092052</v>
      </c>
      <c r="S32" s="23">
        <f t="shared" si="5"/>
        <v>138831.43142686592</v>
      </c>
      <c r="T32" s="23">
        <f t="shared" si="5"/>
        <v>138137.2742697316</v>
      </c>
      <c r="U32" s="23">
        <f t="shared" si="5"/>
        <v>137446.58789838295</v>
      </c>
      <c r="V32" s="23">
        <f t="shared" si="5"/>
        <v>136759.35495889102</v>
      </c>
      <c r="W32" s="23">
        <f t="shared" si="5"/>
        <v>136075.55818409656</v>
      </c>
      <c r="X32" s="23">
        <f t="shared" si="5"/>
        <v>135395.1803931761</v>
      </c>
      <c r="Y32" s="23">
        <f t="shared" si="5"/>
        <v>134718.20449121023</v>
      </c>
      <c r="Z32" s="23">
        <f t="shared" si="5"/>
        <v>0</v>
      </c>
    </row>
    <row r="33" spans="2:26" x14ac:dyDescent="0.3">
      <c r="B33" s="1" t="s">
        <v>26</v>
      </c>
      <c r="C33" s="46">
        <f>'Future Plan Assumptions'!C44</f>
        <v>30015</v>
      </c>
      <c r="D33" s="52"/>
      <c r="E33" s="32"/>
      <c r="F33" s="21"/>
      <c r="G33" s="21"/>
      <c r="H33" s="21"/>
      <c r="I33" s="21"/>
      <c r="J33" s="21"/>
      <c r="K33" s="21"/>
      <c r="L33" s="21"/>
      <c r="M33" s="21"/>
      <c r="N33" s="21"/>
      <c r="O33" s="21"/>
      <c r="P33" s="21"/>
      <c r="Q33" s="21"/>
      <c r="R33" s="21"/>
      <c r="S33" s="21"/>
      <c r="T33" s="21"/>
      <c r="U33" s="12"/>
      <c r="V33" s="22"/>
      <c r="W33" s="22"/>
      <c r="X33" s="22"/>
      <c r="Y33" s="22"/>
      <c r="Z33" s="22"/>
    </row>
    <row r="34" spans="2:26" x14ac:dyDescent="0.3">
      <c r="B34" s="9" t="s">
        <v>27</v>
      </c>
      <c r="C34" s="6">
        <f>'Future Plan Assumptions'!C45</f>
        <v>1389.5833333333333</v>
      </c>
      <c r="D34" s="11">
        <f>'DY 22 &amp; DY 23 Assumptions'!F45</f>
        <v>0.16907</v>
      </c>
      <c r="E34" s="32">
        <f>SUM(F34:Z34)</f>
        <v>39263.219975682929</v>
      </c>
      <c r="F34" s="21">
        <f>(C34*D34*8760)/1000</f>
        <v>2058.0468424999999</v>
      </c>
      <c r="G34" s="21">
        <f>F34*'DY 22 &amp; DY 23 Assumptions'!$D$102</f>
        <v>2047.7566082874998</v>
      </c>
      <c r="H34" s="21">
        <f>G34*'DY 22 &amp; DY 23 Assumptions'!$D$102</f>
        <v>2037.5178252460623</v>
      </c>
      <c r="I34" s="21">
        <f>H34*'DY 22 &amp; DY 23 Assumptions'!$D$102</f>
        <v>2027.3302361198321</v>
      </c>
      <c r="J34" s="21">
        <f>I34*'DY 22 &amp; DY 23 Assumptions'!$D$102</f>
        <v>2017.193584939233</v>
      </c>
      <c r="K34" s="21">
        <f>J34*'DY 22 &amp; DY 23 Assumptions'!$D$102</f>
        <v>2007.1076170145368</v>
      </c>
      <c r="L34" s="21">
        <f>K34*'DY 22 &amp; DY 23 Assumptions'!$D$102</f>
        <v>1997.0720789294642</v>
      </c>
      <c r="M34" s="21">
        <f>L34*'DY 22 &amp; DY 23 Assumptions'!$D$102</f>
        <v>1987.0867185348168</v>
      </c>
      <c r="N34" s="21">
        <f>M34*'DY 22 &amp; DY 23 Assumptions'!$D$102</f>
        <v>1977.1512849421426</v>
      </c>
      <c r="O34" s="21">
        <f>N34*'DY 22 &amp; DY 23 Assumptions'!$D$102</f>
        <v>1967.2655285174319</v>
      </c>
      <c r="P34" s="21">
        <f>O34*'DY 22 &amp; DY 23 Assumptions'!$D$102</f>
        <v>1957.4292008748448</v>
      </c>
      <c r="Q34" s="21">
        <f>P34*'DY 22 &amp; DY 23 Assumptions'!$D$102</f>
        <v>1947.6420548704705</v>
      </c>
      <c r="R34" s="21">
        <f>Q34*'DY 22 &amp; DY 23 Assumptions'!$D$102</f>
        <v>1937.903844596118</v>
      </c>
      <c r="S34" s="21">
        <f>R34*'DY 22 &amp; DY 23 Assumptions'!$D$102</f>
        <v>1928.2143253731374</v>
      </c>
      <c r="T34" s="21">
        <f>S34*'DY 22 &amp; DY 23 Assumptions'!$D$102</f>
        <v>1918.5732537462718</v>
      </c>
      <c r="U34" s="21">
        <f>T34*'DY 22 &amp; DY 23 Assumptions'!$D$102</f>
        <v>1908.9803874775405</v>
      </c>
      <c r="V34" s="21">
        <f>U34*'DY 22 &amp; DY 23 Assumptions'!$D$102</f>
        <v>1899.4354855401527</v>
      </c>
      <c r="W34" s="21">
        <f>V34*'DY 22 &amp; DY 23 Assumptions'!$D$102</f>
        <v>1889.938308112452</v>
      </c>
      <c r="X34" s="21">
        <f>W34*'DY 22 &amp; DY 23 Assumptions'!$D$102</f>
        <v>1880.4886165718897</v>
      </c>
      <c r="Y34" s="21">
        <f>X34*'DY 22 &amp; DY 23 Assumptions'!$D$102</f>
        <v>1871.0861734890302</v>
      </c>
      <c r="Z34" s="22"/>
    </row>
    <row r="35" spans="2:26" x14ac:dyDescent="0.3">
      <c r="B35" s="9" t="s">
        <v>19</v>
      </c>
      <c r="C35" s="6">
        <f>'Future Plan Assumptions'!C46</f>
        <v>1667.5</v>
      </c>
      <c r="D35" s="11">
        <f>'DY 22 &amp; DY 23 Assumptions'!F46</f>
        <v>0.16907</v>
      </c>
      <c r="E35" s="32">
        <f>SUM(F35:Z35)</f>
        <v>47115.863970819497</v>
      </c>
      <c r="F35" s="21">
        <f>(C35*D35*8760)/1000</f>
        <v>2469.6562109999995</v>
      </c>
      <c r="G35" s="21">
        <f>F35*'DY 22 &amp; DY 23 Assumptions'!$D$102</f>
        <v>2457.3079299449996</v>
      </c>
      <c r="H35" s="21">
        <f>G35*'DY 22 &amp; DY 23 Assumptions'!$D$102</f>
        <v>2445.0213902952746</v>
      </c>
      <c r="I35" s="21">
        <f>H35*'DY 22 &amp; DY 23 Assumptions'!$D$102</f>
        <v>2432.7962833437982</v>
      </c>
      <c r="J35" s="21">
        <f>I35*'DY 22 &amp; DY 23 Assumptions'!$D$102</f>
        <v>2420.6323019270794</v>
      </c>
      <c r="K35" s="21">
        <f>J35*'DY 22 &amp; DY 23 Assumptions'!$D$102</f>
        <v>2408.5291404174441</v>
      </c>
      <c r="L35" s="21">
        <f>K35*'DY 22 &amp; DY 23 Assumptions'!$D$102</f>
        <v>2396.4864947153569</v>
      </c>
      <c r="M35" s="21">
        <f>L35*'DY 22 &amp; DY 23 Assumptions'!$D$102</f>
        <v>2384.50406224178</v>
      </c>
      <c r="N35" s="21">
        <f>M35*'DY 22 &amp; DY 23 Assumptions'!$D$102</f>
        <v>2372.5815419305713</v>
      </c>
      <c r="O35" s="21">
        <f>N35*'DY 22 &amp; DY 23 Assumptions'!$D$102</f>
        <v>2360.7186342209184</v>
      </c>
      <c r="P35" s="21">
        <f>O35*'DY 22 &amp; DY 23 Assumptions'!$D$102</f>
        <v>2348.9150410498137</v>
      </c>
      <c r="Q35" s="21">
        <f>P35*'DY 22 &amp; DY 23 Assumptions'!$D$102</f>
        <v>2337.1704658445647</v>
      </c>
      <c r="R35" s="21">
        <f>Q35*'DY 22 &amp; DY 23 Assumptions'!$D$102</f>
        <v>2325.4846135153416</v>
      </c>
      <c r="S35" s="21">
        <f>R35*'DY 22 &amp; DY 23 Assumptions'!$D$102</f>
        <v>2313.8571904477649</v>
      </c>
      <c r="T35" s="21">
        <f>S35*'DY 22 &amp; DY 23 Assumptions'!$D$102</f>
        <v>2302.2879044955262</v>
      </c>
      <c r="U35" s="21">
        <f>T35*'DY 22 &amp; DY 23 Assumptions'!$D$102</f>
        <v>2290.7764649730484</v>
      </c>
      <c r="V35" s="21">
        <f>U35*'DY 22 &amp; DY 23 Assumptions'!$D$102</f>
        <v>2279.322582648183</v>
      </c>
      <c r="W35" s="21">
        <f>V35*'DY 22 &amp; DY 23 Assumptions'!$D$102</f>
        <v>2267.9259697349421</v>
      </c>
      <c r="X35" s="21">
        <f>W35*'DY 22 &amp; DY 23 Assumptions'!$D$102</f>
        <v>2256.5863398862675</v>
      </c>
      <c r="Y35" s="21">
        <f>X35*'DY 22 &amp; DY 23 Assumptions'!$D$102</f>
        <v>2245.3034081868364</v>
      </c>
      <c r="Z35" s="22"/>
    </row>
    <row r="36" spans="2:26" x14ac:dyDescent="0.3">
      <c r="B36" s="9" t="s">
        <v>15</v>
      </c>
      <c r="C36" s="6">
        <f>'Future Plan Assumptions'!C47</f>
        <v>6392.083333333333</v>
      </c>
      <c r="D36" s="11">
        <f>'DY 22 &amp; DY 23 Assumptions'!F47</f>
        <v>0.16907</v>
      </c>
      <c r="E36" s="32">
        <f>SUM(F36:Z36)</f>
        <v>180610.81188814144</v>
      </c>
      <c r="F36" s="21">
        <f>(C36*D36*8760)/1000</f>
        <v>9467.0154755000003</v>
      </c>
      <c r="G36" s="21">
        <f>F36*'DY 22 &amp; DY 23 Assumptions'!$D$102</f>
        <v>9419.6803981225003</v>
      </c>
      <c r="H36" s="21">
        <f>G36*'DY 22 &amp; DY 23 Assumptions'!$D$102</f>
        <v>9372.5819961318884</v>
      </c>
      <c r="I36" s="21">
        <f>H36*'DY 22 &amp; DY 23 Assumptions'!$D$102</f>
        <v>9325.7190861512281</v>
      </c>
      <c r="J36" s="21">
        <f>I36*'DY 22 &amp; DY 23 Assumptions'!$D$102</f>
        <v>9279.0904907204713</v>
      </c>
      <c r="K36" s="21">
        <f>J36*'DY 22 &amp; DY 23 Assumptions'!$D$102</f>
        <v>9232.6950382668692</v>
      </c>
      <c r="L36" s="21">
        <f>K36*'DY 22 &amp; DY 23 Assumptions'!$D$102</f>
        <v>9186.531563075534</v>
      </c>
      <c r="M36" s="21">
        <f>L36*'DY 22 &amp; DY 23 Assumptions'!$D$102</f>
        <v>9140.5989052601562</v>
      </c>
      <c r="N36" s="21">
        <f>M36*'DY 22 &amp; DY 23 Assumptions'!$D$102</f>
        <v>9094.895910733856</v>
      </c>
      <c r="O36" s="21">
        <f>N36*'DY 22 &amp; DY 23 Assumptions'!$D$102</f>
        <v>9049.4214311801861</v>
      </c>
      <c r="P36" s="21">
        <f>O36*'DY 22 &amp; DY 23 Assumptions'!$D$102</f>
        <v>9004.1743240242849</v>
      </c>
      <c r="Q36" s="21">
        <f>P36*'DY 22 &amp; DY 23 Assumptions'!$D$102</f>
        <v>8959.1534524041635</v>
      </c>
      <c r="R36" s="21">
        <f>Q36*'DY 22 &amp; DY 23 Assumptions'!$D$102</f>
        <v>8914.3576851421421</v>
      </c>
      <c r="S36" s="21">
        <f>R36*'DY 22 &amp; DY 23 Assumptions'!$D$102</f>
        <v>8869.785896716432</v>
      </c>
      <c r="T36" s="21">
        <f>S36*'DY 22 &amp; DY 23 Assumptions'!$D$102</f>
        <v>8825.4369672328503</v>
      </c>
      <c r="U36" s="21">
        <f>T36*'DY 22 &amp; DY 23 Assumptions'!$D$102</f>
        <v>8781.3097823966855</v>
      </c>
      <c r="V36" s="21">
        <f>U36*'DY 22 &amp; DY 23 Assumptions'!$D$102</f>
        <v>8737.4032334847016</v>
      </c>
      <c r="W36" s="21">
        <f>V36*'DY 22 &amp; DY 23 Assumptions'!$D$102</f>
        <v>8693.7162173172783</v>
      </c>
      <c r="X36" s="21">
        <f>W36*'DY 22 &amp; DY 23 Assumptions'!$D$102</f>
        <v>8650.2476362306916</v>
      </c>
      <c r="Y36" s="21">
        <f>X36*'DY 22 &amp; DY 23 Assumptions'!$D$102</f>
        <v>8606.9963980495377</v>
      </c>
      <c r="Z36" s="22"/>
    </row>
    <row r="37" spans="2:26" x14ac:dyDescent="0.3">
      <c r="B37" s="9" t="s">
        <v>16</v>
      </c>
      <c r="C37" s="6">
        <f>'Future Plan Assumptions'!C48</f>
        <v>13617.916666666668</v>
      </c>
      <c r="D37" s="11">
        <f>'DY 22 &amp; DY 23 Assumptions'!F48</f>
        <v>0.16907</v>
      </c>
      <c r="E37" s="32">
        <f>SUM(F37:Z37)</f>
        <v>384779.55576169281</v>
      </c>
      <c r="F37" s="21">
        <f>(C37*D37*8760)/1000</f>
        <v>20168.859056500001</v>
      </c>
      <c r="G37" s="21">
        <f>F37*'DY 22 &amp; DY 23 Assumptions'!$D$102</f>
        <v>20068.014761217502</v>
      </c>
      <c r="H37" s="21">
        <f>G37*'DY 22 &amp; DY 23 Assumptions'!$D$102</f>
        <v>19967.674687411414</v>
      </c>
      <c r="I37" s="21">
        <f>H37*'DY 22 &amp; DY 23 Assumptions'!$D$102</f>
        <v>19867.836313974356</v>
      </c>
      <c r="J37" s="21">
        <f>I37*'DY 22 &amp; DY 23 Assumptions'!$D$102</f>
        <v>19768.497132404485</v>
      </c>
      <c r="K37" s="21">
        <f>J37*'DY 22 &amp; DY 23 Assumptions'!$D$102</f>
        <v>19669.654646742463</v>
      </c>
      <c r="L37" s="21">
        <f>K37*'DY 22 &amp; DY 23 Assumptions'!$D$102</f>
        <v>19571.306373508753</v>
      </c>
      <c r="M37" s="21">
        <f>L37*'DY 22 &amp; DY 23 Assumptions'!$D$102</f>
        <v>19473.44984164121</v>
      </c>
      <c r="N37" s="21">
        <f>M37*'DY 22 &amp; DY 23 Assumptions'!$D$102</f>
        <v>19376.082592433002</v>
      </c>
      <c r="O37" s="21">
        <f>N37*'DY 22 &amp; DY 23 Assumptions'!$D$102</f>
        <v>19279.202179470838</v>
      </c>
      <c r="P37" s="21">
        <f>O37*'DY 22 &amp; DY 23 Assumptions'!$D$102</f>
        <v>19182.806168573483</v>
      </c>
      <c r="Q37" s="21">
        <f>P37*'DY 22 &amp; DY 23 Assumptions'!$D$102</f>
        <v>19086.892137730614</v>
      </c>
      <c r="R37" s="21">
        <f>Q37*'DY 22 &amp; DY 23 Assumptions'!$D$102</f>
        <v>18991.457677041963</v>
      </c>
      <c r="S37" s="21">
        <f>R37*'DY 22 &amp; DY 23 Assumptions'!$D$102</f>
        <v>18896.500388656754</v>
      </c>
      <c r="T37" s="21">
        <f>S37*'DY 22 &amp; DY 23 Assumptions'!$D$102</f>
        <v>18802.017886713471</v>
      </c>
      <c r="U37" s="21">
        <f>T37*'DY 22 &amp; DY 23 Assumptions'!$D$102</f>
        <v>18708.007797279904</v>
      </c>
      <c r="V37" s="21">
        <f>U37*'DY 22 &amp; DY 23 Assumptions'!$D$102</f>
        <v>18614.467758293504</v>
      </c>
      <c r="W37" s="21">
        <f>V37*'DY 22 &amp; DY 23 Assumptions'!$D$102</f>
        <v>18521.395419502038</v>
      </c>
      <c r="X37" s="21">
        <f>W37*'DY 22 &amp; DY 23 Assumptions'!$D$102</f>
        <v>18428.788442404526</v>
      </c>
      <c r="Y37" s="21">
        <f>X37*'DY 22 &amp; DY 23 Assumptions'!$D$102</f>
        <v>18336.644500192502</v>
      </c>
      <c r="Z37" s="22"/>
    </row>
    <row r="38" spans="2:26" x14ac:dyDescent="0.3">
      <c r="B38" s="9" t="s">
        <v>20</v>
      </c>
      <c r="C38" s="6">
        <f>'Future Plan Assumptions'!C49</f>
        <v>6947.916666666667</v>
      </c>
      <c r="D38" s="11">
        <f>'DY 22 &amp; DY 23 Assumptions'!F49</f>
        <v>0.16907</v>
      </c>
      <c r="E38" s="32">
        <f>SUM(F38:Z38)</f>
        <v>196316.09987841465</v>
      </c>
      <c r="F38" s="21">
        <f>(C38*D38*8760)/1000</f>
        <v>10290.2342125</v>
      </c>
      <c r="G38" s="21">
        <f>F38*'DY 22 &amp; DY 23 Assumptions'!$D$102</f>
        <v>10238.7830414375</v>
      </c>
      <c r="H38" s="21">
        <f>G38*'DY 22 &amp; DY 23 Assumptions'!$D$102</f>
        <v>10187.589126230312</v>
      </c>
      <c r="I38" s="21">
        <f>H38*'DY 22 &amp; DY 23 Assumptions'!$D$102</f>
        <v>10136.651180599161</v>
      </c>
      <c r="J38" s="21">
        <f>I38*'DY 22 &amp; DY 23 Assumptions'!$D$102</f>
        <v>10085.967924696166</v>
      </c>
      <c r="K38" s="21">
        <f>J38*'DY 22 &amp; DY 23 Assumptions'!$D$102</f>
        <v>10035.538085072685</v>
      </c>
      <c r="L38" s="21">
        <f>K38*'DY 22 &amp; DY 23 Assumptions'!$D$102</f>
        <v>9985.3603946473213</v>
      </c>
      <c r="M38" s="21">
        <f>L38*'DY 22 &amp; DY 23 Assumptions'!$D$102</f>
        <v>9935.4335926740841</v>
      </c>
      <c r="N38" s="21">
        <f>M38*'DY 22 &amp; DY 23 Assumptions'!$D$102</f>
        <v>9885.756424710713</v>
      </c>
      <c r="O38" s="21">
        <f>N38*'DY 22 &amp; DY 23 Assumptions'!$D$102</f>
        <v>9836.3276425871591</v>
      </c>
      <c r="P38" s="21">
        <f>O38*'DY 22 &amp; DY 23 Assumptions'!$D$102</f>
        <v>9787.1460043742227</v>
      </c>
      <c r="Q38" s="21">
        <f>P38*'DY 22 &amp; DY 23 Assumptions'!$D$102</f>
        <v>9738.2102743523519</v>
      </c>
      <c r="R38" s="21">
        <f>Q38*'DY 22 &amp; DY 23 Assumptions'!$D$102</f>
        <v>9689.5192229805907</v>
      </c>
      <c r="S38" s="21">
        <f>R38*'DY 22 &amp; DY 23 Assumptions'!$D$102</f>
        <v>9641.071626865687</v>
      </c>
      <c r="T38" s="21">
        <f>S38*'DY 22 &amp; DY 23 Assumptions'!$D$102</f>
        <v>9592.866268731359</v>
      </c>
      <c r="U38" s="21">
        <f>T38*'DY 22 &amp; DY 23 Assumptions'!$D$102</f>
        <v>9544.9019373877018</v>
      </c>
      <c r="V38" s="21">
        <f>U38*'DY 22 &amp; DY 23 Assumptions'!$D$102</f>
        <v>9497.1774277007626</v>
      </c>
      <c r="W38" s="21">
        <f>V38*'DY 22 &amp; DY 23 Assumptions'!$D$102</f>
        <v>9449.6915405622585</v>
      </c>
      <c r="X38" s="21">
        <f>W38*'DY 22 &amp; DY 23 Assumptions'!$D$102</f>
        <v>9402.4430828594468</v>
      </c>
      <c r="Y38" s="21">
        <f>X38*'DY 22 &amp; DY 23 Assumptions'!$D$102</f>
        <v>9355.4308674451495</v>
      </c>
      <c r="Z38" s="22"/>
    </row>
    <row r="39" spans="2:26" x14ac:dyDescent="0.3">
      <c r="B39" s="9" t="s">
        <v>79</v>
      </c>
      <c r="C39" s="6">
        <f>'Future Plan Assumptions'!C50</f>
        <v>0</v>
      </c>
      <c r="D39" s="11">
        <f>'DY 22 &amp; DY 23 Assumptions'!F50</f>
        <v>0.16907</v>
      </c>
      <c r="E39" s="32"/>
      <c r="F39" s="21"/>
      <c r="G39" s="21"/>
      <c r="H39" s="21"/>
      <c r="I39" s="21"/>
      <c r="J39" s="21"/>
      <c r="K39" s="21"/>
      <c r="L39" s="21"/>
      <c r="M39" s="21"/>
      <c r="N39" s="21"/>
      <c r="O39" s="21"/>
      <c r="P39" s="21"/>
      <c r="Q39" s="21"/>
      <c r="R39" s="21"/>
      <c r="S39" s="21"/>
      <c r="T39" s="21"/>
      <c r="U39" s="21"/>
      <c r="V39" s="21"/>
      <c r="W39" s="21"/>
      <c r="X39" s="21"/>
      <c r="Y39" s="21"/>
      <c r="Z39" s="22"/>
    </row>
    <row r="40" spans="2:26" x14ac:dyDescent="0.3">
      <c r="B40" s="1" t="s">
        <v>28</v>
      </c>
      <c r="C40" s="46">
        <f>'Future Plan Assumptions'!C51</f>
        <v>70035</v>
      </c>
      <c r="D40" s="52"/>
      <c r="E40" s="32"/>
      <c r="F40" s="21"/>
      <c r="G40" s="21"/>
      <c r="H40" s="21"/>
      <c r="I40" s="21"/>
      <c r="J40" s="21"/>
      <c r="K40" s="21"/>
      <c r="L40" s="21"/>
      <c r="M40" s="21"/>
      <c r="N40" s="21"/>
      <c r="O40" s="21"/>
      <c r="P40" s="21"/>
      <c r="Q40" s="21"/>
      <c r="R40" s="21"/>
      <c r="S40" s="21"/>
      <c r="T40" s="21"/>
      <c r="U40" s="21"/>
      <c r="V40" s="21"/>
      <c r="W40" s="21"/>
      <c r="X40" s="21"/>
      <c r="Y40" s="21"/>
      <c r="Z40" s="22"/>
    </row>
    <row r="41" spans="2:26" x14ac:dyDescent="0.3">
      <c r="B41" s="9" t="s">
        <v>27</v>
      </c>
      <c r="C41" s="6">
        <f>'Future Plan Assumptions'!C52</f>
        <v>3242.3611111111109</v>
      </c>
      <c r="D41" s="11">
        <f>'DY 22 &amp; DY 23 Assumptions'!F52</f>
        <v>0.16907</v>
      </c>
      <c r="E41" s="32">
        <f>SUM(F41:Z41)</f>
        <v>91614.179943260155</v>
      </c>
      <c r="F41" s="21">
        <f>(C41*D41*8760)/1000</f>
        <v>4802.1092991666665</v>
      </c>
      <c r="G41" s="21">
        <f>F41*'DY 22 &amp; DY 23 Assumptions'!$D$102</f>
        <v>4778.0987526708332</v>
      </c>
      <c r="H41" s="21">
        <f>G41*'DY 22 &amp; DY 23 Assumptions'!$D$102</f>
        <v>4754.2082589074789</v>
      </c>
      <c r="I41" s="21">
        <f>H41*'DY 22 &amp; DY 23 Assumptions'!$D$102</f>
        <v>4730.4372176129418</v>
      </c>
      <c r="J41" s="21">
        <f>I41*'DY 22 &amp; DY 23 Assumptions'!$D$102</f>
        <v>4706.785031524877</v>
      </c>
      <c r="K41" s="21">
        <f>J41*'DY 22 &amp; DY 23 Assumptions'!$D$102</f>
        <v>4683.2511063672528</v>
      </c>
      <c r="L41" s="21">
        <f>K41*'DY 22 &amp; DY 23 Assumptions'!$D$102</f>
        <v>4659.8348508354165</v>
      </c>
      <c r="M41" s="21">
        <f>L41*'DY 22 &amp; DY 23 Assumptions'!$D$102</f>
        <v>4636.5356765812394</v>
      </c>
      <c r="N41" s="21">
        <f>M41*'DY 22 &amp; DY 23 Assumptions'!$D$102</f>
        <v>4613.3529981983329</v>
      </c>
      <c r="O41" s="21">
        <f>N41*'DY 22 &amp; DY 23 Assumptions'!$D$102</f>
        <v>4590.286233207341</v>
      </c>
      <c r="P41" s="21">
        <f>O41*'DY 22 &amp; DY 23 Assumptions'!$D$102</f>
        <v>4567.3348020413041</v>
      </c>
      <c r="Q41" s="21">
        <f>P41*'DY 22 &amp; DY 23 Assumptions'!$D$102</f>
        <v>4544.4981280310976</v>
      </c>
      <c r="R41" s="21">
        <f>Q41*'DY 22 &amp; DY 23 Assumptions'!$D$102</f>
        <v>4521.7756373909424</v>
      </c>
      <c r="S41" s="21">
        <f>R41*'DY 22 &amp; DY 23 Assumptions'!$D$102</f>
        <v>4499.1667592039876</v>
      </c>
      <c r="T41" s="21">
        <f>S41*'DY 22 &amp; DY 23 Assumptions'!$D$102</f>
        <v>4476.6709254079678</v>
      </c>
      <c r="U41" s="21">
        <f>T41*'DY 22 &amp; DY 23 Assumptions'!$D$102</f>
        <v>4454.287570780928</v>
      </c>
      <c r="V41" s="21">
        <f>U41*'DY 22 &amp; DY 23 Assumptions'!$D$102</f>
        <v>4432.0161329270231</v>
      </c>
      <c r="W41" s="21">
        <f>V41*'DY 22 &amp; DY 23 Assumptions'!$D$102</f>
        <v>4409.8560522623884</v>
      </c>
      <c r="X41" s="21">
        <f>W41*'DY 22 &amp; DY 23 Assumptions'!$D$102</f>
        <v>4387.8067720010768</v>
      </c>
      <c r="Y41" s="21">
        <f>X41*'DY 22 &amp; DY 23 Assumptions'!$D$102</f>
        <v>4365.8677381410716</v>
      </c>
      <c r="Z41" s="22"/>
    </row>
    <row r="42" spans="2:26" x14ac:dyDescent="0.3">
      <c r="B42" s="9" t="s">
        <v>19</v>
      </c>
      <c r="C42" s="6">
        <f>'Future Plan Assumptions'!C53</f>
        <v>3890.833333333333</v>
      </c>
      <c r="D42" s="11">
        <f>'DY 22 &amp; DY 23 Assumptions'!F53</f>
        <v>0.16907</v>
      </c>
      <c r="E42" s="32">
        <f>SUM(F42:Z42)</f>
        <v>109937.0159319122</v>
      </c>
      <c r="F42" s="21">
        <f>(C42*D42*8760)/1000</f>
        <v>5762.5311590000001</v>
      </c>
      <c r="G42" s="21">
        <f>F42*'DY 22 &amp; DY 23 Assumptions'!$D$102</f>
        <v>5733.7185032050002</v>
      </c>
      <c r="H42" s="21">
        <f>G42*'DY 22 &amp; DY 23 Assumptions'!$D$102</f>
        <v>5705.0499106889747</v>
      </c>
      <c r="I42" s="21">
        <f>H42*'DY 22 &amp; DY 23 Assumptions'!$D$102</f>
        <v>5676.5246611355296</v>
      </c>
      <c r="J42" s="21">
        <f>I42*'DY 22 &amp; DY 23 Assumptions'!$D$102</f>
        <v>5648.1420378298517</v>
      </c>
      <c r="K42" s="21">
        <f>J42*'DY 22 &amp; DY 23 Assumptions'!$D$102</f>
        <v>5619.9013276407022</v>
      </c>
      <c r="L42" s="21">
        <f>K42*'DY 22 &amp; DY 23 Assumptions'!$D$102</f>
        <v>5591.8018210024984</v>
      </c>
      <c r="M42" s="21">
        <f>L42*'DY 22 &amp; DY 23 Assumptions'!$D$102</f>
        <v>5563.8428118974862</v>
      </c>
      <c r="N42" s="21">
        <f>M42*'DY 22 &amp; DY 23 Assumptions'!$D$102</f>
        <v>5536.0235978379988</v>
      </c>
      <c r="O42" s="21">
        <f>N42*'DY 22 &amp; DY 23 Assumptions'!$D$102</f>
        <v>5508.3434798488088</v>
      </c>
      <c r="P42" s="21">
        <f>O42*'DY 22 &amp; DY 23 Assumptions'!$D$102</f>
        <v>5480.8017624495651</v>
      </c>
      <c r="Q42" s="21">
        <f>P42*'DY 22 &amp; DY 23 Assumptions'!$D$102</f>
        <v>5453.3977536373177</v>
      </c>
      <c r="R42" s="21">
        <f>Q42*'DY 22 &amp; DY 23 Assumptions'!$D$102</f>
        <v>5426.1307648691309</v>
      </c>
      <c r="S42" s="21">
        <f>R42*'DY 22 &amp; DY 23 Assumptions'!$D$102</f>
        <v>5399.0001110447856</v>
      </c>
      <c r="T42" s="21">
        <f>S42*'DY 22 &amp; DY 23 Assumptions'!$D$102</f>
        <v>5372.005110489562</v>
      </c>
      <c r="U42" s="21">
        <f>T42*'DY 22 &amp; DY 23 Assumptions'!$D$102</f>
        <v>5345.145084937114</v>
      </c>
      <c r="V42" s="21">
        <f>U42*'DY 22 &amp; DY 23 Assumptions'!$D$102</f>
        <v>5318.4193595124289</v>
      </c>
      <c r="W42" s="21">
        <f>V42*'DY 22 &amp; DY 23 Assumptions'!$D$102</f>
        <v>5291.8272627148663</v>
      </c>
      <c r="X42" s="21">
        <f>W42*'DY 22 &amp; DY 23 Assumptions'!$D$102</f>
        <v>5265.3681264012921</v>
      </c>
      <c r="Y42" s="21">
        <f>X42*'DY 22 &amp; DY 23 Assumptions'!$D$102</f>
        <v>5239.0412857692854</v>
      </c>
      <c r="Z42" s="22"/>
    </row>
    <row r="43" spans="2:26" x14ac:dyDescent="0.3">
      <c r="B43" s="9" t="s">
        <v>15</v>
      </c>
      <c r="C43" s="6">
        <f>'Future Plan Assumptions'!C54</f>
        <v>14914.861111111111</v>
      </c>
      <c r="D43" s="11">
        <f>'DY 22 &amp; DY 23 Assumptions'!F54</f>
        <v>0.16907</v>
      </c>
      <c r="E43" s="32">
        <f>SUM(F43:Z43)</f>
        <v>421425.22773899679</v>
      </c>
      <c r="F43" s="21">
        <f>(C43*D43*8760)/1000</f>
        <v>22089.702776166665</v>
      </c>
      <c r="G43" s="21">
        <f>F43*'DY 22 &amp; DY 23 Assumptions'!$D$102</f>
        <v>21979.254262285831</v>
      </c>
      <c r="H43" s="21">
        <f>G43*'DY 22 &amp; DY 23 Assumptions'!$D$102</f>
        <v>21869.3579909744</v>
      </c>
      <c r="I43" s="21">
        <f>H43*'DY 22 &amp; DY 23 Assumptions'!$D$102</f>
        <v>21760.01120101953</v>
      </c>
      <c r="J43" s="21">
        <f>I43*'DY 22 &amp; DY 23 Assumptions'!$D$102</f>
        <v>21651.211145014433</v>
      </c>
      <c r="K43" s="21">
        <f>J43*'DY 22 &amp; DY 23 Assumptions'!$D$102</f>
        <v>21542.95508928936</v>
      </c>
      <c r="L43" s="21">
        <f>K43*'DY 22 &amp; DY 23 Assumptions'!$D$102</f>
        <v>21435.240313842914</v>
      </c>
      <c r="M43" s="21">
        <f>L43*'DY 22 &amp; DY 23 Assumptions'!$D$102</f>
        <v>21328.0641122737</v>
      </c>
      <c r="N43" s="21">
        <f>M43*'DY 22 &amp; DY 23 Assumptions'!$D$102</f>
        <v>21221.423791712332</v>
      </c>
      <c r="O43" s="21">
        <f>N43*'DY 22 &amp; DY 23 Assumptions'!$D$102</f>
        <v>21115.316672753772</v>
      </c>
      <c r="P43" s="21">
        <f>O43*'DY 22 &amp; DY 23 Assumptions'!$D$102</f>
        <v>21009.740089390001</v>
      </c>
      <c r="Q43" s="21">
        <f>P43*'DY 22 &amp; DY 23 Assumptions'!$D$102</f>
        <v>20904.691388943051</v>
      </c>
      <c r="R43" s="21">
        <f>Q43*'DY 22 &amp; DY 23 Assumptions'!$D$102</f>
        <v>20800.167931998334</v>
      </c>
      <c r="S43" s="21">
        <f>R43*'DY 22 &amp; DY 23 Assumptions'!$D$102</f>
        <v>20696.167092338343</v>
      </c>
      <c r="T43" s="21">
        <f>S43*'DY 22 &amp; DY 23 Assumptions'!$D$102</f>
        <v>20592.686256876652</v>
      </c>
      <c r="U43" s="21">
        <f>T43*'DY 22 &amp; DY 23 Assumptions'!$D$102</f>
        <v>20489.722825592267</v>
      </c>
      <c r="V43" s="21">
        <f>U43*'DY 22 &amp; DY 23 Assumptions'!$D$102</f>
        <v>20387.274211464304</v>
      </c>
      <c r="W43" s="21">
        <f>V43*'DY 22 &amp; DY 23 Assumptions'!$D$102</f>
        <v>20285.337840406981</v>
      </c>
      <c r="X43" s="21">
        <f>W43*'DY 22 &amp; DY 23 Assumptions'!$D$102</f>
        <v>20183.911151204946</v>
      </c>
      <c r="Y43" s="21">
        <f>X43*'DY 22 &amp; DY 23 Assumptions'!$D$102</f>
        <v>20082.991595448922</v>
      </c>
      <c r="Z43" s="22"/>
    </row>
    <row r="44" spans="2:26" x14ac:dyDescent="0.3">
      <c r="B44" s="9" t="s">
        <v>16</v>
      </c>
      <c r="C44" s="6">
        <f>'Future Plan Assumptions'!C55</f>
        <v>31775.138888888891</v>
      </c>
      <c r="D44" s="11">
        <f>'DY 22 &amp; DY 23 Assumptions'!F55</f>
        <v>0.16907</v>
      </c>
      <c r="E44" s="32">
        <f>SUM(F44:Z44)</f>
        <v>897818.96344394982</v>
      </c>
      <c r="F44" s="21">
        <f>(C44*D44*8760)/1000</f>
        <v>47060.67113183334</v>
      </c>
      <c r="G44" s="21">
        <f>F44*'DY 22 &amp; DY 23 Assumptions'!$D$102</f>
        <v>46825.367776174171</v>
      </c>
      <c r="H44" s="21">
        <f>G44*'DY 22 &amp; DY 23 Assumptions'!$D$102</f>
        <v>46591.240937293303</v>
      </c>
      <c r="I44" s="21">
        <f>H44*'DY 22 &amp; DY 23 Assumptions'!$D$102</f>
        <v>46358.284732606837</v>
      </c>
      <c r="J44" s="21">
        <f>I44*'DY 22 &amp; DY 23 Assumptions'!$D$102</f>
        <v>46126.493308943805</v>
      </c>
      <c r="K44" s="21">
        <f>J44*'DY 22 &amp; DY 23 Assumptions'!$D$102</f>
        <v>45895.860842399088</v>
      </c>
      <c r="L44" s="21">
        <f>K44*'DY 22 &amp; DY 23 Assumptions'!$D$102</f>
        <v>45666.381538187095</v>
      </c>
      <c r="M44" s="21">
        <f>L44*'DY 22 &amp; DY 23 Assumptions'!$D$102</f>
        <v>45438.049630496156</v>
      </c>
      <c r="N44" s="21">
        <f>M44*'DY 22 &amp; DY 23 Assumptions'!$D$102</f>
        <v>45210.859382343675</v>
      </c>
      <c r="O44" s="21">
        <f>N44*'DY 22 &amp; DY 23 Assumptions'!$D$102</f>
        <v>44984.805085431959</v>
      </c>
      <c r="P44" s="21">
        <f>O44*'DY 22 &amp; DY 23 Assumptions'!$D$102</f>
        <v>44759.881060004802</v>
      </c>
      <c r="Q44" s="21">
        <f>P44*'DY 22 &amp; DY 23 Assumptions'!$D$102</f>
        <v>44536.08165470478</v>
      </c>
      <c r="R44" s="21">
        <f>Q44*'DY 22 &amp; DY 23 Assumptions'!$D$102</f>
        <v>44313.401246431255</v>
      </c>
      <c r="S44" s="21">
        <f>R44*'DY 22 &amp; DY 23 Assumptions'!$D$102</f>
        <v>44091.834240199096</v>
      </c>
      <c r="T44" s="21">
        <f>S44*'DY 22 &amp; DY 23 Assumptions'!$D$102</f>
        <v>43871.375068998103</v>
      </c>
      <c r="U44" s="21">
        <f>T44*'DY 22 &amp; DY 23 Assumptions'!$D$102</f>
        <v>43652.018193653115</v>
      </c>
      <c r="V44" s="21">
        <f>U44*'DY 22 &amp; DY 23 Assumptions'!$D$102</f>
        <v>43433.758102684849</v>
      </c>
      <c r="W44" s="21">
        <f>V44*'DY 22 &amp; DY 23 Assumptions'!$D$102</f>
        <v>43216.589312171425</v>
      </c>
      <c r="X44" s="21">
        <f>W44*'DY 22 &amp; DY 23 Assumptions'!$D$102</f>
        <v>43000.50636561057</v>
      </c>
      <c r="Y44" s="21">
        <f>X44*'DY 22 &amp; DY 23 Assumptions'!$D$102</f>
        <v>42785.503833782517</v>
      </c>
      <c r="Z44" s="22"/>
    </row>
    <row r="45" spans="2:26" x14ac:dyDescent="0.3">
      <c r="B45" s="9" t="s">
        <v>20</v>
      </c>
      <c r="C45" s="6">
        <f>'Future Plan Assumptions'!C56</f>
        <v>16211.805555555555</v>
      </c>
      <c r="D45" s="11">
        <f>'DY 22 &amp; DY 23 Assumptions'!F56</f>
        <v>0.16907</v>
      </c>
      <c r="E45" s="32">
        <f>SUM(F45:Z45)</f>
        <v>458070.89971630083</v>
      </c>
      <c r="F45" s="21">
        <f>(C45*D45*8760)/1000</f>
        <v>24010.546495833332</v>
      </c>
      <c r="G45" s="21">
        <f>F45*'DY 22 &amp; DY 23 Assumptions'!$D$102</f>
        <v>23890.493763354167</v>
      </c>
      <c r="H45" s="21">
        <f>G45*'DY 22 &amp; DY 23 Assumptions'!$D$102</f>
        <v>23771.041294537397</v>
      </c>
      <c r="I45" s="21">
        <f>H45*'DY 22 &amp; DY 23 Assumptions'!$D$102</f>
        <v>23652.186088064711</v>
      </c>
      <c r="J45" s="21">
        <f>I45*'DY 22 &amp; DY 23 Assumptions'!$D$102</f>
        <v>23533.925157624388</v>
      </c>
      <c r="K45" s="21">
        <f>J45*'DY 22 &amp; DY 23 Assumptions'!$D$102</f>
        <v>23416.255531836265</v>
      </c>
      <c r="L45" s="21">
        <f>K45*'DY 22 &amp; DY 23 Assumptions'!$D$102</f>
        <v>23299.174254177084</v>
      </c>
      <c r="M45" s="21">
        <f>L45*'DY 22 &amp; DY 23 Assumptions'!$D$102</f>
        <v>23182.678382906197</v>
      </c>
      <c r="N45" s="21">
        <f>M45*'DY 22 &amp; DY 23 Assumptions'!$D$102</f>
        <v>23066.764990991665</v>
      </c>
      <c r="O45" s="21">
        <f>N45*'DY 22 &amp; DY 23 Assumptions'!$D$102</f>
        <v>22951.431166036706</v>
      </c>
      <c r="P45" s="21">
        <f>O45*'DY 22 &amp; DY 23 Assumptions'!$D$102</f>
        <v>22836.674010206523</v>
      </c>
      <c r="Q45" s="21">
        <f>P45*'DY 22 &amp; DY 23 Assumptions'!$D$102</f>
        <v>22722.490640155491</v>
      </c>
      <c r="R45" s="21">
        <f>Q45*'DY 22 &amp; DY 23 Assumptions'!$D$102</f>
        <v>22608.878186954713</v>
      </c>
      <c r="S45" s="21">
        <f>R45*'DY 22 &amp; DY 23 Assumptions'!$D$102</f>
        <v>22495.833796019939</v>
      </c>
      <c r="T45" s="21">
        <f>S45*'DY 22 &amp; DY 23 Assumptions'!$D$102</f>
        <v>22383.35462703984</v>
      </c>
      <c r="U45" s="21">
        <f>T45*'DY 22 &amp; DY 23 Assumptions'!$D$102</f>
        <v>22271.437853904641</v>
      </c>
      <c r="V45" s="21">
        <f>U45*'DY 22 &amp; DY 23 Assumptions'!$D$102</f>
        <v>22160.080664635119</v>
      </c>
      <c r="W45" s="21">
        <f>V45*'DY 22 &amp; DY 23 Assumptions'!$D$102</f>
        <v>22049.280261311942</v>
      </c>
      <c r="X45" s="21">
        <f>W45*'DY 22 &amp; DY 23 Assumptions'!$D$102</f>
        <v>21939.033860005384</v>
      </c>
      <c r="Y45" s="21">
        <f>X45*'DY 22 &amp; DY 23 Assumptions'!$D$102</f>
        <v>21829.338690705357</v>
      </c>
      <c r="Z45" s="22"/>
    </row>
    <row r="46" spans="2:26" x14ac:dyDescent="0.3">
      <c r="B46" s="9" t="s">
        <v>79</v>
      </c>
      <c r="C46" s="6">
        <f>'Future Plan Assumptions'!C57</f>
        <v>0</v>
      </c>
      <c r="D46" s="11">
        <f>'DY 22 &amp; DY 23 Assumptions'!F57</f>
        <v>0.16907</v>
      </c>
      <c r="E46" s="32"/>
      <c r="F46" s="21"/>
      <c r="G46" s="21"/>
      <c r="H46" s="21"/>
      <c r="I46" s="21"/>
      <c r="J46" s="21"/>
      <c r="K46" s="21"/>
      <c r="L46" s="21"/>
      <c r="M46" s="21"/>
      <c r="N46" s="21"/>
      <c r="O46" s="21"/>
      <c r="P46" s="21"/>
      <c r="Q46" s="21"/>
      <c r="R46" s="21"/>
      <c r="S46" s="21"/>
      <c r="T46" s="21"/>
      <c r="U46" s="21"/>
      <c r="V46" s="21"/>
      <c r="W46" s="21"/>
      <c r="X46" s="21"/>
      <c r="Y46" s="21"/>
      <c r="Z46" s="22"/>
    </row>
    <row r="47" spans="2:26" x14ac:dyDescent="0.3">
      <c r="B47" s="5" t="s">
        <v>29</v>
      </c>
      <c r="C47" s="6">
        <f>'Future Plan Assumptions'!C58</f>
        <v>33350</v>
      </c>
      <c r="D47" s="118"/>
      <c r="E47" s="31"/>
      <c r="F47" s="23">
        <f t="shared" ref="F47:Y47" si="6">SUM(F48:F49)</f>
        <v>0</v>
      </c>
      <c r="G47" s="23">
        <f t="shared" si="6"/>
        <v>49393.124220000005</v>
      </c>
      <c r="H47" s="23">
        <f t="shared" si="6"/>
        <v>49146.158598900001</v>
      </c>
      <c r="I47" s="23">
        <f t="shared" si="6"/>
        <v>48900.4278059055</v>
      </c>
      <c r="J47" s="23">
        <f t="shared" si="6"/>
        <v>48655.92566687597</v>
      </c>
      <c r="K47" s="23">
        <f t="shared" si="6"/>
        <v>48412.646038541592</v>
      </c>
      <c r="L47" s="23">
        <f t="shared" si="6"/>
        <v>48170.582808348889</v>
      </c>
      <c r="M47" s="23">
        <f t="shared" si="6"/>
        <v>47929.729894307144</v>
      </c>
      <c r="N47" s="23">
        <f t="shared" si="6"/>
        <v>47690.081244835608</v>
      </c>
      <c r="O47" s="23">
        <f t="shared" si="6"/>
        <v>47451.630838611432</v>
      </c>
      <c r="P47" s="23">
        <f t="shared" si="6"/>
        <v>47214.372684418369</v>
      </c>
      <c r="Q47" s="23">
        <f t="shared" si="6"/>
        <v>46978.300820996279</v>
      </c>
      <c r="R47" s="23">
        <f t="shared" si="6"/>
        <v>46743.409316891295</v>
      </c>
      <c r="S47" s="23">
        <f t="shared" si="6"/>
        <v>46509.692270306841</v>
      </c>
      <c r="T47" s="23">
        <f t="shared" si="6"/>
        <v>46277.143808955305</v>
      </c>
      <c r="U47" s="23">
        <f t="shared" si="6"/>
        <v>46045.758089910531</v>
      </c>
      <c r="V47" s="23">
        <f t="shared" si="6"/>
        <v>0</v>
      </c>
      <c r="W47" s="23">
        <f t="shared" si="6"/>
        <v>0</v>
      </c>
      <c r="X47" s="23">
        <f t="shared" si="6"/>
        <v>0</v>
      </c>
      <c r="Y47" s="23">
        <f t="shared" si="6"/>
        <v>0</v>
      </c>
      <c r="Z47" s="1"/>
    </row>
    <row r="48" spans="2:26" x14ac:dyDescent="0.3">
      <c r="B48" s="1" t="s">
        <v>30</v>
      </c>
      <c r="C48" s="46">
        <f>'Future Plan Assumptions'!C59</f>
        <v>10005</v>
      </c>
      <c r="D48" s="52">
        <f>'DY 22 &amp; DY 23 Assumptions'!F59</f>
        <v>0.16907</v>
      </c>
      <c r="E48" s="32">
        <f>SUM(F48:Z48)</f>
        <v>214655.69523234139</v>
      </c>
      <c r="F48" s="21"/>
      <c r="G48" s="21">
        <f>(C48*D48*8760)/1000</f>
        <v>14817.937265999999</v>
      </c>
      <c r="H48" s="21">
        <f>G48*'Reopening Assumptions'!$A$121</f>
        <v>14743.847579669999</v>
      </c>
      <c r="I48" s="21">
        <f>H48*'Reopening Assumptions'!$A$121</f>
        <v>14670.128341771648</v>
      </c>
      <c r="J48" s="21">
        <f>I48*'Reopening Assumptions'!$A$121</f>
        <v>14596.77770006279</v>
      </c>
      <c r="K48" s="21">
        <f>J48*'Reopening Assumptions'!$A$121</f>
        <v>14523.793811562477</v>
      </c>
      <c r="L48" s="21">
        <f>K48*'Reopening Assumptions'!$A$121</f>
        <v>14451.174842504664</v>
      </c>
      <c r="M48" s="21">
        <f>L48*'Reopening Assumptions'!$A$121</f>
        <v>14378.918968292141</v>
      </c>
      <c r="N48" s="21">
        <f>M48*'Reopening Assumptions'!$A$121</f>
        <v>14307.02437345068</v>
      </c>
      <c r="O48" s="21">
        <f>N48*'Reopening Assumptions'!$A$121</f>
        <v>14235.489251583427</v>
      </c>
      <c r="P48" s="21">
        <f>O48*'Reopening Assumptions'!$A$121</f>
        <v>14164.311805325509</v>
      </c>
      <c r="Q48" s="21">
        <f>P48*'Reopening Assumptions'!$A$121</f>
        <v>14093.490246298881</v>
      </c>
      <c r="R48" s="21">
        <f>Q48*'Reopening Assumptions'!$A$121</f>
        <v>14023.022795067387</v>
      </c>
      <c r="S48" s="21">
        <f>R48*'Reopening Assumptions'!$A$121</f>
        <v>13952.907681092051</v>
      </c>
      <c r="T48" s="21">
        <f>S48*'Reopening Assumptions'!$A$121</f>
        <v>13883.143142686591</v>
      </c>
      <c r="U48" s="21">
        <f>T48*'Reopening Assumptions'!$A$121</f>
        <v>13813.727426973159</v>
      </c>
      <c r="V48" s="12"/>
      <c r="W48" s="12"/>
      <c r="X48" s="12"/>
      <c r="Y48" s="12"/>
      <c r="Z48" s="12"/>
    </row>
    <row r="49" spans="2:26" x14ac:dyDescent="0.3">
      <c r="B49" s="1" t="s">
        <v>32</v>
      </c>
      <c r="C49" s="46">
        <f>'Future Plan Assumptions'!C67</f>
        <v>23345</v>
      </c>
      <c r="D49" s="52">
        <f>'DY 22 &amp; DY 23 Assumptions'!F67</f>
        <v>0.16907</v>
      </c>
      <c r="E49" s="32">
        <f>SUM(F49:Z49)</f>
        <v>500863.28887546324</v>
      </c>
      <c r="F49" s="21"/>
      <c r="G49" s="21">
        <f>(C49*D49*8760)/1000</f>
        <v>34575.186954000004</v>
      </c>
      <c r="H49" s="21">
        <f>G49*'Reopening Assumptions'!$A$121</f>
        <v>34402.311019230001</v>
      </c>
      <c r="I49" s="21">
        <f>H49*'Reopening Assumptions'!$A$121</f>
        <v>34230.299464133852</v>
      </c>
      <c r="J49" s="21">
        <f>I49*'Reopening Assumptions'!$A$121</f>
        <v>34059.14796681318</v>
      </c>
      <c r="K49" s="21">
        <f>J49*'Reopening Assumptions'!$A$121</f>
        <v>33888.852226979114</v>
      </c>
      <c r="L49" s="21">
        <f>K49*'Reopening Assumptions'!$A$121</f>
        <v>33719.407965844221</v>
      </c>
      <c r="M49" s="21">
        <f>L49*'Reopening Assumptions'!$A$121</f>
        <v>33550.810926015001</v>
      </c>
      <c r="N49" s="21">
        <f>M49*'Reopening Assumptions'!$A$121</f>
        <v>33383.056871384928</v>
      </c>
      <c r="O49" s="21">
        <f>N49*'Reopening Assumptions'!$A$121</f>
        <v>33216.141587028003</v>
      </c>
      <c r="P49" s="21">
        <f>O49*'Reopening Assumptions'!$A$121</f>
        <v>33050.06087909286</v>
      </c>
      <c r="Q49" s="21">
        <f>P49*'Reopening Assumptions'!$A$121</f>
        <v>32884.810574697396</v>
      </c>
      <c r="R49" s="21">
        <f>Q49*'Reopening Assumptions'!$A$121</f>
        <v>32720.386521823908</v>
      </c>
      <c r="S49" s="21">
        <f>R49*'Reopening Assumptions'!$A$121</f>
        <v>32556.784589214789</v>
      </c>
      <c r="T49" s="21">
        <f>S49*'Reopening Assumptions'!$A$121</f>
        <v>32394.000666268716</v>
      </c>
      <c r="U49" s="21">
        <f>T49*'Reopening Assumptions'!$A$121</f>
        <v>32232.030662937374</v>
      </c>
      <c r="V49" s="12"/>
      <c r="W49" s="12"/>
      <c r="X49" s="12"/>
      <c r="Y49" s="12"/>
      <c r="Z49" s="12"/>
    </row>
    <row r="50" spans="2:26" x14ac:dyDescent="0.3">
      <c r="B50" s="13" t="s">
        <v>33</v>
      </c>
      <c r="C50" s="6">
        <f>'Future Plan Assumptions'!C75</f>
        <v>66700</v>
      </c>
      <c r="D50" s="118"/>
      <c r="E50" s="31"/>
      <c r="F50" s="23">
        <f t="shared" ref="F50:Z50" si="7">SUM(F51:F61)</f>
        <v>86301.29985067404</v>
      </c>
      <c r="G50" s="23">
        <f t="shared" si="7"/>
        <v>85869.793351420667</v>
      </c>
      <c r="H50" s="23">
        <f t="shared" si="7"/>
        <v>85440.44438466357</v>
      </c>
      <c r="I50" s="23">
        <f t="shared" si="7"/>
        <v>85013.242162740251</v>
      </c>
      <c r="J50" s="23">
        <f t="shared" si="7"/>
        <v>84588.175951926562</v>
      </c>
      <c r="K50" s="23">
        <f t="shared" si="7"/>
        <v>84165.235072166921</v>
      </c>
      <c r="L50" s="23">
        <f t="shared" si="7"/>
        <v>83744.408896806068</v>
      </c>
      <c r="M50" s="23">
        <f t="shared" si="7"/>
        <v>83325.686852322047</v>
      </c>
      <c r="N50" s="23">
        <f t="shared" si="7"/>
        <v>82909.058418060435</v>
      </c>
      <c r="O50" s="23">
        <f t="shared" si="7"/>
        <v>82494.51312597013</v>
      </c>
      <c r="P50" s="23">
        <f t="shared" si="7"/>
        <v>82082.040560340276</v>
      </c>
      <c r="Q50" s="23">
        <f t="shared" si="7"/>
        <v>81671.630357538583</v>
      </c>
      <c r="R50" s="23">
        <f t="shared" si="7"/>
        <v>81263.272205750894</v>
      </c>
      <c r="S50" s="23">
        <f t="shared" si="7"/>
        <v>80856.955844722121</v>
      </c>
      <c r="T50" s="23">
        <f t="shared" si="7"/>
        <v>80452.671065498522</v>
      </c>
      <c r="U50" s="23">
        <f t="shared" si="7"/>
        <v>0</v>
      </c>
      <c r="V50" s="23">
        <f t="shared" si="7"/>
        <v>0</v>
      </c>
      <c r="W50" s="23">
        <f t="shared" si="7"/>
        <v>0</v>
      </c>
      <c r="X50" s="23">
        <f t="shared" si="7"/>
        <v>0</v>
      </c>
      <c r="Y50" s="23">
        <f t="shared" si="7"/>
        <v>0</v>
      </c>
      <c r="Z50" s="23">
        <f t="shared" si="7"/>
        <v>0</v>
      </c>
    </row>
    <row r="51" spans="2:26" x14ac:dyDescent="0.3">
      <c r="B51" s="1" t="s">
        <v>34</v>
      </c>
      <c r="C51" s="46">
        <f>'Future Plan Assumptions'!C76</f>
        <v>20010</v>
      </c>
      <c r="D51" s="52"/>
      <c r="E51" s="31"/>
      <c r="F51" s="20"/>
      <c r="G51" s="20"/>
      <c r="H51" s="20"/>
      <c r="I51" s="20"/>
      <c r="J51" s="20"/>
      <c r="K51" s="20"/>
      <c r="L51" s="20"/>
      <c r="M51" s="20"/>
      <c r="N51" s="20"/>
      <c r="O51" s="20"/>
      <c r="P51" s="20"/>
      <c r="Q51" s="20"/>
      <c r="R51" s="20"/>
      <c r="S51" s="20"/>
      <c r="T51" s="20"/>
      <c r="U51" s="1"/>
      <c r="V51" s="1"/>
      <c r="W51" s="1"/>
      <c r="X51" s="1"/>
      <c r="Y51" s="1"/>
      <c r="Z51" s="1"/>
    </row>
    <row r="52" spans="2:26" x14ac:dyDescent="0.3">
      <c r="B52" s="9" t="s">
        <v>14</v>
      </c>
      <c r="C52" s="6">
        <f>'Future Plan Assumptions'!C77</f>
        <v>1652.623060213976</v>
      </c>
      <c r="D52" s="11">
        <f>'DY 22 &amp; DY 23 Assumptions'!F77</f>
        <v>0.15196999999999999</v>
      </c>
      <c r="E52" s="32">
        <f>SUM(F52:Z52)</f>
        <v>31870.614847790293</v>
      </c>
      <c r="F52" s="21">
        <f>(C52*D52*8760)/1000</f>
        <v>2200.0663477958888</v>
      </c>
      <c r="G52" s="21">
        <f>F52*'DY 22 &amp; DY 23 Assumptions'!$D$102</f>
        <v>2189.0660160569091</v>
      </c>
      <c r="H52" s="21">
        <f>G52*'DY 22 &amp; DY 23 Assumptions'!$D$102</f>
        <v>2178.1206859766244</v>
      </c>
      <c r="I52" s="21">
        <f>H52*'DY 22 &amp; DY 23 Assumptions'!$D$102</f>
        <v>2167.2300825467414</v>
      </c>
      <c r="J52" s="21">
        <f>I52*'DY 22 &amp; DY 23 Assumptions'!$D$102</f>
        <v>2156.3939321340076</v>
      </c>
      <c r="K52" s="21">
        <f>J52*'DY 22 &amp; DY 23 Assumptions'!$D$102</f>
        <v>2145.6119624733374</v>
      </c>
      <c r="L52" s="21">
        <f>K52*'DY 22 &amp; DY 23 Assumptions'!$D$102</f>
        <v>2134.8839026609708</v>
      </c>
      <c r="M52" s="21">
        <f>L52*'DY 22 &amp; DY 23 Assumptions'!$D$102</f>
        <v>2124.2094831476661</v>
      </c>
      <c r="N52" s="21">
        <f>M52*'DY 22 &amp; DY 23 Assumptions'!$D$102</f>
        <v>2113.5884357319278</v>
      </c>
      <c r="O52" s="21">
        <f>N52*'DY 22 &amp; DY 23 Assumptions'!$D$102</f>
        <v>2103.0204935532684</v>
      </c>
      <c r="P52" s="21">
        <f>O52*'DY 22 &amp; DY 23 Assumptions'!$D$102</f>
        <v>2092.5053910855022</v>
      </c>
      <c r="Q52" s="21">
        <f>P52*'DY 22 &amp; DY 23 Assumptions'!$D$102</f>
        <v>2082.0428641300746</v>
      </c>
      <c r="R52" s="21">
        <f>Q52*'DY 22 &amp; DY 23 Assumptions'!$D$102</f>
        <v>2071.632649809424</v>
      </c>
      <c r="S52" s="21">
        <f>R52*'DY 22 &amp; DY 23 Assumptions'!$D$102</f>
        <v>2061.2744865603768</v>
      </c>
      <c r="T52" s="21">
        <f>S52*'DY 22 &amp; DY 23 Assumptions'!$D$102</f>
        <v>2050.9681141275751</v>
      </c>
      <c r="U52" s="12"/>
      <c r="V52" s="12"/>
      <c r="W52" s="12"/>
      <c r="X52" s="12"/>
      <c r="Y52" s="12"/>
      <c r="Z52" s="12"/>
    </row>
    <row r="53" spans="2:26" x14ac:dyDescent="0.3">
      <c r="B53" s="9" t="s">
        <v>15</v>
      </c>
      <c r="C53" s="6">
        <f>'Future Plan Assumptions'!C78</f>
        <v>1276.5725132428743</v>
      </c>
      <c r="D53" s="11">
        <f>'DY 22 &amp; DY 23 Assumptions'!F78</f>
        <v>0.14819000000000002</v>
      </c>
      <c r="E53" s="32">
        <f>SUM(F53:Z53)</f>
        <v>24006.18547263493</v>
      </c>
      <c r="F53" s="21">
        <f>(C53*D53*8760)/1000</f>
        <v>1657.1754592601631</v>
      </c>
      <c r="G53" s="21">
        <f>F53*'DY 22 &amp; DY 23 Assumptions'!$D$102</f>
        <v>1648.8895819638622</v>
      </c>
      <c r="H53" s="21">
        <f>G53*'DY 22 &amp; DY 23 Assumptions'!$D$102</f>
        <v>1640.6451340540427</v>
      </c>
      <c r="I53" s="21">
        <f>H53*'DY 22 &amp; DY 23 Assumptions'!$D$102</f>
        <v>1632.4419083837724</v>
      </c>
      <c r="J53" s="21">
        <f>I53*'DY 22 &amp; DY 23 Assumptions'!$D$102</f>
        <v>1624.2796988418536</v>
      </c>
      <c r="K53" s="21">
        <f>J53*'DY 22 &amp; DY 23 Assumptions'!$D$102</f>
        <v>1616.1583003476444</v>
      </c>
      <c r="L53" s="21">
        <f>K53*'DY 22 &amp; DY 23 Assumptions'!$D$102</f>
        <v>1608.0775088459061</v>
      </c>
      <c r="M53" s="21">
        <f>L53*'DY 22 &amp; DY 23 Assumptions'!$D$102</f>
        <v>1600.0371213016765</v>
      </c>
      <c r="N53" s="21">
        <f>M53*'DY 22 &amp; DY 23 Assumptions'!$D$102</f>
        <v>1592.036935695168</v>
      </c>
      <c r="O53" s="21">
        <f>N53*'DY 22 &amp; DY 23 Assumptions'!$D$102</f>
        <v>1584.0767510166922</v>
      </c>
      <c r="P53" s="21">
        <f>O53*'DY 22 &amp; DY 23 Assumptions'!$D$102</f>
        <v>1576.1563672616087</v>
      </c>
      <c r="Q53" s="21">
        <f>P53*'DY 22 &amp; DY 23 Assumptions'!$D$102</f>
        <v>1568.2755854253007</v>
      </c>
      <c r="R53" s="21">
        <f>Q53*'DY 22 &amp; DY 23 Assumptions'!$D$102</f>
        <v>1560.4342074981741</v>
      </c>
      <c r="S53" s="21">
        <f>R53*'DY 22 &amp; DY 23 Assumptions'!$D$102</f>
        <v>1552.6320364606834</v>
      </c>
      <c r="T53" s="21">
        <f>S53*'DY 22 &amp; DY 23 Assumptions'!$D$102</f>
        <v>1544.86887627838</v>
      </c>
      <c r="U53" s="12"/>
      <c r="V53" s="12"/>
      <c r="W53" s="12"/>
      <c r="X53" s="12"/>
      <c r="Y53" s="12"/>
      <c r="Z53" s="12"/>
    </row>
    <row r="54" spans="2:26" x14ac:dyDescent="0.3">
      <c r="B54" s="9" t="s">
        <v>16</v>
      </c>
      <c r="C54" s="6">
        <f>'Future Plan Assumptions'!C79</f>
        <v>2963.3272737190309</v>
      </c>
      <c r="D54" s="11">
        <f>'DY 22 &amp; DY 23 Assumptions'!F79</f>
        <v>0.15303</v>
      </c>
      <c r="E54" s="32">
        <f>SUM(F54:Z54)</f>
        <v>57545.976820470823</v>
      </c>
      <c r="F54" s="21">
        <f>(C54*D54*8760)/1000</f>
        <v>3972.4670408276761</v>
      </c>
      <c r="G54" s="21">
        <f>F54*'DY 22 &amp; DY 23 Assumptions'!$D$102</f>
        <v>3952.6047056235375</v>
      </c>
      <c r="H54" s="21">
        <f>G54*'DY 22 &amp; DY 23 Assumptions'!$D$102</f>
        <v>3932.8416820954199</v>
      </c>
      <c r="I54" s="21">
        <f>H54*'DY 22 &amp; DY 23 Assumptions'!$D$102</f>
        <v>3913.1774736849429</v>
      </c>
      <c r="J54" s="21">
        <f>I54*'DY 22 &amp; DY 23 Assumptions'!$D$102</f>
        <v>3893.6115863165182</v>
      </c>
      <c r="K54" s="21">
        <f>J54*'DY 22 &amp; DY 23 Assumptions'!$D$102</f>
        <v>3874.1435283849355</v>
      </c>
      <c r="L54" s="21">
        <f>K54*'DY 22 &amp; DY 23 Assumptions'!$D$102</f>
        <v>3854.7728107430107</v>
      </c>
      <c r="M54" s="21">
        <f>L54*'DY 22 &amp; DY 23 Assumptions'!$D$102</f>
        <v>3835.4989466892957</v>
      </c>
      <c r="N54" s="21">
        <f>M54*'DY 22 &amp; DY 23 Assumptions'!$D$102</f>
        <v>3816.3214519558492</v>
      </c>
      <c r="O54" s="21">
        <f>N54*'DY 22 &amp; DY 23 Assumptions'!$D$102</f>
        <v>3797.2398446960701</v>
      </c>
      <c r="P54" s="21">
        <f>O54*'DY 22 &amp; DY 23 Assumptions'!$D$102</f>
        <v>3778.2536454725896</v>
      </c>
      <c r="Q54" s="21">
        <f>P54*'DY 22 &amp; DY 23 Assumptions'!$D$102</f>
        <v>3759.3623772452265</v>
      </c>
      <c r="R54" s="21">
        <f>Q54*'DY 22 &amp; DY 23 Assumptions'!$D$102</f>
        <v>3740.5655653590002</v>
      </c>
      <c r="S54" s="21">
        <f>R54*'DY 22 &amp; DY 23 Assumptions'!$D$102</f>
        <v>3721.8627375322053</v>
      </c>
      <c r="T54" s="21">
        <f>S54*'DY 22 &amp; DY 23 Assumptions'!$D$102</f>
        <v>3703.2534238445442</v>
      </c>
      <c r="U54" s="12"/>
      <c r="V54" s="12"/>
      <c r="W54" s="12"/>
      <c r="X54" s="12"/>
      <c r="Y54" s="12"/>
      <c r="Z54" s="12"/>
    </row>
    <row r="55" spans="2:26" x14ac:dyDescent="0.3">
      <c r="B55" s="9" t="s">
        <v>20</v>
      </c>
      <c r="C55" s="6">
        <f>'Future Plan Assumptions'!C80</f>
        <v>14117.436349835161</v>
      </c>
      <c r="D55" s="11">
        <f>'DY 22 &amp; DY 23 Assumptions'!F80</f>
        <v>0.14410999999999999</v>
      </c>
      <c r="E55" s="32">
        <f>SUM(F55:Z55)</f>
        <v>258171.75471588684</v>
      </c>
      <c r="F55" s="21">
        <f>(C55*D55*8760)/1000</f>
        <v>17821.902470802765</v>
      </c>
      <c r="G55" s="21">
        <f>F55*'DY 22 &amp; DY 23 Assumptions'!$D$102</f>
        <v>17732.79295844875</v>
      </c>
      <c r="H55" s="21">
        <f>G55*'DY 22 &amp; DY 23 Assumptions'!$D$102</f>
        <v>17644.128993656508</v>
      </c>
      <c r="I55" s="21">
        <f>H55*'DY 22 &amp; DY 23 Assumptions'!$D$102</f>
        <v>17555.908348688226</v>
      </c>
      <c r="J55" s="21">
        <f>I55*'DY 22 &amp; DY 23 Assumptions'!$D$102</f>
        <v>17468.128806944784</v>
      </c>
      <c r="K55" s="21">
        <f>J55*'DY 22 &amp; DY 23 Assumptions'!$D$102</f>
        <v>17380.788162910059</v>
      </c>
      <c r="L55" s="21">
        <f>K55*'DY 22 &amp; DY 23 Assumptions'!$D$102</f>
        <v>17293.884222095508</v>
      </c>
      <c r="M55" s="21">
        <f>L55*'DY 22 &amp; DY 23 Assumptions'!$D$102</f>
        <v>17207.414800985032</v>
      </c>
      <c r="N55" s="21">
        <f>M55*'DY 22 &amp; DY 23 Assumptions'!$D$102</f>
        <v>17121.377726980107</v>
      </c>
      <c r="O55" s="21">
        <f>N55*'DY 22 &amp; DY 23 Assumptions'!$D$102</f>
        <v>17035.770838345205</v>
      </c>
      <c r="P55" s="21">
        <f>O55*'DY 22 &amp; DY 23 Assumptions'!$D$102</f>
        <v>16950.591984153478</v>
      </c>
      <c r="Q55" s="21">
        <f>P55*'DY 22 &amp; DY 23 Assumptions'!$D$102</f>
        <v>16865.839024232711</v>
      </c>
      <c r="R55" s="21">
        <f>Q55*'DY 22 &amp; DY 23 Assumptions'!$D$102</f>
        <v>16781.509829111546</v>
      </c>
      <c r="S55" s="21">
        <f>R55*'DY 22 &amp; DY 23 Assumptions'!$D$102</f>
        <v>16697.602279965988</v>
      </c>
      <c r="T55" s="21">
        <f>S55*'DY 22 &amp; DY 23 Assumptions'!$D$102</f>
        <v>16614.114268566158</v>
      </c>
      <c r="U55" s="12"/>
      <c r="V55" s="12"/>
      <c r="W55" s="12"/>
      <c r="X55" s="12"/>
      <c r="Y55" s="12"/>
      <c r="Z55" s="12"/>
    </row>
    <row r="56" spans="2:26" x14ac:dyDescent="0.3">
      <c r="B56" s="9" t="s">
        <v>79</v>
      </c>
      <c r="C56" s="6">
        <f>'Future Plan Assumptions'!C81</f>
        <v>0</v>
      </c>
      <c r="D56" s="11">
        <f>'DY 22 &amp; DY 23 Assumptions'!F81</f>
        <v>0.14410999999999999</v>
      </c>
      <c r="E56" s="32"/>
      <c r="F56" s="21"/>
      <c r="G56" s="21"/>
      <c r="H56" s="21"/>
      <c r="I56" s="21"/>
      <c r="J56" s="21"/>
      <c r="K56" s="21"/>
      <c r="L56" s="21"/>
      <c r="M56" s="21"/>
      <c r="N56" s="21"/>
      <c r="O56" s="21"/>
      <c r="P56" s="21"/>
      <c r="Q56" s="21"/>
      <c r="R56" s="21"/>
      <c r="S56" s="21"/>
      <c r="T56" s="21"/>
      <c r="U56" s="12"/>
      <c r="V56" s="12"/>
      <c r="W56" s="12"/>
      <c r="X56" s="12"/>
      <c r="Y56" s="12"/>
      <c r="Z56" s="12"/>
    </row>
    <row r="57" spans="2:26" x14ac:dyDescent="0.3">
      <c r="B57" s="1" t="s">
        <v>36</v>
      </c>
      <c r="C57" s="46">
        <f>'Future Plan Assumptions'!C82</f>
        <v>46690</v>
      </c>
      <c r="D57" s="52"/>
      <c r="E57" s="31"/>
      <c r="F57" s="21"/>
      <c r="G57" s="21"/>
      <c r="H57" s="20"/>
      <c r="I57" s="20"/>
      <c r="J57" s="20"/>
      <c r="K57" s="20"/>
      <c r="L57" s="20"/>
      <c r="M57" s="20"/>
      <c r="N57" s="20"/>
      <c r="O57" s="20"/>
      <c r="P57" s="20"/>
      <c r="Q57" s="20"/>
      <c r="R57" s="20"/>
      <c r="S57" s="20"/>
      <c r="T57" s="20"/>
      <c r="U57" s="1"/>
      <c r="V57" s="1"/>
      <c r="W57" s="1"/>
      <c r="X57" s="1"/>
      <c r="Y57" s="1"/>
      <c r="Z57" s="1"/>
    </row>
    <row r="58" spans="2:26" x14ac:dyDescent="0.3">
      <c r="B58" s="9" t="s">
        <v>19</v>
      </c>
      <c r="C58" s="6">
        <f>'Future Plan Assumptions'!C83</f>
        <v>1765.7274547831878</v>
      </c>
      <c r="D58" s="11">
        <f>'DY 22 &amp; DY 23 Assumptions'!F83</f>
        <v>0.14305999999999999</v>
      </c>
      <c r="E58" s="33">
        <f>SUM(F58:Z58)</f>
        <v>32055.36013922434</v>
      </c>
      <c r="F58" s="21">
        <f>(C58*D58*8760)/1000</f>
        <v>2212.8195344080377</v>
      </c>
      <c r="G58" s="21">
        <f>F58*'DY 22 &amp; DY 23 Assumptions'!$D$102</f>
        <v>2201.7554367359976</v>
      </c>
      <c r="H58" s="21">
        <f>G58*'DY 22 &amp; DY 23 Assumptions'!$D$102</f>
        <v>2190.7466595523174</v>
      </c>
      <c r="I58" s="21">
        <f>H58*'DY 22 &amp; DY 23 Assumptions'!$D$102</f>
        <v>2179.7929262545558</v>
      </c>
      <c r="J58" s="21">
        <f>I58*'DY 22 &amp; DY 23 Assumptions'!$D$102</f>
        <v>2168.8939616232828</v>
      </c>
      <c r="K58" s="21">
        <f>J58*'DY 22 &amp; DY 23 Assumptions'!$D$102</f>
        <v>2158.0494918151662</v>
      </c>
      <c r="L58" s="21">
        <f>K58*'DY 22 &amp; DY 23 Assumptions'!$D$102</f>
        <v>2147.2592443560902</v>
      </c>
      <c r="M58" s="21">
        <f>L58*'DY 22 &amp; DY 23 Assumptions'!$D$102</f>
        <v>2136.5229481343099</v>
      </c>
      <c r="N58" s="21">
        <f>M58*'DY 22 &amp; DY 23 Assumptions'!$D$102</f>
        <v>2125.8403333936385</v>
      </c>
      <c r="O58" s="21">
        <f>N58*'DY 22 &amp; DY 23 Assumptions'!$D$102</f>
        <v>2115.2111317266704</v>
      </c>
      <c r="P58" s="21">
        <f>O58*'DY 22 &amp; DY 23 Assumptions'!$D$102</f>
        <v>2104.6350760680371</v>
      </c>
      <c r="Q58" s="21">
        <f>P58*'DY 22 &amp; DY 23 Assumptions'!$D$102</f>
        <v>2094.111900687697</v>
      </c>
      <c r="R58" s="21">
        <f>Q58*'DY 22 &amp; DY 23 Assumptions'!$D$102</f>
        <v>2083.6413411842586</v>
      </c>
      <c r="S58" s="21">
        <f>R58*'DY 22 &amp; DY 23 Assumptions'!$D$102</f>
        <v>2073.2231344783372</v>
      </c>
      <c r="T58" s="21">
        <f>S58*'DY 22 &amp; DY 23 Assumptions'!$D$102</f>
        <v>2062.8570188059457</v>
      </c>
      <c r="U58" s="12"/>
      <c r="V58" s="12"/>
      <c r="W58" s="12"/>
      <c r="X58" s="12"/>
      <c r="Y58" s="12"/>
      <c r="Z58" s="12"/>
    </row>
    <row r="59" spans="2:26" x14ac:dyDescent="0.3">
      <c r="B59" s="9" t="s">
        <v>15</v>
      </c>
      <c r="C59" s="6">
        <f>'Future Plan Assumptions'!C84</f>
        <v>1374.9736306147349</v>
      </c>
      <c r="D59" s="11">
        <f>'DY 22 &amp; DY 23 Assumptions'!F84</f>
        <v>0.14176</v>
      </c>
      <c r="E59" s="33">
        <f>SUM(F59:Z59)</f>
        <v>24734.71119474867</v>
      </c>
      <c r="F59" s="21">
        <f>(C59*D59*8760)/1000</f>
        <v>1707.4664540332767</v>
      </c>
      <c r="G59" s="21">
        <f>F59*'DY 22 &amp; DY 23 Assumptions'!$D$102</f>
        <v>1698.9291217631103</v>
      </c>
      <c r="H59" s="21">
        <f>G59*'DY 22 &amp; DY 23 Assumptions'!$D$102</f>
        <v>1690.4344761542948</v>
      </c>
      <c r="I59" s="21">
        <f>H59*'DY 22 &amp; DY 23 Assumptions'!$D$102</f>
        <v>1681.9823037735232</v>
      </c>
      <c r="J59" s="21">
        <f>I59*'DY 22 &amp; DY 23 Assumptions'!$D$102</f>
        <v>1673.5723922546556</v>
      </c>
      <c r="K59" s="21">
        <f>J59*'DY 22 &amp; DY 23 Assumptions'!$D$102</f>
        <v>1665.2045302933823</v>
      </c>
      <c r="L59" s="21">
        <f>K59*'DY 22 &amp; DY 23 Assumptions'!$D$102</f>
        <v>1656.8785076419153</v>
      </c>
      <c r="M59" s="21">
        <f>L59*'DY 22 &amp; DY 23 Assumptions'!$D$102</f>
        <v>1648.5941151037057</v>
      </c>
      <c r="N59" s="21">
        <f>M59*'DY 22 &amp; DY 23 Assumptions'!$D$102</f>
        <v>1640.3511445281872</v>
      </c>
      <c r="O59" s="21">
        <f>N59*'DY 22 &amp; DY 23 Assumptions'!$D$102</f>
        <v>1632.1493888055463</v>
      </c>
      <c r="P59" s="21">
        <f>O59*'DY 22 &amp; DY 23 Assumptions'!$D$102</f>
        <v>1623.9886418615185</v>
      </c>
      <c r="Q59" s="21">
        <f>P59*'DY 22 &amp; DY 23 Assumptions'!$D$102</f>
        <v>1615.8686986522109</v>
      </c>
      <c r="R59" s="21">
        <f>Q59*'DY 22 &amp; DY 23 Assumptions'!$D$102</f>
        <v>1607.7893551589498</v>
      </c>
      <c r="S59" s="21">
        <f>R59*'DY 22 &amp; DY 23 Assumptions'!$D$102</f>
        <v>1599.750408383155</v>
      </c>
      <c r="T59" s="21">
        <f>S59*'DY 22 &amp; DY 23 Assumptions'!$D$102</f>
        <v>1591.7516563412391</v>
      </c>
      <c r="U59" s="12"/>
      <c r="V59" s="12"/>
      <c r="W59" s="12"/>
      <c r="X59" s="12"/>
      <c r="Y59" s="12"/>
      <c r="Z59" s="12"/>
    </row>
    <row r="60" spans="2:26" x14ac:dyDescent="0.3">
      <c r="B60" s="9" t="s">
        <v>16</v>
      </c>
      <c r="C60" s="6">
        <f>'Future Plan Assumptions'!C85</f>
        <v>5096.1723075277914</v>
      </c>
      <c r="D60" s="11">
        <f>'DY 22 &amp; DY 23 Assumptions'!F85</f>
        <v>0.14119000000000001</v>
      </c>
      <c r="E60" s="33">
        <f>SUM(F60:Z60)</f>
        <v>91307.575658556379</v>
      </c>
      <c r="F60" s="21">
        <f>(C60*D60*8760)/1000</f>
        <v>6303.0702565546771</v>
      </c>
      <c r="G60" s="21">
        <f>F60*'DY 22 &amp; DY 23 Assumptions'!$D$102</f>
        <v>6271.5549052719034</v>
      </c>
      <c r="H60" s="21">
        <f>G60*'DY 22 &amp; DY 23 Assumptions'!$D$102</f>
        <v>6240.1971307455442</v>
      </c>
      <c r="I60" s="21">
        <f>H60*'DY 22 &amp; DY 23 Assumptions'!$D$102</f>
        <v>6208.9961450918163</v>
      </c>
      <c r="J60" s="21">
        <f>I60*'DY 22 &amp; DY 23 Assumptions'!$D$102</f>
        <v>6177.9511643663573</v>
      </c>
      <c r="K60" s="21">
        <f>J60*'DY 22 &amp; DY 23 Assumptions'!$D$102</f>
        <v>6147.0614085445259</v>
      </c>
      <c r="L60" s="21">
        <f>K60*'DY 22 &amp; DY 23 Assumptions'!$D$102</f>
        <v>6116.3261015018034</v>
      </c>
      <c r="M60" s="21">
        <f>L60*'DY 22 &amp; DY 23 Assumptions'!$D$102</f>
        <v>6085.7444709942947</v>
      </c>
      <c r="N60" s="21">
        <f>M60*'DY 22 &amp; DY 23 Assumptions'!$D$102</f>
        <v>6055.3157486393229</v>
      </c>
      <c r="O60" s="21">
        <f>N60*'DY 22 &amp; DY 23 Assumptions'!$D$102</f>
        <v>6025.0391698961266</v>
      </c>
      <c r="P60" s="21">
        <f>O60*'DY 22 &amp; DY 23 Assumptions'!$D$102</f>
        <v>5994.9139740466462</v>
      </c>
      <c r="Q60" s="21">
        <f>P60*'DY 22 &amp; DY 23 Assumptions'!$D$102</f>
        <v>5964.9394041764126</v>
      </c>
      <c r="R60" s="21">
        <f>Q60*'DY 22 &amp; DY 23 Assumptions'!$D$102</f>
        <v>5935.1147071555306</v>
      </c>
      <c r="S60" s="21">
        <f>R60*'DY 22 &amp; DY 23 Assumptions'!$D$102</f>
        <v>5905.4391336197532</v>
      </c>
      <c r="T60" s="21">
        <f>S60*'DY 22 &amp; DY 23 Assumptions'!$D$102</f>
        <v>5875.9119379516542</v>
      </c>
      <c r="U60" s="12"/>
      <c r="V60" s="12"/>
      <c r="W60" s="12"/>
      <c r="X60" s="12"/>
      <c r="Y60" s="12"/>
      <c r="Z60" s="12"/>
    </row>
    <row r="61" spans="2:26" x14ac:dyDescent="0.3">
      <c r="B61" s="9" t="s">
        <v>20</v>
      </c>
      <c r="C61" s="6">
        <f>'Future Plan Assumptions'!C86</f>
        <v>38453.110396585835</v>
      </c>
      <c r="D61" s="11">
        <f>'DY 22 &amp; DY 23 Assumptions'!F86</f>
        <v>0.1497</v>
      </c>
      <c r="E61" s="34">
        <f>SUM(F61:Z61)</f>
        <v>730486.24925128871</v>
      </c>
      <c r="F61" s="21">
        <f>(C61*D61*8760)/1000</f>
        <v>50426.332286991557</v>
      </c>
      <c r="G61" s="21">
        <f>F61*'DY 22 &amp; DY 23 Assumptions'!$D$102</f>
        <v>50174.200625556601</v>
      </c>
      <c r="H61" s="21">
        <f>G61*'DY 22 &amp; DY 23 Assumptions'!$D$102</f>
        <v>49923.329622428821</v>
      </c>
      <c r="I61" s="21">
        <f>H61*'DY 22 &amp; DY 23 Assumptions'!$D$102</f>
        <v>49673.712974316673</v>
      </c>
      <c r="J61" s="21">
        <f>I61*'DY 22 &amp; DY 23 Assumptions'!$D$102</f>
        <v>49425.34440944509</v>
      </c>
      <c r="K61" s="21">
        <f>J61*'DY 22 &amp; DY 23 Assumptions'!$D$102</f>
        <v>49178.217687397861</v>
      </c>
      <c r="L61" s="21">
        <f>K61*'DY 22 &amp; DY 23 Assumptions'!$D$102</f>
        <v>48932.32659896087</v>
      </c>
      <c r="M61" s="21">
        <f>L61*'DY 22 &amp; DY 23 Assumptions'!$D$102</f>
        <v>48687.664965966069</v>
      </c>
      <c r="N61" s="21">
        <f>M61*'DY 22 &amp; DY 23 Assumptions'!$D$102</f>
        <v>48444.226641136236</v>
      </c>
      <c r="O61" s="21">
        <f>N61*'DY 22 &amp; DY 23 Assumptions'!$D$102</f>
        <v>48202.005507930553</v>
      </c>
      <c r="P61" s="21">
        <f>O61*'DY 22 &amp; DY 23 Assumptions'!$D$102</f>
        <v>47960.995480390899</v>
      </c>
      <c r="Q61" s="21">
        <f>P61*'DY 22 &amp; DY 23 Assumptions'!$D$102</f>
        <v>47721.190502988946</v>
      </c>
      <c r="R61" s="21">
        <f>Q61*'DY 22 &amp; DY 23 Assumptions'!$D$102</f>
        <v>47482.584550473999</v>
      </c>
      <c r="S61" s="21">
        <f>R61*'DY 22 &amp; DY 23 Assumptions'!$D$102</f>
        <v>47245.171627721626</v>
      </c>
      <c r="T61" s="21">
        <f>S61*'DY 22 &amp; DY 23 Assumptions'!$D$102</f>
        <v>47008.945769583021</v>
      </c>
      <c r="U61" s="12"/>
      <c r="V61" s="12"/>
      <c r="W61" s="12"/>
      <c r="X61" s="12"/>
      <c r="Y61" s="12"/>
      <c r="Z61" s="12"/>
    </row>
    <row r="62" spans="2:26" x14ac:dyDescent="0.3">
      <c r="B62" s="9" t="s">
        <v>79</v>
      </c>
      <c r="C62" s="6">
        <f>'Future Plan Assumptions'!C87</f>
        <v>0</v>
      </c>
      <c r="D62" s="11">
        <f>'DY 22 &amp; DY 23 Assumptions'!F87</f>
        <v>0.1497</v>
      </c>
      <c r="E62" s="34"/>
      <c r="F62" s="21"/>
      <c r="G62" s="21"/>
      <c r="H62" s="21"/>
      <c r="I62" s="21"/>
      <c r="J62" s="21"/>
      <c r="K62" s="21"/>
      <c r="L62" s="21"/>
      <c r="M62" s="21"/>
      <c r="N62" s="21"/>
      <c r="O62" s="21"/>
      <c r="P62" s="21"/>
      <c r="Q62" s="21"/>
      <c r="R62" s="21"/>
      <c r="S62" s="21"/>
      <c r="T62" s="21"/>
      <c r="U62" s="12"/>
      <c r="V62" s="12"/>
      <c r="W62" s="12"/>
      <c r="X62" s="12"/>
      <c r="Y62" s="12"/>
      <c r="Z62" s="12"/>
    </row>
    <row r="63" spans="2:26" x14ac:dyDescent="0.3">
      <c r="B63" s="5" t="s">
        <v>40</v>
      </c>
      <c r="C63" s="119"/>
      <c r="D63" s="39"/>
      <c r="E63" s="145">
        <f>'Future Plan Assumptions'!C90</f>
        <v>1750000</v>
      </c>
      <c r="F63" s="12"/>
      <c r="G63" s="21"/>
      <c r="H63" s="9"/>
      <c r="I63" s="21">
        <f t="shared" ref="I63:Z63" si="8">$E63</f>
        <v>1750000</v>
      </c>
      <c r="J63" s="21">
        <f t="shared" si="8"/>
        <v>1750000</v>
      </c>
      <c r="K63" s="21">
        <f t="shared" si="8"/>
        <v>1750000</v>
      </c>
      <c r="L63" s="21">
        <f t="shared" si="8"/>
        <v>1750000</v>
      </c>
      <c r="M63" s="21">
        <f t="shared" si="8"/>
        <v>1750000</v>
      </c>
      <c r="N63" s="21">
        <f t="shared" si="8"/>
        <v>1750000</v>
      </c>
      <c r="O63" s="21">
        <f t="shared" si="8"/>
        <v>1750000</v>
      </c>
      <c r="P63" s="21">
        <f t="shared" si="8"/>
        <v>1750000</v>
      </c>
      <c r="Q63" s="21">
        <f t="shared" si="8"/>
        <v>1750000</v>
      </c>
      <c r="R63" s="21">
        <f t="shared" si="8"/>
        <v>1750000</v>
      </c>
      <c r="S63" s="21">
        <f t="shared" si="8"/>
        <v>1750000</v>
      </c>
      <c r="T63" s="21">
        <f t="shared" si="8"/>
        <v>1750000</v>
      </c>
      <c r="U63" s="21">
        <f t="shared" si="8"/>
        <v>1750000</v>
      </c>
      <c r="V63" s="21">
        <f t="shared" si="8"/>
        <v>1750000</v>
      </c>
      <c r="W63" s="21">
        <f t="shared" si="8"/>
        <v>1750000</v>
      </c>
      <c r="X63" s="21">
        <f t="shared" si="8"/>
        <v>1750000</v>
      </c>
      <c r="Y63" s="21">
        <f t="shared" si="8"/>
        <v>1750000</v>
      </c>
      <c r="Z63" s="21">
        <f t="shared" si="8"/>
        <v>1750000</v>
      </c>
    </row>
    <row r="64" spans="2:26" x14ac:dyDescent="0.3">
      <c r="B64" s="5" t="s">
        <v>41</v>
      </c>
      <c r="C64" s="119"/>
      <c r="D64" s="39"/>
      <c r="E64" s="145">
        <f>'Future Plan Assumptions'!C91</f>
        <v>1000000</v>
      </c>
      <c r="F64" s="9"/>
      <c r="G64" s="21"/>
      <c r="H64" s="9"/>
      <c r="I64" s="21">
        <f>$E64</f>
        <v>1000000</v>
      </c>
      <c r="J64" s="21">
        <f>I64*'DY 22 &amp; DY 23 Assumptions'!$D$102</f>
        <v>995000</v>
      </c>
      <c r="K64" s="21">
        <f>J64*'DY 22 &amp; DY 23 Assumptions'!$D$102</f>
        <v>990025</v>
      </c>
      <c r="L64" s="21">
        <f>K64*'DY 22 &amp; DY 23 Assumptions'!$D$102</f>
        <v>985074.875</v>
      </c>
      <c r="M64" s="21">
        <f>L64*'DY 22 &amp; DY 23 Assumptions'!$D$102</f>
        <v>980149.50062499999</v>
      </c>
      <c r="N64" s="21">
        <f>M64*'DY 22 &amp; DY 23 Assumptions'!$D$102</f>
        <v>975248.75312187499</v>
      </c>
      <c r="O64" s="21">
        <f>N64*'DY 22 &amp; DY 23 Assumptions'!$D$102</f>
        <v>970372.50935626565</v>
      </c>
      <c r="P64" s="21">
        <f>O64*'DY 22 &amp; DY 23 Assumptions'!$D$102</f>
        <v>965520.64680948434</v>
      </c>
      <c r="Q64" s="21">
        <f>P64*'DY 22 &amp; DY 23 Assumptions'!$D$102</f>
        <v>960693.04357543692</v>
      </c>
      <c r="R64" s="21">
        <f>Q64*'DY 22 &amp; DY 23 Assumptions'!$D$102</f>
        <v>955889.57835755975</v>
      </c>
      <c r="S64" s="21">
        <f>R64*'DY 22 &amp; DY 23 Assumptions'!$D$102</f>
        <v>951110.13046577189</v>
      </c>
      <c r="T64" s="21">
        <f>S64*'DY 22 &amp; DY 23 Assumptions'!$D$102</f>
        <v>946354.57981344301</v>
      </c>
      <c r="U64" s="21">
        <f>T64*'DY 22 &amp; DY 23 Assumptions'!$D$102</f>
        <v>941622.80691437575</v>
      </c>
      <c r="V64" s="21">
        <f>U64*'DY 22 &amp; DY 23 Assumptions'!$D$102</f>
        <v>936914.69287980383</v>
      </c>
      <c r="W64" s="21">
        <f>V64*'DY 22 &amp; DY 23 Assumptions'!$D$102</f>
        <v>932230.11941540486</v>
      </c>
      <c r="X64" s="21">
        <f>W64*'DY 22 &amp; DY 23 Assumptions'!$D$102</f>
        <v>927568.96881832788</v>
      </c>
      <c r="Y64" s="21">
        <f>X64*'DY 22 &amp; DY 23 Assumptions'!$D$102</f>
        <v>922931.12397423619</v>
      </c>
      <c r="Z64" s="21">
        <f>Y64*'DY 22 &amp; DY 23 Assumptions'!$D$102</f>
        <v>918316.46835436497</v>
      </c>
    </row>
    <row r="65" spans="2:26" x14ac:dyDescent="0.3">
      <c r="B65" s="5" t="s">
        <v>42</v>
      </c>
      <c r="C65" s="119"/>
      <c r="D65" s="39"/>
      <c r="E65" s="145">
        <f>'Future Plan Assumptions'!C92</f>
        <v>65000</v>
      </c>
      <c r="F65" s="9"/>
      <c r="G65" s="21"/>
      <c r="H65" s="9"/>
      <c r="I65" s="21">
        <f>$E65</f>
        <v>65000</v>
      </c>
      <c r="J65" s="21">
        <f>I65*'DY 22 &amp; DY 23 Assumptions'!$D$102</f>
        <v>64675</v>
      </c>
      <c r="K65" s="21">
        <f>J65*'DY 22 &amp; DY 23 Assumptions'!$D$102</f>
        <v>64351.625</v>
      </c>
      <c r="L65" s="21">
        <f>K65*'DY 22 &amp; DY 23 Assumptions'!$D$102</f>
        <v>64029.866875</v>
      </c>
      <c r="M65" s="21">
        <f>L65*'DY 22 &amp; DY 23 Assumptions'!$D$102</f>
        <v>63709.717540625003</v>
      </c>
      <c r="N65" s="21">
        <f>M65*'DY 22 &amp; DY 23 Assumptions'!$D$102</f>
        <v>63391.168952921878</v>
      </c>
      <c r="O65" s="21">
        <f>N65*'DY 22 &amp; DY 23 Assumptions'!$D$102</f>
        <v>63074.213108157266</v>
      </c>
      <c r="P65" s="21">
        <f>O65*'DY 22 &amp; DY 23 Assumptions'!$D$102</f>
        <v>62758.842042616481</v>
      </c>
      <c r="Q65" s="21">
        <f>P65*'DY 22 &amp; DY 23 Assumptions'!$D$102</f>
        <v>62445.047832403397</v>
      </c>
      <c r="R65" s="21">
        <f>Q65*'DY 22 &amp; DY 23 Assumptions'!$D$102</f>
        <v>62132.822593241377</v>
      </c>
      <c r="S65" s="21">
        <f>R65*'DY 22 &amp; DY 23 Assumptions'!$D$102</f>
        <v>61822.158480275168</v>
      </c>
      <c r="T65" s="21">
        <f>S65*'DY 22 &amp; DY 23 Assumptions'!$D$102</f>
        <v>61513.04768787379</v>
      </c>
      <c r="U65" s="21">
        <f>T65*'DY 22 &amp; DY 23 Assumptions'!$D$102</f>
        <v>61205.482449434421</v>
      </c>
      <c r="V65" s="21">
        <f>U65*'DY 22 &amp; DY 23 Assumptions'!$D$102</f>
        <v>60899.455037187246</v>
      </c>
      <c r="W65" s="21">
        <f>V65*'DY 22 &amp; DY 23 Assumptions'!$D$102</f>
        <v>60594.957762001308</v>
      </c>
      <c r="X65" s="21">
        <f>W65*'DY 22 &amp; DY 23 Assumptions'!$D$102</f>
        <v>60291.982973191298</v>
      </c>
      <c r="Y65" s="21">
        <f>X65*'DY 22 &amp; DY 23 Assumptions'!$D$102</f>
        <v>59990.523058325343</v>
      </c>
      <c r="Z65" s="21">
        <f>Y65*'DY 22 &amp; DY 23 Assumptions'!$D$102</f>
        <v>59690.570443033714</v>
      </c>
    </row>
    <row r="67" spans="2:26" x14ac:dyDescent="0.3">
      <c r="B67" s="63" t="s">
        <v>247</v>
      </c>
    </row>
    <row r="68" spans="2:26" x14ac:dyDescent="0.3">
      <c r="B68" s="9"/>
    </row>
    <row r="69" spans="2:26" ht="15.6" x14ac:dyDescent="0.3">
      <c r="B69" s="1"/>
      <c r="C69" s="2" t="s">
        <v>244</v>
      </c>
      <c r="D69" s="2" t="s">
        <v>248</v>
      </c>
      <c r="E69" s="2" t="s">
        <v>123</v>
      </c>
      <c r="F69" s="2" t="s">
        <v>49</v>
      </c>
      <c r="G69" s="2" t="s">
        <v>50</v>
      </c>
      <c r="H69" s="2" t="s">
        <v>51</v>
      </c>
      <c r="I69" s="2" t="s">
        <v>52</v>
      </c>
      <c r="J69" s="2" t="s">
        <v>53</v>
      </c>
      <c r="K69" s="2" t="s">
        <v>54</v>
      </c>
      <c r="L69" s="2" t="s">
        <v>55</v>
      </c>
      <c r="M69" s="2" t="s">
        <v>56</v>
      </c>
      <c r="N69" s="2" t="s">
        <v>57</v>
      </c>
      <c r="O69" s="2" t="s">
        <v>58</v>
      </c>
      <c r="P69" s="2" t="s">
        <v>59</v>
      </c>
      <c r="Q69" s="2" t="s">
        <v>60</v>
      </c>
      <c r="R69" s="2" t="s">
        <v>61</v>
      </c>
      <c r="S69" s="2" t="s">
        <v>62</v>
      </c>
      <c r="T69" s="2" t="s">
        <v>63</v>
      </c>
      <c r="U69" s="2" t="s">
        <v>64</v>
      </c>
      <c r="V69" s="2" t="s">
        <v>65</v>
      </c>
      <c r="W69" s="2" t="s">
        <v>66</v>
      </c>
      <c r="X69" s="2" t="s">
        <v>67</v>
      </c>
      <c r="Y69" s="2" t="s">
        <v>250</v>
      </c>
      <c r="Z69" s="2" t="s">
        <v>251</v>
      </c>
    </row>
    <row r="70" spans="2:26" ht="15.6" x14ac:dyDescent="0.3">
      <c r="B70" s="29" t="s">
        <v>246</v>
      </c>
      <c r="C70" s="2"/>
      <c r="D70" s="2"/>
      <c r="E70" s="15">
        <f>SUM(E73:E129)</f>
        <v>3808242174.1430469</v>
      </c>
      <c r="F70" s="72"/>
      <c r="G70" s="2"/>
      <c r="H70" s="2"/>
      <c r="I70" s="2"/>
      <c r="J70" s="2"/>
      <c r="K70" s="2"/>
      <c r="L70" s="2"/>
      <c r="M70" s="2"/>
      <c r="N70" s="2"/>
      <c r="O70" s="2"/>
      <c r="P70" s="2"/>
      <c r="Q70" s="2"/>
      <c r="R70" s="2"/>
      <c r="S70" s="2"/>
      <c r="T70" s="2"/>
      <c r="U70" s="2"/>
      <c r="V70" s="2"/>
      <c r="W70" s="2"/>
      <c r="X70" s="2"/>
      <c r="Y70" s="2"/>
      <c r="Z70" s="2"/>
    </row>
    <row r="71" spans="2:26" x14ac:dyDescent="0.3">
      <c r="B71" s="3" t="s">
        <v>4</v>
      </c>
      <c r="C71" s="37">
        <f>C73+C80+C93+C96+C111+C114</f>
        <v>667000</v>
      </c>
      <c r="D71" s="4"/>
      <c r="E71" s="15">
        <f>SUM(F71:Z71)</f>
        <v>3808242174.1430459</v>
      </c>
      <c r="F71" s="15">
        <f t="shared" ref="F71:Z71" si="9">F75+F76+F78+F79+F82+F83+F84+F85+F88+F89+F90+F91+H127+H128+H129+F94+F95+F98+F99+F100+F101+F102+F105+F106+F107+F108+F109+F112+F113+F116+F117+F118+F119+F122+F123+F124+F125</f>
        <v>178736474.90878084</v>
      </c>
      <c r="G71" s="15">
        <f t="shared" si="9"/>
        <v>222871983.44201076</v>
      </c>
      <c r="H71" s="15">
        <f t="shared" si="9"/>
        <v>222025289.32342213</v>
      </c>
      <c r="I71" s="15">
        <f t="shared" si="9"/>
        <v>221526215.43575668</v>
      </c>
      <c r="J71" s="15">
        <f t="shared" si="9"/>
        <v>221029636.91752949</v>
      </c>
      <c r="K71" s="15">
        <f t="shared" si="9"/>
        <v>220535541.29189357</v>
      </c>
      <c r="L71" s="15">
        <f t="shared" si="9"/>
        <v>220043916.14438573</v>
      </c>
      <c r="M71" s="15">
        <f t="shared" si="9"/>
        <v>197155696.80526355</v>
      </c>
      <c r="N71" s="15">
        <f t="shared" si="9"/>
        <v>190802066.14562345</v>
      </c>
      <c r="O71" s="15">
        <f t="shared" si="9"/>
        <v>190317778.5648953</v>
      </c>
      <c r="P71" s="15">
        <f t="shared" si="9"/>
        <v>189835912.42207083</v>
      </c>
      <c r="Q71" s="15">
        <f t="shared" si="9"/>
        <v>189356455.60996047</v>
      </c>
      <c r="R71" s="15">
        <f t="shared" si="9"/>
        <v>188879396.0819107</v>
      </c>
      <c r="S71" s="15">
        <f t="shared" si="9"/>
        <v>188404721.85150114</v>
      </c>
      <c r="T71" s="15">
        <f t="shared" si="9"/>
        <v>187932420.99224365</v>
      </c>
      <c r="U71" s="15">
        <f t="shared" si="9"/>
        <v>187462481.6372824</v>
      </c>
      <c r="V71" s="15">
        <f t="shared" si="9"/>
        <v>186994891.97909597</v>
      </c>
      <c r="W71" s="15">
        <f t="shared" si="9"/>
        <v>186529640.2692005</v>
      </c>
      <c r="X71" s="15">
        <f t="shared" si="9"/>
        <v>186066714.81785446</v>
      </c>
      <c r="Y71" s="15">
        <f t="shared" si="9"/>
        <v>19387471.583649989</v>
      </c>
      <c r="Z71" s="15">
        <f t="shared" si="9"/>
        <v>12347467.918714685</v>
      </c>
    </row>
    <row r="72" spans="2:26" x14ac:dyDescent="0.3">
      <c r="B72" s="3" t="s">
        <v>5</v>
      </c>
      <c r="C72" s="37">
        <f>C75+C76+C78+C79+C82+C83+C84+C85+C88+C89+C90+C91+C94+C95+C98+C99+C100+C101+C102+C105+C106+C107+C108+C109+C112+C113+C116+C117+C118+C119+C122+C123+C124+C125</f>
        <v>666999.82895956747</v>
      </c>
      <c r="D72" s="25"/>
      <c r="E72" s="24">
        <f t="shared" ref="E72:Z72" si="10">E73+E80+E93+E96+E111+E114</f>
        <v>752397356.16609573</v>
      </c>
      <c r="F72" s="24">
        <f t="shared" si="10"/>
        <v>178736474.90878087</v>
      </c>
      <c r="G72" s="24">
        <f t="shared" si="10"/>
        <v>49829136.44201076</v>
      </c>
      <c r="H72" s="24">
        <f t="shared" si="10"/>
        <v>49377933.808422133</v>
      </c>
      <c r="I72" s="24">
        <f t="shared" si="10"/>
        <v>49272373.948331676</v>
      </c>
      <c r="J72" s="24">
        <f t="shared" si="10"/>
        <v>49167341.887541667</v>
      </c>
      <c r="K72" s="24">
        <f t="shared" si="10"/>
        <v>49062834.987055615</v>
      </c>
      <c r="L72" s="24">
        <f t="shared" si="10"/>
        <v>48958850.621071987</v>
      </c>
      <c r="M72" s="24">
        <f t="shared" si="10"/>
        <v>26456333.859566402</v>
      </c>
      <c r="N72" s="24">
        <f t="shared" si="10"/>
        <v>20486477.264654737</v>
      </c>
      <c r="O72" s="24">
        <f t="shared" si="10"/>
        <v>20384044.878331464</v>
      </c>
      <c r="P72" s="24">
        <f t="shared" si="10"/>
        <v>20282124.653939806</v>
      </c>
      <c r="Q72" s="24">
        <f t="shared" si="10"/>
        <v>20180714.030670106</v>
      </c>
      <c r="R72" s="24">
        <f t="shared" si="10"/>
        <v>20079810.460516758</v>
      </c>
      <c r="S72" s="24">
        <f t="shared" si="10"/>
        <v>19979411.408214174</v>
      </c>
      <c r="T72" s="24">
        <f t="shared" si="10"/>
        <v>19879514.351173099</v>
      </c>
      <c r="U72" s="24">
        <f t="shared" si="10"/>
        <v>19780116.779417235</v>
      </c>
      <c r="V72" s="24">
        <f t="shared" si="10"/>
        <v>19681216.195520151</v>
      </c>
      <c r="W72" s="24">
        <f t="shared" si="10"/>
        <v>19582810.114542551</v>
      </c>
      <c r="X72" s="24">
        <f t="shared" si="10"/>
        <v>19484896.063969836</v>
      </c>
      <c r="Y72" s="24">
        <f t="shared" si="10"/>
        <v>19387471.583649985</v>
      </c>
      <c r="Z72" s="24">
        <f t="shared" si="10"/>
        <v>12347467.918714685</v>
      </c>
    </row>
    <row r="73" spans="2:26" x14ac:dyDescent="0.3">
      <c r="B73" s="5" t="s">
        <v>6</v>
      </c>
      <c r="C73" s="6">
        <f>'Future Plan Assumptions'!C6</f>
        <v>133400</v>
      </c>
      <c r="D73" s="7"/>
      <c r="E73" s="24">
        <f>SUM(F73:AA73)</f>
        <v>147344631.33522782</v>
      </c>
      <c r="F73" s="68">
        <f t="shared" ref="F73:Z73" si="11">F75+F76+F78+F79</f>
        <v>147344631.33522782</v>
      </c>
      <c r="G73" s="68">
        <f t="shared" si="11"/>
        <v>0</v>
      </c>
      <c r="H73" s="68">
        <f t="shared" si="11"/>
        <v>0</v>
      </c>
      <c r="I73" s="68">
        <f t="shared" si="11"/>
        <v>0</v>
      </c>
      <c r="J73" s="68">
        <f t="shared" si="11"/>
        <v>0</v>
      </c>
      <c r="K73" s="68">
        <f t="shared" si="11"/>
        <v>0</v>
      </c>
      <c r="L73" s="68">
        <f t="shared" si="11"/>
        <v>0</v>
      </c>
      <c r="M73" s="68">
        <f t="shared" si="11"/>
        <v>0</v>
      </c>
      <c r="N73" s="68">
        <f t="shared" si="11"/>
        <v>0</v>
      </c>
      <c r="O73" s="68">
        <f t="shared" si="11"/>
        <v>0</v>
      </c>
      <c r="P73" s="68">
        <f t="shared" si="11"/>
        <v>0</v>
      </c>
      <c r="Q73" s="68">
        <f t="shared" si="11"/>
        <v>0</v>
      </c>
      <c r="R73" s="68">
        <f t="shared" si="11"/>
        <v>0</v>
      </c>
      <c r="S73" s="68">
        <f t="shared" si="11"/>
        <v>0</v>
      </c>
      <c r="T73" s="68">
        <f t="shared" si="11"/>
        <v>0</v>
      </c>
      <c r="U73" s="68">
        <f t="shared" si="11"/>
        <v>0</v>
      </c>
      <c r="V73" s="68">
        <f t="shared" si="11"/>
        <v>0</v>
      </c>
      <c r="W73" s="68">
        <f t="shared" si="11"/>
        <v>0</v>
      </c>
      <c r="X73" s="68">
        <f t="shared" si="11"/>
        <v>0</v>
      </c>
      <c r="Y73" s="68">
        <f t="shared" si="11"/>
        <v>0</v>
      </c>
      <c r="Z73" s="68">
        <f t="shared" si="11"/>
        <v>0</v>
      </c>
    </row>
    <row r="74" spans="2:26" x14ac:dyDescent="0.3">
      <c r="B74" s="1" t="s">
        <v>7</v>
      </c>
      <c r="C74" s="46">
        <f>'Future Plan Assumptions'!C7</f>
        <v>40020</v>
      </c>
      <c r="D74" s="16"/>
      <c r="E74" s="1"/>
      <c r="F74" s="65"/>
      <c r="G74" s="16"/>
      <c r="H74" s="16"/>
      <c r="I74" s="16"/>
      <c r="J74" s="16"/>
      <c r="K74" s="16"/>
      <c r="L74" s="16"/>
      <c r="M74" s="16"/>
      <c r="N74" s="16"/>
      <c r="O74" s="16"/>
      <c r="P74" s="16"/>
      <c r="Q74" s="16"/>
      <c r="R74" s="16"/>
      <c r="S74" s="16"/>
      <c r="T74" s="16"/>
      <c r="U74" s="16"/>
      <c r="V74" s="16"/>
      <c r="W74" s="16"/>
      <c r="X74" s="16"/>
      <c r="Y74" s="16"/>
      <c r="Z74" s="16"/>
    </row>
    <row r="75" spans="2:26" x14ac:dyDescent="0.3">
      <c r="B75" s="9" t="s">
        <v>8</v>
      </c>
      <c r="C75" s="6">
        <f>'Future Plan Assumptions'!C8</f>
        <v>15207.6</v>
      </c>
      <c r="D75" s="18">
        <f>'Future Plan Assumptions'!G8</f>
        <v>66.325248000000002</v>
      </c>
      <c r="E75" s="9"/>
      <c r="F75" s="69">
        <f>E11*D75</f>
        <v>19051009.554390103</v>
      </c>
      <c r="G75" s="17"/>
      <c r="H75" s="17"/>
      <c r="I75" s="17"/>
      <c r="J75" s="17"/>
      <c r="K75" s="17"/>
      <c r="L75" s="17"/>
      <c r="M75" s="17"/>
      <c r="N75" s="17"/>
      <c r="O75" s="17"/>
      <c r="P75" s="17"/>
      <c r="Q75" s="17"/>
      <c r="R75" s="17"/>
      <c r="S75" s="17"/>
      <c r="T75" s="17"/>
      <c r="U75" s="17"/>
      <c r="V75" s="17"/>
      <c r="W75" s="17">
        <f>'Reopening Activities'!V11*$D75</f>
        <v>0</v>
      </c>
      <c r="X75" s="17">
        <f>'Reopening Activities'!W11*$D75</f>
        <v>0</v>
      </c>
      <c r="Y75" s="17">
        <f>'Reopening Activities'!X11*$D75</f>
        <v>0</v>
      </c>
      <c r="Z75" s="17">
        <f>'Reopening Activities'!Y11*$D75</f>
        <v>0</v>
      </c>
    </row>
    <row r="76" spans="2:26" x14ac:dyDescent="0.3">
      <c r="B76" s="9" t="s">
        <v>9</v>
      </c>
      <c r="C76" s="6">
        <f>'Future Plan Assumptions'!C9</f>
        <v>24812.400000000001</v>
      </c>
      <c r="D76" s="18">
        <f>'Future Plan Assumptions'!G9</f>
        <v>56.086272000000001</v>
      </c>
      <c r="E76" s="9"/>
      <c r="F76" s="69">
        <f>E12*D76</f>
        <v>26719175.076466415</v>
      </c>
      <c r="G76" s="17"/>
      <c r="H76" s="17"/>
      <c r="I76" s="17"/>
      <c r="J76" s="17"/>
      <c r="K76" s="17"/>
      <c r="L76" s="17"/>
      <c r="M76" s="17"/>
      <c r="N76" s="17"/>
      <c r="O76" s="17"/>
      <c r="P76" s="17"/>
      <c r="Q76" s="17"/>
      <c r="R76" s="17"/>
      <c r="S76" s="17"/>
      <c r="T76" s="17"/>
      <c r="U76" s="17"/>
      <c r="V76" s="17"/>
      <c r="W76" s="17">
        <f>'Reopening Activities'!V12*$D76</f>
        <v>0</v>
      </c>
      <c r="X76" s="17">
        <f>'Reopening Activities'!W12*$D76</f>
        <v>0</v>
      </c>
      <c r="Y76" s="17">
        <f>'Reopening Activities'!X12*$D76</f>
        <v>0</v>
      </c>
      <c r="Z76" s="17">
        <f>'Reopening Activities'!Y12*$D76</f>
        <v>0</v>
      </c>
    </row>
    <row r="77" spans="2:26" x14ac:dyDescent="0.3">
      <c r="B77" s="1" t="s">
        <v>10</v>
      </c>
      <c r="C77" s="46">
        <f>'Future Plan Assumptions'!C10</f>
        <v>93380</v>
      </c>
      <c r="D77" s="14"/>
      <c r="E77" s="1"/>
      <c r="F77" s="123"/>
      <c r="G77" s="16"/>
      <c r="H77" s="16"/>
      <c r="I77" s="16"/>
      <c r="J77" s="16"/>
      <c r="K77" s="16"/>
      <c r="L77" s="16"/>
      <c r="M77" s="16"/>
      <c r="N77" s="16"/>
      <c r="O77" s="16"/>
      <c r="P77" s="16"/>
      <c r="Q77" s="16"/>
      <c r="R77" s="16"/>
      <c r="S77" s="16"/>
      <c r="T77" s="16"/>
      <c r="U77" s="16"/>
      <c r="V77" s="16"/>
      <c r="W77" s="16"/>
      <c r="X77" s="16"/>
      <c r="Y77" s="16"/>
      <c r="Z77" s="16"/>
    </row>
    <row r="78" spans="2:26" x14ac:dyDescent="0.3">
      <c r="B78" s="9" t="s">
        <v>11</v>
      </c>
      <c r="C78" s="6">
        <f>'Future Plan Assumptions'!C11</f>
        <v>35484.400000000001</v>
      </c>
      <c r="D78" s="18">
        <f>'Future Plan Assumptions'!G11</f>
        <v>69.510143999999997</v>
      </c>
      <c r="E78" s="9"/>
      <c r="F78" s="69">
        <f>E14*D78</f>
        <v>42145458.432251386</v>
      </c>
      <c r="G78" s="17"/>
      <c r="H78" s="17"/>
      <c r="I78" s="17"/>
      <c r="J78" s="17"/>
      <c r="K78" s="17"/>
      <c r="L78" s="17"/>
      <c r="M78" s="17"/>
      <c r="N78" s="17"/>
      <c r="O78" s="17"/>
      <c r="P78" s="17"/>
      <c r="Q78" s="17"/>
      <c r="R78" s="17"/>
      <c r="S78" s="17"/>
      <c r="T78" s="17"/>
      <c r="U78" s="17"/>
      <c r="V78" s="17"/>
      <c r="W78" s="17">
        <f>'Reopening Activities'!V14*$D78</f>
        <v>0</v>
      </c>
      <c r="X78" s="17">
        <f>'Reopening Activities'!W14*$D78</f>
        <v>0</v>
      </c>
      <c r="Y78" s="17">
        <f>'Reopening Activities'!X14*$D78</f>
        <v>0</v>
      </c>
      <c r="Z78" s="17">
        <f>'Reopening Activities'!Y14*$D78</f>
        <v>0</v>
      </c>
    </row>
    <row r="79" spans="2:26" x14ac:dyDescent="0.3">
      <c r="B79" s="9" t="s">
        <v>9</v>
      </c>
      <c r="C79" s="6">
        <f>'Future Plan Assumptions'!C12</f>
        <v>57895.6</v>
      </c>
      <c r="D79" s="18">
        <f>'Future Plan Assumptions'!G12</f>
        <v>60.732671999999994</v>
      </c>
      <c r="E79" s="9"/>
      <c r="F79" s="69">
        <f>E15*D79</f>
        <v>59428988.27211991</v>
      </c>
      <c r="G79" s="17"/>
      <c r="H79" s="17"/>
      <c r="I79" s="17"/>
      <c r="J79" s="17"/>
      <c r="K79" s="17"/>
      <c r="L79" s="17"/>
      <c r="M79" s="17"/>
      <c r="N79" s="17"/>
      <c r="O79" s="17"/>
      <c r="P79" s="17"/>
      <c r="Q79" s="17"/>
      <c r="R79" s="17"/>
      <c r="S79" s="17"/>
      <c r="T79" s="17"/>
      <c r="U79" s="17"/>
      <c r="V79" s="17"/>
      <c r="W79" s="17">
        <f>'Reopening Activities'!V15*$D79</f>
        <v>0</v>
      </c>
      <c r="X79" s="17">
        <f>'Reopening Activities'!W15*$D79</f>
        <v>0</v>
      </c>
      <c r="Y79" s="17">
        <f>'Reopening Activities'!X15*$D79</f>
        <v>0</v>
      </c>
      <c r="Z79" s="17">
        <f>'Reopening Activities'!Y15*$D79</f>
        <v>0</v>
      </c>
    </row>
    <row r="80" spans="2:26" x14ac:dyDescent="0.3">
      <c r="B80" s="5" t="s">
        <v>12</v>
      </c>
      <c r="C80" s="6">
        <f>'Future Plan Assumptions'!C13</f>
        <v>133400</v>
      </c>
      <c r="D80" s="7"/>
      <c r="E80" s="24">
        <f>SUM(F80:AA80)</f>
        <v>105407305.02283238</v>
      </c>
      <c r="F80" s="40">
        <f t="shared" ref="F80:Z80" si="12">SUM(F82:F91)</f>
        <v>15811095.753424857</v>
      </c>
      <c r="G80" s="40">
        <f t="shared" si="12"/>
        <v>14932701.544901256</v>
      </c>
      <c r="H80" s="40">
        <f t="shared" si="12"/>
        <v>14932701.544901256</v>
      </c>
      <c r="I80" s="40">
        <f t="shared" si="12"/>
        <v>14932701.544901256</v>
      </c>
      <c r="J80" s="40">
        <f t="shared" si="12"/>
        <v>14932701.544901256</v>
      </c>
      <c r="K80" s="40">
        <f t="shared" si="12"/>
        <v>14932701.544901256</v>
      </c>
      <c r="L80" s="40">
        <f t="shared" si="12"/>
        <v>14932701.544901256</v>
      </c>
      <c r="M80" s="40">
        <f t="shared" si="12"/>
        <v>0</v>
      </c>
      <c r="N80" s="40">
        <f t="shared" si="12"/>
        <v>0</v>
      </c>
      <c r="O80" s="40">
        <f t="shared" si="12"/>
        <v>0</v>
      </c>
      <c r="P80" s="40">
        <f t="shared" si="12"/>
        <v>0</v>
      </c>
      <c r="Q80" s="40">
        <f t="shared" si="12"/>
        <v>0</v>
      </c>
      <c r="R80" s="40">
        <f t="shared" si="12"/>
        <v>0</v>
      </c>
      <c r="S80" s="40">
        <f t="shared" si="12"/>
        <v>0</v>
      </c>
      <c r="T80" s="40">
        <f t="shared" si="12"/>
        <v>0</v>
      </c>
      <c r="U80" s="40">
        <f t="shared" si="12"/>
        <v>0</v>
      </c>
      <c r="V80" s="40">
        <f t="shared" si="12"/>
        <v>0</v>
      </c>
      <c r="W80" s="40">
        <f t="shared" si="12"/>
        <v>0</v>
      </c>
      <c r="X80" s="40">
        <f t="shared" si="12"/>
        <v>0</v>
      </c>
      <c r="Y80" s="40">
        <f t="shared" si="12"/>
        <v>0</v>
      </c>
      <c r="Z80" s="40">
        <f t="shared" si="12"/>
        <v>0</v>
      </c>
    </row>
    <row r="81" spans="2:26" x14ac:dyDescent="0.3">
      <c r="B81" s="1" t="s">
        <v>13</v>
      </c>
      <c r="C81" s="46">
        <f>'Future Plan Assumptions'!C14</f>
        <v>40020</v>
      </c>
      <c r="D81" s="14"/>
      <c r="E81" s="1"/>
      <c r="F81" s="16"/>
      <c r="G81" s="16"/>
      <c r="H81" s="16"/>
      <c r="I81" s="16"/>
      <c r="J81" s="16"/>
      <c r="K81" s="16"/>
      <c r="L81" s="16"/>
      <c r="M81" s="16"/>
      <c r="N81" s="16"/>
      <c r="O81" s="16"/>
      <c r="P81" s="16"/>
      <c r="Q81" s="16"/>
      <c r="R81" s="16"/>
      <c r="S81" s="16"/>
      <c r="T81" s="16"/>
      <c r="U81" s="16"/>
      <c r="V81" s="16"/>
      <c r="W81" s="16"/>
      <c r="X81" s="16"/>
      <c r="Y81" s="16"/>
      <c r="Z81" s="16"/>
    </row>
    <row r="82" spans="2:26" x14ac:dyDescent="0.3">
      <c r="B82" s="9" t="s">
        <v>14</v>
      </c>
      <c r="C82" s="6">
        <f>'Future Plan Assumptions'!C15</f>
        <v>3305.2461204279521</v>
      </c>
      <c r="D82" s="18">
        <f>'Future Plan Assumptions'!G15</f>
        <v>48.947712000000003</v>
      </c>
      <c r="E82" s="9"/>
      <c r="F82" s="17">
        <f>(E18*D82)*0.15</f>
        <v>467998.10304976895</v>
      </c>
      <c r="G82" s="17">
        <f>((E18*D82)-F82)/6</f>
        <v>441998.20843589288</v>
      </c>
      <c r="H82" s="17">
        <f t="shared" ref="H82:L85" si="13">G82</f>
        <v>441998.20843589288</v>
      </c>
      <c r="I82" s="17">
        <f t="shared" si="13"/>
        <v>441998.20843589288</v>
      </c>
      <c r="J82" s="17">
        <f t="shared" si="13"/>
        <v>441998.20843589288</v>
      </c>
      <c r="K82" s="17">
        <f t="shared" si="13"/>
        <v>441998.20843589288</v>
      </c>
      <c r="L82" s="17">
        <f t="shared" si="13"/>
        <v>441998.20843589288</v>
      </c>
      <c r="M82" s="17"/>
      <c r="N82" s="17"/>
      <c r="O82" s="17"/>
      <c r="P82" s="17"/>
      <c r="Q82" s="17"/>
      <c r="R82" s="17"/>
      <c r="S82" s="17"/>
      <c r="T82" s="17"/>
      <c r="U82" s="17"/>
      <c r="V82" s="17"/>
      <c r="W82" s="17">
        <f>'Reopening Activities'!V18*$D82</f>
        <v>0</v>
      </c>
      <c r="X82" s="17">
        <f>'Reopening Activities'!W18*$D82</f>
        <v>0</v>
      </c>
      <c r="Y82" s="17">
        <f>'Reopening Activities'!X18*$D82</f>
        <v>0</v>
      </c>
      <c r="Z82" s="17">
        <f>'Reopening Activities'!Y18*$D82</f>
        <v>0</v>
      </c>
    </row>
    <row r="83" spans="2:26" x14ac:dyDescent="0.3">
      <c r="B83" s="9" t="s">
        <v>15</v>
      </c>
      <c r="C83" s="6">
        <f>'Future Plan Assumptions'!C16</f>
        <v>2553.1450264857485</v>
      </c>
      <c r="D83" s="18">
        <f>'Future Plan Assumptions'!G16</f>
        <v>49.716480000000004</v>
      </c>
      <c r="E83" s="9"/>
      <c r="F83" s="17">
        <f>(E19*D83)*0.15</f>
        <v>358050.91197796358</v>
      </c>
      <c r="G83" s="17">
        <f>((E19*D83)-F83)/6</f>
        <v>338159.19464585447</v>
      </c>
      <c r="H83" s="17">
        <f t="shared" si="13"/>
        <v>338159.19464585447</v>
      </c>
      <c r="I83" s="17">
        <f t="shared" si="13"/>
        <v>338159.19464585447</v>
      </c>
      <c r="J83" s="17">
        <f t="shared" si="13"/>
        <v>338159.19464585447</v>
      </c>
      <c r="K83" s="17">
        <f t="shared" si="13"/>
        <v>338159.19464585447</v>
      </c>
      <c r="L83" s="17">
        <f t="shared" si="13"/>
        <v>338159.19464585447</v>
      </c>
      <c r="M83" s="17"/>
      <c r="N83" s="17"/>
      <c r="O83" s="17"/>
      <c r="P83" s="17"/>
      <c r="Q83" s="17"/>
      <c r="R83" s="17"/>
      <c r="S83" s="17"/>
      <c r="T83" s="17"/>
      <c r="U83" s="17"/>
      <c r="V83" s="17"/>
      <c r="W83" s="17">
        <f>'Reopening Activities'!V19*$D83</f>
        <v>0</v>
      </c>
      <c r="X83" s="17">
        <f>'Reopening Activities'!W19*$D83</f>
        <v>0</v>
      </c>
      <c r="Y83" s="17">
        <f>'Reopening Activities'!X19*$D83</f>
        <v>0</v>
      </c>
      <c r="Z83" s="17">
        <f>'Reopening Activities'!Y19*$D83</f>
        <v>0</v>
      </c>
    </row>
    <row r="84" spans="2:26" x14ac:dyDescent="0.3">
      <c r="B84" s="9" t="s">
        <v>16</v>
      </c>
      <c r="C84" s="6">
        <f>'Future Plan Assumptions'!C17</f>
        <v>5926.6545474380619</v>
      </c>
      <c r="D84" s="18">
        <f>'Future Plan Assumptions'!G17</f>
        <v>44.225280000000005</v>
      </c>
      <c r="E84" s="9"/>
      <c r="F84" s="17">
        <f>(E20*D84)*0.15</f>
        <v>763496.08132764965</v>
      </c>
      <c r="G84" s="17">
        <f>((E20*D84)-F84)/6</f>
        <v>721079.63236500241</v>
      </c>
      <c r="H84" s="17">
        <f t="shared" si="13"/>
        <v>721079.63236500241</v>
      </c>
      <c r="I84" s="17">
        <f t="shared" si="13"/>
        <v>721079.63236500241</v>
      </c>
      <c r="J84" s="17">
        <f t="shared" si="13"/>
        <v>721079.63236500241</v>
      </c>
      <c r="K84" s="17">
        <f t="shared" si="13"/>
        <v>721079.63236500241</v>
      </c>
      <c r="L84" s="17">
        <f t="shared" si="13"/>
        <v>721079.63236500241</v>
      </c>
      <c r="M84" s="17"/>
      <c r="N84" s="17"/>
      <c r="O84" s="17"/>
      <c r="P84" s="17"/>
      <c r="Q84" s="17"/>
      <c r="R84" s="17"/>
      <c r="S84" s="17"/>
      <c r="T84" s="17"/>
      <c r="U84" s="17"/>
      <c r="V84" s="17"/>
      <c r="W84" s="17">
        <f>'Reopening Activities'!V20*$D84</f>
        <v>0</v>
      </c>
      <c r="X84" s="17">
        <f>'Reopening Activities'!W20*$D84</f>
        <v>0</v>
      </c>
      <c r="Y84" s="17">
        <f>'Reopening Activities'!X20*$D84</f>
        <v>0</v>
      </c>
      <c r="Z84" s="17">
        <f>'Reopening Activities'!Y20*$D84</f>
        <v>0</v>
      </c>
    </row>
    <row r="85" spans="2:26" x14ac:dyDescent="0.3">
      <c r="B85" s="9" t="s">
        <v>20</v>
      </c>
      <c r="C85" s="6">
        <f>'Future Plan Assumptions'!C18</f>
        <v>28234.872699670323</v>
      </c>
      <c r="D85" s="18">
        <f>'Future Plan Assumptions'!G18</f>
        <v>42.594815999999994</v>
      </c>
      <c r="E85" s="9"/>
      <c r="F85" s="17">
        <f>(E21*D85)*0.15</f>
        <v>3299033.5165560991</v>
      </c>
      <c r="G85" s="17">
        <f>((E21*D85)-F85)/6</f>
        <v>3115753.876747427</v>
      </c>
      <c r="H85" s="17">
        <f t="shared" si="13"/>
        <v>3115753.876747427</v>
      </c>
      <c r="I85" s="17">
        <f t="shared" si="13"/>
        <v>3115753.876747427</v>
      </c>
      <c r="J85" s="17">
        <f t="shared" si="13"/>
        <v>3115753.876747427</v>
      </c>
      <c r="K85" s="17">
        <f t="shared" si="13"/>
        <v>3115753.876747427</v>
      </c>
      <c r="L85" s="17">
        <f t="shared" si="13"/>
        <v>3115753.876747427</v>
      </c>
      <c r="M85" s="17"/>
      <c r="N85" s="17"/>
      <c r="O85" s="17"/>
      <c r="P85" s="17"/>
      <c r="Q85" s="17"/>
      <c r="R85" s="17"/>
      <c r="S85" s="17"/>
      <c r="T85" s="17"/>
      <c r="U85" s="17"/>
      <c r="V85" s="17"/>
      <c r="W85" s="17">
        <f>'Reopening Activities'!V21*$D85</f>
        <v>0</v>
      </c>
      <c r="X85" s="17">
        <f>'Reopening Activities'!W21*$D85</f>
        <v>0</v>
      </c>
      <c r="Y85" s="17">
        <f>'Reopening Activities'!X21*$D85</f>
        <v>0</v>
      </c>
      <c r="Z85" s="17">
        <f>'Reopening Activities'!Y21*$D85</f>
        <v>0</v>
      </c>
    </row>
    <row r="86" spans="2:26" x14ac:dyDescent="0.3">
      <c r="B86" s="9" t="s">
        <v>79</v>
      </c>
      <c r="C86" s="6">
        <f>'Future Plan Assumptions'!C19</f>
        <v>0</v>
      </c>
      <c r="D86" s="18">
        <f>'Future Plan Assumptions'!G19</f>
        <v>34.552319999999995</v>
      </c>
      <c r="E86" s="9"/>
      <c r="F86" s="17"/>
      <c r="G86" s="17"/>
      <c r="H86" s="17"/>
      <c r="I86" s="17"/>
      <c r="J86" s="17"/>
      <c r="K86" s="17"/>
      <c r="L86" s="17"/>
      <c r="M86" s="17"/>
      <c r="N86" s="17"/>
      <c r="O86" s="17"/>
      <c r="P86" s="17"/>
      <c r="Q86" s="17"/>
      <c r="R86" s="17"/>
      <c r="S86" s="17"/>
      <c r="T86" s="17"/>
      <c r="U86" s="17"/>
      <c r="V86" s="17"/>
      <c r="W86" s="17"/>
      <c r="X86" s="17"/>
      <c r="Y86" s="17"/>
      <c r="Z86" s="17"/>
    </row>
    <row r="87" spans="2:26" x14ac:dyDescent="0.3">
      <c r="B87" s="1" t="s">
        <v>18</v>
      </c>
      <c r="C87" s="46">
        <f>'Future Plan Assumptions'!C20</f>
        <v>93380</v>
      </c>
      <c r="D87" s="14"/>
      <c r="E87" s="1"/>
      <c r="F87" s="122"/>
      <c r="G87" s="122"/>
      <c r="H87" s="16"/>
      <c r="I87" s="16"/>
      <c r="J87" s="16"/>
      <c r="K87" s="16"/>
      <c r="L87" s="16"/>
      <c r="M87" s="16"/>
      <c r="N87" s="16"/>
      <c r="O87" s="16"/>
      <c r="P87" s="16"/>
      <c r="Q87" s="16"/>
      <c r="R87" s="16"/>
      <c r="S87" s="16"/>
      <c r="T87" s="16"/>
      <c r="U87" s="16"/>
      <c r="V87" s="16"/>
      <c r="W87" s="16"/>
      <c r="X87" s="16"/>
      <c r="Y87" s="16"/>
      <c r="Z87" s="16"/>
    </row>
    <row r="88" spans="2:26" x14ac:dyDescent="0.3">
      <c r="B88" s="9" t="s">
        <v>19</v>
      </c>
      <c r="C88" s="6">
        <f>'Future Plan Assumptions'!C21</f>
        <v>3531.4549095663756</v>
      </c>
      <c r="D88" s="18">
        <f>'Future Plan Assumptions'!G21</f>
        <v>52.571903999999996</v>
      </c>
      <c r="E88" s="9"/>
      <c r="F88" s="17">
        <f>(E24*D88)*0.15</f>
        <v>505563.39477741852</v>
      </c>
      <c r="G88" s="17">
        <f>((E24*D88)-F88)/6</f>
        <v>477476.53951200639</v>
      </c>
      <c r="H88" s="17">
        <f t="shared" ref="H88:L91" si="14">G88</f>
        <v>477476.53951200639</v>
      </c>
      <c r="I88" s="17">
        <f t="shared" si="14"/>
        <v>477476.53951200639</v>
      </c>
      <c r="J88" s="17">
        <f t="shared" si="14"/>
        <v>477476.53951200639</v>
      </c>
      <c r="K88" s="17">
        <f t="shared" si="14"/>
        <v>477476.53951200639</v>
      </c>
      <c r="L88" s="17">
        <f t="shared" si="14"/>
        <v>477476.53951200639</v>
      </c>
      <c r="M88" s="17"/>
      <c r="N88" s="17"/>
      <c r="O88" s="17"/>
      <c r="P88" s="17"/>
      <c r="Q88" s="17"/>
      <c r="R88" s="17"/>
      <c r="S88" s="17"/>
      <c r="T88" s="17"/>
      <c r="U88" s="17"/>
      <c r="V88" s="17"/>
      <c r="W88" s="17">
        <f>'Reopening Activities'!V23*$D88</f>
        <v>0</v>
      </c>
      <c r="X88" s="17">
        <f>'Reopening Activities'!W23*$D88</f>
        <v>0</v>
      </c>
      <c r="Y88" s="17">
        <f>'Reopening Activities'!X23*$D88</f>
        <v>0</v>
      </c>
      <c r="Z88" s="17">
        <f>'Reopening Activities'!Y23*$D88</f>
        <v>0</v>
      </c>
    </row>
    <row r="89" spans="2:26" x14ac:dyDescent="0.3">
      <c r="B89" s="9" t="s">
        <v>15</v>
      </c>
      <c r="C89" s="6">
        <f>'Future Plan Assumptions'!C22</f>
        <v>2749.9472612294699</v>
      </c>
      <c r="D89" s="18">
        <f>'Future Plan Assumptions'!G22</f>
        <v>49.860095999999999</v>
      </c>
      <c r="E89" s="9"/>
      <c r="F89" s="17">
        <f>(E25*D89)*0.15</f>
        <v>369982.52241073299</v>
      </c>
      <c r="G89" s="17">
        <f>((E25*D89)-F89)/6</f>
        <v>349427.93783235893</v>
      </c>
      <c r="H89" s="17">
        <f t="shared" si="14"/>
        <v>349427.93783235893</v>
      </c>
      <c r="I89" s="17">
        <f t="shared" si="14"/>
        <v>349427.93783235893</v>
      </c>
      <c r="J89" s="17">
        <f t="shared" si="14"/>
        <v>349427.93783235893</v>
      </c>
      <c r="K89" s="17">
        <f t="shared" si="14"/>
        <v>349427.93783235893</v>
      </c>
      <c r="L89" s="17">
        <f t="shared" si="14"/>
        <v>349427.93783235893</v>
      </c>
      <c r="M89" s="17"/>
      <c r="N89" s="17"/>
      <c r="O89" s="17"/>
      <c r="P89" s="17"/>
      <c r="Q89" s="17"/>
      <c r="R89" s="17"/>
      <c r="S89" s="17"/>
      <c r="T89" s="17"/>
      <c r="U89" s="17"/>
      <c r="V89" s="17"/>
      <c r="W89" s="17">
        <f>'Reopening Activities'!V24*$D89</f>
        <v>0</v>
      </c>
      <c r="X89" s="17">
        <f>'Reopening Activities'!W24*$D89</f>
        <v>0</v>
      </c>
      <c r="Y89" s="17">
        <f>'Reopening Activities'!X24*$D89</f>
        <v>0</v>
      </c>
      <c r="Z89" s="17">
        <f>'Reopening Activities'!Y24*$D89</f>
        <v>0</v>
      </c>
    </row>
    <row r="90" spans="2:26" x14ac:dyDescent="0.3">
      <c r="B90" s="9" t="s">
        <v>16</v>
      </c>
      <c r="C90" s="6">
        <f>'Future Plan Assumptions'!C23</f>
        <v>10192.344615055583</v>
      </c>
      <c r="D90" s="18">
        <f>'Future Plan Assumptions'!G23</f>
        <v>44.867328000000001</v>
      </c>
      <c r="E90" s="9"/>
      <c r="F90" s="17">
        <f>(E26*D90)*0.15</f>
        <v>1229018.0837871796</v>
      </c>
      <c r="G90" s="17">
        <f>((E26*D90)-F90)/6</f>
        <v>1160739.3013545584</v>
      </c>
      <c r="H90" s="17">
        <f t="shared" si="14"/>
        <v>1160739.3013545584</v>
      </c>
      <c r="I90" s="17">
        <f t="shared" si="14"/>
        <v>1160739.3013545584</v>
      </c>
      <c r="J90" s="17">
        <f t="shared" si="14"/>
        <v>1160739.3013545584</v>
      </c>
      <c r="K90" s="17">
        <f t="shared" si="14"/>
        <v>1160739.3013545584</v>
      </c>
      <c r="L90" s="17">
        <f t="shared" si="14"/>
        <v>1160739.3013545584</v>
      </c>
      <c r="M90" s="17"/>
      <c r="N90" s="17"/>
      <c r="O90" s="17"/>
      <c r="P90" s="17"/>
      <c r="Q90" s="17"/>
      <c r="R90" s="17"/>
      <c r="S90" s="17"/>
      <c r="T90" s="17"/>
      <c r="U90" s="17"/>
      <c r="V90" s="17"/>
      <c r="W90" s="17">
        <f>'Reopening Activities'!V25*$D90</f>
        <v>0</v>
      </c>
      <c r="X90" s="17">
        <f>'Reopening Activities'!W25*$D90</f>
        <v>0</v>
      </c>
      <c r="Y90" s="17">
        <f>'Reopening Activities'!X25*$D90</f>
        <v>0</v>
      </c>
      <c r="Z90" s="17">
        <f>'Reopening Activities'!Y25*$D90</f>
        <v>0</v>
      </c>
    </row>
    <row r="91" spans="2:26" x14ac:dyDescent="0.3">
      <c r="B91" s="9" t="s">
        <v>20</v>
      </c>
      <c r="C91" s="6">
        <f>'Future Plan Assumptions'!C24</f>
        <v>76906.220793171669</v>
      </c>
      <c r="D91" s="18">
        <f>'Future Plan Assumptions'!G24</f>
        <v>40.237823999999996</v>
      </c>
      <c r="E91" s="9"/>
      <c r="F91" s="17">
        <f>(E27*D91)*0.15</f>
        <v>8817953.1395380441</v>
      </c>
      <c r="G91" s="17">
        <f>((E27*D91)-F91)/6</f>
        <v>8328066.854008154</v>
      </c>
      <c r="H91" s="17">
        <f t="shared" si="14"/>
        <v>8328066.854008154</v>
      </c>
      <c r="I91" s="17">
        <f t="shared" si="14"/>
        <v>8328066.854008154</v>
      </c>
      <c r="J91" s="17">
        <f t="shared" si="14"/>
        <v>8328066.854008154</v>
      </c>
      <c r="K91" s="17">
        <f t="shared" si="14"/>
        <v>8328066.854008154</v>
      </c>
      <c r="L91" s="17">
        <f t="shared" si="14"/>
        <v>8328066.854008154</v>
      </c>
      <c r="M91" s="17"/>
      <c r="N91" s="17"/>
      <c r="O91" s="17"/>
      <c r="P91" s="17"/>
      <c r="Q91" s="17"/>
      <c r="R91" s="17"/>
      <c r="S91" s="17"/>
      <c r="T91" s="17"/>
      <c r="U91" s="17"/>
      <c r="V91" s="17"/>
      <c r="W91" s="17">
        <f>'Reopening Activities'!V26*$D91</f>
        <v>0</v>
      </c>
      <c r="X91" s="17">
        <f>'Reopening Activities'!W26*$D91</f>
        <v>0</v>
      </c>
      <c r="Y91" s="17">
        <f>'Reopening Activities'!X26*$D91</f>
        <v>0</v>
      </c>
      <c r="Z91" s="17">
        <f>'Reopening Activities'!Y26*$D91</f>
        <v>0</v>
      </c>
    </row>
    <row r="92" spans="2:26" x14ac:dyDescent="0.3">
      <c r="B92" s="9" t="s">
        <v>79</v>
      </c>
      <c r="C92" s="6">
        <f>'Future Plan Assumptions'!C25</f>
        <v>0</v>
      </c>
      <c r="D92" s="18">
        <f>'Future Plan Assumptions'!G25</f>
        <v>28.140288000000002</v>
      </c>
      <c r="E92" s="9"/>
      <c r="F92" s="17"/>
      <c r="G92" s="17"/>
      <c r="H92" s="17"/>
      <c r="I92" s="17"/>
      <c r="J92" s="17"/>
      <c r="K92" s="17"/>
      <c r="L92" s="17"/>
      <c r="M92" s="17"/>
      <c r="N92" s="17"/>
      <c r="O92" s="17"/>
      <c r="P92" s="17"/>
      <c r="Q92" s="17"/>
      <c r="R92" s="17"/>
      <c r="S92" s="17"/>
      <c r="T92" s="17"/>
      <c r="U92" s="17"/>
      <c r="V92" s="17"/>
      <c r="W92" s="17"/>
      <c r="X92" s="17"/>
      <c r="Y92" s="17"/>
      <c r="Z92" s="17"/>
    </row>
    <row r="93" spans="2:26" x14ac:dyDescent="0.3">
      <c r="B93" s="5" t="s">
        <v>249</v>
      </c>
      <c r="C93" s="6">
        <f>'Future Plan Assumptions'!C26</f>
        <v>200100</v>
      </c>
      <c r="D93" s="7"/>
      <c r="E93" s="40">
        <f>SUM(F93:Z93)</f>
        <v>259101561.38408595</v>
      </c>
      <c r="F93" s="40">
        <f t="shared" ref="F93:Z93" si="15">SUM(F94:F95)</f>
        <v>0</v>
      </c>
      <c r="G93" s="40">
        <f t="shared" si="15"/>
        <v>13581238.386041543</v>
      </c>
      <c r="H93" s="40">
        <f t="shared" si="15"/>
        <v>13513332.194111336</v>
      </c>
      <c r="I93" s="40">
        <f t="shared" si="15"/>
        <v>13445765.533140779</v>
      </c>
      <c r="J93" s="40">
        <f t="shared" si="15"/>
        <v>13378536.705475075</v>
      </c>
      <c r="K93" s="40">
        <f t="shared" si="15"/>
        <v>13311644.021947699</v>
      </c>
      <c r="L93" s="40">
        <f t="shared" si="15"/>
        <v>13245085.801837958</v>
      </c>
      <c r="M93" s="40">
        <f t="shared" si="15"/>
        <v>13178860.37282877</v>
      </c>
      <c r="N93" s="40">
        <f t="shared" si="15"/>
        <v>13112966.070964627</v>
      </c>
      <c r="O93" s="40">
        <f t="shared" si="15"/>
        <v>13047401.240609804</v>
      </c>
      <c r="P93" s="40">
        <f t="shared" si="15"/>
        <v>12982164.234406754</v>
      </c>
      <c r="Q93" s="40">
        <f t="shared" si="15"/>
        <v>12917253.413234718</v>
      </c>
      <c r="R93" s="40">
        <f t="shared" si="15"/>
        <v>12852667.146168547</v>
      </c>
      <c r="S93" s="40">
        <f t="shared" si="15"/>
        <v>12788403.810437705</v>
      </c>
      <c r="T93" s="40">
        <f t="shared" si="15"/>
        <v>12724461.791385515</v>
      </c>
      <c r="U93" s="40">
        <f t="shared" si="15"/>
        <v>12660839.482428588</v>
      </c>
      <c r="V93" s="40">
        <f t="shared" si="15"/>
        <v>12597535.285016445</v>
      </c>
      <c r="W93" s="40">
        <f t="shared" si="15"/>
        <v>12534547.608591363</v>
      </c>
      <c r="X93" s="40">
        <f t="shared" si="15"/>
        <v>12471874.870548405</v>
      </c>
      <c r="Y93" s="40">
        <f t="shared" si="15"/>
        <v>12409515.496195663</v>
      </c>
      <c r="Z93" s="40">
        <f t="shared" si="15"/>
        <v>12347467.918714685</v>
      </c>
    </row>
    <row r="94" spans="2:26" x14ac:dyDescent="0.3">
      <c r="B94" s="1" t="s">
        <v>22</v>
      </c>
      <c r="C94" s="46">
        <f>'Future Plan Assumptions'!C27</f>
        <v>60030</v>
      </c>
      <c r="D94" s="18">
        <f>'Future Plan Assumptions'!G33</f>
        <v>43.355136000000002</v>
      </c>
      <c r="E94" s="9"/>
      <c r="F94" s="66"/>
      <c r="G94" s="17">
        <f>'DY 2024 Activities'!G30*$D94</f>
        <v>3854602.1124413894</v>
      </c>
      <c r="H94" s="17">
        <f t="shared" ref="H94:Z94" si="16">H30*$D94</f>
        <v>3835329.1018791823</v>
      </c>
      <c r="I94" s="17">
        <f t="shared" si="16"/>
        <v>3816152.4563697865</v>
      </c>
      <c r="J94" s="17">
        <f t="shared" si="16"/>
        <v>3797071.6940879375</v>
      </c>
      <c r="K94" s="17">
        <f t="shared" si="16"/>
        <v>3778086.335617498</v>
      </c>
      <c r="L94" s="17">
        <f t="shared" si="16"/>
        <v>3759195.9039394101</v>
      </c>
      <c r="M94" s="17">
        <f t="shared" si="16"/>
        <v>3740399.9244197132</v>
      </c>
      <c r="N94" s="17">
        <f t="shared" si="16"/>
        <v>3721697.924797615</v>
      </c>
      <c r="O94" s="17">
        <f t="shared" si="16"/>
        <v>3703089.435173627</v>
      </c>
      <c r="P94" s="17">
        <f t="shared" si="16"/>
        <v>3684573.9879977587</v>
      </c>
      <c r="Q94" s="17">
        <f t="shared" si="16"/>
        <v>3666151.1180577697</v>
      </c>
      <c r="R94" s="17">
        <f t="shared" si="16"/>
        <v>3647820.3624674808</v>
      </c>
      <c r="S94" s="17">
        <f t="shared" si="16"/>
        <v>3629581.2606551433</v>
      </c>
      <c r="T94" s="17">
        <f t="shared" si="16"/>
        <v>3611433.3543518675</v>
      </c>
      <c r="U94" s="17">
        <f t="shared" si="16"/>
        <v>3593376.1875801086</v>
      </c>
      <c r="V94" s="17">
        <f t="shared" si="16"/>
        <v>3575409.3066422078</v>
      </c>
      <c r="W94" s="17">
        <f t="shared" si="16"/>
        <v>3557532.2601089966</v>
      </c>
      <c r="X94" s="17">
        <f t="shared" si="16"/>
        <v>3539744.5988084511</v>
      </c>
      <c r="Y94" s="17">
        <f t="shared" si="16"/>
        <v>3522045.875814409</v>
      </c>
      <c r="Z94" s="17">
        <f t="shared" si="16"/>
        <v>3504435.6464353367</v>
      </c>
    </row>
    <row r="95" spans="2:26" x14ac:dyDescent="0.3">
      <c r="B95" s="1" t="s">
        <v>24</v>
      </c>
      <c r="C95" s="46">
        <f>'Future Plan Assumptions'!C35</f>
        <v>140070</v>
      </c>
      <c r="D95" s="18">
        <f>'Future Plan Assumptions'!G41</f>
        <v>46.886400000000002</v>
      </c>
      <c r="E95" s="9"/>
      <c r="F95" s="66"/>
      <c r="G95" s="17">
        <f>'DY 2024 Activities'!G31*$D95</f>
        <v>9726636.2736001536</v>
      </c>
      <c r="H95" s="17">
        <f t="shared" ref="H95:Z95" si="17">H31*$D95</f>
        <v>9678003.0922321528</v>
      </c>
      <c r="I95" s="17">
        <f t="shared" si="17"/>
        <v>9629613.0767709929</v>
      </c>
      <c r="J95" s="17">
        <f t="shared" si="17"/>
        <v>9581465.0113871377</v>
      </c>
      <c r="K95" s="17">
        <f t="shared" si="17"/>
        <v>9533557.6863302011</v>
      </c>
      <c r="L95" s="17">
        <f t="shared" si="17"/>
        <v>9485889.8978985492</v>
      </c>
      <c r="M95" s="17">
        <f t="shared" si="17"/>
        <v>9438460.4484090563</v>
      </c>
      <c r="N95" s="17">
        <f t="shared" si="17"/>
        <v>9391268.1461670119</v>
      </c>
      <c r="O95" s="17">
        <f t="shared" si="17"/>
        <v>9344311.8054361772</v>
      </c>
      <c r="P95" s="17">
        <f t="shared" si="17"/>
        <v>9297590.2464089952</v>
      </c>
      <c r="Q95" s="17">
        <f t="shared" si="17"/>
        <v>9251102.2951769494</v>
      </c>
      <c r="R95" s="17">
        <f t="shared" si="17"/>
        <v>9204846.7837010659</v>
      </c>
      <c r="S95" s="17">
        <f t="shared" si="17"/>
        <v>9158822.5497825611</v>
      </c>
      <c r="T95" s="17">
        <f t="shared" si="17"/>
        <v>9113028.4370336477</v>
      </c>
      <c r="U95" s="17">
        <f t="shared" si="17"/>
        <v>9067463.2948484793</v>
      </c>
      <c r="V95" s="17">
        <f t="shared" si="17"/>
        <v>9022125.9783742372</v>
      </c>
      <c r="W95" s="17">
        <f t="shared" si="17"/>
        <v>8977015.3484823667</v>
      </c>
      <c r="X95" s="17">
        <f t="shared" si="17"/>
        <v>8932130.2717399541</v>
      </c>
      <c r="Y95" s="17">
        <f t="shared" si="17"/>
        <v>8887469.6203812547</v>
      </c>
      <c r="Z95" s="17">
        <f t="shared" si="17"/>
        <v>8843032.2722793482</v>
      </c>
    </row>
    <row r="96" spans="2:26" x14ac:dyDescent="0.3">
      <c r="B96" s="5" t="s">
        <v>25</v>
      </c>
      <c r="C96" s="6">
        <f>'Future Plan Assumptions'!C43</f>
        <v>100050</v>
      </c>
      <c r="D96" s="7"/>
      <c r="E96" s="24">
        <f>SUM(F96:AA96)</f>
        <v>146426727.2797423</v>
      </c>
      <c r="F96" s="40">
        <f t="shared" ref="F96:Z96" si="18">SUM(F97:F109)</f>
        <v>7675199.9434157629</v>
      </c>
      <c r="G96" s="40">
        <f t="shared" si="18"/>
        <v>7636823.9436986838</v>
      </c>
      <c r="H96" s="40">
        <f t="shared" si="18"/>
        <v>7598639.8239801899</v>
      </c>
      <c r="I96" s="40">
        <f t="shared" si="18"/>
        <v>7560646.6248602895</v>
      </c>
      <c r="J96" s="40">
        <f t="shared" si="18"/>
        <v>7522843.3917359887</v>
      </c>
      <c r="K96" s="40">
        <f t="shared" si="18"/>
        <v>7485229.1747773085</v>
      </c>
      <c r="L96" s="40">
        <f t="shared" si="18"/>
        <v>7447803.0289034229</v>
      </c>
      <c r="M96" s="40">
        <f t="shared" si="18"/>
        <v>7410564.0137589052</v>
      </c>
      <c r="N96" s="40">
        <f t="shared" si="18"/>
        <v>7373511.19369011</v>
      </c>
      <c r="O96" s="40">
        <f t="shared" si="18"/>
        <v>7336643.6377216596</v>
      </c>
      <c r="P96" s="40">
        <f t="shared" si="18"/>
        <v>7299960.4195330516</v>
      </c>
      <c r="Q96" s="40">
        <f t="shared" si="18"/>
        <v>7263460.6174353864</v>
      </c>
      <c r="R96" s="40">
        <f t="shared" si="18"/>
        <v>7227143.3143482096</v>
      </c>
      <c r="S96" s="40">
        <f t="shared" si="18"/>
        <v>7191007.597776467</v>
      </c>
      <c r="T96" s="40">
        <f t="shared" si="18"/>
        <v>7155052.5597875854</v>
      </c>
      <c r="U96" s="40">
        <f t="shared" si="18"/>
        <v>7119277.2969886484</v>
      </c>
      <c r="V96" s="40">
        <f t="shared" si="18"/>
        <v>7083680.910503705</v>
      </c>
      <c r="W96" s="40">
        <f t="shared" si="18"/>
        <v>7048262.5059511866</v>
      </c>
      <c r="X96" s="40">
        <f t="shared" si="18"/>
        <v>7013021.1934214309</v>
      </c>
      <c r="Y96" s="40">
        <f t="shared" si="18"/>
        <v>6977956.0874543237</v>
      </c>
      <c r="Z96" s="40">
        <f t="shared" si="18"/>
        <v>0</v>
      </c>
    </row>
    <row r="97" spans="2:26" x14ac:dyDescent="0.3">
      <c r="B97" s="1" t="s">
        <v>26</v>
      </c>
      <c r="C97" s="46">
        <f>'Future Plan Assumptions'!C44</f>
        <v>30015</v>
      </c>
      <c r="D97" s="14"/>
      <c r="E97" s="1"/>
      <c r="F97" s="122"/>
      <c r="G97" s="122"/>
      <c r="H97" s="122"/>
      <c r="I97" s="122"/>
      <c r="J97" s="122"/>
      <c r="K97" s="122"/>
      <c r="L97" s="122"/>
      <c r="M97" s="122"/>
      <c r="N97" s="122"/>
      <c r="O97" s="122"/>
      <c r="P97" s="122"/>
      <c r="Q97" s="122"/>
      <c r="R97" s="122"/>
      <c r="S97" s="122"/>
      <c r="T97" s="122"/>
      <c r="U97" s="122"/>
      <c r="V97" s="122"/>
      <c r="W97" s="122"/>
      <c r="X97" s="122"/>
      <c r="Y97" s="122"/>
      <c r="Z97" s="1"/>
    </row>
    <row r="98" spans="2:26" x14ac:dyDescent="0.3">
      <c r="B98" s="9" t="s">
        <v>27</v>
      </c>
      <c r="C98" s="6">
        <f>'Future Plan Assumptions'!C45</f>
        <v>1389.5833333333333</v>
      </c>
      <c r="D98" s="18">
        <f>'Future Plan Assumptions'!G45</f>
        <v>63.31776</v>
      </c>
      <c r="E98" s="9"/>
      <c r="F98" s="17">
        <f t="shared" ref="F98:Y98" si="19">F34*$D$98</f>
        <v>130310.9160421728</v>
      </c>
      <c r="G98" s="17">
        <f t="shared" si="19"/>
        <v>129659.36146196192</v>
      </c>
      <c r="H98" s="17">
        <f t="shared" si="19"/>
        <v>129011.06465465212</v>
      </c>
      <c r="I98" s="17">
        <f t="shared" si="19"/>
        <v>128366.00933137885</v>
      </c>
      <c r="J98" s="17">
        <f t="shared" si="19"/>
        <v>127724.17928472198</v>
      </c>
      <c r="K98" s="17">
        <f t="shared" si="19"/>
        <v>127085.55838829836</v>
      </c>
      <c r="L98" s="17">
        <f t="shared" si="19"/>
        <v>126450.13059635687</v>
      </c>
      <c r="M98" s="17">
        <f t="shared" si="19"/>
        <v>125817.87994337508</v>
      </c>
      <c r="N98" s="17">
        <f t="shared" si="19"/>
        <v>125188.79054365821</v>
      </c>
      <c r="O98" s="17">
        <f t="shared" si="19"/>
        <v>124562.84659093991</v>
      </c>
      <c r="P98" s="17">
        <f t="shared" si="19"/>
        <v>123940.03235798521</v>
      </c>
      <c r="Q98" s="17">
        <f t="shared" si="19"/>
        <v>123320.33219619528</v>
      </c>
      <c r="R98" s="17">
        <f t="shared" si="19"/>
        <v>122703.7305352143</v>
      </c>
      <c r="S98" s="17">
        <f t="shared" si="19"/>
        <v>122090.21188253822</v>
      </c>
      <c r="T98" s="17">
        <f t="shared" si="19"/>
        <v>121479.76082312554</v>
      </c>
      <c r="U98" s="17">
        <f t="shared" si="19"/>
        <v>120872.36201900992</v>
      </c>
      <c r="V98" s="17">
        <f t="shared" si="19"/>
        <v>120268.00020891486</v>
      </c>
      <c r="W98" s="17">
        <f t="shared" si="19"/>
        <v>119666.66020787029</v>
      </c>
      <c r="X98" s="17">
        <f t="shared" si="19"/>
        <v>119068.32690683093</v>
      </c>
      <c r="Y98" s="17">
        <f t="shared" si="19"/>
        <v>118472.98527229678</v>
      </c>
      <c r="Z98" s="17">
        <f>'Reopening Activities'!Z32*$D98</f>
        <v>0</v>
      </c>
    </row>
    <row r="99" spans="2:26" x14ac:dyDescent="0.3">
      <c r="B99" s="9" t="s">
        <v>19</v>
      </c>
      <c r="C99" s="6">
        <f>'Future Plan Assumptions'!C46</f>
        <v>1667.5</v>
      </c>
      <c r="D99" s="18">
        <f>'Future Plan Assumptions'!G46</f>
        <v>55.39353599999999</v>
      </c>
      <c r="E99" s="9"/>
      <c r="F99" s="17">
        <f t="shared" ref="F99:Y99" si="20">F35*$D99</f>
        <v>136802.99023165205</v>
      </c>
      <c r="G99" s="17">
        <f t="shared" si="20"/>
        <v>136118.97528049379</v>
      </c>
      <c r="H99" s="17">
        <f t="shared" si="20"/>
        <v>135438.38040409132</v>
      </c>
      <c r="I99" s="17">
        <f t="shared" si="20"/>
        <v>134761.18850207087</v>
      </c>
      <c r="J99" s="17">
        <f t="shared" si="20"/>
        <v>134087.38255956053</v>
      </c>
      <c r="K99" s="17">
        <f t="shared" si="20"/>
        <v>133416.94564676273</v>
      </c>
      <c r="L99" s="17">
        <f t="shared" si="20"/>
        <v>132749.86091852892</v>
      </c>
      <c r="M99" s="17">
        <f t="shared" si="20"/>
        <v>132086.11161393626</v>
      </c>
      <c r="N99" s="17">
        <f t="shared" si="20"/>
        <v>131425.68105586659</v>
      </c>
      <c r="O99" s="17">
        <f t="shared" si="20"/>
        <v>130768.55265058725</v>
      </c>
      <c r="P99" s="17">
        <f t="shared" si="20"/>
        <v>130114.70988733431</v>
      </c>
      <c r="Q99" s="17">
        <f t="shared" si="20"/>
        <v>129464.13633789764</v>
      </c>
      <c r="R99" s="17">
        <f t="shared" si="20"/>
        <v>128816.81565620814</v>
      </c>
      <c r="S99" s="17">
        <f t="shared" si="20"/>
        <v>128172.7315779271</v>
      </c>
      <c r="T99" s="17">
        <f t="shared" si="20"/>
        <v>127531.86792003746</v>
      </c>
      <c r="U99" s="17">
        <f t="shared" si="20"/>
        <v>126894.20858043728</v>
      </c>
      <c r="V99" s="17">
        <f t="shared" si="20"/>
        <v>126259.73753753508</v>
      </c>
      <c r="W99" s="17">
        <f t="shared" si="20"/>
        <v>125628.4388498474</v>
      </c>
      <c r="X99" s="17">
        <f t="shared" si="20"/>
        <v>125000.29665559817</v>
      </c>
      <c r="Y99" s="17">
        <f t="shared" si="20"/>
        <v>124375.2951723202</v>
      </c>
      <c r="Z99" s="17">
        <f>'Reopening Activities'!Z33*$D99</f>
        <v>0</v>
      </c>
    </row>
    <row r="100" spans="2:26" x14ac:dyDescent="0.3">
      <c r="B100" s="9" t="s">
        <v>15</v>
      </c>
      <c r="C100" s="6">
        <f>'Future Plan Assumptions'!C47</f>
        <v>6392.083333333333</v>
      </c>
      <c r="D100" s="18">
        <f>'Future Plan Assumptions'!G47</f>
        <v>56.094720000000002</v>
      </c>
      <c r="E100" s="9"/>
      <c r="F100" s="17">
        <f t="shared" ref="F100:Y100" si="21">F36*$D100</f>
        <v>531049.58233383938</v>
      </c>
      <c r="G100" s="17">
        <f t="shared" si="21"/>
        <v>528394.33442217018</v>
      </c>
      <c r="H100" s="17">
        <f t="shared" si="21"/>
        <v>525752.36275005934</v>
      </c>
      <c r="I100" s="17">
        <f t="shared" si="21"/>
        <v>523123.60093630903</v>
      </c>
      <c r="J100" s="17">
        <f t="shared" si="21"/>
        <v>520507.98293162748</v>
      </c>
      <c r="K100" s="17">
        <f t="shared" si="21"/>
        <v>517905.44301696931</v>
      </c>
      <c r="L100" s="17">
        <f t="shared" si="21"/>
        <v>515315.91580188443</v>
      </c>
      <c r="M100" s="17">
        <f t="shared" si="21"/>
        <v>512739.33622287499</v>
      </c>
      <c r="N100" s="17">
        <f t="shared" si="21"/>
        <v>510175.63954176067</v>
      </c>
      <c r="O100" s="17">
        <f t="shared" si="21"/>
        <v>507624.7613440518</v>
      </c>
      <c r="P100" s="17">
        <f t="shared" si="21"/>
        <v>505086.63753733155</v>
      </c>
      <c r="Q100" s="17">
        <f t="shared" si="21"/>
        <v>502561.20434964489</v>
      </c>
      <c r="R100" s="17">
        <f t="shared" si="21"/>
        <v>500048.39832789666</v>
      </c>
      <c r="S100" s="17">
        <f t="shared" si="21"/>
        <v>497548.15633625718</v>
      </c>
      <c r="T100" s="17">
        <f t="shared" si="21"/>
        <v>495060.41555457591</v>
      </c>
      <c r="U100" s="17">
        <f t="shared" si="21"/>
        <v>492585.113476803</v>
      </c>
      <c r="V100" s="17">
        <f t="shared" si="21"/>
        <v>490122.18790941895</v>
      </c>
      <c r="W100" s="17">
        <f t="shared" si="21"/>
        <v>487671.57696987188</v>
      </c>
      <c r="X100" s="17">
        <f t="shared" si="21"/>
        <v>485233.21908502252</v>
      </c>
      <c r="Y100" s="17">
        <f t="shared" si="21"/>
        <v>482807.05298959737</v>
      </c>
      <c r="Z100" s="17">
        <f>'Reopening Activities'!Z34*$D100</f>
        <v>0</v>
      </c>
    </row>
    <row r="101" spans="2:26" x14ac:dyDescent="0.3">
      <c r="B101" s="9" t="s">
        <v>16</v>
      </c>
      <c r="C101" s="6">
        <f>'Future Plan Assumptions'!C48</f>
        <v>13617.916666666668</v>
      </c>
      <c r="D101" s="18">
        <f>'Future Plan Assumptions'!G48</f>
        <v>49.792511999999995</v>
      </c>
      <c r="E101" s="9"/>
      <c r="F101" s="17">
        <f t="shared" ref="F101:Y101" si="22">F37*$D101</f>
        <v>1004258.1565970849</v>
      </c>
      <c r="G101" s="17">
        <f t="shared" si="22"/>
        <v>999236.86581409955</v>
      </c>
      <c r="H101" s="17">
        <f t="shared" si="22"/>
        <v>994240.68148502894</v>
      </c>
      <c r="I101" s="17">
        <f t="shared" si="22"/>
        <v>989269.47807760374</v>
      </c>
      <c r="J101" s="17">
        <f t="shared" si="22"/>
        <v>984323.13068721583</v>
      </c>
      <c r="K101" s="17">
        <f t="shared" si="22"/>
        <v>979401.51503377978</v>
      </c>
      <c r="L101" s="17">
        <f t="shared" si="22"/>
        <v>974504.50745861093</v>
      </c>
      <c r="M101" s="17">
        <f t="shared" si="22"/>
        <v>969631.9849213179</v>
      </c>
      <c r="N101" s="17">
        <f t="shared" si="22"/>
        <v>964783.82499671122</v>
      </c>
      <c r="O101" s="17">
        <f t="shared" si="22"/>
        <v>959959.90587172774</v>
      </c>
      <c r="P101" s="17">
        <f t="shared" si="22"/>
        <v>955160.10634236911</v>
      </c>
      <c r="Q101" s="17">
        <f t="shared" si="22"/>
        <v>950384.30581065721</v>
      </c>
      <c r="R101" s="17">
        <f t="shared" si="22"/>
        <v>945632.38428160397</v>
      </c>
      <c r="S101" s="17">
        <f t="shared" si="22"/>
        <v>940904.22236019594</v>
      </c>
      <c r="T101" s="17">
        <f t="shared" si="22"/>
        <v>936199.70124839502</v>
      </c>
      <c r="U101" s="17">
        <f t="shared" si="22"/>
        <v>931518.70274215308</v>
      </c>
      <c r="V101" s="17">
        <f t="shared" si="22"/>
        <v>926861.10922844231</v>
      </c>
      <c r="W101" s="17">
        <f t="shared" si="22"/>
        <v>922226.80368230015</v>
      </c>
      <c r="X101" s="17">
        <f t="shared" si="22"/>
        <v>917615.66966388864</v>
      </c>
      <c r="Y101" s="17">
        <f t="shared" si="22"/>
        <v>913027.59131556912</v>
      </c>
      <c r="Z101" s="17">
        <f>'Reopening Activities'!Z35*$D101</f>
        <v>0</v>
      </c>
    </row>
    <row r="102" spans="2:26" x14ac:dyDescent="0.3">
      <c r="B102" s="9" t="s">
        <v>20</v>
      </c>
      <c r="C102" s="6">
        <f>'Future Plan Assumptions'!C49</f>
        <v>6947.916666666667</v>
      </c>
      <c r="D102" s="18">
        <f>'Future Plan Assumptions'!G49</f>
        <v>47.925503999999997</v>
      </c>
      <c r="E102" s="9"/>
      <c r="F102" s="17">
        <f t="shared" ref="F102:Y102" si="23">F38*$D102</f>
        <v>493164.66091210552</v>
      </c>
      <c r="G102" s="17">
        <f t="shared" si="23"/>
        <v>490698.83760754502</v>
      </c>
      <c r="H102" s="17">
        <f t="shared" si="23"/>
        <v>488245.34341950732</v>
      </c>
      <c r="I102" s="17">
        <f t="shared" si="23"/>
        <v>485804.11670240981</v>
      </c>
      <c r="J102" s="17">
        <f t="shared" si="23"/>
        <v>483375.09611889778</v>
      </c>
      <c r="K102" s="17">
        <f t="shared" si="23"/>
        <v>480958.22063830326</v>
      </c>
      <c r="L102" s="17">
        <f t="shared" si="23"/>
        <v>478553.42953511176</v>
      </c>
      <c r="M102" s="17">
        <f t="shared" si="23"/>
        <v>476160.66238743614</v>
      </c>
      <c r="N102" s="17">
        <f t="shared" si="23"/>
        <v>473779.85907549894</v>
      </c>
      <c r="O102" s="17">
        <f t="shared" si="23"/>
        <v>471410.95978012145</v>
      </c>
      <c r="P102" s="17">
        <f t="shared" si="23"/>
        <v>469053.90498122078</v>
      </c>
      <c r="Q102" s="17">
        <f t="shared" si="23"/>
        <v>466708.63545631472</v>
      </c>
      <c r="R102" s="17">
        <f t="shared" si="23"/>
        <v>464375.09227903315</v>
      </c>
      <c r="S102" s="17">
        <f t="shared" si="23"/>
        <v>462053.21681763796</v>
      </c>
      <c r="T102" s="17">
        <f t="shared" si="23"/>
        <v>459742.95073354978</v>
      </c>
      <c r="U102" s="17">
        <f t="shared" si="23"/>
        <v>457444.23597988201</v>
      </c>
      <c r="V102" s="17">
        <f t="shared" si="23"/>
        <v>455157.0147999826</v>
      </c>
      <c r="W102" s="17">
        <f t="shared" si="23"/>
        <v>452881.22972598264</v>
      </c>
      <c r="X102" s="17">
        <f t="shared" si="23"/>
        <v>450616.82357735274</v>
      </c>
      <c r="Y102" s="17">
        <f t="shared" si="23"/>
        <v>448363.73945946596</v>
      </c>
      <c r="Z102" s="17">
        <f>'Reopening Activities'!Z36*$D102</f>
        <v>0</v>
      </c>
    </row>
    <row r="103" spans="2:26" x14ac:dyDescent="0.3">
      <c r="B103" s="9" t="s">
        <v>79</v>
      </c>
      <c r="C103" s="6">
        <f>'Future Plan Assumptions'!C50</f>
        <v>0</v>
      </c>
      <c r="D103" s="18">
        <f>'Future Plan Assumptions'!G50</f>
        <v>38.624256000000003</v>
      </c>
      <c r="E103" s="9"/>
      <c r="F103" s="17"/>
      <c r="G103" s="17"/>
      <c r="H103" s="17"/>
      <c r="I103" s="17"/>
      <c r="J103" s="17"/>
      <c r="K103" s="17"/>
      <c r="L103" s="17"/>
      <c r="M103" s="17"/>
      <c r="N103" s="17"/>
      <c r="O103" s="17"/>
      <c r="P103" s="17"/>
      <c r="Q103" s="17"/>
      <c r="R103" s="17"/>
      <c r="S103" s="17"/>
      <c r="T103" s="17"/>
      <c r="U103" s="17"/>
      <c r="V103" s="17"/>
      <c r="W103" s="17"/>
      <c r="X103" s="17"/>
      <c r="Y103" s="17"/>
      <c r="Z103" s="17"/>
    </row>
    <row r="104" spans="2:26" x14ac:dyDescent="0.3">
      <c r="B104" s="1" t="s">
        <v>28</v>
      </c>
      <c r="C104" s="46">
        <f>'Future Plan Assumptions'!C51</f>
        <v>70035</v>
      </c>
      <c r="D104" s="14"/>
      <c r="E104" s="1"/>
      <c r="F104" s="122"/>
      <c r="G104" s="122"/>
      <c r="H104" s="122"/>
      <c r="I104" s="122"/>
      <c r="J104" s="122"/>
      <c r="K104" s="122"/>
      <c r="L104" s="122"/>
      <c r="M104" s="122"/>
      <c r="N104" s="122"/>
      <c r="O104" s="122"/>
      <c r="P104" s="122"/>
      <c r="Q104" s="122"/>
      <c r="R104" s="122"/>
      <c r="S104" s="122"/>
      <c r="T104" s="122"/>
      <c r="U104" s="122"/>
      <c r="V104" s="122"/>
      <c r="W104" s="122"/>
      <c r="X104" s="122"/>
      <c r="Y104" s="122"/>
      <c r="Z104" s="1"/>
    </row>
    <row r="105" spans="2:26" x14ac:dyDescent="0.3">
      <c r="B105" s="9" t="s">
        <v>27</v>
      </c>
      <c r="C105" s="6">
        <f>'Future Plan Assumptions'!C52</f>
        <v>3242.3611111111109</v>
      </c>
      <c r="D105" s="18">
        <f>'Future Plan Assumptions'!G52</f>
        <v>68.563968000000003</v>
      </c>
      <c r="E105" s="9"/>
      <c r="F105" s="17">
        <f t="shared" ref="F105:Y105" si="24">F41*$D105</f>
        <v>329251.66832056578</v>
      </c>
      <c r="G105" s="17">
        <f t="shared" si="24"/>
        <v>327605.40997896291</v>
      </c>
      <c r="H105" s="17">
        <f t="shared" si="24"/>
        <v>325967.38292906812</v>
      </c>
      <c r="I105" s="17">
        <f t="shared" si="24"/>
        <v>324337.54601442278</v>
      </c>
      <c r="J105" s="17">
        <f t="shared" si="24"/>
        <v>322715.85828435066</v>
      </c>
      <c r="K105" s="17">
        <f t="shared" si="24"/>
        <v>321102.27899292891</v>
      </c>
      <c r="L105" s="17">
        <f t="shared" si="24"/>
        <v>319496.76759796427</v>
      </c>
      <c r="M105" s="17">
        <f t="shared" si="24"/>
        <v>317899.28375997447</v>
      </c>
      <c r="N105" s="17">
        <f t="shared" si="24"/>
        <v>316309.78734117455</v>
      </c>
      <c r="O105" s="17">
        <f t="shared" si="24"/>
        <v>314728.23840446869</v>
      </c>
      <c r="P105" s="17">
        <f t="shared" si="24"/>
        <v>313154.59721244633</v>
      </c>
      <c r="Q105" s="17">
        <f t="shared" si="24"/>
        <v>311588.82422638411</v>
      </c>
      <c r="R105" s="17">
        <f t="shared" si="24"/>
        <v>310030.8801052522</v>
      </c>
      <c r="S105" s="17">
        <f t="shared" si="24"/>
        <v>308480.72570472595</v>
      </c>
      <c r="T105" s="17">
        <f t="shared" si="24"/>
        <v>306938.32207620231</v>
      </c>
      <c r="U105" s="17">
        <f t="shared" si="24"/>
        <v>305403.6304658213</v>
      </c>
      <c r="V105" s="17">
        <f t="shared" si="24"/>
        <v>303876.61231349217</v>
      </c>
      <c r="W105" s="17">
        <f t="shared" si="24"/>
        <v>302357.22925192473</v>
      </c>
      <c r="X105" s="17">
        <f t="shared" si="24"/>
        <v>300845.44310566515</v>
      </c>
      <c r="Y105" s="17">
        <f t="shared" si="24"/>
        <v>299341.21589013684</v>
      </c>
      <c r="Z105" s="17">
        <f>'Reopening Activities'!Z38*$D105</f>
        <v>0</v>
      </c>
    </row>
    <row r="106" spans="2:26" x14ac:dyDescent="0.3">
      <c r="B106" s="9" t="s">
        <v>19</v>
      </c>
      <c r="C106" s="6">
        <f>'Future Plan Assumptions'!C53</f>
        <v>3890.833333333333</v>
      </c>
      <c r="D106" s="18">
        <f>'Future Plan Assumptions'!G53</f>
        <v>59.490815999999995</v>
      </c>
      <c r="E106" s="9"/>
      <c r="F106" s="17">
        <f t="shared" ref="F106:Y106" si="25">F42*$D106</f>
        <v>342817.6808743357</v>
      </c>
      <c r="G106" s="17">
        <f t="shared" si="25"/>
        <v>341103.59246996406</v>
      </c>
      <c r="H106" s="17">
        <f t="shared" si="25"/>
        <v>339398.07450761419</v>
      </c>
      <c r="I106" s="17">
        <f t="shared" si="25"/>
        <v>337701.08413507609</v>
      </c>
      <c r="J106" s="17">
        <f t="shared" si="25"/>
        <v>336012.5787144007</v>
      </c>
      <c r="K106" s="17">
        <f t="shared" si="25"/>
        <v>334332.51582082873</v>
      </c>
      <c r="L106" s="17">
        <f t="shared" si="25"/>
        <v>332660.85324172454</v>
      </c>
      <c r="M106" s="17">
        <f t="shared" si="25"/>
        <v>330997.54897551594</v>
      </c>
      <c r="N106" s="17">
        <f t="shared" si="25"/>
        <v>329342.56123063836</v>
      </c>
      <c r="O106" s="17">
        <f t="shared" si="25"/>
        <v>327695.84842448519</v>
      </c>
      <c r="P106" s="17">
        <f t="shared" si="25"/>
        <v>326057.36918236275</v>
      </c>
      <c r="Q106" s="17">
        <f t="shared" si="25"/>
        <v>324427.08233645099</v>
      </c>
      <c r="R106" s="17">
        <f t="shared" si="25"/>
        <v>322804.94692476868</v>
      </c>
      <c r="S106" s="17">
        <f t="shared" si="25"/>
        <v>321190.92219014489</v>
      </c>
      <c r="T106" s="17">
        <f t="shared" si="25"/>
        <v>319584.96757919417</v>
      </c>
      <c r="U106" s="17">
        <f t="shared" si="25"/>
        <v>317987.04274129821</v>
      </c>
      <c r="V106" s="17">
        <f t="shared" si="25"/>
        <v>316397.10752759175</v>
      </c>
      <c r="W106" s="17">
        <f t="shared" si="25"/>
        <v>314815.12198995374</v>
      </c>
      <c r="X106" s="17">
        <f t="shared" si="25"/>
        <v>313241.04638000397</v>
      </c>
      <c r="Y106" s="17">
        <f t="shared" si="25"/>
        <v>311674.84114810394</v>
      </c>
      <c r="Z106" s="17">
        <f>'Reopening Activities'!Z39*$D106</f>
        <v>0</v>
      </c>
    </row>
    <row r="107" spans="2:26" x14ac:dyDescent="0.3">
      <c r="B107" s="9" t="s">
        <v>15</v>
      </c>
      <c r="C107" s="6">
        <f>'Future Plan Assumptions'!C54</f>
        <v>14914.861111111111</v>
      </c>
      <c r="D107" s="18">
        <f>'Future Plan Assumptions'!G54</f>
        <v>56.255231999999999</v>
      </c>
      <c r="E107" s="9"/>
      <c r="F107" s="17">
        <f t="shared" ref="F107:Y107" si="26">F43*$D107</f>
        <v>1242661.3544842999</v>
      </c>
      <c r="G107" s="17">
        <f t="shared" si="26"/>
        <v>1236448.0477118783</v>
      </c>
      <c r="H107" s="17">
        <f t="shared" si="26"/>
        <v>1230265.8074733189</v>
      </c>
      <c r="I107" s="17">
        <f t="shared" si="26"/>
        <v>1224114.4784359522</v>
      </c>
      <c r="J107" s="17">
        <f t="shared" si="26"/>
        <v>1217993.9060437726</v>
      </c>
      <c r="K107" s="17">
        <f t="shared" si="26"/>
        <v>1211903.9365135536</v>
      </c>
      <c r="L107" s="17">
        <f t="shared" si="26"/>
        <v>1205844.416830986</v>
      </c>
      <c r="M107" s="17">
        <f t="shared" si="26"/>
        <v>1199815.194746831</v>
      </c>
      <c r="N107" s="17">
        <f t="shared" si="26"/>
        <v>1193816.1187730969</v>
      </c>
      <c r="O107" s="17">
        <f t="shared" si="26"/>
        <v>1187847.0381792316</v>
      </c>
      <c r="P107" s="17">
        <f t="shared" si="26"/>
        <v>1181907.8029883353</v>
      </c>
      <c r="Q107" s="17">
        <f t="shared" si="26"/>
        <v>1175998.2639733935</v>
      </c>
      <c r="R107" s="17">
        <f t="shared" si="26"/>
        <v>1170118.2726535264</v>
      </c>
      <c r="S107" s="17">
        <f t="shared" si="26"/>
        <v>1164267.6812902589</v>
      </c>
      <c r="T107" s="17">
        <f t="shared" si="26"/>
        <v>1158446.3428838076</v>
      </c>
      <c r="U107" s="17">
        <f t="shared" si="26"/>
        <v>1152654.1111693885</v>
      </c>
      <c r="V107" s="17">
        <f t="shared" si="26"/>
        <v>1146890.8406135414</v>
      </c>
      <c r="W107" s="17">
        <f t="shared" si="26"/>
        <v>1141156.3864104736</v>
      </c>
      <c r="X107" s="17">
        <f t="shared" si="26"/>
        <v>1135450.6044784214</v>
      </c>
      <c r="Y107" s="17">
        <f t="shared" si="26"/>
        <v>1129773.3514560293</v>
      </c>
      <c r="Z107" s="17">
        <f>'Reopening Activities'!Z40*$D107</f>
        <v>0</v>
      </c>
    </row>
    <row r="108" spans="2:26" x14ac:dyDescent="0.3">
      <c r="B108" s="9" t="s">
        <v>16</v>
      </c>
      <c r="C108" s="6">
        <f>'Future Plan Assumptions'!C55</f>
        <v>31775.138888888891</v>
      </c>
      <c r="D108" s="18">
        <f>'Future Plan Assumptions'!G55</f>
        <v>50.527487999999998</v>
      </c>
      <c r="E108" s="9"/>
      <c r="F108" s="17">
        <f t="shared" ref="F108:Y108" si="27">F44*$D108</f>
        <v>2377857.4958856553</v>
      </c>
      <c r="G108" s="17">
        <f t="shared" si="27"/>
        <v>2365968.2084062272</v>
      </c>
      <c r="H108" s="17">
        <f t="shared" si="27"/>
        <v>2354138.3673641961</v>
      </c>
      <c r="I108" s="17">
        <f t="shared" si="27"/>
        <v>2342367.6755273752</v>
      </c>
      <c r="J108" s="17">
        <f t="shared" si="27"/>
        <v>2330655.8371497383</v>
      </c>
      <c r="K108" s="17">
        <f t="shared" si="27"/>
        <v>2319002.5579639897</v>
      </c>
      <c r="L108" s="17">
        <f t="shared" si="27"/>
        <v>2307407.5451741698</v>
      </c>
      <c r="M108" s="17">
        <f t="shared" si="27"/>
        <v>2295870.5074482989</v>
      </c>
      <c r="N108" s="17">
        <f t="shared" si="27"/>
        <v>2284391.1549110576</v>
      </c>
      <c r="O108" s="17">
        <f t="shared" si="27"/>
        <v>2272969.1991365021</v>
      </c>
      <c r="P108" s="17">
        <f t="shared" si="27"/>
        <v>2261604.3531408198</v>
      </c>
      <c r="Q108" s="17">
        <f t="shared" si="27"/>
        <v>2250296.331375116</v>
      </c>
      <c r="R108" s="17">
        <f t="shared" si="27"/>
        <v>2239044.8497182401</v>
      </c>
      <c r="S108" s="17">
        <f t="shared" si="27"/>
        <v>2227849.6254696487</v>
      </c>
      <c r="T108" s="17">
        <f t="shared" si="27"/>
        <v>2216710.3773423005</v>
      </c>
      <c r="U108" s="17">
        <f t="shared" si="27"/>
        <v>2205626.8254555892</v>
      </c>
      <c r="V108" s="17">
        <f t="shared" si="27"/>
        <v>2194598.6913283113</v>
      </c>
      <c r="W108" s="17">
        <f t="shared" si="27"/>
        <v>2183625.6978716697</v>
      </c>
      <c r="X108" s="17">
        <f t="shared" si="27"/>
        <v>2172707.5693823118</v>
      </c>
      <c r="Y108" s="17">
        <f t="shared" si="27"/>
        <v>2161844.0315354001</v>
      </c>
      <c r="Z108" s="17">
        <f>'Reopening Activities'!Z41*$D108</f>
        <v>0</v>
      </c>
    </row>
    <row r="109" spans="2:26" x14ac:dyDescent="0.3">
      <c r="B109" s="9" t="s">
        <v>20</v>
      </c>
      <c r="C109" s="6">
        <f>'Future Plan Assumptions'!C56</f>
        <v>16211.805555555555</v>
      </c>
      <c r="D109" s="18">
        <f>'Future Plan Assumptions'!G56</f>
        <v>45.272832000000001</v>
      </c>
      <c r="E109" s="9"/>
      <c r="F109" s="17">
        <f t="shared" ref="F109:Y109" si="28">F45*$D109</f>
        <v>1087025.4377340511</v>
      </c>
      <c r="G109" s="17">
        <f t="shared" si="28"/>
        <v>1081590.3105453809</v>
      </c>
      <c r="H109" s="17">
        <f t="shared" si="28"/>
        <v>1076182.3589926541</v>
      </c>
      <c r="I109" s="17">
        <f t="shared" si="28"/>
        <v>1070801.4471976908</v>
      </c>
      <c r="J109" s="17">
        <f t="shared" si="28"/>
        <v>1065447.4399617026</v>
      </c>
      <c r="K109" s="17">
        <f t="shared" si="28"/>
        <v>1060120.2027618939</v>
      </c>
      <c r="L109" s="17">
        <f t="shared" si="28"/>
        <v>1054819.6017480844</v>
      </c>
      <c r="M109" s="17">
        <f t="shared" si="28"/>
        <v>1049545.503739344</v>
      </c>
      <c r="N109" s="17">
        <f t="shared" si="28"/>
        <v>1044297.7762206472</v>
      </c>
      <c r="O109" s="17">
        <f t="shared" si="28"/>
        <v>1039076.2873395439</v>
      </c>
      <c r="P109" s="17">
        <f t="shared" si="28"/>
        <v>1033880.9059028463</v>
      </c>
      <c r="Q109" s="17">
        <f t="shared" si="28"/>
        <v>1028711.501373332</v>
      </c>
      <c r="R109" s="17">
        <f t="shared" si="28"/>
        <v>1023567.9438664654</v>
      </c>
      <c r="S109" s="17">
        <f t="shared" si="28"/>
        <v>1018450.104147133</v>
      </c>
      <c r="T109" s="17">
        <f t="shared" si="28"/>
        <v>1013357.8536263973</v>
      </c>
      <c r="U109" s="17">
        <f t="shared" si="28"/>
        <v>1008291.0643582654</v>
      </c>
      <c r="V109" s="17">
        <f t="shared" si="28"/>
        <v>1003249.6090364741</v>
      </c>
      <c r="W109" s="17">
        <f t="shared" si="28"/>
        <v>998233.3609912917</v>
      </c>
      <c r="X109" s="17">
        <f t="shared" si="28"/>
        <v>993242.19418633531</v>
      </c>
      <c r="Y109" s="17">
        <f t="shared" si="28"/>
        <v>988275.98321540363</v>
      </c>
      <c r="Z109" s="17">
        <f>'Reopening Activities'!Z42*$D109</f>
        <v>0</v>
      </c>
    </row>
    <row r="110" spans="2:26" x14ac:dyDescent="0.3">
      <c r="B110" s="9" t="s">
        <v>79</v>
      </c>
      <c r="C110" s="6">
        <f>'Future Plan Assumptions'!C57</f>
        <v>0</v>
      </c>
      <c r="D110" s="18">
        <f>'Future Plan Assumptions'!G57</f>
        <v>31.451903999999999</v>
      </c>
      <c r="E110" s="9"/>
      <c r="F110" s="124"/>
      <c r="G110" s="17"/>
      <c r="H110" s="17"/>
      <c r="I110" s="17"/>
      <c r="J110" s="17"/>
      <c r="K110" s="17"/>
      <c r="L110" s="17"/>
      <c r="M110" s="17"/>
      <c r="N110" s="17"/>
      <c r="O110" s="17"/>
      <c r="P110" s="17"/>
      <c r="Q110" s="17"/>
      <c r="R110" s="17"/>
      <c r="S110" s="17"/>
      <c r="T110" s="17"/>
      <c r="U110" s="17"/>
      <c r="V110" s="17"/>
      <c r="W110" s="17"/>
      <c r="X110" s="17"/>
      <c r="Y110" s="17"/>
      <c r="Z110" s="17"/>
    </row>
    <row r="111" spans="2:26" x14ac:dyDescent="0.3">
      <c r="B111" s="5" t="s">
        <v>29</v>
      </c>
      <c r="C111" s="6">
        <f>'Future Plan Assumptions'!C58</f>
        <v>33350</v>
      </c>
      <c r="D111" s="7"/>
      <c r="E111" s="24">
        <f>SUM(G111:AA111)</f>
        <v>41413478.632791013</v>
      </c>
      <c r="F111" s="64"/>
      <c r="G111" s="40">
        <f t="shared" ref="G111:Z111" si="29">SUM(G112:G113)</f>
        <v>6212021.7949186526</v>
      </c>
      <c r="H111" s="40">
        <f t="shared" si="29"/>
        <v>5866909.472978727</v>
      </c>
      <c r="I111" s="40">
        <f t="shared" si="29"/>
        <v>5866909.472978727</v>
      </c>
      <c r="J111" s="40">
        <f t="shared" si="29"/>
        <v>5866909.472978727</v>
      </c>
      <c r="K111" s="40">
        <f t="shared" si="29"/>
        <v>5866909.472978727</v>
      </c>
      <c r="L111" s="40">
        <f t="shared" si="29"/>
        <v>5866909.472978727</v>
      </c>
      <c r="M111" s="40">
        <f t="shared" si="29"/>
        <v>5866909.472978727</v>
      </c>
      <c r="N111" s="40">
        <f t="shared" si="29"/>
        <v>0</v>
      </c>
      <c r="O111" s="40">
        <f t="shared" si="29"/>
        <v>0</v>
      </c>
      <c r="P111" s="40">
        <f t="shared" si="29"/>
        <v>0</v>
      </c>
      <c r="Q111" s="40">
        <f t="shared" si="29"/>
        <v>0</v>
      </c>
      <c r="R111" s="40">
        <f t="shared" si="29"/>
        <v>0</v>
      </c>
      <c r="S111" s="40">
        <f t="shared" si="29"/>
        <v>0</v>
      </c>
      <c r="T111" s="40">
        <f t="shared" si="29"/>
        <v>0</v>
      </c>
      <c r="U111" s="40">
        <f t="shared" si="29"/>
        <v>0</v>
      </c>
      <c r="V111" s="40">
        <f t="shared" si="29"/>
        <v>0</v>
      </c>
      <c r="W111" s="40">
        <f t="shared" si="29"/>
        <v>0</v>
      </c>
      <c r="X111" s="40">
        <f t="shared" si="29"/>
        <v>0</v>
      </c>
      <c r="Y111" s="40">
        <f t="shared" si="29"/>
        <v>0</v>
      </c>
      <c r="Z111" s="40">
        <f t="shared" si="29"/>
        <v>0</v>
      </c>
    </row>
    <row r="112" spans="2:26" x14ac:dyDescent="0.3">
      <c r="B112" s="1" t="s">
        <v>30</v>
      </c>
      <c r="C112" s="46">
        <f>'Future Plan Assumptions'!C59</f>
        <v>10005</v>
      </c>
      <c r="D112" s="18">
        <f>'Future Plan Assumptions'!G65</f>
        <v>54.709248000000002</v>
      </c>
      <c r="E112" s="9"/>
      <c r="F112" s="66"/>
      <c r="G112" s="17">
        <f>(E48*D112)*0.15</f>
        <v>1761547.7497617872</v>
      </c>
      <c r="H112" s="17">
        <f>((E48*D112)-G112)/6</f>
        <v>1663683.9858861323</v>
      </c>
      <c r="I112" s="17">
        <f t="shared" ref="I112:M113" si="30">H112</f>
        <v>1663683.9858861323</v>
      </c>
      <c r="J112" s="17">
        <f t="shared" si="30"/>
        <v>1663683.9858861323</v>
      </c>
      <c r="K112" s="17">
        <f t="shared" si="30"/>
        <v>1663683.9858861323</v>
      </c>
      <c r="L112" s="17">
        <f t="shared" si="30"/>
        <v>1663683.9858861323</v>
      </c>
      <c r="M112" s="17">
        <f t="shared" si="30"/>
        <v>1663683.9858861323</v>
      </c>
      <c r="O112" s="17"/>
      <c r="P112" s="17"/>
      <c r="Q112" s="17"/>
      <c r="R112" s="17"/>
      <c r="S112" s="17"/>
      <c r="T112" s="17"/>
      <c r="U112" s="17"/>
      <c r="V112" s="17"/>
      <c r="W112" s="17">
        <f>'Reopening Activities'!V44*$D112</f>
        <v>0</v>
      </c>
      <c r="X112" s="17">
        <f>'Reopening Activities'!W44*$D112</f>
        <v>0</v>
      </c>
      <c r="Y112" s="17">
        <f>'Reopening Activities'!X44*$D112</f>
        <v>0</v>
      </c>
      <c r="Z112" s="17">
        <f>'Reopening Activities'!Y44*$D112</f>
        <v>0</v>
      </c>
    </row>
    <row r="113" spans="2:26" x14ac:dyDescent="0.3">
      <c r="B113" s="1" t="s">
        <v>32</v>
      </c>
      <c r="C113" s="46">
        <f>'Future Plan Assumptions'!C67</f>
        <v>23345</v>
      </c>
      <c r="D113" s="18">
        <f>'Future Plan Assumptions'!G73</f>
        <v>59.237376000000005</v>
      </c>
      <c r="E113" s="9"/>
      <c r="F113" s="66"/>
      <c r="G113" s="17">
        <f>(E49*D113)*0.15</f>
        <v>4450474.0451568654</v>
      </c>
      <c r="H113" s="17">
        <f>((E49*D113)-G113)/6</f>
        <v>4203225.4870925946</v>
      </c>
      <c r="I113" s="17">
        <f t="shared" si="30"/>
        <v>4203225.4870925946</v>
      </c>
      <c r="J113" s="17">
        <f t="shared" si="30"/>
        <v>4203225.4870925946</v>
      </c>
      <c r="K113" s="17">
        <f t="shared" si="30"/>
        <v>4203225.4870925946</v>
      </c>
      <c r="L113" s="17">
        <f t="shared" si="30"/>
        <v>4203225.4870925946</v>
      </c>
      <c r="M113" s="17">
        <f t="shared" si="30"/>
        <v>4203225.4870925946</v>
      </c>
      <c r="O113" s="17"/>
      <c r="P113" s="17"/>
      <c r="Q113" s="17"/>
      <c r="R113" s="17"/>
      <c r="S113" s="17"/>
      <c r="T113" s="17"/>
      <c r="U113" s="17"/>
      <c r="V113" s="17"/>
      <c r="W113" s="17">
        <f>'Reopening Activities'!V45*$D113</f>
        <v>0</v>
      </c>
      <c r="X113" s="17">
        <f>'Reopening Activities'!W45*$D113</f>
        <v>0</v>
      </c>
      <c r="Y113" s="17">
        <f>'Reopening Activities'!X45*$D113</f>
        <v>0</v>
      </c>
      <c r="Z113" s="17">
        <f>'Reopening Activities'!Y45*$D113</f>
        <v>0</v>
      </c>
    </row>
    <row r="114" spans="2:26" x14ac:dyDescent="0.3">
      <c r="B114" s="13" t="s">
        <v>33</v>
      </c>
      <c r="C114" s="6">
        <f>'Future Plan Assumptions'!C75</f>
        <v>66700</v>
      </c>
      <c r="D114" s="7"/>
      <c r="E114" s="24">
        <f>SUM(F114:AA114)</f>
        <v>52703652.511416189</v>
      </c>
      <c r="F114" s="73">
        <f t="shared" ref="F114:Z114" si="31">SUM(F116:F125)</f>
        <v>7905547.8767124284</v>
      </c>
      <c r="G114" s="73">
        <f t="shared" si="31"/>
        <v>7466350.7724506278</v>
      </c>
      <c r="H114" s="73">
        <f t="shared" si="31"/>
        <v>7466350.7724506278</v>
      </c>
      <c r="I114" s="73">
        <f t="shared" si="31"/>
        <v>7466350.7724506278</v>
      </c>
      <c r="J114" s="73">
        <f t="shared" si="31"/>
        <v>7466350.7724506278</v>
      </c>
      <c r="K114" s="73">
        <f t="shared" si="31"/>
        <v>7466350.7724506278</v>
      </c>
      <c r="L114" s="73">
        <f t="shared" si="31"/>
        <v>7466350.7724506278</v>
      </c>
      <c r="M114" s="73">
        <f t="shared" si="31"/>
        <v>0</v>
      </c>
      <c r="N114" s="73">
        <f t="shared" si="31"/>
        <v>0</v>
      </c>
      <c r="O114" s="73">
        <f t="shared" si="31"/>
        <v>0</v>
      </c>
      <c r="P114" s="73">
        <f t="shared" si="31"/>
        <v>0</v>
      </c>
      <c r="Q114" s="73">
        <f t="shared" si="31"/>
        <v>0</v>
      </c>
      <c r="R114" s="73">
        <f t="shared" si="31"/>
        <v>0</v>
      </c>
      <c r="S114" s="73">
        <f t="shared" si="31"/>
        <v>0</v>
      </c>
      <c r="T114" s="73">
        <f t="shared" si="31"/>
        <v>0</v>
      </c>
      <c r="U114" s="73">
        <f t="shared" si="31"/>
        <v>0</v>
      </c>
      <c r="V114" s="73">
        <f t="shared" si="31"/>
        <v>0</v>
      </c>
      <c r="W114" s="73">
        <f t="shared" si="31"/>
        <v>0</v>
      </c>
      <c r="X114" s="73">
        <f t="shared" si="31"/>
        <v>0</v>
      </c>
      <c r="Y114" s="73">
        <f t="shared" si="31"/>
        <v>0</v>
      </c>
      <c r="Z114" s="73">
        <f t="shared" si="31"/>
        <v>0</v>
      </c>
    </row>
    <row r="115" spans="2:26" x14ac:dyDescent="0.3">
      <c r="B115" s="1" t="s">
        <v>34</v>
      </c>
      <c r="C115" s="46">
        <f>'Future Plan Assumptions'!C76</f>
        <v>20010</v>
      </c>
      <c r="D115" s="14"/>
      <c r="E115" s="1"/>
      <c r="F115" s="16"/>
      <c r="G115" s="16"/>
      <c r="H115" s="16"/>
      <c r="I115" s="16"/>
      <c r="J115" s="16"/>
      <c r="K115" s="16"/>
      <c r="L115" s="16"/>
      <c r="M115" s="16"/>
      <c r="N115" s="16"/>
      <c r="O115" s="16"/>
      <c r="P115" s="16"/>
      <c r="Q115" s="16"/>
      <c r="R115" s="16"/>
      <c r="S115" s="16"/>
      <c r="T115" s="16"/>
      <c r="U115" s="16"/>
      <c r="V115" s="16"/>
      <c r="W115" s="16"/>
      <c r="X115" s="16"/>
      <c r="Y115" s="16"/>
      <c r="Z115" s="16"/>
    </row>
    <row r="116" spans="2:26" x14ac:dyDescent="0.3">
      <c r="B116" s="9" t="s">
        <v>14</v>
      </c>
      <c r="C116" s="6">
        <f>'Future Plan Assumptions'!C77</f>
        <v>1652.623060213976</v>
      </c>
      <c r="D116" s="18">
        <f>'Future Plan Assumptions'!G77</f>
        <v>48.947712000000003</v>
      </c>
      <c r="E116" s="9"/>
      <c r="F116" s="17">
        <f>(E52*D116)*0.15</f>
        <v>233999.05152488447</v>
      </c>
      <c r="G116" s="17">
        <f>((E52*D116)-F116)/6</f>
        <v>220999.10421794644</v>
      </c>
      <c r="H116" s="17">
        <f t="shared" ref="H116:L119" si="32">G116</f>
        <v>220999.10421794644</v>
      </c>
      <c r="I116" s="17">
        <f t="shared" si="32"/>
        <v>220999.10421794644</v>
      </c>
      <c r="J116" s="17">
        <f t="shared" si="32"/>
        <v>220999.10421794644</v>
      </c>
      <c r="K116" s="17">
        <f t="shared" si="32"/>
        <v>220999.10421794644</v>
      </c>
      <c r="L116" s="17">
        <f t="shared" si="32"/>
        <v>220999.10421794644</v>
      </c>
      <c r="M116" s="17">
        <v>0</v>
      </c>
      <c r="N116" s="17">
        <v>0</v>
      </c>
      <c r="O116" s="17">
        <v>0</v>
      </c>
      <c r="P116" s="17">
        <v>0</v>
      </c>
      <c r="Q116" s="17">
        <v>0</v>
      </c>
      <c r="R116" s="17">
        <v>0</v>
      </c>
      <c r="S116" s="17">
        <v>0</v>
      </c>
      <c r="T116" s="17">
        <v>0</v>
      </c>
      <c r="U116" s="17">
        <v>0</v>
      </c>
      <c r="V116" s="17">
        <f>'Reopening Activities'!U48*$D116</f>
        <v>0</v>
      </c>
      <c r="W116" s="17">
        <f>'Reopening Activities'!V48*$D116</f>
        <v>0</v>
      </c>
      <c r="X116" s="17">
        <f>'Reopening Activities'!W48*$D116</f>
        <v>0</v>
      </c>
      <c r="Y116" s="17">
        <f>'Reopening Activities'!X48*$D116</f>
        <v>0</v>
      </c>
      <c r="Z116" s="17">
        <f>'Reopening Activities'!Y48*$D116</f>
        <v>0</v>
      </c>
    </row>
    <row r="117" spans="2:26" x14ac:dyDescent="0.3">
      <c r="B117" s="9" t="s">
        <v>15</v>
      </c>
      <c r="C117" s="6">
        <f>'Future Plan Assumptions'!C78</f>
        <v>1276.5725132428743</v>
      </c>
      <c r="D117" s="18">
        <f>'Future Plan Assumptions'!G78</f>
        <v>49.716480000000004</v>
      </c>
      <c r="E117" s="9"/>
      <c r="F117" s="17">
        <f>(E53*D117)*0.15</f>
        <v>179025.45598898179</v>
      </c>
      <c r="G117" s="17">
        <f>((E53*D117)-F117)/6</f>
        <v>169079.59732292723</v>
      </c>
      <c r="H117" s="17">
        <f t="shared" si="32"/>
        <v>169079.59732292723</v>
      </c>
      <c r="I117" s="17">
        <f t="shared" si="32"/>
        <v>169079.59732292723</v>
      </c>
      <c r="J117" s="17">
        <f t="shared" si="32"/>
        <v>169079.59732292723</v>
      </c>
      <c r="K117" s="17">
        <f t="shared" si="32"/>
        <v>169079.59732292723</v>
      </c>
      <c r="L117" s="17">
        <f t="shared" si="32"/>
        <v>169079.59732292723</v>
      </c>
      <c r="M117" s="17">
        <v>0</v>
      </c>
      <c r="N117" s="17">
        <v>0</v>
      </c>
      <c r="O117" s="17">
        <v>0</v>
      </c>
      <c r="P117" s="17">
        <v>0</v>
      </c>
      <c r="Q117" s="17">
        <v>0</v>
      </c>
      <c r="R117" s="17">
        <v>0</v>
      </c>
      <c r="S117" s="17">
        <v>0</v>
      </c>
      <c r="T117" s="17">
        <v>0</v>
      </c>
      <c r="U117" s="17">
        <v>0</v>
      </c>
      <c r="V117" s="17">
        <f>'Reopening Activities'!U49*$D117</f>
        <v>0</v>
      </c>
      <c r="W117" s="17">
        <f>'Reopening Activities'!V49*$D117</f>
        <v>0</v>
      </c>
      <c r="X117" s="17">
        <f>'Reopening Activities'!W49*$D117</f>
        <v>0</v>
      </c>
      <c r="Y117" s="17">
        <f>'Reopening Activities'!X49*$D117</f>
        <v>0</v>
      </c>
      <c r="Z117" s="17">
        <f>'Reopening Activities'!Y49*$D117</f>
        <v>0</v>
      </c>
    </row>
    <row r="118" spans="2:26" x14ac:dyDescent="0.3">
      <c r="B118" s="9" t="s">
        <v>16</v>
      </c>
      <c r="C118" s="6">
        <f>'Future Plan Assumptions'!C79</f>
        <v>2963.3272737190309</v>
      </c>
      <c r="D118" s="18">
        <f>'Future Plan Assumptions'!G79</f>
        <v>44.225280000000005</v>
      </c>
      <c r="E118" s="9"/>
      <c r="F118" s="17">
        <f>(E54*D118)*0.15</f>
        <v>381748.04066382482</v>
      </c>
      <c r="G118" s="17">
        <f>((E54*D118)-F118)/6</f>
        <v>360539.81618250121</v>
      </c>
      <c r="H118" s="17">
        <f t="shared" si="32"/>
        <v>360539.81618250121</v>
      </c>
      <c r="I118" s="17">
        <f t="shared" si="32"/>
        <v>360539.81618250121</v>
      </c>
      <c r="J118" s="17">
        <f t="shared" si="32"/>
        <v>360539.81618250121</v>
      </c>
      <c r="K118" s="17">
        <f t="shared" si="32"/>
        <v>360539.81618250121</v>
      </c>
      <c r="L118" s="17">
        <f t="shared" si="32"/>
        <v>360539.81618250121</v>
      </c>
      <c r="M118" s="17">
        <v>0</v>
      </c>
      <c r="N118" s="17">
        <v>0</v>
      </c>
      <c r="O118" s="17">
        <v>0</v>
      </c>
      <c r="P118" s="17">
        <v>0</v>
      </c>
      <c r="Q118" s="17">
        <v>0</v>
      </c>
      <c r="R118" s="17">
        <v>0</v>
      </c>
      <c r="S118" s="17">
        <v>0</v>
      </c>
      <c r="T118" s="17">
        <v>0</v>
      </c>
      <c r="U118" s="17">
        <v>0</v>
      </c>
      <c r="V118" s="17">
        <f>'Reopening Activities'!U50*$D118</f>
        <v>0</v>
      </c>
      <c r="W118" s="17">
        <f>'Reopening Activities'!V50*$D118</f>
        <v>0</v>
      </c>
      <c r="X118" s="17">
        <f>'Reopening Activities'!W50*$D118</f>
        <v>0</v>
      </c>
      <c r="Y118" s="17">
        <f>'Reopening Activities'!X50*$D118</f>
        <v>0</v>
      </c>
      <c r="Z118" s="17">
        <f>'Reopening Activities'!Y50*$D118</f>
        <v>0</v>
      </c>
    </row>
    <row r="119" spans="2:26" x14ac:dyDescent="0.3">
      <c r="B119" s="9" t="s">
        <v>20</v>
      </c>
      <c r="C119" s="6">
        <f>'Future Plan Assumptions'!C80</f>
        <v>14117.436349835161</v>
      </c>
      <c r="D119" s="18">
        <f>'Future Plan Assumptions'!G80</f>
        <v>42.594815999999994</v>
      </c>
      <c r="E119" s="9"/>
      <c r="F119" s="17">
        <f>(E55*D119)*0.15</f>
        <v>1649516.7582780495</v>
      </c>
      <c r="G119" s="17">
        <f>((E55*D119)-F119)/6</f>
        <v>1557876.9383737135</v>
      </c>
      <c r="H119" s="17">
        <f t="shared" si="32"/>
        <v>1557876.9383737135</v>
      </c>
      <c r="I119" s="17">
        <f t="shared" si="32"/>
        <v>1557876.9383737135</v>
      </c>
      <c r="J119" s="17">
        <f t="shared" si="32"/>
        <v>1557876.9383737135</v>
      </c>
      <c r="K119" s="17">
        <f t="shared" si="32"/>
        <v>1557876.9383737135</v>
      </c>
      <c r="L119" s="17">
        <f t="shared" si="32"/>
        <v>1557876.9383737135</v>
      </c>
      <c r="M119" s="17">
        <v>0</v>
      </c>
      <c r="N119" s="17">
        <v>0</v>
      </c>
      <c r="O119" s="17">
        <v>0</v>
      </c>
      <c r="P119" s="17">
        <v>0</v>
      </c>
      <c r="Q119" s="17">
        <v>0</v>
      </c>
      <c r="R119" s="17">
        <v>0</v>
      </c>
      <c r="S119" s="17">
        <v>0</v>
      </c>
      <c r="T119" s="17">
        <v>0</v>
      </c>
      <c r="U119" s="17">
        <v>0</v>
      </c>
      <c r="V119" s="17">
        <f>'Reopening Activities'!U51*$D119</f>
        <v>0</v>
      </c>
      <c r="W119" s="17">
        <f>'Reopening Activities'!V51*$D119</f>
        <v>0</v>
      </c>
      <c r="X119" s="17">
        <f>'Reopening Activities'!W51*$D119</f>
        <v>0</v>
      </c>
      <c r="Y119" s="17">
        <f>'Reopening Activities'!X51*$D119</f>
        <v>0</v>
      </c>
      <c r="Z119" s="17">
        <f>'Reopening Activities'!Y51*$D119</f>
        <v>0</v>
      </c>
    </row>
    <row r="120" spans="2:26" x14ac:dyDescent="0.3">
      <c r="B120" s="9" t="s">
        <v>79</v>
      </c>
      <c r="C120" s="6">
        <f>'Future Plan Assumptions'!C81</f>
        <v>0</v>
      </c>
      <c r="D120" s="18">
        <f>'Future Plan Assumptions'!G81</f>
        <v>34.552319999999995</v>
      </c>
      <c r="E120" s="9"/>
      <c r="F120" s="17"/>
      <c r="G120" s="17"/>
      <c r="H120" s="17"/>
      <c r="I120" s="17"/>
      <c r="J120" s="17"/>
      <c r="K120" s="17"/>
      <c r="L120" s="17"/>
      <c r="M120" s="17"/>
      <c r="N120" s="17"/>
      <c r="O120" s="17"/>
      <c r="P120" s="17"/>
      <c r="Q120" s="17"/>
      <c r="R120" s="17"/>
      <c r="S120" s="17"/>
      <c r="T120" s="17"/>
      <c r="U120" s="17"/>
      <c r="V120" s="17"/>
      <c r="W120" s="17"/>
      <c r="X120" s="17"/>
      <c r="Y120" s="17"/>
      <c r="Z120" s="17"/>
    </row>
    <row r="121" spans="2:26" x14ac:dyDescent="0.3">
      <c r="B121" s="1" t="s">
        <v>36</v>
      </c>
      <c r="C121" s="46">
        <f>'Future Plan Assumptions'!C82</f>
        <v>46690</v>
      </c>
      <c r="D121" s="14"/>
      <c r="E121" s="1"/>
      <c r="F121" s="16"/>
      <c r="G121" s="16"/>
      <c r="H121" s="16"/>
      <c r="I121" s="16"/>
      <c r="J121" s="16"/>
      <c r="K121" s="16"/>
      <c r="L121" s="16"/>
      <c r="M121" s="16"/>
      <c r="N121" s="16"/>
      <c r="O121" s="16"/>
      <c r="P121" s="16"/>
      <c r="Q121" s="16"/>
      <c r="R121" s="16"/>
      <c r="S121" s="16"/>
      <c r="T121" s="16"/>
      <c r="U121" s="16"/>
      <c r="V121" s="16"/>
      <c r="W121" s="16"/>
      <c r="X121" s="16"/>
      <c r="Y121" s="16"/>
      <c r="Z121" s="16"/>
    </row>
    <row r="122" spans="2:26" x14ac:dyDescent="0.3">
      <c r="B122" s="9" t="s">
        <v>19</v>
      </c>
      <c r="C122" s="6">
        <f>'Future Plan Assumptions'!C83</f>
        <v>1765.7274547831878</v>
      </c>
      <c r="D122" s="18">
        <f>'Future Plan Assumptions'!G83</f>
        <v>52.571903999999996</v>
      </c>
      <c r="E122" s="9"/>
      <c r="F122" s="17">
        <f>(E58*D122)*0.15</f>
        <v>252781.69738870926</v>
      </c>
      <c r="G122" s="17">
        <f>((E58*D122)-F122)/6</f>
        <v>238738.2697560032</v>
      </c>
      <c r="H122" s="17">
        <f t="shared" ref="H122:L125" si="33">G122</f>
        <v>238738.2697560032</v>
      </c>
      <c r="I122" s="17">
        <f t="shared" si="33"/>
        <v>238738.2697560032</v>
      </c>
      <c r="J122" s="17">
        <f t="shared" si="33"/>
        <v>238738.2697560032</v>
      </c>
      <c r="K122" s="17">
        <f t="shared" si="33"/>
        <v>238738.2697560032</v>
      </c>
      <c r="L122" s="17">
        <f t="shared" si="33"/>
        <v>238738.2697560032</v>
      </c>
      <c r="M122" s="17">
        <v>0</v>
      </c>
      <c r="N122" s="17">
        <v>0</v>
      </c>
      <c r="O122" s="17">
        <v>0</v>
      </c>
      <c r="P122" s="17">
        <v>0</v>
      </c>
      <c r="Q122" s="17">
        <v>0</v>
      </c>
      <c r="R122" s="17">
        <v>0</v>
      </c>
      <c r="S122" s="17">
        <v>0</v>
      </c>
      <c r="T122" s="17">
        <v>0</v>
      </c>
      <c r="U122" s="17">
        <v>0</v>
      </c>
      <c r="V122" s="17">
        <f>'Reopening Activities'!U53*$D122</f>
        <v>0</v>
      </c>
      <c r="W122" s="17">
        <f>'Reopening Activities'!V53*$D122</f>
        <v>0</v>
      </c>
      <c r="X122" s="17">
        <f>'Reopening Activities'!W53*$D122</f>
        <v>0</v>
      </c>
      <c r="Y122" s="17">
        <f>'Reopening Activities'!X53*$D122</f>
        <v>0</v>
      </c>
      <c r="Z122" s="17">
        <f>'Reopening Activities'!Y53*$D122</f>
        <v>0</v>
      </c>
    </row>
    <row r="123" spans="2:26" x14ac:dyDescent="0.3">
      <c r="B123" s="9" t="s">
        <v>15</v>
      </c>
      <c r="C123" s="6">
        <f>'Future Plan Assumptions'!C84</f>
        <v>1374.9736306147349</v>
      </c>
      <c r="D123" s="18">
        <f>'Future Plan Assumptions'!G84</f>
        <v>49.860095999999999</v>
      </c>
      <c r="E123" s="9"/>
      <c r="F123" s="17">
        <f>(E59*D123)*0.15</f>
        <v>184991.26120536649</v>
      </c>
      <c r="G123" s="17">
        <f>((E59*D123)-F123)/6</f>
        <v>174713.96891617947</v>
      </c>
      <c r="H123" s="17">
        <f t="shared" si="33"/>
        <v>174713.96891617947</v>
      </c>
      <c r="I123" s="17">
        <f t="shared" si="33"/>
        <v>174713.96891617947</v>
      </c>
      <c r="J123" s="17">
        <f t="shared" si="33"/>
        <v>174713.96891617947</v>
      </c>
      <c r="K123" s="17">
        <f t="shared" si="33"/>
        <v>174713.96891617947</v>
      </c>
      <c r="L123" s="17">
        <f t="shared" si="33"/>
        <v>174713.96891617947</v>
      </c>
      <c r="M123" s="17">
        <v>0</v>
      </c>
      <c r="N123" s="17">
        <v>0</v>
      </c>
      <c r="O123" s="17">
        <v>0</v>
      </c>
      <c r="P123" s="17">
        <v>0</v>
      </c>
      <c r="Q123" s="17">
        <v>0</v>
      </c>
      <c r="R123" s="17">
        <v>0</v>
      </c>
      <c r="S123" s="17">
        <v>0</v>
      </c>
      <c r="T123" s="17">
        <v>0</v>
      </c>
      <c r="U123" s="17">
        <v>0</v>
      </c>
      <c r="V123" s="17">
        <f>'Reopening Activities'!U54*$D123</f>
        <v>0</v>
      </c>
      <c r="W123" s="17">
        <f>'Reopening Activities'!V54*$D123</f>
        <v>0</v>
      </c>
      <c r="X123" s="17">
        <f>'Reopening Activities'!W54*$D123</f>
        <v>0</v>
      </c>
      <c r="Y123" s="17">
        <f>'Reopening Activities'!X54*$D123</f>
        <v>0</v>
      </c>
      <c r="Z123" s="17">
        <f>'Reopening Activities'!Y54*$D123</f>
        <v>0</v>
      </c>
    </row>
    <row r="124" spans="2:26" x14ac:dyDescent="0.3">
      <c r="B124" s="9" t="s">
        <v>16</v>
      </c>
      <c r="C124" s="6">
        <f>'Future Plan Assumptions'!C85</f>
        <v>5096.1723075277914</v>
      </c>
      <c r="D124" s="18">
        <f>'Future Plan Assumptions'!G85</f>
        <v>44.867328000000001</v>
      </c>
      <c r="E124" s="9"/>
      <c r="F124" s="17">
        <f>(E60*D124)*0.15</f>
        <v>614509.04189358978</v>
      </c>
      <c r="G124" s="17">
        <f>((E60*D124)-F124)/6</f>
        <v>580369.65067727922</v>
      </c>
      <c r="H124" s="17">
        <f t="shared" si="33"/>
        <v>580369.65067727922</v>
      </c>
      <c r="I124" s="17">
        <f t="shared" si="33"/>
        <v>580369.65067727922</v>
      </c>
      <c r="J124" s="17">
        <f t="shared" si="33"/>
        <v>580369.65067727922</v>
      </c>
      <c r="K124" s="17">
        <f t="shared" si="33"/>
        <v>580369.65067727922</v>
      </c>
      <c r="L124" s="17">
        <f t="shared" si="33"/>
        <v>580369.65067727922</v>
      </c>
      <c r="M124" s="17">
        <v>0</v>
      </c>
      <c r="N124" s="17">
        <v>0</v>
      </c>
      <c r="O124" s="17">
        <v>0</v>
      </c>
      <c r="P124" s="17">
        <v>0</v>
      </c>
      <c r="Q124" s="17">
        <v>0</v>
      </c>
      <c r="R124" s="17">
        <v>0</v>
      </c>
      <c r="S124" s="17">
        <v>0</v>
      </c>
      <c r="T124" s="17">
        <v>0</v>
      </c>
      <c r="U124" s="17">
        <v>0</v>
      </c>
      <c r="V124" s="17">
        <f>'Reopening Activities'!U55*$D124</f>
        <v>0</v>
      </c>
      <c r="W124" s="17">
        <f>'Reopening Activities'!V55*$D124</f>
        <v>0</v>
      </c>
      <c r="X124" s="17">
        <f>'Reopening Activities'!W55*$D124</f>
        <v>0</v>
      </c>
      <c r="Y124" s="17">
        <f>'Reopening Activities'!X55*$D124</f>
        <v>0</v>
      </c>
      <c r="Z124" s="17">
        <f>'Reopening Activities'!Y55*$D124</f>
        <v>0</v>
      </c>
    </row>
    <row r="125" spans="2:26" x14ac:dyDescent="0.3">
      <c r="B125" s="9" t="s">
        <v>20</v>
      </c>
      <c r="C125" s="6">
        <f>'Future Plan Assumptions'!C86</f>
        <v>38453.110396585835</v>
      </c>
      <c r="D125" s="18">
        <f>'Future Plan Assumptions'!G86</f>
        <v>40.237823999999996</v>
      </c>
      <c r="E125" s="9"/>
      <c r="F125" s="17">
        <f>(E61*D125)*0.15</f>
        <v>4408976.5697690221</v>
      </c>
      <c r="G125" s="17">
        <f>((E61*D125)-F125)/6</f>
        <v>4164033.427004077</v>
      </c>
      <c r="H125" s="17">
        <f t="shared" si="33"/>
        <v>4164033.427004077</v>
      </c>
      <c r="I125" s="17">
        <f t="shared" si="33"/>
        <v>4164033.427004077</v>
      </c>
      <c r="J125" s="17">
        <f t="shared" si="33"/>
        <v>4164033.427004077</v>
      </c>
      <c r="K125" s="17">
        <f t="shared" si="33"/>
        <v>4164033.427004077</v>
      </c>
      <c r="L125" s="17">
        <f t="shared" si="33"/>
        <v>4164033.427004077</v>
      </c>
      <c r="M125" s="17">
        <v>0</v>
      </c>
      <c r="N125" s="17">
        <v>0</v>
      </c>
      <c r="O125" s="17">
        <v>0</v>
      </c>
      <c r="P125" s="17">
        <v>0</v>
      </c>
      <c r="Q125" s="17">
        <v>0</v>
      </c>
      <c r="R125" s="17">
        <v>0</v>
      </c>
      <c r="S125" s="17">
        <v>0</v>
      </c>
      <c r="T125" s="17">
        <v>0</v>
      </c>
      <c r="U125" s="17">
        <v>0</v>
      </c>
      <c r="V125" s="17">
        <f>'Reopening Activities'!U56*$D125</f>
        <v>0</v>
      </c>
      <c r="W125" s="17">
        <f>'Reopening Activities'!V56*$D125</f>
        <v>0</v>
      </c>
      <c r="X125" s="17">
        <f>'Reopening Activities'!W56*$D125</f>
        <v>0</v>
      </c>
      <c r="Y125" s="17">
        <f>'Reopening Activities'!X56*$D125</f>
        <v>0</v>
      </c>
      <c r="Z125" s="17">
        <f>'Reopening Activities'!Y56*$D125</f>
        <v>0</v>
      </c>
    </row>
    <row r="126" spans="2:26" x14ac:dyDescent="0.3">
      <c r="B126" s="9" t="s">
        <v>79</v>
      </c>
      <c r="C126" s="6">
        <f>'Future Plan Assumptions'!C87</f>
        <v>0</v>
      </c>
      <c r="D126" s="18">
        <f>'Future Plan Assumptions'!G87</f>
        <v>28.140288000000002</v>
      </c>
      <c r="E126" s="9"/>
      <c r="F126" s="17"/>
      <c r="G126" s="17"/>
      <c r="H126" s="17"/>
      <c r="I126" s="17"/>
      <c r="J126" s="17"/>
      <c r="K126" s="17"/>
      <c r="L126" s="17"/>
      <c r="M126" s="17"/>
      <c r="N126" s="17"/>
      <c r="O126" s="17"/>
      <c r="P126" s="17"/>
      <c r="Q126" s="17"/>
      <c r="R126" s="17"/>
      <c r="S126" s="17"/>
      <c r="T126" s="17"/>
      <c r="U126" s="17"/>
      <c r="V126" s="17"/>
      <c r="W126" s="17"/>
      <c r="X126" s="17"/>
      <c r="Y126" s="17"/>
      <c r="Z126" s="17"/>
    </row>
    <row r="127" spans="2:26" x14ac:dyDescent="0.3">
      <c r="B127" s="5" t="s">
        <v>40</v>
      </c>
      <c r="C127" s="6">
        <f>E63</f>
        <v>1750000</v>
      </c>
      <c r="D127" s="39">
        <f>'Future Plan Assumptions'!G90</f>
        <v>53.682600000000001</v>
      </c>
      <c r="E127" s="24">
        <f>SUM(G127:AA127)</f>
        <v>1691001900</v>
      </c>
      <c r="F127" s="40">
        <v>0</v>
      </c>
      <c r="G127" s="40">
        <v>0</v>
      </c>
      <c r="H127" s="40">
        <v>0</v>
      </c>
      <c r="I127" s="40">
        <f>I63*D127</f>
        <v>93944550</v>
      </c>
      <c r="J127" s="40">
        <f>J63*D127</f>
        <v>93944550</v>
      </c>
      <c r="K127" s="40">
        <f>K63*D127</f>
        <v>93944550</v>
      </c>
      <c r="L127" s="40">
        <f>L63*D127</f>
        <v>93944550</v>
      </c>
      <c r="M127" s="40">
        <f>M63*D127</f>
        <v>93944550</v>
      </c>
      <c r="N127" s="40">
        <f>N63*D127</f>
        <v>93944550</v>
      </c>
      <c r="O127" s="40">
        <f>O63*D127</f>
        <v>93944550</v>
      </c>
      <c r="P127" s="40">
        <f>P63*D127</f>
        <v>93944550</v>
      </c>
      <c r="Q127" s="40">
        <f>Q63*D127</f>
        <v>93944550</v>
      </c>
      <c r="R127" s="40">
        <f>R63*D127</f>
        <v>93944550</v>
      </c>
      <c r="S127" s="40">
        <f>S63*D127</f>
        <v>93944550</v>
      </c>
      <c r="T127" s="40">
        <f>T63*D127</f>
        <v>93944550</v>
      </c>
      <c r="U127" s="40">
        <f>U63*D127</f>
        <v>93944550</v>
      </c>
      <c r="V127" s="40">
        <f>V63*D127</f>
        <v>93944550</v>
      </c>
      <c r="W127" s="40">
        <f>W63*D127</f>
        <v>93944550</v>
      </c>
      <c r="X127" s="40">
        <f>X63*D127</f>
        <v>93944550</v>
      </c>
      <c r="Y127" s="40">
        <f>Y63*D127</f>
        <v>93944550</v>
      </c>
      <c r="Z127" s="40">
        <f>Z63*D127</f>
        <v>93944550</v>
      </c>
    </row>
    <row r="128" spans="2:26" x14ac:dyDescent="0.3">
      <c r="B128" s="5" t="s">
        <v>41</v>
      </c>
      <c r="C128" s="6">
        <f>E64</f>
        <v>1000000</v>
      </c>
      <c r="D128" s="39">
        <f>'Future Plan Assumptions'!G91</f>
        <v>73.052400000000006</v>
      </c>
      <c r="E128" s="24">
        <f>SUM(G128:AA128)</f>
        <v>1260520827.410727</v>
      </c>
      <c r="F128" s="40">
        <v>0</v>
      </c>
      <c r="G128" s="40">
        <v>0</v>
      </c>
      <c r="H128" s="40">
        <v>0</v>
      </c>
      <c r="I128" s="40">
        <f>I64*D128</f>
        <v>73052400</v>
      </c>
      <c r="J128" s="40">
        <f>J64*D128</f>
        <v>72687138</v>
      </c>
      <c r="K128" s="40">
        <f>K64*D128</f>
        <v>72323702.310000002</v>
      </c>
      <c r="L128" s="40">
        <f>L64*D128</f>
        <v>71962083.798450008</v>
      </c>
      <c r="M128" s="40">
        <f>M64*D128</f>
        <v>71602273.379457757</v>
      </c>
      <c r="N128" s="40">
        <f>N64*D128</f>
        <v>71244262.012560472</v>
      </c>
      <c r="O128" s="40">
        <f>O64*D128</f>
        <v>70888040.702497661</v>
      </c>
      <c r="P128" s="40">
        <f>P64*D128</f>
        <v>70533600.498985186</v>
      </c>
      <c r="Q128" s="40">
        <f>Q64*D128</f>
        <v>70180932.496490255</v>
      </c>
      <c r="R128" s="40">
        <f>R64*D128</f>
        <v>69830027.8340078</v>
      </c>
      <c r="S128" s="40">
        <f>S64*D128</f>
        <v>69480877.694837764</v>
      </c>
      <c r="T128" s="40">
        <f>T64*D128</f>
        <v>69133473.306363568</v>
      </c>
      <c r="U128" s="40">
        <f>U64*D128</f>
        <v>68787805.939831749</v>
      </c>
      <c r="V128" s="40">
        <f>V64*D128</f>
        <v>68443866.910132587</v>
      </c>
      <c r="W128" s="40">
        <f>W64*D128</f>
        <v>68101647.575581923</v>
      </c>
      <c r="X128" s="40">
        <f>X64*D128</f>
        <v>67761139.337704018</v>
      </c>
      <c r="Y128" s="40">
        <f>Y64*D128</f>
        <v>67422333.6410155</v>
      </c>
      <c r="Z128" s="40">
        <f>Z64*D128</f>
        <v>67085221.972810417</v>
      </c>
    </row>
    <row r="129" spans="2:26" x14ac:dyDescent="0.3">
      <c r="B129" s="5" t="s">
        <v>42</v>
      </c>
      <c r="C129" s="6">
        <f>E65</f>
        <v>65000</v>
      </c>
      <c r="D129" s="39">
        <f>'Future Plan Assumptions'!G92</f>
        <v>93.013800000000003</v>
      </c>
      <c r="E129" s="24">
        <f>SUM(G129:AA129)</f>
        <v>104322090.5662241</v>
      </c>
      <c r="F129" s="40">
        <v>0</v>
      </c>
      <c r="G129" s="40">
        <v>0</v>
      </c>
      <c r="H129" s="40">
        <v>0</v>
      </c>
      <c r="I129" s="40">
        <f>I65*D129</f>
        <v>6045897</v>
      </c>
      <c r="J129" s="40">
        <f>J65*D129</f>
        <v>6015667.5150000006</v>
      </c>
      <c r="K129" s="40">
        <f>K65*D129</f>
        <v>5985589.1774249999</v>
      </c>
      <c r="L129" s="40">
        <f>L65*D129</f>
        <v>5955661.2315378748</v>
      </c>
      <c r="M129" s="40">
        <f>M65*D129</f>
        <v>5925882.9253801862</v>
      </c>
      <c r="N129" s="40">
        <f>N65*D129</f>
        <v>5896253.5107532851</v>
      </c>
      <c r="O129" s="40">
        <f>O65*D129</f>
        <v>5866772.2431995189</v>
      </c>
      <c r="P129" s="40">
        <f>P65*D129</f>
        <v>5837438.3819835214</v>
      </c>
      <c r="Q129" s="40">
        <f>Q65*D129</f>
        <v>5808251.1900736038</v>
      </c>
      <c r="R129" s="40">
        <f>R65*D129</f>
        <v>5779209.9341232348</v>
      </c>
      <c r="S129" s="40">
        <f>S65*D129</f>
        <v>5750313.8844526187</v>
      </c>
      <c r="T129" s="40">
        <f>T65*D129</f>
        <v>5721562.315030355</v>
      </c>
      <c r="U129" s="40">
        <f>U65*D129</f>
        <v>5692954.503455204</v>
      </c>
      <c r="V129" s="40">
        <f>V65*D129</f>
        <v>5664489.730937927</v>
      </c>
      <c r="W129" s="40">
        <f>W65*D129</f>
        <v>5636167.2822832372</v>
      </c>
      <c r="X129" s="40">
        <f>X65*D129</f>
        <v>5607986.4458718207</v>
      </c>
      <c r="Y129" s="40">
        <f>Y65*D129</f>
        <v>5579946.513642462</v>
      </c>
      <c r="Z129" s="40">
        <f>Z65*D129</f>
        <v>5552046.7810742492</v>
      </c>
    </row>
  </sheetData>
  <printOptions horizontalCentered="1" verticalCentered="1"/>
  <pageMargins left="0.7" right="0.7" top="0.75" bottom="0.75" header="0.3" footer="0.3"/>
  <pageSetup scale="29" orientation="landscape" r:id="rId1"/>
  <headerFooter>
    <oddHeader>&amp;A</oddHeader>
  </headerFooter>
  <rowBreaks count="1" manualBreakCount="1">
    <brk id="66" min="1" max="2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01F83-C202-4A48-A760-88BF75AE7B08}">
  <dimension ref="A1:V45"/>
  <sheetViews>
    <sheetView zoomScaleNormal="100" workbookViewId="0"/>
  </sheetViews>
  <sheetFormatPr defaultRowHeight="14.4" x14ac:dyDescent="0.3"/>
  <cols>
    <col min="1" max="1" width="45.109375" bestFit="1" customWidth="1"/>
    <col min="2" max="2" width="12.6640625" bestFit="1" customWidth="1"/>
    <col min="3" max="4" width="12.33203125" bestFit="1" customWidth="1"/>
    <col min="5" max="5" width="12.77734375" bestFit="1" customWidth="1"/>
    <col min="6" max="6" width="12.33203125" bestFit="1" customWidth="1"/>
    <col min="7" max="7" width="12" bestFit="1" customWidth="1"/>
    <col min="8" max="8" width="12.77734375" bestFit="1" customWidth="1"/>
    <col min="9" max="11" width="12.33203125" bestFit="1" customWidth="1"/>
    <col min="12" max="13" width="12.77734375" bestFit="1" customWidth="1"/>
    <col min="14" max="14" width="12.33203125" bestFit="1" customWidth="1"/>
    <col min="15" max="15" width="12.77734375" bestFit="1" customWidth="1"/>
    <col min="16" max="17" width="12.33203125" bestFit="1" customWidth="1"/>
    <col min="18" max="18" width="12" bestFit="1" customWidth="1"/>
    <col min="19" max="22" width="12.77734375" bestFit="1" customWidth="1"/>
  </cols>
  <sheetData>
    <row r="1" spans="1:22" ht="15.6" x14ac:dyDescent="0.3">
      <c r="A1" s="41"/>
      <c r="B1" s="2">
        <v>2024</v>
      </c>
      <c r="C1" s="2">
        <f t="shared" ref="C1:V1" si="0">B1+1</f>
        <v>2025</v>
      </c>
      <c r="D1" s="2">
        <f t="shared" si="0"/>
        <v>2026</v>
      </c>
      <c r="E1" s="2">
        <f t="shared" si="0"/>
        <v>2027</v>
      </c>
      <c r="F1" s="2">
        <f t="shared" si="0"/>
        <v>2028</v>
      </c>
      <c r="G1" s="2">
        <f t="shared" si="0"/>
        <v>2029</v>
      </c>
      <c r="H1" s="2">
        <f t="shared" si="0"/>
        <v>2030</v>
      </c>
      <c r="I1" s="2">
        <f t="shared" si="0"/>
        <v>2031</v>
      </c>
      <c r="J1" s="2">
        <f t="shared" si="0"/>
        <v>2032</v>
      </c>
      <c r="K1" s="2">
        <f t="shared" si="0"/>
        <v>2033</v>
      </c>
      <c r="L1" s="2">
        <f t="shared" si="0"/>
        <v>2034</v>
      </c>
      <c r="M1" s="2">
        <f t="shared" si="0"/>
        <v>2035</v>
      </c>
      <c r="N1" s="2">
        <f t="shared" si="0"/>
        <v>2036</v>
      </c>
      <c r="O1" s="2">
        <f t="shared" si="0"/>
        <v>2037</v>
      </c>
      <c r="P1" s="2">
        <f t="shared" si="0"/>
        <v>2038</v>
      </c>
      <c r="Q1" s="2">
        <f t="shared" si="0"/>
        <v>2039</v>
      </c>
      <c r="R1" s="2">
        <f t="shared" si="0"/>
        <v>2040</v>
      </c>
      <c r="S1" s="2">
        <f t="shared" si="0"/>
        <v>2041</v>
      </c>
      <c r="T1" s="2">
        <f t="shared" si="0"/>
        <v>2042</v>
      </c>
      <c r="U1" s="2">
        <f t="shared" si="0"/>
        <v>2043</v>
      </c>
      <c r="V1" s="2">
        <f t="shared" si="0"/>
        <v>2044</v>
      </c>
    </row>
    <row r="2" spans="1:22" x14ac:dyDescent="0.3">
      <c r="A2" s="29" t="s">
        <v>6</v>
      </c>
      <c r="B2" s="10">
        <f>'DY 2024 Activities'!F9</f>
        <v>162118.73341728002</v>
      </c>
      <c r="C2" s="10">
        <f>'DY 2024 Activities'!G9</f>
        <v>161308.1397501936</v>
      </c>
      <c r="D2" s="10">
        <f>'DY 2024 Activities'!H9</f>
        <v>160501.59905144264</v>
      </c>
      <c r="E2" s="10">
        <f>'DY 2024 Activities'!I9</f>
        <v>159699.09105618543</v>
      </c>
      <c r="F2" s="10">
        <f>'DY 2024 Activities'!J9</f>
        <v>158900.59560090449</v>
      </c>
      <c r="G2" s="10">
        <f>'DY 2024 Activities'!K9</f>
        <v>158106.09262289997</v>
      </c>
      <c r="H2" s="10">
        <f>'DY 2024 Activities'!L9</f>
        <v>157315.56215978548</v>
      </c>
      <c r="I2" s="10">
        <f>'DY 2024 Activities'!M9</f>
        <v>156528.98434898653</v>
      </c>
      <c r="J2" s="10">
        <f>'DY 2024 Activities'!N9</f>
        <v>155746.33942724159</v>
      </c>
      <c r="K2" s="10">
        <f>'DY 2024 Activities'!O9</f>
        <v>154967.6077301054</v>
      </c>
      <c r="L2" s="10">
        <f>'DY 2024 Activities'!P9</f>
        <v>154192.76969145489</v>
      </c>
      <c r="M2" s="10">
        <f>'DY 2024 Activities'!Q9</f>
        <v>153421.80584299756</v>
      </c>
      <c r="N2" s="10">
        <f>'DY 2024 Activities'!R9</f>
        <v>152654.69681378259</v>
      </c>
      <c r="O2" s="10">
        <f>'DY 2024 Activities'!S9</f>
        <v>151891.42332971367</v>
      </c>
      <c r="P2" s="10">
        <f>'DY 2024 Activities'!T9</f>
        <v>151131.96621306511</v>
      </c>
      <c r="Q2" s="10">
        <f>'DY 2024 Activities'!U9</f>
        <v>0</v>
      </c>
      <c r="R2" s="10">
        <f>'DY 2024 Activities'!V9</f>
        <v>0</v>
      </c>
      <c r="S2" s="10">
        <f>'DY 2024 Activities'!W9</f>
        <v>0</v>
      </c>
      <c r="T2" s="10">
        <f>'DY 2024 Activities'!X9</f>
        <v>0</v>
      </c>
      <c r="U2" s="10">
        <f>'DY 2024 Activities'!Y9</f>
        <v>0</v>
      </c>
      <c r="V2" s="10">
        <f>'DY 2024 Activities'!Z9</f>
        <v>0</v>
      </c>
    </row>
    <row r="3" spans="1:22" x14ac:dyDescent="0.3">
      <c r="A3" s="29" t="s">
        <v>12</v>
      </c>
      <c r="B3" s="28">
        <f>'DY 2024 Activities'!F16</f>
        <v>172602.59970134808</v>
      </c>
      <c r="C3" s="28">
        <f>'DY 2024 Activities'!G16</f>
        <v>171739.58670284133</v>
      </c>
      <c r="D3" s="28">
        <f>'DY 2024 Activities'!H16</f>
        <v>170880.88876932714</v>
      </c>
      <c r="E3" s="28">
        <f>'DY 2024 Activities'!I16</f>
        <v>170026.4843254805</v>
      </c>
      <c r="F3" s="28">
        <f>'DY 2024 Activities'!J16</f>
        <v>169176.35190385312</v>
      </c>
      <c r="G3" s="28">
        <f>'DY 2024 Activities'!K16</f>
        <v>168330.47014433384</v>
      </c>
      <c r="H3" s="28">
        <f>'DY 2024 Activities'!L16</f>
        <v>167488.81779361214</v>
      </c>
      <c r="I3" s="28">
        <f>'DY 2024 Activities'!M16</f>
        <v>166651.37370464409</v>
      </c>
      <c r="J3" s="28">
        <f>'DY 2024 Activities'!N16</f>
        <v>165818.11683612087</v>
      </c>
      <c r="K3" s="28">
        <f>'DY 2024 Activities'!O16</f>
        <v>164989.02625194026</v>
      </c>
      <c r="L3" s="28">
        <f>'DY 2024 Activities'!P16</f>
        <v>164164.08112068055</v>
      </c>
      <c r="M3" s="28">
        <f>'DY 2024 Activities'!Q16</f>
        <v>163343.26071507717</v>
      </c>
      <c r="N3" s="28">
        <f>'DY 2024 Activities'!R16</f>
        <v>162526.54441150179</v>
      </c>
      <c r="O3" s="28">
        <f>'DY 2024 Activities'!S16</f>
        <v>161713.91168944424</v>
      </c>
      <c r="P3" s="28">
        <f>'DY 2024 Activities'!T16</f>
        <v>160905.34213099704</v>
      </c>
      <c r="Q3" s="28">
        <f>'DY 2024 Activities'!U16</f>
        <v>0</v>
      </c>
      <c r="R3" s="28">
        <f>'DY 2024 Activities'!V16</f>
        <v>0</v>
      </c>
      <c r="S3" s="28">
        <f>'DY 2024 Activities'!W16</f>
        <v>0</v>
      </c>
      <c r="T3" s="28">
        <f>'DY 2024 Activities'!X16</f>
        <v>0</v>
      </c>
      <c r="U3" s="28">
        <f>'DY 2024 Activities'!Y16</f>
        <v>0</v>
      </c>
      <c r="V3" s="28">
        <f>'DY 2024 Activities'!Z16</f>
        <v>0</v>
      </c>
    </row>
    <row r="4" spans="1:22" x14ac:dyDescent="0.3">
      <c r="A4" s="29" t="s">
        <v>21</v>
      </c>
      <c r="B4" s="28">
        <f>'DY 2024 Activities'!F29</f>
        <v>0</v>
      </c>
      <c r="C4" s="28">
        <f>'DY 2024 Activities'!G29</f>
        <v>296358.74531999999</v>
      </c>
      <c r="D4" s="28">
        <f>'DY 2024 Activities'!H29</f>
        <v>294876.95159339998</v>
      </c>
      <c r="E4" s="28">
        <f>'DY 2024 Activities'!I29</f>
        <v>293402.56683543301</v>
      </c>
      <c r="F4" s="28">
        <f>'DY 2024 Activities'!J29</f>
        <v>291935.55400125583</v>
      </c>
      <c r="G4" s="28">
        <f>'DY 2024 Activities'!K29</f>
        <v>290475.87623124954</v>
      </c>
      <c r="H4" s="28">
        <f>'DY 2024 Activities'!L29</f>
        <v>289023.4968500933</v>
      </c>
      <c r="I4" s="28">
        <f>'DY 2024 Activities'!M29</f>
        <v>287578.37936584279</v>
      </c>
      <c r="J4" s="28">
        <f>'DY 2024 Activities'!N29</f>
        <v>286140.48746901361</v>
      </c>
      <c r="K4" s="28">
        <f>'DY 2024 Activities'!O29</f>
        <v>284709.78503166855</v>
      </c>
      <c r="L4" s="28">
        <f>'DY 2024 Activities'!P29</f>
        <v>283286.23610651016</v>
      </c>
      <c r="M4" s="28">
        <f>'DY 2024 Activities'!Q29</f>
        <v>281869.8049259776</v>
      </c>
      <c r="N4" s="28">
        <f>'DY 2024 Activities'!R29</f>
        <v>280460.45590134774</v>
      </c>
      <c r="O4" s="28">
        <f>'DY 2024 Activities'!S29</f>
        <v>279058.15362184099</v>
      </c>
      <c r="P4" s="28">
        <f>'DY 2024 Activities'!T29</f>
        <v>277662.86285373179</v>
      </c>
      <c r="Q4" s="28">
        <f>'DY 2024 Activities'!U29</f>
        <v>276274.54853946314</v>
      </c>
      <c r="R4" s="28">
        <f>'DY 2024 Activities'!V29</f>
        <v>274893.17579676583</v>
      </c>
      <c r="S4" s="28">
        <f>'DY 2024 Activities'!W29</f>
        <v>273518.70991778199</v>
      </c>
      <c r="T4" s="28">
        <f>'DY 2024 Activities'!X29</f>
        <v>272151.11636819306</v>
      </c>
      <c r="U4" s="28">
        <f>'DY 2024 Activities'!Y29</f>
        <v>270790.36078635213</v>
      </c>
      <c r="V4" s="28">
        <f>'DY 2024 Activities'!Z29</f>
        <v>269436.40898242034</v>
      </c>
    </row>
    <row r="5" spans="1:22" x14ac:dyDescent="0.3">
      <c r="A5" s="29" t="s">
        <v>25</v>
      </c>
      <c r="B5" s="28">
        <f>'DY 2024 Activities'!F32</f>
        <v>148179.37265999999</v>
      </c>
      <c r="C5" s="28">
        <f>'DY 2024 Activities'!G32</f>
        <v>147438.47579669999</v>
      </c>
      <c r="D5" s="28">
        <f>'DY 2024 Activities'!H32</f>
        <v>146701.28341771651</v>
      </c>
      <c r="E5" s="28">
        <f>'DY 2024 Activities'!I32</f>
        <v>145967.77700062795</v>
      </c>
      <c r="F5" s="28">
        <f>'DY 2024 Activities'!J32</f>
        <v>145237.9381156248</v>
      </c>
      <c r="G5" s="28">
        <f>'DY 2024 Activities'!K32</f>
        <v>144511.74842504668</v>
      </c>
      <c r="H5" s="28">
        <f>'DY 2024 Activities'!L32</f>
        <v>143789.18968292145</v>
      </c>
      <c r="I5" s="28">
        <f>'DY 2024 Activities'!M32</f>
        <v>143070.24373450683</v>
      </c>
      <c r="J5" s="28">
        <f>'DY 2024 Activities'!N32</f>
        <v>142354.8925158343</v>
      </c>
      <c r="K5" s="28">
        <f>'DY 2024 Activities'!O32</f>
        <v>141643.11805325511</v>
      </c>
      <c r="L5" s="28">
        <f>'DY 2024 Activities'!P32</f>
        <v>140934.90246298886</v>
      </c>
      <c r="M5" s="28">
        <f>'DY 2024 Activities'!Q32</f>
        <v>140230.2279506739</v>
      </c>
      <c r="N5" s="28">
        <f>'DY 2024 Activities'!R32</f>
        <v>139529.07681092052</v>
      </c>
      <c r="O5" s="28">
        <f>'DY 2024 Activities'!S32</f>
        <v>138831.43142686592</v>
      </c>
      <c r="P5" s="28">
        <f>'DY 2024 Activities'!T32</f>
        <v>138137.2742697316</v>
      </c>
      <c r="Q5" s="28">
        <f>'DY 2024 Activities'!U32</f>
        <v>137446.58789838295</v>
      </c>
      <c r="R5" s="28">
        <f>'DY 2024 Activities'!V32</f>
        <v>136759.35495889102</v>
      </c>
      <c r="S5" s="28">
        <f>'DY 2024 Activities'!W32</f>
        <v>136075.55818409656</v>
      </c>
      <c r="T5" s="28">
        <f>'DY 2024 Activities'!X32</f>
        <v>135395.1803931761</v>
      </c>
      <c r="U5" s="28">
        <f>'DY 2024 Activities'!Y32</f>
        <v>134718.20449121023</v>
      </c>
      <c r="V5" s="28">
        <f>'DY 2024 Activities'!Z32</f>
        <v>0</v>
      </c>
    </row>
    <row r="6" spans="1:22" x14ac:dyDescent="0.3">
      <c r="A6" s="29" t="s">
        <v>29</v>
      </c>
      <c r="B6" s="28">
        <f>'DY 2024 Activities'!F47</f>
        <v>0</v>
      </c>
      <c r="C6" s="28">
        <f>'DY 2024 Activities'!G47</f>
        <v>49393.124220000005</v>
      </c>
      <c r="D6" s="28">
        <f>'DY 2024 Activities'!H47</f>
        <v>49146.158598900001</v>
      </c>
      <c r="E6" s="28">
        <f>'DY 2024 Activities'!I47</f>
        <v>48900.4278059055</v>
      </c>
      <c r="F6" s="28">
        <f>'DY 2024 Activities'!J47</f>
        <v>48655.92566687597</v>
      </c>
      <c r="G6" s="28">
        <f>'DY 2024 Activities'!K47</f>
        <v>48412.646038541592</v>
      </c>
      <c r="H6" s="28">
        <f>'DY 2024 Activities'!L47</f>
        <v>48170.582808348889</v>
      </c>
      <c r="I6" s="28">
        <f>'DY 2024 Activities'!M47</f>
        <v>47929.729894307144</v>
      </c>
      <c r="J6" s="28">
        <f>'DY 2024 Activities'!N47</f>
        <v>47690.081244835608</v>
      </c>
      <c r="K6" s="28">
        <f>'DY 2024 Activities'!O47</f>
        <v>47451.630838611432</v>
      </c>
      <c r="L6" s="28">
        <f>'DY 2024 Activities'!P47</f>
        <v>47214.372684418369</v>
      </c>
      <c r="M6" s="28">
        <f>'DY 2024 Activities'!Q47</f>
        <v>46978.300820996279</v>
      </c>
      <c r="N6" s="28">
        <f>'DY 2024 Activities'!R47</f>
        <v>46743.409316891295</v>
      </c>
      <c r="O6" s="28">
        <f>'DY 2024 Activities'!S47</f>
        <v>46509.692270306841</v>
      </c>
      <c r="P6" s="28">
        <f>'DY 2024 Activities'!T47</f>
        <v>46277.143808955305</v>
      </c>
      <c r="Q6" s="28">
        <f>'DY 2024 Activities'!U47</f>
        <v>46045.758089910531</v>
      </c>
      <c r="R6" s="28">
        <f>'DY 2024 Activities'!V47</f>
        <v>0</v>
      </c>
      <c r="S6" s="28">
        <f>'DY 2024 Activities'!W47</f>
        <v>0</v>
      </c>
      <c r="T6" s="28">
        <f>'DY 2024 Activities'!X47</f>
        <v>0</v>
      </c>
      <c r="U6" s="28">
        <f>'DY 2024 Activities'!Y47</f>
        <v>0</v>
      </c>
      <c r="V6" s="28">
        <f>'DY 2024 Activities'!Z47</f>
        <v>0</v>
      </c>
    </row>
    <row r="7" spans="1:22" x14ac:dyDescent="0.3">
      <c r="A7" s="30" t="s">
        <v>33</v>
      </c>
      <c r="B7" s="28">
        <f>'DY 2024 Activities'!F50</f>
        <v>86301.29985067404</v>
      </c>
      <c r="C7" s="28">
        <f>'DY 2024 Activities'!G50</f>
        <v>85869.793351420667</v>
      </c>
      <c r="D7" s="28">
        <f>'DY 2024 Activities'!H50</f>
        <v>85440.44438466357</v>
      </c>
      <c r="E7" s="28">
        <f>'DY 2024 Activities'!I50</f>
        <v>85013.242162740251</v>
      </c>
      <c r="F7" s="28">
        <f>'DY 2024 Activities'!J50</f>
        <v>84588.175951926562</v>
      </c>
      <c r="G7" s="28">
        <f>'DY 2024 Activities'!K50</f>
        <v>84165.235072166921</v>
      </c>
      <c r="H7" s="28">
        <f>'DY 2024 Activities'!L50</f>
        <v>83744.408896806068</v>
      </c>
      <c r="I7" s="28">
        <f>'DY 2024 Activities'!M50</f>
        <v>83325.686852322047</v>
      </c>
      <c r="J7" s="28">
        <f>'DY 2024 Activities'!N50</f>
        <v>82909.058418060435</v>
      </c>
      <c r="K7" s="28">
        <f>'DY 2024 Activities'!O50</f>
        <v>82494.51312597013</v>
      </c>
      <c r="L7" s="28">
        <f>'DY 2024 Activities'!P50</f>
        <v>82082.040560340276</v>
      </c>
      <c r="M7" s="28">
        <f>'DY 2024 Activities'!Q50</f>
        <v>81671.630357538583</v>
      </c>
      <c r="N7" s="28">
        <f>'DY 2024 Activities'!R50</f>
        <v>81263.272205750894</v>
      </c>
      <c r="O7" s="28">
        <f>'DY 2024 Activities'!S50</f>
        <v>80856.955844722121</v>
      </c>
      <c r="P7" s="28">
        <f>'DY 2024 Activities'!T50</f>
        <v>80452.671065498522</v>
      </c>
      <c r="Q7" s="28">
        <f>'DY 2024 Activities'!U50</f>
        <v>0</v>
      </c>
      <c r="R7" s="28">
        <f>'DY 2024 Activities'!V50</f>
        <v>0</v>
      </c>
      <c r="S7" s="28">
        <f>'DY 2024 Activities'!W50</f>
        <v>0</v>
      </c>
      <c r="T7" s="28">
        <f>'DY 2024 Activities'!X50</f>
        <v>0</v>
      </c>
      <c r="U7" s="28">
        <f>'DY 2024 Activities'!Y50</f>
        <v>0</v>
      </c>
      <c r="V7" s="28">
        <f>'DY 2024 Activities'!Z50</f>
        <v>0</v>
      </c>
    </row>
    <row r="8" spans="1:22" x14ac:dyDescent="0.3">
      <c r="A8" s="30" t="s">
        <v>40</v>
      </c>
      <c r="B8" s="28">
        <f>'DY 2024 Activities'!F63</f>
        <v>0</v>
      </c>
      <c r="C8" s="28">
        <f>'DY 2024 Activities'!G63</f>
        <v>0</v>
      </c>
      <c r="D8" s="28">
        <f>'DY 2024 Activities'!H63</f>
        <v>0</v>
      </c>
      <c r="E8" s="28">
        <f>'DY 2024 Activities'!I63</f>
        <v>1750000</v>
      </c>
      <c r="F8" s="28">
        <f>'DY 2024 Activities'!J63</f>
        <v>1750000</v>
      </c>
      <c r="G8" s="28">
        <f>'DY 2024 Activities'!K63</f>
        <v>1750000</v>
      </c>
      <c r="H8" s="28">
        <f>'DY 2024 Activities'!L63</f>
        <v>1750000</v>
      </c>
      <c r="I8" s="28">
        <f>'DY 2024 Activities'!M63</f>
        <v>1750000</v>
      </c>
      <c r="J8" s="28">
        <f>'DY 2024 Activities'!N63</f>
        <v>1750000</v>
      </c>
      <c r="K8" s="28">
        <f>'DY 2024 Activities'!O63</f>
        <v>1750000</v>
      </c>
      <c r="L8" s="28">
        <f>'DY 2024 Activities'!P63</f>
        <v>1750000</v>
      </c>
      <c r="M8" s="28">
        <f>'DY 2024 Activities'!Q63</f>
        <v>1750000</v>
      </c>
      <c r="N8" s="28">
        <f>'DY 2024 Activities'!R63</f>
        <v>1750000</v>
      </c>
      <c r="O8" s="28">
        <f>'DY 2024 Activities'!S63</f>
        <v>1750000</v>
      </c>
      <c r="P8" s="28">
        <f>'DY 2024 Activities'!T63</f>
        <v>1750000</v>
      </c>
      <c r="Q8" s="28">
        <f>'DY 2024 Activities'!U63</f>
        <v>1750000</v>
      </c>
      <c r="R8" s="28">
        <f>'DY 2024 Activities'!V63</f>
        <v>1750000</v>
      </c>
      <c r="S8" s="28">
        <f>'DY 2024 Activities'!W63</f>
        <v>1750000</v>
      </c>
      <c r="T8" s="28">
        <f>'DY 2024 Activities'!X63</f>
        <v>1750000</v>
      </c>
      <c r="U8" s="28">
        <f>'DY 2024 Activities'!Y63</f>
        <v>1750000</v>
      </c>
      <c r="V8" s="28">
        <f>'DY 2024 Activities'!Z63</f>
        <v>1750000</v>
      </c>
    </row>
    <row r="9" spans="1:22" x14ac:dyDescent="0.3">
      <c r="A9" s="30" t="s">
        <v>41</v>
      </c>
      <c r="B9" s="28">
        <f>'DY 2024 Activities'!F64</f>
        <v>0</v>
      </c>
      <c r="C9" s="28">
        <f>'DY 2024 Activities'!G64</f>
        <v>0</v>
      </c>
      <c r="D9" s="28">
        <f>'DY 2024 Activities'!H64</f>
        <v>0</v>
      </c>
      <c r="E9" s="28">
        <f>'DY 2024 Activities'!I64</f>
        <v>1000000</v>
      </c>
      <c r="F9" s="28">
        <f>'DY 2024 Activities'!J64</f>
        <v>995000</v>
      </c>
      <c r="G9" s="28">
        <f>'DY 2024 Activities'!K64</f>
        <v>990025</v>
      </c>
      <c r="H9" s="28">
        <f>'DY 2024 Activities'!L64</f>
        <v>985074.875</v>
      </c>
      <c r="I9" s="28">
        <f>'DY 2024 Activities'!M64</f>
        <v>980149.50062499999</v>
      </c>
      <c r="J9" s="28">
        <f>'DY 2024 Activities'!N64</f>
        <v>975248.75312187499</v>
      </c>
      <c r="K9" s="28">
        <f>'DY 2024 Activities'!O64</f>
        <v>970372.50935626565</v>
      </c>
      <c r="L9" s="28">
        <f>'DY 2024 Activities'!P64</f>
        <v>965520.64680948434</v>
      </c>
      <c r="M9" s="28">
        <f>'DY 2024 Activities'!Q64</f>
        <v>960693.04357543692</v>
      </c>
      <c r="N9" s="28">
        <f>'DY 2024 Activities'!R64</f>
        <v>955889.57835755975</v>
      </c>
      <c r="O9" s="28">
        <f>'DY 2024 Activities'!S64</f>
        <v>951110.13046577189</v>
      </c>
      <c r="P9" s="28">
        <f>'DY 2024 Activities'!T64</f>
        <v>946354.57981344301</v>
      </c>
      <c r="Q9" s="28">
        <f>'DY 2024 Activities'!U64</f>
        <v>941622.80691437575</v>
      </c>
      <c r="R9" s="28">
        <f>'DY 2024 Activities'!V64</f>
        <v>936914.69287980383</v>
      </c>
      <c r="S9" s="28">
        <f>'DY 2024 Activities'!W64</f>
        <v>932230.11941540486</v>
      </c>
      <c r="T9" s="28">
        <f>'DY 2024 Activities'!X64</f>
        <v>927568.96881832788</v>
      </c>
      <c r="U9" s="28">
        <f>'DY 2024 Activities'!Y64</f>
        <v>922931.12397423619</v>
      </c>
      <c r="V9" s="28">
        <f>'DY 2024 Activities'!Z64</f>
        <v>918316.46835436497</v>
      </c>
    </row>
    <row r="10" spans="1:22" x14ac:dyDescent="0.3">
      <c r="A10" s="30" t="s">
        <v>42</v>
      </c>
      <c r="B10" s="28">
        <f>'DY 2024 Activities'!F65</f>
        <v>0</v>
      </c>
      <c r="C10" s="28">
        <f>'DY 2024 Activities'!G65</f>
        <v>0</v>
      </c>
      <c r="D10" s="28">
        <f>'DY 2024 Activities'!H65</f>
        <v>0</v>
      </c>
      <c r="E10" s="28">
        <f>'DY 2024 Activities'!I65</f>
        <v>65000</v>
      </c>
      <c r="F10" s="28">
        <f>'DY 2024 Activities'!J65</f>
        <v>64675</v>
      </c>
      <c r="G10" s="28">
        <f>'DY 2024 Activities'!K65</f>
        <v>64351.625</v>
      </c>
      <c r="H10" s="28">
        <f>'DY 2024 Activities'!L65</f>
        <v>64029.866875</v>
      </c>
      <c r="I10" s="28">
        <f>'DY 2024 Activities'!M65</f>
        <v>63709.717540625003</v>
      </c>
      <c r="J10" s="28">
        <f>'DY 2024 Activities'!N65</f>
        <v>63391.168952921878</v>
      </c>
      <c r="K10" s="28">
        <f>'DY 2024 Activities'!O65</f>
        <v>63074.213108157266</v>
      </c>
      <c r="L10" s="28">
        <f>'DY 2024 Activities'!P65</f>
        <v>62758.842042616481</v>
      </c>
      <c r="M10" s="28">
        <f>'DY 2024 Activities'!Q65</f>
        <v>62445.047832403397</v>
      </c>
      <c r="N10" s="28">
        <f>'DY 2024 Activities'!R65</f>
        <v>62132.822593241377</v>
      </c>
      <c r="O10" s="28">
        <f>'DY 2024 Activities'!S65</f>
        <v>61822.158480275168</v>
      </c>
      <c r="P10" s="28">
        <f>'DY 2024 Activities'!T65</f>
        <v>61513.04768787379</v>
      </c>
      <c r="Q10" s="28">
        <f>'DY 2024 Activities'!U65</f>
        <v>61205.482449434421</v>
      </c>
      <c r="R10" s="28">
        <f>'DY 2024 Activities'!V65</f>
        <v>60899.455037187246</v>
      </c>
      <c r="S10" s="28">
        <f>'DY 2024 Activities'!W65</f>
        <v>60594.957762001308</v>
      </c>
      <c r="T10" s="28">
        <f>'DY 2024 Activities'!X65</f>
        <v>60291.982973191298</v>
      </c>
      <c r="U10" s="28">
        <f>'DY 2024 Activities'!Y65</f>
        <v>59990.523058325343</v>
      </c>
      <c r="V10" s="28">
        <f>'DY 2024 Activities'!Z65</f>
        <v>59690.570443033714</v>
      </c>
    </row>
    <row r="11" spans="1:22" x14ac:dyDescent="0.3">
      <c r="A11" s="26" t="s">
        <v>141</v>
      </c>
      <c r="B11" s="27">
        <f t="shared" ref="B11:V11" si="1">SUM(B2:B10)</f>
        <v>569202.00562930212</v>
      </c>
      <c r="C11" s="27">
        <f t="shared" si="1"/>
        <v>912107.86514115555</v>
      </c>
      <c r="D11" s="27">
        <f t="shared" si="1"/>
        <v>907547.32581544982</v>
      </c>
      <c r="E11" s="27">
        <f t="shared" si="1"/>
        <v>3718009.5891863727</v>
      </c>
      <c r="F11" s="27">
        <f t="shared" si="1"/>
        <v>3708169.5412404407</v>
      </c>
      <c r="G11" s="27">
        <f t="shared" si="1"/>
        <v>3698378.6935342383</v>
      </c>
      <c r="H11" s="27">
        <f t="shared" si="1"/>
        <v>3688636.8000665675</v>
      </c>
      <c r="I11" s="27">
        <f t="shared" si="1"/>
        <v>3678943.6160662342</v>
      </c>
      <c r="J11" s="27">
        <f t="shared" si="1"/>
        <v>3669298.8979859031</v>
      </c>
      <c r="K11" s="27">
        <f t="shared" si="1"/>
        <v>3659702.4034959734</v>
      </c>
      <c r="L11" s="27">
        <f t="shared" si="1"/>
        <v>3650153.8914784938</v>
      </c>
      <c r="M11" s="27">
        <f t="shared" si="1"/>
        <v>3640653.1220211014</v>
      </c>
      <c r="N11" s="27">
        <f t="shared" si="1"/>
        <v>3631199.8564109961</v>
      </c>
      <c r="O11" s="27">
        <f t="shared" si="1"/>
        <v>3621793.857128941</v>
      </c>
      <c r="P11" s="27">
        <f t="shared" si="1"/>
        <v>3612434.8878432964</v>
      </c>
      <c r="Q11" s="27">
        <f t="shared" si="1"/>
        <v>3212595.1838915665</v>
      </c>
      <c r="R11" s="27">
        <f t="shared" si="1"/>
        <v>3159466.678672648</v>
      </c>
      <c r="S11" s="27">
        <f t="shared" si="1"/>
        <v>3152419.3452792843</v>
      </c>
      <c r="T11" s="27">
        <f t="shared" si="1"/>
        <v>3145407.2485528886</v>
      </c>
      <c r="U11" s="27">
        <f t="shared" si="1"/>
        <v>3138430.2123101242</v>
      </c>
      <c r="V11" s="27">
        <f t="shared" si="1"/>
        <v>2997443.4477798189</v>
      </c>
    </row>
    <row r="35" spans="1:22" ht="15.6" x14ac:dyDescent="0.3">
      <c r="A35" s="41"/>
      <c r="B35" s="2">
        <v>2024</v>
      </c>
      <c r="C35" s="2">
        <f t="shared" ref="C35:V35" si="2">B35+1</f>
        <v>2025</v>
      </c>
      <c r="D35" s="2">
        <f t="shared" si="2"/>
        <v>2026</v>
      </c>
      <c r="E35" s="2">
        <f t="shared" si="2"/>
        <v>2027</v>
      </c>
      <c r="F35" s="2">
        <f t="shared" si="2"/>
        <v>2028</v>
      </c>
      <c r="G35" s="2">
        <f t="shared" si="2"/>
        <v>2029</v>
      </c>
      <c r="H35" s="2">
        <f t="shared" si="2"/>
        <v>2030</v>
      </c>
      <c r="I35" s="2">
        <f t="shared" si="2"/>
        <v>2031</v>
      </c>
      <c r="J35" s="2">
        <f t="shared" si="2"/>
        <v>2032</v>
      </c>
      <c r="K35" s="2">
        <f t="shared" si="2"/>
        <v>2033</v>
      </c>
      <c r="L35" s="2">
        <f t="shared" si="2"/>
        <v>2034</v>
      </c>
      <c r="M35" s="2">
        <f t="shared" si="2"/>
        <v>2035</v>
      </c>
      <c r="N35" s="2">
        <f t="shared" si="2"/>
        <v>2036</v>
      </c>
      <c r="O35" s="2">
        <f t="shared" si="2"/>
        <v>2037</v>
      </c>
      <c r="P35" s="2">
        <f t="shared" si="2"/>
        <v>2038</v>
      </c>
      <c r="Q35" s="2">
        <f t="shared" si="2"/>
        <v>2039</v>
      </c>
      <c r="R35" s="2">
        <f t="shared" si="2"/>
        <v>2040</v>
      </c>
      <c r="S35" s="2">
        <f t="shared" si="2"/>
        <v>2041</v>
      </c>
      <c r="T35" s="2">
        <f t="shared" si="2"/>
        <v>2042</v>
      </c>
      <c r="U35" s="2">
        <f t="shared" si="2"/>
        <v>2043</v>
      </c>
      <c r="V35" s="2">
        <f t="shared" si="2"/>
        <v>2044</v>
      </c>
    </row>
    <row r="36" spans="1:22" x14ac:dyDescent="0.3">
      <c r="A36" s="29" t="s">
        <v>6</v>
      </c>
      <c r="B36" s="45">
        <f>'DY 2024 Activities'!F73</f>
        <v>147344631.33522782</v>
      </c>
      <c r="C36" s="45">
        <f>'DY 2024 Activities'!G73</f>
        <v>0</v>
      </c>
      <c r="D36" s="45">
        <f>'DY 2024 Activities'!H73</f>
        <v>0</v>
      </c>
      <c r="E36" s="45">
        <f>'DY 2024 Activities'!I73</f>
        <v>0</v>
      </c>
      <c r="F36" s="45">
        <f>'DY 2024 Activities'!J73</f>
        <v>0</v>
      </c>
      <c r="G36" s="45">
        <f>'DY 2024 Activities'!K73</f>
        <v>0</v>
      </c>
      <c r="H36" s="45">
        <f>'DY 2024 Activities'!L73</f>
        <v>0</v>
      </c>
      <c r="I36" s="45">
        <f>'DY 2024 Activities'!M73</f>
        <v>0</v>
      </c>
      <c r="J36" s="45">
        <f>'DY 2024 Activities'!N73</f>
        <v>0</v>
      </c>
      <c r="K36" s="45">
        <f>'DY 2024 Activities'!O73</f>
        <v>0</v>
      </c>
      <c r="L36" s="45">
        <f>'DY 2024 Activities'!P73</f>
        <v>0</v>
      </c>
      <c r="M36" s="45">
        <f>'DY 2024 Activities'!Q73</f>
        <v>0</v>
      </c>
      <c r="N36" s="45">
        <f>'DY 2024 Activities'!R73</f>
        <v>0</v>
      </c>
      <c r="O36" s="45">
        <f>'DY 2024 Activities'!S73</f>
        <v>0</v>
      </c>
      <c r="P36" s="45">
        <f>'DY 2024 Activities'!T73</f>
        <v>0</v>
      </c>
      <c r="Q36" s="45">
        <f>'DY 2024 Activities'!U73</f>
        <v>0</v>
      </c>
      <c r="R36" s="45">
        <f>'DY 2024 Activities'!V73</f>
        <v>0</v>
      </c>
      <c r="S36" s="45">
        <f>'DY 2024 Activities'!W73</f>
        <v>0</v>
      </c>
      <c r="T36" s="45">
        <f>'DY 2024 Activities'!X73</f>
        <v>0</v>
      </c>
      <c r="U36" s="45">
        <f>'DY 2024 Activities'!Y73</f>
        <v>0</v>
      </c>
      <c r="V36" s="45">
        <f>'DY 2024 Activities'!Z73</f>
        <v>0</v>
      </c>
    </row>
    <row r="37" spans="1:22" x14ac:dyDescent="0.3">
      <c r="A37" s="29" t="s">
        <v>12</v>
      </c>
      <c r="B37" s="45">
        <f>'DY 2024 Activities'!F80</f>
        <v>15811095.753424857</v>
      </c>
      <c r="C37" s="45">
        <f>'DY 2024 Activities'!G80</f>
        <v>14932701.544901256</v>
      </c>
      <c r="D37" s="45">
        <f>'DY 2024 Activities'!H80</f>
        <v>14932701.544901256</v>
      </c>
      <c r="E37" s="45">
        <f>'DY 2024 Activities'!I80</f>
        <v>14932701.544901256</v>
      </c>
      <c r="F37" s="45">
        <f>'DY 2024 Activities'!J80</f>
        <v>14932701.544901256</v>
      </c>
      <c r="G37" s="45">
        <f>'DY 2024 Activities'!K80</f>
        <v>14932701.544901256</v>
      </c>
      <c r="H37" s="45">
        <f>'DY 2024 Activities'!L80</f>
        <v>14932701.544901256</v>
      </c>
      <c r="I37" s="45">
        <f>'DY 2024 Activities'!M80</f>
        <v>0</v>
      </c>
      <c r="J37" s="45">
        <f>'DY 2024 Activities'!N80</f>
        <v>0</v>
      </c>
      <c r="K37" s="45">
        <f>'DY 2024 Activities'!O80</f>
        <v>0</v>
      </c>
      <c r="L37" s="45">
        <f>'DY 2024 Activities'!P80</f>
        <v>0</v>
      </c>
      <c r="M37" s="45">
        <f>'DY 2024 Activities'!Q80</f>
        <v>0</v>
      </c>
      <c r="N37" s="45">
        <f>'DY 2024 Activities'!R80</f>
        <v>0</v>
      </c>
      <c r="O37" s="45">
        <f>'DY 2024 Activities'!S80</f>
        <v>0</v>
      </c>
      <c r="P37" s="45">
        <f>'DY 2024 Activities'!T80</f>
        <v>0</v>
      </c>
      <c r="Q37" s="45">
        <f>'DY 2024 Activities'!U80</f>
        <v>0</v>
      </c>
      <c r="R37" s="45">
        <f>'DY 2024 Activities'!V80</f>
        <v>0</v>
      </c>
      <c r="S37" s="45">
        <f>'DY 2024 Activities'!W80</f>
        <v>0</v>
      </c>
      <c r="T37" s="45">
        <f>'DY 2024 Activities'!X80</f>
        <v>0</v>
      </c>
      <c r="U37" s="45">
        <f>'DY 2024 Activities'!Y80</f>
        <v>0</v>
      </c>
      <c r="V37" s="45">
        <f>'DY 2024 Activities'!Z80</f>
        <v>0</v>
      </c>
    </row>
    <row r="38" spans="1:22" x14ac:dyDescent="0.3">
      <c r="A38" s="29" t="s">
        <v>21</v>
      </c>
      <c r="B38" s="45">
        <f>'DY 2024 Activities'!F93</f>
        <v>0</v>
      </c>
      <c r="C38" s="45">
        <f>'DY 2024 Activities'!G93</f>
        <v>13581238.386041543</v>
      </c>
      <c r="D38" s="45">
        <f>'DY 2024 Activities'!H93</f>
        <v>13513332.194111336</v>
      </c>
      <c r="E38" s="45">
        <f>'DY 2024 Activities'!I93</f>
        <v>13445765.533140779</v>
      </c>
      <c r="F38" s="45">
        <f>'DY 2024 Activities'!J93</f>
        <v>13378536.705475075</v>
      </c>
      <c r="G38" s="45">
        <f>'DY 2024 Activities'!K93</f>
        <v>13311644.021947699</v>
      </c>
      <c r="H38" s="45">
        <f>'DY 2024 Activities'!L93</f>
        <v>13245085.801837958</v>
      </c>
      <c r="I38" s="45">
        <f>'DY 2024 Activities'!M93</f>
        <v>13178860.37282877</v>
      </c>
      <c r="J38" s="45">
        <f>'DY 2024 Activities'!N93</f>
        <v>13112966.070964627</v>
      </c>
      <c r="K38" s="45">
        <f>'DY 2024 Activities'!O93</f>
        <v>13047401.240609804</v>
      </c>
      <c r="L38" s="45">
        <f>'DY 2024 Activities'!P93</f>
        <v>12982164.234406754</v>
      </c>
      <c r="M38" s="45">
        <f>'DY 2024 Activities'!Q93</f>
        <v>12917253.413234718</v>
      </c>
      <c r="N38" s="45">
        <f>'DY 2024 Activities'!R93</f>
        <v>12852667.146168547</v>
      </c>
      <c r="O38" s="45">
        <f>'DY 2024 Activities'!S93</f>
        <v>12788403.810437705</v>
      </c>
      <c r="P38" s="45">
        <f>'DY 2024 Activities'!T93</f>
        <v>12724461.791385515</v>
      </c>
      <c r="Q38" s="45">
        <f>'DY 2024 Activities'!U93</f>
        <v>12660839.482428588</v>
      </c>
      <c r="R38" s="45">
        <f>'DY 2024 Activities'!V93</f>
        <v>12597535.285016445</v>
      </c>
      <c r="S38" s="45">
        <f>'DY 2024 Activities'!W93</f>
        <v>12534547.608591363</v>
      </c>
      <c r="T38" s="45">
        <f>'DY 2024 Activities'!X93</f>
        <v>12471874.870548405</v>
      </c>
      <c r="U38" s="45">
        <f>'DY 2024 Activities'!Y93</f>
        <v>12409515.496195663</v>
      </c>
      <c r="V38" s="45">
        <f>'DY 2024 Activities'!Z93</f>
        <v>12347467.918714685</v>
      </c>
    </row>
    <row r="39" spans="1:22" x14ac:dyDescent="0.3">
      <c r="A39" s="29" t="s">
        <v>25</v>
      </c>
      <c r="B39" s="45">
        <f>'DY 2024 Activities'!F96</f>
        <v>7675199.9434157629</v>
      </c>
      <c r="C39" s="45">
        <f>'DY 2024 Activities'!G96</f>
        <v>7636823.9436986838</v>
      </c>
      <c r="D39" s="45">
        <f>'DY 2024 Activities'!H96</f>
        <v>7598639.8239801899</v>
      </c>
      <c r="E39" s="45">
        <f>'DY 2024 Activities'!I96</f>
        <v>7560646.6248602895</v>
      </c>
      <c r="F39" s="45">
        <f>'DY 2024 Activities'!J96</f>
        <v>7522843.3917359887</v>
      </c>
      <c r="G39" s="45">
        <f>'DY 2024 Activities'!K96</f>
        <v>7485229.1747773085</v>
      </c>
      <c r="H39" s="45">
        <f>'DY 2024 Activities'!L96</f>
        <v>7447803.0289034229</v>
      </c>
      <c r="I39" s="45">
        <f>'DY 2024 Activities'!M96</f>
        <v>7410564.0137589052</v>
      </c>
      <c r="J39" s="45">
        <f>'DY 2024 Activities'!N96</f>
        <v>7373511.19369011</v>
      </c>
      <c r="K39" s="45">
        <f>'DY 2024 Activities'!O96</f>
        <v>7336643.6377216596</v>
      </c>
      <c r="L39" s="45">
        <f>'DY 2024 Activities'!P96</f>
        <v>7299960.4195330516</v>
      </c>
      <c r="M39" s="45">
        <f>'DY 2024 Activities'!Q96</f>
        <v>7263460.6174353864</v>
      </c>
      <c r="N39" s="45">
        <f>'DY 2024 Activities'!R96</f>
        <v>7227143.3143482096</v>
      </c>
      <c r="O39" s="45">
        <f>'DY 2024 Activities'!S96</f>
        <v>7191007.597776467</v>
      </c>
      <c r="P39" s="45">
        <f>'DY 2024 Activities'!T96</f>
        <v>7155052.5597875854</v>
      </c>
      <c r="Q39" s="45">
        <f>'DY 2024 Activities'!U96</f>
        <v>7119277.2969886484</v>
      </c>
      <c r="R39" s="45">
        <f>'DY 2024 Activities'!V96</f>
        <v>7083680.910503705</v>
      </c>
      <c r="S39" s="45">
        <f>'DY 2024 Activities'!W96</f>
        <v>7048262.5059511866</v>
      </c>
      <c r="T39" s="45">
        <f>'DY 2024 Activities'!X96</f>
        <v>7013021.1934214309</v>
      </c>
      <c r="U39" s="45">
        <f>'DY 2024 Activities'!Y96</f>
        <v>6977956.0874543237</v>
      </c>
      <c r="V39" s="45">
        <f>'DY 2024 Activities'!Z96</f>
        <v>0</v>
      </c>
    </row>
    <row r="40" spans="1:22" x14ac:dyDescent="0.3">
      <c r="A40" s="29" t="s">
        <v>29</v>
      </c>
      <c r="B40" s="45">
        <f>'DY 2024 Activities'!F111</f>
        <v>0</v>
      </c>
      <c r="C40" s="45">
        <f>'DY 2024 Activities'!G111</f>
        <v>6212021.7949186526</v>
      </c>
      <c r="D40" s="45">
        <f>'DY 2024 Activities'!H111</f>
        <v>5866909.472978727</v>
      </c>
      <c r="E40" s="45">
        <f>'DY 2024 Activities'!I111</f>
        <v>5866909.472978727</v>
      </c>
      <c r="F40" s="45">
        <f>'DY 2024 Activities'!J111</f>
        <v>5866909.472978727</v>
      </c>
      <c r="G40" s="45">
        <f>'DY 2024 Activities'!K111</f>
        <v>5866909.472978727</v>
      </c>
      <c r="H40" s="45">
        <f>'DY 2024 Activities'!L111</f>
        <v>5866909.472978727</v>
      </c>
      <c r="I40" s="45">
        <f>'DY 2024 Activities'!M111</f>
        <v>5866909.472978727</v>
      </c>
      <c r="J40" s="45">
        <f>'DY 2024 Activities'!N111</f>
        <v>0</v>
      </c>
      <c r="K40" s="45">
        <f>'DY 2024 Activities'!O111</f>
        <v>0</v>
      </c>
      <c r="L40" s="45">
        <f>'DY 2024 Activities'!P111</f>
        <v>0</v>
      </c>
      <c r="M40" s="45">
        <f>'DY 2024 Activities'!Q111</f>
        <v>0</v>
      </c>
      <c r="N40" s="45">
        <f>'DY 2024 Activities'!R111</f>
        <v>0</v>
      </c>
      <c r="O40" s="45">
        <f>'DY 2024 Activities'!S111</f>
        <v>0</v>
      </c>
      <c r="P40" s="45">
        <f>'DY 2024 Activities'!T111</f>
        <v>0</v>
      </c>
      <c r="Q40" s="45">
        <f>'DY 2024 Activities'!U111</f>
        <v>0</v>
      </c>
      <c r="R40" s="45">
        <f>'DY 2024 Activities'!V111</f>
        <v>0</v>
      </c>
      <c r="S40" s="45">
        <f>'DY 2024 Activities'!W111</f>
        <v>0</v>
      </c>
      <c r="T40" s="45">
        <f>'DY 2024 Activities'!X111</f>
        <v>0</v>
      </c>
      <c r="U40" s="45">
        <f>'DY 2024 Activities'!Y111</f>
        <v>0</v>
      </c>
      <c r="V40" s="45">
        <f>'DY 2024 Activities'!Z111</f>
        <v>0</v>
      </c>
    </row>
    <row r="41" spans="1:22" x14ac:dyDescent="0.3">
      <c r="A41" s="30" t="s">
        <v>33</v>
      </c>
      <c r="B41" s="45">
        <f>'DY 2024 Activities'!F114</f>
        <v>7905547.8767124284</v>
      </c>
      <c r="C41" s="45">
        <f>'DY 2024 Activities'!G114</f>
        <v>7466350.7724506278</v>
      </c>
      <c r="D41" s="45">
        <f>'DY 2024 Activities'!H114</f>
        <v>7466350.7724506278</v>
      </c>
      <c r="E41" s="45">
        <f>'DY 2024 Activities'!I114</f>
        <v>7466350.7724506278</v>
      </c>
      <c r="F41" s="45">
        <f>'DY 2024 Activities'!J114</f>
        <v>7466350.7724506278</v>
      </c>
      <c r="G41" s="45">
        <f>'DY 2024 Activities'!K114</f>
        <v>7466350.7724506278</v>
      </c>
      <c r="H41" s="45">
        <f>'DY 2024 Activities'!L114</f>
        <v>7466350.7724506278</v>
      </c>
      <c r="I41" s="45">
        <f>'DY 2024 Activities'!M114</f>
        <v>0</v>
      </c>
      <c r="J41" s="45">
        <f>'DY 2024 Activities'!N114</f>
        <v>0</v>
      </c>
      <c r="K41" s="45">
        <f>'DY 2024 Activities'!O114</f>
        <v>0</v>
      </c>
      <c r="L41" s="45">
        <f>'DY 2024 Activities'!P114</f>
        <v>0</v>
      </c>
      <c r="M41" s="45">
        <f>'DY 2024 Activities'!Q114</f>
        <v>0</v>
      </c>
      <c r="N41" s="45">
        <f>'DY 2024 Activities'!R114</f>
        <v>0</v>
      </c>
      <c r="O41" s="45">
        <f>'DY 2024 Activities'!S114</f>
        <v>0</v>
      </c>
      <c r="P41" s="45">
        <f>'DY 2024 Activities'!T114</f>
        <v>0</v>
      </c>
      <c r="Q41" s="45">
        <f>'DY 2024 Activities'!U114</f>
        <v>0</v>
      </c>
      <c r="R41" s="45">
        <f>'DY 2024 Activities'!V114</f>
        <v>0</v>
      </c>
      <c r="S41" s="45">
        <f>'DY 2024 Activities'!W114</f>
        <v>0</v>
      </c>
      <c r="T41" s="45">
        <f>'DY 2024 Activities'!X114</f>
        <v>0</v>
      </c>
      <c r="U41" s="45">
        <f>'DY 2024 Activities'!Y114</f>
        <v>0</v>
      </c>
      <c r="V41" s="45">
        <f>'DY 2024 Activities'!Z114</f>
        <v>0</v>
      </c>
    </row>
    <row r="42" spans="1:22" x14ac:dyDescent="0.3">
      <c r="A42" s="30" t="s">
        <v>40</v>
      </c>
      <c r="B42" s="45">
        <f>'DY 2024 Activities'!F127</f>
        <v>0</v>
      </c>
      <c r="C42" s="45">
        <f>'DY 2024 Activities'!G127</f>
        <v>0</v>
      </c>
      <c r="D42" s="45">
        <f>'DY 2024 Activities'!H127</f>
        <v>0</v>
      </c>
      <c r="E42" s="45">
        <f>'DY 2024 Activities'!I127</f>
        <v>93944550</v>
      </c>
      <c r="F42" s="45">
        <f>'DY 2024 Activities'!J127</f>
        <v>93944550</v>
      </c>
      <c r="G42" s="45">
        <f>'DY 2024 Activities'!K127</f>
        <v>93944550</v>
      </c>
      <c r="H42" s="45">
        <f>'DY 2024 Activities'!L127</f>
        <v>93944550</v>
      </c>
      <c r="I42" s="45">
        <f>'DY 2024 Activities'!M127</f>
        <v>93944550</v>
      </c>
      <c r="J42" s="45">
        <f>'DY 2024 Activities'!N127</f>
        <v>93944550</v>
      </c>
      <c r="K42" s="45">
        <f>'DY 2024 Activities'!O127</f>
        <v>93944550</v>
      </c>
      <c r="L42" s="45">
        <f>'DY 2024 Activities'!P127</f>
        <v>93944550</v>
      </c>
      <c r="M42" s="45">
        <f>'DY 2024 Activities'!Q127</f>
        <v>93944550</v>
      </c>
      <c r="N42" s="45">
        <f>'DY 2024 Activities'!R127</f>
        <v>93944550</v>
      </c>
      <c r="O42" s="45">
        <f>'DY 2024 Activities'!S127</f>
        <v>93944550</v>
      </c>
      <c r="P42" s="45">
        <f>'DY 2024 Activities'!T127</f>
        <v>93944550</v>
      </c>
      <c r="Q42" s="45">
        <f>'DY 2024 Activities'!U127</f>
        <v>93944550</v>
      </c>
      <c r="R42" s="45">
        <f>'DY 2024 Activities'!V127</f>
        <v>93944550</v>
      </c>
      <c r="S42" s="45">
        <f>'DY 2024 Activities'!W127</f>
        <v>93944550</v>
      </c>
      <c r="T42" s="45">
        <f>'DY 2024 Activities'!X127</f>
        <v>93944550</v>
      </c>
      <c r="U42" s="45">
        <f>'DY 2024 Activities'!Y127</f>
        <v>93944550</v>
      </c>
      <c r="V42" s="45">
        <f>'DY 2024 Activities'!Z127</f>
        <v>93944550</v>
      </c>
    </row>
    <row r="43" spans="1:22" x14ac:dyDescent="0.3">
      <c r="A43" s="30" t="s">
        <v>41</v>
      </c>
      <c r="B43" s="45">
        <f>'DY 2024 Activities'!F128</f>
        <v>0</v>
      </c>
      <c r="C43" s="45">
        <f>'DY 2024 Activities'!G128</f>
        <v>0</v>
      </c>
      <c r="D43" s="45">
        <f>'DY 2024 Activities'!H128</f>
        <v>0</v>
      </c>
      <c r="E43" s="45">
        <f>'DY 2024 Activities'!I128</f>
        <v>73052400</v>
      </c>
      <c r="F43" s="45">
        <f>'DY 2024 Activities'!J128</f>
        <v>72687138</v>
      </c>
      <c r="G43" s="45">
        <f>'DY 2024 Activities'!K128</f>
        <v>72323702.310000002</v>
      </c>
      <c r="H43" s="45">
        <f>'DY 2024 Activities'!L128</f>
        <v>71962083.798450008</v>
      </c>
      <c r="I43" s="45">
        <f>'DY 2024 Activities'!M128</f>
        <v>71602273.379457757</v>
      </c>
      <c r="J43" s="45">
        <f>'DY 2024 Activities'!N128</f>
        <v>71244262.012560472</v>
      </c>
      <c r="K43" s="45">
        <f>'DY 2024 Activities'!O128</f>
        <v>70888040.702497661</v>
      </c>
      <c r="L43" s="45">
        <f>'DY 2024 Activities'!P128</f>
        <v>70533600.498985186</v>
      </c>
      <c r="M43" s="45">
        <f>'DY 2024 Activities'!Q128</f>
        <v>70180932.496490255</v>
      </c>
      <c r="N43" s="45">
        <f>'DY 2024 Activities'!R128</f>
        <v>69830027.8340078</v>
      </c>
      <c r="O43" s="45">
        <f>'DY 2024 Activities'!S128</f>
        <v>69480877.694837764</v>
      </c>
      <c r="P43" s="45">
        <f>'DY 2024 Activities'!T128</f>
        <v>69133473.306363568</v>
      </c>
      <c r="Q43" s="45">
        <f>'DY 2024 Activities'!U128</f>
        <v>68787805.939831749</v>
      </c>
      <c r="R43" s="45">
        <f>'DY 2024 Activities'!V128</f>
        <v>68443866.910132587</v>
      </c>
      <c r="S43" s="45">
        <f>'DY 2024 Activities'!W128</f>
        <v>68101647.575581923</v>
      </c>
      <c r="T43" s="45">
        <f>'DY 2024 Activities'!X128</f>
        <v>67761139.337704018</v>
      </c>
      <c r="U43" s="45">
        <f>'DY 2024 Activities'!Y128</f>
        <v>67422333.6410155</v>
      </c>
      <c r="V43" s="45">
        <f>'DY 2024 Activities'!Z128</f>
        <v>67085221.972810417</v>
      </c>
    </row>
    <row r="44" spans="1:22" x14ac:dyDescent="0.3">
      <c r="A44" s="30" t="s">
        <v>42</v>
      </c>
      <c r="B44" s="45">
        <f>'DY 2024 Activities'!F129</f>
        <v>0</v>
      </c>
      <c r="C44" s="45">
        <f>'DY 2024 Activities'!G129</f>
        <v>0</v>
      </c>
      <c r="D44" s="45">
        <f>'DY 2024 Activities'!H129</f>
        <v>0</v>
      </c>
      <c r="E44" s="45">
        <f>'DY 2024 Activities'!I129</f>
        <v>6045897</v>
      </c>
      <c r="F44" s="45">
        <f>'DY 2024 Activities'!J129</f>
        <v>6015667.5150000006</v>
      </c>
      <c r="G44" s="45">
        <f>'DY 2024 Activities'!K129</f>
        <v>5985589.1774249999</v>
      </c>
      <c r="H44" s="45">
        <f>'DY 2024 Activities'!L129</f>
        <v>5955661.2315378748</v>
      </c>
      <c r="I44" s="45">
        <f>'DY 2024 Activities'!M129</f>
        <v>5925882.9253801862</v>
      </c>
      <c r="J44" s="45">
        <f>'DY 2024 Activities'!N129</f>
        <v>5896253.5107532851</v>
      </c>
      <c r="K44" s="45">
        <f>'DY 2024 Activities'!O129</f>
        <v>5866772.2431995189</v>
      </c>
      <c r="L44" s="45">
        <f>'DY 2024 Activities'!P129</f>
        <v>5837438.3819835214</v>
      </c>
      <c r="M44" s="45">
        <f>'DY 2024 Activities'!Q129</f>
        <v>5808251.1900736038</v>
      </c>
      <c r="N44" s="45">
        <f>'DY 2024 Activities'!R129</f>
        <v>5779209.9341232348</v>
      </c>
      <c r="O44" s="45">
        <f>'DY 2024 Activities'!S129</f>
        <v>5750313.8844526187</v>
      </c>
      <c r="P44" s="45">
        <f>'DY 2024 Activities'!T129</f>
        <v>5721562.315030355</v>
      </c>
      <c r="Q44" s="45">
        <f>'DY 2024 Activities'!U129</f>
        <v>5692954.503455204</v>
      </c>
      <c r="R44" s="45">
        <f>'DY 2024 Activities'!V129</f>
        <v>5664489.730937927</v>
      </c>
      <c r="S44" s="45">
        <f>'DY 2024 Activities'!W129</f>
        <v>5636167.2822832372</v>
      </c>
      <c r="T44" s="45">
        <f>'DY 2024 Activities'!X129</f>
        <v>5607986.4458718207</v>
      </c>
      <c r="U44" s="45">
        <f>'DY 2024 Activities'!Y129</f>
        <v>5579946.513642462</v>
      </c>
      <c r="V44" s="45">
        <f>'DY 2024 Activities'!Z129</f>
        <v>5552046.7810742492</v>
      </c>
    </row>
    <row r="45" spans="1:22" x14ac:dyDescent="0.3">
      <c r="A45" s="5" t="s">
        <v>233</v>
      </c>
      <c r="B45" s="24">
        <f t="shared" ref="B45:V45" si="3">SUM(B36:B44)</f>
        <v>178736474.90878087</v>
      </c>
      <c r="C45" s="24">
        <f t="shared" si="3"/>
        <v>49829136.44201076</v>
      </c>
      <c r="D45" s="24">
        <f t="shared" si="3"/>
        <v>49377933.808422133</v>
      </c>
      <c r="E45" s="24">
        <f t="shared" si="3"/>
        <v>222315220.94833168</v>
      </c>
      <c r="F45" s="24">
        <f t="shared" si="3"/>
        <v>221814697.40254164</v>
      </c>
      <c r="G45" s="24">
        <f t="shared" si="3"/>
        <v>221316676.4744806</v>
      </c>
      <c r="H45" s="24">
        <f t="shared" si="3"/>
        <v>220821145.65105987</v>
      </c>
      <c r="I45" s="24">
        <f t="shared" si="3"/>
        <v>197929040.16440436</v>
      </c>
      <c r="J45" s="24">
        <f t="shared" si="3"/>
        <v>191571542.78796849</v>
      </c>
      <c r="K45" s="24">
        <f t="shared" si="3"/>
        <v>191083407.82402867</v>
      </c>
      <c r="L45" s="24">
        <f t="shared" si="3"/>
        <v>190597713.53490853</v>
      </c>
      <c r="M45" s="24">
        <f t="shared" si="3"/>
        <v>190114447.71723396</v>
      </c>
      <c r="N45" s="24">
        <f t="shared" si="3"/>
        <v>189633598.2286478</v>
      </c>
      <c r="O45" s="24">
        <f t="shared" si="3"/>
        <v>189155152.98750457</v>
      </c>
      <c r="P45" s="24">
        <f t="shared" si="3"/>
        <v>188679099.97256705</v>
      </c>
      <c r="Q45" s="24">
        <f t="shared" si="3"/>
        <v>188205427.22270417</v>
      </c>
      <c r="R45" s="24">
        <f t="shared" si="3"/>
        <v>187734122.83659068</v>
      </c>
      <c r="S45" s="24">
        <f t="shared" si="3"/>
        <v>187265174.9724077</v>
      </c>
      <c r="T45" s="24">
        <f t="shared" si="3"/>
        <v>186798571.84754568</v>
      </c>
      <c r="U45" s="24">
        <f t="shared" si="3"/>
        <v>186334301.73830795</v>
      </c>
      <c r="V45" s="24">
        <f t="shared" si="3"/>
        <v>178929286.67259935</v>
      </c>
    </row>
  </sheetData>
  <printOptions horizontalCentered="1" verticalCentered="1"/>
  <pageMargins left="0.7" right="0.7" top="0.75" bottom="0.75" header="0.3" footer="0.3"/>
  <pageSetup scale="39" orientation="landscape" r:id="rId1"/>
  <headerFooter>
    <oddHeader>&amp;A</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CBD66-83F7-42AD-8567-CDF509B664F6}">
  <dimension ref="A1:W110"/>
  <sheetViews>
    <sheetView zoomScaleNormal="100" workbookViewId="0"/>
  </sheetViews>
  <sheetFormatPr defaultRowHeight="14.4" x14ac:dyDescent="0.3"/>
  <cols>
    <col min="1" max="1" width="17.44140625" bestFit="1" customWidth="1"/>
    <col min="2" max="2" width="16.88671875" bestFit="1" customWidth="1"/>
    <col min="3" max="3" width="16.77734375" bestFit="1" customWidth="1"/>
    <col min="4" max="4" width="16.44140625" bestFit="1" customWidth="1"/>
    <col min="5" max="5" width="12.77734375" bestFit="1" customWidth="1"/>
    <col min="6" max="6" width="14.77734375" bestFit="1" customWidth="1"/>
    <col min="7" max="7" width="16.44140625" bestFit="1" customWidth="1"/>
    <col min="8" max="8" width="12.77734375" bestFit="1" customWidth="1"/>
    <col min="9" max="9" width="29" bestFit="1" customWidth="1"/>
    <col min="10" max="10" width="17.5546875" bestFit="1" customWidth="1"/>
    <col min="11" max="11" width="24" bestFit="1" customWidth="1"/>
    <col min="12" max="12" width="36" bestFit="1" customWidth="1"/>
    <col min="13" max="13" width="19.6640625" bestFit="1" customWidth="1"/>
    <col min="14" max="14" width="45.109375" bestFit="1" customWidth="1"/>
    <col min="15" max="15" width="32.44140625" bestFit="1" customWidth="1"/>
    <col min="16" max="16" width="14.77734375" bestFit="1" customWidth="1"/>
    <col min="17" max="17" width="15.5546875" bestFit="1" customWidth="1"/>
    <col min="18" max="18" width="14.21875" bestFit="1" customWidth="1"/>
    <col min="19" max="19" width="19.44140625" bestFit="1" customWidth="1"/>
    <col min="20" max="20" width="14" bestFit="1" customWidth="1"/>
    <col min="21" max="21" width="15.77734375" bestFit="1" customWidth="1"/>
    <col min="22" max="22" width="16.109375" bestFit="1" customWidth="1"/>
    <col min="23" max="23" width="17.21875" bestFit="1" customWidth="1"/>
    <col min="24" max="24" width="11.77734375" bestFit="1" customWidth="1"/>
    <col min="25" max="26" width="13.21875" bestFit="1" customWidth="1"/>
    <col min="27" max="28" width="11.77734375" bestFit="1" customWidth="1"/>
  </cols>
  <sheetData>
    <row r="1" spans="1:23" x14ac:dyDescent="0.3">
      <c r="A1" s="125" t="s">
        <v>132</v>
      </c>
    </row>
    <row r="2" spans="1:23" ht="57.6" x14ac:dyDescent="0.3">
      <c r="A2" s="53" t="s">
        <v>43</v>
      </c>
      <c r="B2" s="53" t="s">
        <v>125</v>
      </c>
      <c r="C2" s="53" t="s">
        <v>116</v>
      </c>
      <c r="D2" s="53" t="s">
        <v>117</v>
      </c>
      <c r="E2" s="53" t="s">
        <v>118</v>
      </c>
      <c r="F2" s="53" t="s">
        <v>275</v>
      </c>
      <c r="G2" s="53" t="s">
        <v>44</v>
      </c>
      <c r="H2" s="53" t="s">
        <v>119</v>
      </c>
      <c r="I2" s="53" t="s">
        <v>126</v>
      </c>
      <c r="J2" s="53" t="s">
        <v>6</v>
      </c>
      <c r="K2" s="53" t="s">
        <v>12</v>
      </c>
      <c r="L2" s="53" t="s">
        <v>21</v>
      </c>
      <c r="M2" s="53" t="s">
        <v>25</v>
      </c>
      <c r="N2" s="53" t="s">
        <v>29</v>
      </c>
      <c r="O2" s="53" t="s">
        <v>33</v>
      </c>
      <c r="P2" s="53" t="s">
        <v>40</v>
      </c>
      <c r="Q2" s="53" t="s">
        <v>41</v>
      </c>
      <c r="R2" s="53" t="s">
        <v>42</v>
      </c>
      <c r="S2" s="54" t="s">
        <v>131</v>
      </c>
      <c r="T2" s="54" t="s">
        <v>128</v>
      </c>
      <c r="U2" s="54" t="s">
        <v>122</v>
      </c>
      <c r="V2" s="53" t="s">
        <v>123</v>
      </c>
      <c r="W2" s="53" t="s">
        <v>124</v>
      </c>
    </row>
    <row r="3" spans="1:23" x14ac:dyDescent="0.3">
      <c r="A3" s="46" t="s">
        <v>45</v>
      </c>
      <c r="B3" s="127">
        <f>'RPS Spend Model'!B3</f>
        <v>138157520.02999988</v>
      </c>
      <c r="C3" s="127">
        <f>'RPS Spend Model'!C3</f>
        <v>61618522.018500008</v>
      </c>
      <c r="D3" s="127">
        <f>'RPS Spend Model'!D3</f>
        <v>33495698.546500009</v>
      </c>
      <c r="E3" s="58">
        <f>'RPS Spend Model'!E3</f>
        <v>30848359.600711424</v>
      </c>
      <c r="F3" s="58">
        <f>'RPS Spend Model'!F3</f>
        <v>6757080.0219020871</v>
      </c>
      <c r="G3" s="58">
        <f>'RPS Spend Model'!G3</f>
        <v>0</v>
      </c>
      <c r="H3" s="58">
        <f>'RPS Spend Model'!H3</f>
        <v>11261800.036503479</v>
      </c>
      <c r="I3" s="58">
        <f>'RPS Spend Model'!J3</f>
        <v>0</v>
      </c>
      <c r="J3" s="62"/>
      <c r="K3" s="62"/>
      <c r="L3" s="62"/>
      <c r="M3" s="62"/>
      <c r="N3" s="62"/>
      <c r="O3" s="62"/>
      <c r="P3" s="62"/>
      <c r="Q3" s="62"/>
      <c r="R3" s="62"/>
      <c r="S3" s="16">
        <f>'Collections and ACP'!E158+'Collections and ACP'!E155</f>
        <v>460710682.26743871</v>
      </c>
      <c r="T3" s="16">
        <f>'Collections and ACP'!H111</f>
        <v>225236000.73006958</v>
      </c>
      <c r="U3" s="16">
        <f t="shared" ref="U3:U21" si="0">S3+T3</f>
        <v>685946682.99750829</v>
      </c>
      <c r="V3" s="16">
        <f t="shared" ref="V3:V21" si="1">SUM(B3:R3)</f>
        <v>282138980.25411689</v>
      </c>
      <c r="W3" s="16">
        <f t="shared" ref="W3:W21" si="2">U3-V3</f>
        <v>403807702.74339139</v>
      </c>
    </row>
    <row r="4" spans="1:23" x14ac:dyDescent="0.3">
      <c r="A4" s="46" t="s">
        <v>46</v>
      </c>
      <c r="B4" s="127">
        <f>'RPS Spend Model'!B4</f>
        <v>38051984.68000003</v>
      </c>
      <c r="C4" s="127">
        <f>'RPS Spend Model'!C4</f>
        <v>66127610.762499928</v>
      </c>
      <c r="D4" s="127">
        <f>'RPS Spend Model'!D4</f>
        <v>117265055.35150005</v>
      </c>
      <c r="E4" s="58">
        <f>'RPS Spend Model'!E4</f>
        <v>24142255.383493654</v>
      </c>
      <c r="F4" s="58">
        <f>'RPS Spend Model'!F4</f>
        <v>13942135.092404015</v>
      </c>
      <c r="G4" s="58">
        <f>'RPS Spend Model'!G4</f>
        <v>10000000</v>
      </c>
      <c r="H4" s="58">
        <f>'RPS Spend Model'!H4</f>
        <v>50000000</v>
      </c>
      <c r="I4" s="58">
        <f>'RPS Spend Model'!J4</f>
        <v>0</v>
      </c>
      <c r="J4" s="62"/>
      <c r="K4" s="62"/>
      <c r="L4" s="62"/>
      <c r="M4" s="62"/>
      <c r="N4" s="62"/>
      <c r="O4" s="62"/>
      <c r="P4" s="62"/>
      <c r="Q4" s="62"/>
      <c r="R4" s="62"/>
      <c r="S4" s="16">
        <f t="shared" ref="S4:S21" si="3">W3</f>
        <v>403807702.74339139</v>
      </c>
      <c r="T4" s="16">
        <f>'Collections and ACP'!H112</f>
        <v>464737836.41346717</v>
      </c>
      <c r="U4" s="16">
        <f t="shared" si="0"/>
        <v>868545539.15685856</v>
      </c>
      <c r="V4" s="16">
        <f t="shared" si="1"/>
        <v>319529041.2698977</v>
      </c>
      <c r="W4" s="16">
        <f t="shared" si="2"/>
        <v>549016497.88696086</v>
      </c>
    </row>
    <row r="5" spans="1:23" x14ac:dyDescent="0.3">
      <c r="A5" s="46" t="s">
        <v>47</v>
      </c>
      <c r="B5" s="127">
        <f>'RPS Spend Model'!B5</f>
        <v>4865292.2499999972</v>
      </c>
      <c r="C5" s="127">
        <f>'RPS Spend Model'!C5</f>
        <v>65210004.015499882</v>
      </c>
      <c r="D5" s="127">
        <f>'RPS Spend Model'!D5</f>
        <v>110152969.75599998</v>
      </c>
      <c r="E5" s="58">
        <f>'RPS Spend Model'!E5</f>
        <v>22062344.595163539</v>
      </c>
      <c r="F5" s="58">
        <f>'RPS Spend Model'!F5</f>
        <v>17623889.827927504</v>
      </c>
      <c r="G5" s="58">
        <f>'RPS Spend Model'!G5</f>
        <v>0</v>
      </c>
      <c r="H5" s="58">
        <f>'RPS Spend Model'!H5</f>
        <v>50000000</v>
      </c>
      <c r="I5" s="58">
        <f>'RPS Spend Model'!J5</f>
        <v>335733555.14188653</v>
      </c>
      <c r="J5" s="62">
        <f>'Total REC Spend Activities'!B276</f>
        <v>138837111.63146961</v>
      </c>
      <c r="K5" s="62">
        <f>'Total REC Spend Activities'!B277</f>
        <v>11407011.035787132</v>
      </c>
      <c r="L5" s="62">
        <f>'Total REC Spend Activities'!B278</f>
        <v>0</v>
      </c>
      <c r="M5" s="62">
        <f>'Total REC Spend Activities'!B279</f>
        <v>43118.909750583334</v>
      </c>
      <c r="N5" s="62">
        <f>'Total REC Spend Activities'!B280</f>
        <v>0</v>
      </c>
      <c r="O5" s="62">
        <f>'Total REC Spend Activities'!B281</f>
        <v>0</v>
      </c>
      <c r="P5" s="62">
        <f>'Total REC Spend Activities'!B282</f>
        <v>0</v>
      </c>
      <c r="Q5" s="62">
        <f>'Total REC Spend Activities'!B283</f>
        <v>0</v>
      </c>
      <c r="R5" s="62">
        <f>'Total REC Spend Activities'!B284</f>
        <v>0</v>
      </c>
      <c r="S5" s="16">
        <f t="shared" si="3"/>
        <v>549016497.88696086</v>
      </c>
      <c r="T5" s="16">
        <f>'Collections and ACP'!H113</f>
        <v>587462994.26425016</v>
      </c>
      <c r="U5" s="16">
        <f t="shared" si="0"/>
        <v>1136479492.151211</v>
      </c>
      <c r="V5" s="16">
        <f t="shared" si="1"/>
        <v>755935297.16348481</v>
      </c>
      <c r="W5" s="16">
        <f t="shared" si="2"/>
        <v>380544194.98772621</v>
      </c>
    </row>
    <row r="6" spans="1:23" x14ac:dyDescent="0.3">
      <c r="A6" s="46" t="s">
        <v>48</v>
      </c>
      <c r="B6" s="127">
        <f>'RPS Spend Model'!B6</f>
        <v>0</v>
      </c>
      <c r="C6" s="127">
        <f>'RPS Spend Model'!C6</f>
        <v>58693888.428999938</v>
      </c>
      <c r="D6" s="127">
        <f>'RPS Spend Model'!D6</f>
        <v>105861890.434</v>
      </c>
      <c r="E6" s="58">
        <f>'RPS Spend Model'!E6</f>
        <v>17721007.415898785</v>
      </c>
      <c r="F6" s="58">
        <f>'RPS Spend Model'!F6</f>
        <v>17669653.536230855</v>
      </c>
      <c r="G6" s="58">
        <f>'RPS Spend Model'!G6</f>
        <v>0</v>
      </c>
      <c r="H6" s="58">
        <f>'RPS Spend Model'!H6</f>
        <v>50000000</v>
      </c>
      <c r="I6" s="58">
        <f>'RPS Spend Model'!J6</f>
        <v>153483990.97419566</v>
      </c>
      <c r="J6" s="62">
        <f>'Total REC Spend Activities'!C276</f>
        <v>0</v>
      </c>
      <c r="K6" s="62">
        <f>'Total REC Spend Activities'!C277</f>
        <v>10773288.200465625</v>
      </c>
      <c r="L6" s="62">
        <f>'Total REC Spend Activities'!C278</f>
        <v>22628271.316199999</v>
      </c>
      <c r="M6" s="62">
        <f>'Total REC Spend Activities'!C279</f>
        <v>42903.315201830417</v>
      </c>
      <c r="N6" s="62">
        <f>'Total REC Spend Activities'!C280</f>
        <v>617609.8121744924</v>
      </c>
      <c r="O6" s="62">
        <f>'Total REC Spend Activities'!C281</f>
        <v>0</v>
      </c>
      <c r="P6" s="62">
        <f>'Total REC Spend Activities'!C282</f>
        <v>0</v>
      </c>
      <c r="Q6" s="62">
        <f>'Total REC Spend Activities'!C283</f>
        <v>0</v>
      </c>
      <c r="R6" s="62">
        <f>'Total REC Spend Activities'!C284</f>
        <v>0</v>
      </c>
      <c r="S6" s="16">
        <f t="shared" si="3"/>
        <v>380544194.98772621</v>
      </c>
      <c r="T6" s="16">
        <f>'Collections and ACP'!H114</f>
        <v>588988451.20769513</v>
      </c>
      <c r="U6" s="16">
        <f t="shared" si="0"/>
        <v>969532646.19542134</v>
      </c>
      <c r="V6" s="16">
        <f t="shared" si="1"/>
        <v>437492503.43336719</v>
      </c>
      <c r="W6" s="16">
        <f t="shared" si="2"/>
        <v>532040142.76205415</v>
      </c>
    </row>
    <row r="7" spans="1:23" x14ac:dyDescent="0.3">
      <c r="A7" s="46" t="s">
        <v>49</v>
      </c>
      <c r="B7" s="127">
        <f>'RPS Spend Model'!B7</f>
        <v>0</v>
      </c>
      <c r="C7" s="127">
        <f>'RPS Spend Model'!C7</f>
        <v>36572278.007499956</v>
      </c>
      <c r="D7" s="127">
        <f>'RPS Spend Model'!D7</f>
        <v>102090739.27549998</v>
      </c>
      <c r="E7" s="58">
        <f>'RPS Spend Model'!E7</f>
        <v>17421541.685608782</v>
      </c>
      <c r="F7" s="58">
        <f>'RPS Spend Model'!F7</f>
        <v>17613455.167095877</v>
      </c>
      <c r="G7" s="58">
        <f>'RPS Spend Model'!G7</f>
        <v>10000000</v>
      </c>
      <c r="H7" s="58">
        <f>'RPS Spend Model'!H7</f>
        <v>50000000</v>
      </c>
      <c r="I7" s="58">
        <f>'RPS Spend Model'!J7</f>
        <v>147344631.33522782</v>
      </c>
      <c r="J7" s="62">
        <f>'Total REC Spend Activities'!D276</f>
        <v>0</v>
      </c>
      <c r="K7" s="62">
        <f>'Total REC Spend Activities'!D277</f>
        <v>10773288.200465625</v>
      </c>
      <c r="L7" s="62">
        <f>'Total REC Spend Activities'!D278</f>
        <v>22515129.959619001</v>
      </c>
      <c r="M7" s="62">
        <f>'Total REC Spend Activities'!D279</f>
        <v>42688.798625821262</v>
      </c>
      <c r="N7" s="62">
        <f>'Total REC Spend Activities'!D280</f>
        <v>583298.15594257612</v>
      </c>
      <c r="O7" s="62">
        <f>'Total REC Spend Activities'!D281</f>
        <v>0</v>
      </c>
      <c r="P7" s="62">
        <f>'Total REC Spend Activities'!D282</f>
        <v>0</v>
      </c>
      <c r="Q7" s="62">
        <f>'Total REC Spend Activities'!D283</f>
        <v>0</v>
      </c>
      <c r="R7" s="62">
        <f>'Total REC Spend Activities'!D284</f>
        <v>0</v>
      </c>
      <c r="S7" s="16">
        <f t="shared" si="3"/>
        <v>532040142.76205415</v>
      </c>
      <c r="T7" s="16">
        <f>'Collections and ACP'!H115</f>
        <v>587115172.23652923</v>
      </c>
      <c r="U7" s="16">
        <f t="shared" si="0"/>
        <v>1119155314.9985833</v>
      </c>
      <c r="V7" s="16">
        <f t="shared" si="1"/>
        <v>414957050.58558536</v>
      </c>
      <c r="W7" s="16">
        <f t="shared" si="2"/>
        <v>704198264.41299796</v>
      </c>
    </row>
    <row r="8" spans="1:23" x14ac:dyDescent="0.3">
      <c r="A8" s="46" t="s">
        <v>50</v>
      </c>
      <c r="B8" s="127">
        <f>'RPS Spend Model'!B8</f>
        <v>0</v>
      </c>
      <c r="C8" s="127">
        <f>'RPS Spend Model'!C8</f>
        <v>10460946.729500012</v>
      </c>
      <c r="D8" s="127">
        <f>'RPS Spend Model'!D8</f>
        <v>55607397.162500009</v>
      </c>
      <c r="E8" s="58">
        <f>'RPS Spend Model'!E8</f>
        <v>11401431.694168944</v>
      </c>
      <c r="F8" s="58">
        <f>'RPS Spend Model'!F8</f>
        <v>17553355.712971777</v>
      </c>
      <c r="G8" s="58">
        <f>'RPS Spend Model'!G8</f>
        <v>0</v>
      </c>
      <c r="H8" s="58">
        <f>'RPS Spend Model'!H8</f>
        <v>50000000</v>
      </c>
      <c r="I8" s="58">
        <f>'RPS Spend Model'!J8</f>
        <v>141450846.0818187</v>
      </c>
      <c r="J8" s="62">
        <f>'Total REC Spend Activities'!E276</f>
        <v>0</v>
      </c>
      <c r="K8" s="62">
        <f>'Total REC Spend Activities'!E277</f>
        <v>10773288.200465625</v>
      </c>
      <c r="L8" s="62">
        <f>'Total REC Spend Activities'!E278</f>
        <v>22402554.309820905</v>
      </c>
      <c r="M8" s="62">
        <f>'Total REC Spend Activities'!E279</f>
        <v>42475.354632692164</v>
      </c>
      <c r="N8" s="62">
        <f>'Total REC Spend Activities'!E280</f>
        <v>583298.15594257612</v>
      </c>
      <c r="O8" s="62">
        <f>'Total REC Spend Activities'!E281</f>
        <v>0</v>
      </c>
      <c r="P8" s="62">
        <f>'Total REC Spend Activities'!E282</f>
        <v>380149.51999999897</v>
      </c>
      <c r="Q8" s="62">
        <f>'Total REC Spend Activities'!E283</f>
        <v>10103248.309491996</v>
      </c>
      <c r="R8" s="62">
        <f>'Total REC Spend Activities'!E284</f>
        <v>349286.61711599998</v>
      </c>
      <c r="S8" s="16">
        <f t="shared" si="3"/>
        <v>704198264.41299796</v>
      </c>
      <c r="T8" s="16">
        <f>'Collections and ACP'!H116</f>
        <v>585111857.09905922</v>
      </c>
      <c r="U8" s="16">
        <f t="shared" si="0"/>
        <v>1289310121.5120573</v>
      </c>
      <c r="V8" s="16">
        <f t="shared" si="1"/>
        <v>331108277.84842914</v>
      </c>
      <c r="W8" s="16">
        <f t="shared" si="2"/>
        <v>958201843.6636281</v>
      </c>
    </row>
    <row r="9" spans="1:23" x14ac:dyDescent="0.3">
      <c r="A9" s="46" t="s">
        <v>51</v>
      </c>
      <c r="B9" s="127">
        <f>'RPS Spend Model'!B9</f>
        <v>0</v>
      </c>
      <c r="C9" s="127">
        <f>'RPS Spend Model'!C9</f>
        <v>1025918.7404999998</v>
      </c>
      <c r="D9" s="127">
        <f>'RPS Spend Model'!D9</f>
        <v>4537518.8360000001</v>
      </c>
      <c r="E9" s="58">
        <f>'RPS Spend Model'!E9</f>
        <v>8215431.7104763286</v>
      </c>
      <c r="F9" s="58">
        <f>'RPS Spend Model'!F9</f>
        <v>17572700.474246584</v>
      </c>
      <c r="G9" s="58">
        <f>'RPS Spend Model'!G9</f>
        <v>0</v>
      </c>
      <c r="H9" s="58">
        <f>'RPS Spend Model'!H9</f>
        <v>50000000</v>
      </c>
      <c r="I9" s="58">
        <f>'RPS Spend Model'!J9</f>
        <v>135792812.23854595</v>
      </c>
      <c r="J9" s="62">
        <f>'Total REC Spend Activities'!F276</f>
        <v>0</v>
      </c>
      <c r="K9" s="62">
        <f>'Total REC Spend Activities'!F277</f>
        <v>10773288.200465625</v>
      </c>
      <c r="L9" s="62">
        <f>'Total REC Spend Activities'!F278</f>
        <v>22290541.5382718</v>
      </c>
      <c r="M9" s="62">
        <f>'Total REC Spend Activities'!F279</f>
        <v>42262.977859528699</v>
      </c>
      <c r="N9" s="62">
        <f>'Total REC Spend Activities'!F280</f>
        <v>583298.15594257612</v>
      </c>
      <c r="O9" s="62">
        <f>'Total REC Spend Activities'!F281</f>
        <v>0</v>
      </c>
      <c r="P9" s="62">
        <f>'Total REC Spend Activities'!F282</f>
        <v>-93361.489600002722</v>
      </c>
      <c r="Q9" s="62">
        <f>'Total REC Spend Activities'!F283</f>
        <v>9081673.6571409237</v>
      </c>
      <c r="R9" s="62">
        <f>'Total REC Spend Activities'!F284</f>
        <v>338841.44194452831</v>
      </c>
      <c r="S9" s="16">
        <f t="shared" si="3"/>
        <v>958201843.6636281</v>
      </c>
      <c r="T9" s="16">
        <f>'Collections and ACP'!H117</f>
        <v>585756682.47488618</v>
      </c>
      <c r="U9" s="16">
        <f t="shared" si="0"/>
        <v>1543958526.1385143</v>
      </c>
      <c r="V9" s="16">
        <f t="shared" si="1"/>
        <v>260160926.48179382</v>
      </c>
      <c r="W9" s="16">
        <f t="shared" si="2"/>
        <v>1283797599.6567204</v>
      </c>
    </row>
    <row r="10" spans="1:23" x14ac:dyDescent="0.3">
      <c r="A10" s="46" t="s">
        <v>52</v>
      </c>
      <c r="B10" s="127">
        <f>'RPS Spend Model'!B10</f>
        <v>0</v>
      </c>
      <c r="C10" s="127">
        <f>'RPS Spend Model'!C10</f>
        <v>0</v>
      </c>
      <c r="D10" s="127">
        <f>'RPS Spend Model'!D10</f>
        <v>0</v>
      </c>
      <c r="E10" s="58">
        <f>'RPS Spend Model'!E10</f>
        <v>4480482.7749063233</v>
      </c>
      <c r="F10" s="58">
        <f>'RPS Spend Model'!F10</f>
        <v>17625423.170190223</v>
      </c>
      <c r="G10" s="58">
        <f>'RPS Spend Model'!G10</f>
        <v>10000000</v>
      </c>
      <c r="H10" s="58">
        <f>'RPS Spend Model'!H10</f>
        <v>50000000</v>
      </c>
      <c r="I10" s="58">
        <f>'RPS Spend Model'!J10</f>
        <v>130361099.74900411</v>
      </c>
      <c r="J10" s="62">
        <f>'Total REC Spend Activities'!G276</f>
        <v>0</v>
      </c>
      <c r="K10" s="62">
        <f>'Total REC Spend Activities'!G277</f>
        <v>10773288.200465625</v>
      </c>
      <c r="L10" s="62">
        <f>'Total REC Spend Activities'!G278</f>
        <v>22179088.830580443</v>
      </c>
      <c r="M10" s="62">
        <f>'Total REC Spend Activities'!G279</f>
        <v>42051.662970231046</v>
      </c>
      <c r="N10" s="62">
        <f>'Total REC Spend Activities'!G280</f>
        <v>583298.15594257612</v>
      </c>
      <c r="O10" s="62">
        <f>'Total REC Spend Activities'!G281</f>
        <v>0</v>
      </c>
      <c r="P10" s="62">
        <f>'Total REC Spend Activities'!G282</f>
        <v>-576342.71939200419</v>
      </c>
      <c r="Q10" s="62">
        <f>'Total REC Spend Activities'!G283</f>
        <v>8050738.1077306336</v>
      </c>
      <c r="R10" s="62">
        <f>'Total REC Spend Activities'!G284</f>
        <v>328318.88139183429</v>
      </c>
      <c r="S10" s="16">
        <f t="shared" si="3"/>
        <v>1283797599.6567204</v>
      </c>
      <c r="T10" s="16">
        <f>'Collections and ACP'!H118</f>
        <v>587514105.67300749</v>
      </c>
      <c r="U10" s="16">
        <f t="shared" si="0"/>
        <v>1871311705.3297279</v>
      </c>
      <c r="V10" s="16">
        <f t="shared" si="1"/>
        <v>253847446.81379002</v>
      </c>
      <c r="W10" s="16">
        <f t="shared" si="2"/>
        <v>1617464258.5159378</v>
      </c>
    </row>
    <row r="11" spans="1:23" x14ac:dyDescent="0.3">
      <c r="A11" s="46" t="s">
        <v>53</v>
      </c>
      <c r="B11" s="127">
        <f>'RPS Spend Model'!B11</f>
        <v>0</v>
      </c>
      <c r="C11" s="127">
        <f>'RPS Spend Model'!C11</f>
        <v>0</v>
      </c>
      <c r="D11" s="127">
        <f>'RPS Spend Model'!D11</f>
        <v>0</v>
      </c>
      <c r="E11" s="58">
        <f>'RPS Spend Model'!E11</f>
        <v>4478132.259204451</v>
      </c>
      <c r="F11" s="58">
        <f>'RPS Spend Model'!F11</f>
        <v>17711714.835542694</v>
      </c>
      <c r="G11" s="58">
        <f>'RPS Spend Model'!G11</f>
        <v>0</v>
      </c>
      <c r="H11" s="58">
        <f>'RPS Spend Model'!H11</f>
        <v>50000000</v>
      </c>
      <c r="I11" s="58">
        <f>'RPS Spend Model'!J11</f>
        <v>125146655.75904395</v>
      </c>
      <c r="J11" s="62">
        <f>'Total REC Spend Activities'!H276</f>
        <v>0</v>
      </c>
      <c r="K11" s="62">
        <f>'Total REC Spend Activities'!H277</f>
        <v>10773288.200465625</v>
      </c>
      <c r="L11" s="62">
        <f>'Total REC Spend Activities'!H278</f>
        <v>22068193.386427537</v>
      </c>
      <c r="M11" s="62">
        <f>'Total REC Spend Activities'!H279</f>
        <v>41841.404655379891</v>
      </c>
      <c r="N11" s="62">
        <f>'Total REC Spend Activities'!H280</f>
        <v>583298.15594257612</v>
      </c>
      <c r="O11" s="62">
        <f>'Total REC Spend Activities'!H281</f>
        <v>0</v>
      </c>
      <c r="P11" s="62">
        <f>'Total REC Spend Activities'!H282</f>
        <v>-1068983.5737798437</v>
      </c>
      <c r="Q11" s="62">
        <f>'Total REC Spend Activities'!H283</f>
        <v>7010272.8810686413</v>
      </c>
      <c r="R11" s="62">
        <f>'Total REC Spend Activities'!H284</f>
        <v>317717.39117709349</v>
      </c>
      <c r="S11" s="16">
        <f t="shared" si="3"/>
        <v>1617464258.5159378</v>
      </c>
      <c r="T11" s="16">
        <f>'Collections and ACP'!H119</f>
        <v>590390494.51808977</v>
      </c>
      <c r="U11" s="16">
        <f t="shared" si="0"/>
        <v>2207854753.0340276</v>
      </c>
      <c r="V11" s="16">
        <f t="shared" si="1"/>
        <v>237062130.6997481</v>
      </c>
      <c r="W11" s="16">
        <f t="shared" si="2"/>
        <v>1970792622.3342795</v>
      </c>
    </row>
    <row r="12" spans="1:23" x14ac:dyDescent="0.3">
      <c r="A12" s="46" t="s">
        <v>54</v>
      </c>
      <c r="B12" s="127">
        <f>'RPS Spend Model'!B12</f>
        <v>0</v>
      </c>
      <c r="C12" s="127">
        <f>'RPS Spend Model'!C12</f>
        <v>0</v>
      </c>
      <c r="D12" s="127">
        <f>'RPS Spend Model'!D12</f>
        <v>0</v>
      </c>
      <c r="E12" s="58">
        <f>'RPS Spend Model'!E12</f>
        <v>4338008.6485485407</v>
      </c>
      <c r="F12" s="58">
        <f>'RPS Spend Model'!F12</f>
        <v>17733678.133388445</v>
      </c>
      <c r="G12" s="58">
        <f>'RPS Spend Model'!G12</f>
        <v>0</v>
      </c>
      <c r="H12" s="58">
        <f>'RPS Spend Model'!H12</f>
        <v>50000000</v>
      </c>
      <c r="I12" s="58">
        <f>'RPS Spend Model'!J12</f>
        <v>120140789.52868219</v>
      </c>
      <c r="J12" s="62">
        <f>'Total REC Spend Activities'!I276</f>
        <v>0</v>
      </c>
      <c r="K12" s="62">
        <f>'Total REC Spend Activities'!I277</f>
        <v>0</v>
      </c>
      <c r="L12" s="62">
        <f>'Total REC Spend Activities'!I278</f>
        <v>21957852.4194954</v>
      </c>
      <c r="M12" s="62">
        <f>'Total REC Spend Activities'!I279</f>
        <v>41632.197632102994</v>
      </c>
      <c r="N12" s="62">
        <f>'Total REC Spend Activities'!I280</f>
        <v>583298.15594257612</v>
      </c>
      <c r="O12" s="62">
        <f>'Total REC Spend Activities'!I281</f>
        <v>0</v>
      </c>
      <c r="P12" s="62">
        <f>'Total REC Spend Activities'!I282</f>
        <v>-1571477.2452554407</v>
      </c>
      <c r="Q12" s="62">
        <f>'Total REC Spend Activities'!I283</f>
        <v>5960106.8286517207</v>
      </c>
      <c r="R12" s="62">
        <f>'Total REC Spend Activities'!I284</f>
        <v>307035.40596589039</v>
      </c>
      <c r="S12" s="16">
        <f t="shared" si="3"/>
        <v>1970792622.3342795</v>
      </c>
      <c r="T12" s="16">
        <f>'Collections and ACP'!H120</f>
        <v>591122604.44628155</v>
      </c>
      <c r="U12" s="16">
        <f t="shared" si="0"/>
        <v>2561915226.780561</v>
      </c>
      <c r="V12" s="16">
        <f t="shared" si="1"/>
        <v>219490924.07305145</v>
      </c>
      <c r="W12" s="16">
        <f t="shared" si="2"/>
        <v>2342424302.7075095</v>
      </c>
    </row>
    <row r="13" spans="1:23" x14ac:dyDescent="0.3">
      <c r="A13" s="46" t="s">
        <v>55</v>
      </c>
      <c r="B13" s="127">
        <f>'RPS Spend Model'!B13</f>
        <v>0</v>
      </c>
      <c r="C13" s="127">
        <f>'RPS Spend Model'!C13</f>
        <v>0</v>
      </c>
      <c r="D13" s="127">
        <f>'RPS Spend Model'!D13</f>
        <v>0</v>
      </c>
      <c r="E13" s="58">
        <f>'RPS Spend Model'!E13</f>
        <v>4303453.6786395097</v>
      </c>
      <c r="F13" s="58">
        <f>'RPS Spend Model'!F13</f>
        <v>17789447.893524989</v>
      </c>
      <c r="G13" s="58">
        <f>'RPS Spend Model'!G13</f>
        <v>10000000</v>
      </c>
      <c r="H13" s="58">
        <f>'RPS Spend Model'!H13</f>
        <v>50000000</v>
      </c>
      <c r="I13" s="58">
        <f>'RPS Spend Model'!J13</f>
        <v>115335157.94753489</v>
      </c>
      <c r="J13" s="62">
        <f>'Total REC Spend Activities'!J276</f>
        <v>0</v>
      </c>
      <c r="K13" s="62">
        <f>'Total REC Spend Activities'!J277</f>
        <v>0</v>
      </c>
      <c r="L13" s="62">
        <f>'Total REC Spend Activities'!J278</f>
        <v>21848063.157397922</v>
      </c>
      <c r="M13" s="62">
        <f>'Total REC Spend Activities'!J279</f>
        <v>41424.036643942476</v>
      </c>
      <c r="N13" s="62">
        <f>'Total REC Spend Activities'!J280</f>
        <v>0</v>
      </c>
      <c r="O13" s="62">
        <f>'Total REC Spend Activities'!J281</f>
        <v>0</v>
      </c>
      <c r="P13" s="62">
        <f>'Total REC Spend Activities'!J282</f>
        <v>-2084020.7901605493</v>
      </c>
      <c r="Q13" s="62">
        <f>'Total REC Spend Activities'!J283</f>
        <v>4900066.3976455126</v>
      </c>
      <c r="R13" s="62">
        <f>'Total REC Spend Activities'!J284</f>
        <v>296271.3390467391</v>
      </c>
      <c r="S13" s="16">
        <f t="shared" si="3"/>
        <v>2342424302.7075095</v>
      </c>
      <c r="T13" s="16">
        <f>'Collections and ACP'!H121</f>
        <v>592981596.45083296</v>
      </c>
      <c r="U13" s="16">
        <f t="shared" si="0"/>
        <v>2935405899.1583424</v>
      </c>
      <c r="V13" s="16">
        <f t="shared" si="1"/>
        <v>222429863.66027299</v>
      </c>
      <c r="W13" s="16">
        <f t="shared" si="2"/>
        <v>2712976035.4980693</v>
      </c>
    </row>
    <row r="14" spans="1:23" x14ac:dyDescent="0.3">
      <c r="A14" s="46" t="s">
        <v>56</v>
      </c>
      <c r="B14" s="127">
        <f>'RPS Spend Model'!B14</f>
        <v>0</v>
      </c>
      <c r="C14" s="127">
        <f>'RPS Spend Model'!C14</f>
        <v>0</v>
      </c>
      <c r="D14" s="127">
        <f>'RPS Spend Model'!D14</f>
        <v>0</v>
      </c>
      <c r="E14" s="58">
        <f>'RPS Spend Model'!E14</f>
        <v>4261079.6921323007</v>
      </c>
      <c r="F14" s="58">
        <f>'RPS Spend Model'!F14</f>
        <v>17855534.64060219</v>
      </c>
      <c r="G14" s="58">
        <f>'RPS Spend Model'!G14</f>
        <v>0</v>
      </c>
      <c r="H14" s="58">
        <f>'RPS Spend Model'!H14</f>
        <v>50000000</v>
      </c>
      <c r="I14" s="58">
        <f>'RPS Spend Model'!J14</f>
        <v>110721751.62963349</v>
      </c>
      <c r="J14" s="62">
        <f>'Total REC Spend Activities'!K276</f>
        <v>0</v>
      </c>
      <c r="K14" s="62">
        <f>'Total REC Spend Activities'!K277</f>
        <v>0</v>
      </c>
      <c r="L14" s="62">
        <f>'Total REC Spend Activities'!K278</f>
        <v>21738822.841610931</v>
      </c>
      <c r="M14" s="62">
        <f>'Total REC Spend Activities'!K279</f>
        <v>41216.916460722772</v>
      </c>
      <c r="N14" s="62">
        <f>'Total REC Spend Activities'!K280</f>
        <v>0</v>
      </c>
      <c r="O14" s="62">
        <f>'Total REC Spend Activities'!K281</f>
        <v>0</v>
      </c>
      <c r="P14" s="62">
        <f>'Total REC Spend Activities'!K282</f>
        <v>-2606815.2059637615</v>
      </c>
      <c r="Q14" s="62">
        <f>'Total REC Spend Activities'!K283</f>
        <v>3829975.5943310759</v>
      </c>
      <c r="R14" s="62">
        <f>'Total REC Spend Activities'!K284</f>
        <v>285423.58200283261</v>
      </c>
      <c r="S14" s="16">
        <f t="shared" si="3"/>
        <v>2712976035.4980693</v>
      </c>
      <c r="T14" s="16">
        <f>'Collections and ACP'!H122</f>
        <v>595184488.02007306</v>
      </c>
      <c r="U14" s="16">
        <f t="shared" si="0"/>
        <v>3308160523.5181422</v>
      </c>
      <c r="V14" s="16">
        <f t="shared" si="1"/>
        <v>206126989.69080979</v>
      </c>
      <c r="W14" s="16">
        <f t="shared" si="2"/>
        <v>3102033533.8273325</v>
      </c>
    </row>
    <row r="15" spans="1:23" x14ac:dyDescent="0.3">
      <c r="A15" s="46" t="s">
        <v>57</v>
      </c>
      <c r="B15" s="127">
        <f>'RPS Spend Model'!B15</f>
        <v>0</v>
      </c>
      <c r="C15" s="127">
        <f>'RPS Spend Model'!C15</f>
        <v>0</v>
      </c>
      <c r="D15" s="127">
        <f>'RPS Spend Model'!D15</f>
        <v>0</v>
      </c>
      <c r="E15" s="58">
        <f>'RPS Spend Model'!E15</f>
        <v>0</v>
      </c>
      <c r="F15" s="58">
        <f>'RPS Spend Model'!F15</f>
        <v>17977997.445554465</v>
      </c>
      <c r="G15" s="58">
        <f>'RPS Spend Model'!G15</f>
        <v>0</v>
      </c>
      <c r="H15" s="58">
        <f>'RPS Spend Model'!H15</f>
        <v>50000000</v>
      </c>
      <c r="I15" s="58">
        <f>'RPS Spend Model'!J15</f>
        <v>106292881.56444815</v>
      </c>
      <c r="J15" s="62">
        <f>'Total REC Spend Activities'!L276</f>
        <v>0</v>
      </c>
      <c r="K15" s="62">
        <f>'Total REC Spend Activities'!L277</f>
        <v>0</v>
      </c>
      <c r="L15" s="62">
        <f>'Total REC Spend Activities'!L278</f>
        <v>21630128.727402877</v>
      </c>
      <c r="M15" s="62">
        <f>'Total REC Spend Activities'!L279</f>
        <v>41010.831878419158</v>
      </c>
      <c r="N15" s="62">
        <f>'Total REC Spend Activities'!L280</f>
        <v>0</v>
      </c>
      <c r="O15" s="62">
        <f>'Total REC Spend Activities'!L281</f>
        <v>0</v>
      </c>
      <c r="P15" s="62">
        <f>'Total REC Spend Activities'!L282</f>
        <v>-3140065.510083037</v>
      </c>
      <c r="Q15" s="62">
        <f>'Total REC Spend Activities'!L283</f>
        <v>2749655.9470104515</v>
      </c>
      <c r="R15" s="62">
        <f>'Total REC Spend Activities'!L284</f>
        <v>274490.50437895051</v>
      </c>
      <c r="S15" s="16">
        <f t="shared" si="3"/>
        <v>3102033533.8273325</v>
      </c>
      <c r="T15" s="16">
        <f>'Collections and ACP'!H123</f>
        <v>599266581.51848221</v>
      </c>
      <c r="U15" s="16">
        <f t="shared" si="0"/>
        <v>3701300115.3458147</v>
      </c>
      <c r="V15" s="16">
        <f t="shared" si="1"/>
        <v>195826099.51059026</v>
      </c>
      <c r="W15" s="16">
        <f t="shared" si="2"/>
        <v>3505474015.8352246</v>
      </c>
    </row>
    <row r="16" spans="1:23" x14ac:dyDescent="0.3">
      <c r="A16" s="46" t="s">
        <v>58</v>
      </c>
      <c r="B16" s="127">
        <f>'RPS Spend Model'!B16</f>
        <v>0</v>
      </c>
      <c r="C16" s="127">
        <f>'RPS Spend Model'!C16</f>
        <v>0</v>
      </c>
      <c r="D16" s="127">
        <f>'RPS Spend Model'!D16</f>
        <v>0</v>
      </c>
      <c r="E16" s="58">
        <f>'RPS Spend Model'!E16</f>
        <v>0</v>
      </c>
      <c r="F16" s="58">
        <f>'RPS Spend Model'!F16</f>
        <v>18007164.753511433</v>
      </c>
      <c r="G16" s="58">
        <f>'RPS Spend Model'!G16</f>
        <v>0</v>
      </c>
      <c r="H16" s="58">
        <f>'RPS Spend Model'!H16</f>
        <v>50000000</v>
      </c>
      <c r="I16" s="58">
        <f>'RPS Spend Model'!J16</f>
        <v>51020583.150935106</v>
      </c>
      <c r="J16" s="62">
        <f>'Total REC Spend Activities'!M276</f>
        <v>0</v>
      </c>
      <c r="K16" s="62">
        <f>'Total REC Spend Activities'!M277</f>
        <v>0</v>
      </c>
      <c r="L16" s="62">
        <f>'Total REC Spend Activities'!M278</f>
        <v>21521978.083765864</v>
      </c>
      <c r="M16" s="62">
        <f>'Total REC Spend Activities'!M279</f>
        <v>40805.777719027057</v>
      </c>
      <c r="N16" s="62">
        <f>'Total REC Spend Activities'!M280</f>
        <v>0</v>
      </c>
      <c r="O16" s="62">
        <f>'Total REC Spend Activities'!M281</f>
        <v>0</v>
      </c>
      <c r="P16" s="62">
        <f>'Total REC Spend Activities'!M282</f>
        <v>-3683980.8202846968</v>
      </c>
      <c r="Q16" s="62">
        <f>'Total REC Spend Activities'!M283</f>
        <v>1658926.4683631335</v>
      </c>
      <c r="R16" s="62">
        <f>'Total REC Spend Activities'!M284</f>
        <v>263470.4533434512</v>
      </c>
      <c r="S16" s="16">
        <f t="shared" si="3"/>
        <v>3505474015.8352246</v>
      </c>
      <c r="T16" s="16">
        <f>'Collections and ACP'!H124</f>
        <v>600238825.11704779</v>
      </c>
      <c r="U16" s="16">
        <f t="shared" si="0"/>
        <v>4105712840.9522724</v>
      </c>
      <c r="V16" s="16">
        <f t="shared" si="1"/>
        <v>138828947.86735332</v>
      </c>
      <c r="W16" s="16">
        <f t="shared" si="2"/>
        <v>3966883893.084919</v>
      </c>
    </row>
    <row r="17" spans="1:23" x14ac:dyDescent="0.3">
      <c r="A17" s="46" t="s">
        <v>59</v>
      </c>
      <c r="B17" s="127">
        <f>'RPS Spend Model'!B17</f>
        <v>0</v>
      </c>
      <c r="C17" s="127">
        <f>'RPS Spend Model'!C17</f>
        <v>0</v>
      </c>
      <c r="D17" s="127">
        <f>'RPS Spend Model'!D17</f>
        <v>0</v>
      </c>
      <c r="E17" s="58">
        <f>'RPS Spend Model'!E17</f>
        <v>0</v>
      </c>
      <c r="F17" s="58">
        <f>'RPS Spend Model'!F17</f>
        <v>18057703.345901959</v>
      </c>
      <c r="G17" s="58">
        <f>'RPS Spend Model'!G17</f>
        <v>0</v>
      </c>
      <c r="H17" s="58">
        <f>'RPS Spend Model'!H17</f>
        <v>50000000</v>
      </c>
      <c r="I17" s="58">
        <f>'RPS Spend Model'!J17</f>
        <v>48979759.824897699</v>
      </c>
      <c r="J17" s="62">
        <f>'Total REC Spend Activities'!N276</f>
        <v>0</v>
      </c>
      <c r="K17" s="62">
        <f>'Total REC Spend Activities'!N277</f>
        <v>0</v>
      </c>
      <c r="L17" s="62">
        <f>'Total REC Spend Activities'!N278</f>
        <v>21414368.193347033</v>
      </c>
      <c r="M17" s="62">
        <f>'Total REC Spend Activities'!N279</f>
        <v>40601.748830431927</v>
      </c>
      <c r="N17" s="62">
        <f>'Total REC Spend Activities'!N280</f>
        <v>0</v>
      </c>
      <c r="O17" s="62">
        <f>'Total REC Spend Activities'!N281</f>
        <v>0</v>
      </c>
      <c r="P17" s="62">
        <f>'Total REC Spend Activities'!N282</f>
        <v>-4238774.4366903901</v>
      </c>
      <c r="Q17" s="62">
        <f>'Total REC Spend Activities'!N283</f>
        <v>557603.61724525876</v>
      </c>
      <c r="R17" s="62">
        <f>'Total REC Spend Activities'!N284</f>
        <v>252361.75334527664</v>
      </c>
      <c r="S17" s="16">
        <f t="shared" si="3"/>
        <v>3966883893.084919</v>
      </c>
      <c r="T17" s="16">
        <f>'Collections and ACP'!H125</f>
        <v>601923444.86339867</v>
      </c>
      <c r="U17" s="16">
        <f t="shared" si="0"/>
        <v>4568807337.9483175</v>
      </c>
      <c r="V17" s="16">
        <f t="shared" si="1"/>
        <v>135063624.04687729</v>
      </c>
      <c r="W17" s="16">
        <f t="shared" si="2"/>
        <v>4433743713.9014406</v>
      </c>
    </row>
    <row r="18" spans="1:23" x14ac:dyDescent="0.3">
      <c r="A18" s="46" t="s">
        <v>60</v>
      </c>
      <c r="B18" s="127">
        <f>'RPS Spend Model'!B18</f>
        <v>0</v>
      </c>
      <c r="C18" s="127">
        <f>'RPS Spend Model'!C18</f>
        <v>0</v>
      </c>
      <c r="D18" s="127">
        <f>'RPS Spend Model'!D18</f>
        <v>0</v>
      </c>
      <c r="E18" s="58">
        <f>'RPS Spend Model'!E18</f>
        <v>0</v>
      </c>
      <c r="F18" s="58">
        <f>'RPS Spend Model'!F18</f>
        <v>18118553.768141378</v>
      </c>
      <c r="G18" s="58">
        <f>'RPS Spend Model'!G18</f>
        <v>0</v>
      </c>
      <c r="H18" s="58">
        <f>'RPS Spend Model'!H18</f>
        <v>50000000</v>
      </c>
      <c r="I18" s="58">
        <f>'RPS Spend Model'!J18</f>
        <v>47020569.43190179</v>
      </c>
      <c r="J18" s="62">
        <f>'Total REC Spend Activities'!O276</f>
        <v>0</v>
      </c>
      <c r="K18" s="62">
        <f>'Total REC Spend Activities'!O277</f>
        <v>0</v>
      </c>
      <c r="L18" s="62">
        <f>'Total REC Spend Activities'!O278</f>
        <v>21307296.352380298</v>
      </c>
      <c r="M18" s="62">
        <f>'Total REC Spend Activities'!O279</f>
        <v>40398.740086279766</v>
      </c>
      <c r="N18" s="62">
        <f>'Total REC Spend Activities'!O280</f>
        <v>0</v>
      </c>
      <c r="O18" s="62">
        <f>'Total REC Spend Activities'!O281</f>
        <v>0</v>
      </c>
      <c r="P18" s="62">
        <f>'Total REC Spend Activities'!O282</f>
        <v>-4804663.9254241977</v>
      </c>
      <c r="Q18" s="62">
        <f>'Total REC Spend Activities'!O283</f>
        <v>-554498.74007679161</v>
      </c>
      <c r="R18" s="62">
        <f>'Total REC Spend Activities'!O284</f>
        <v>241162.70576589424</v>
      </c>
      <c r="S18" s="16">
        <f t="shared" si="3"/>
        <v>4433743713.9014406</v>
      </c>
      <c r="T18" s="16">
        <f>'Collections and ACP'!H126</f>
        <v>603951792.27137923</v>
      </c>
      <c r="U18" s="16">
        <f t="shared" si="0"/>
        <v>5037695506.1728201</v>
      </c>
      <c r="V18" s="16">
        <f t="shared" si="1"/>
        <v>131368818.33277465</v>
      </c>
      <c r="W18" s="16">
        <f t="shared" si="2"/>
        <v>4906326687.840045</v>
      </c>
    </row>
    <row r="19" spans="1:23" x14ac:dyDescent="0.3">
      <c r="A19" s="46" t="s">
        <v>61</v>
      </c>
      <c r="B19" s="127">
        <f>'RPS Spend Model'!B19</f>
        <v>0</v>
      </c>
      <c r="C19" s="127">
        <f>'RPS Spend Model'!C19</f>
        <v>0</v>
      </c>
      <c r="D19" s="127">
        <f>'RPS Spend Model'!D19</f>
        <v>0</v>
      </c>
      <c r="E19" s="58">
        <f>'RPS Spend Model'!E19</f>
        <v>0</v>
      </c>
      <c r="F19" s="58">
        <f>'RPS Spend Model'!F19</f>
        <v>18198134.165855762</v>
      </c>
      <c r="G19" s="58">
        <f>'RPS Spend Model'!G19</f>
        <v>0</v>
      </c>
      <c r="H19" s="58">
        <f>'RPS Spend Model'!H19</f>
        <v>50000000</v>
      </c>
      <c r="I19" s="58">
        <f>'RPS Spend Model'!J19</f>
        <v>45139746.654625714</v>
      </c>
      <c r="J19" s="62">
        <f>'Total REC Spend Activities'!P276</f>
        <v>0</v>
      </c>
      <c r="K19" s="62">
        <f>'Total REC Spend Activities'!P277</f>
        <v>0</v>
      </c>
      <c r="L19" s="62">
        <f>'Total REC Spend Activities'!P278</f>
        <v>21200759.870618396</v>
      </c>
      <c r="M19" s="62">
        <f>'Total REC Spend Activities'!P279</f>
        <v>40196.746385848368</v>
      </c>
      <c r="N19" s="62">
        <f>'Total REC Spend Activities'!P280</f>
        <v>0</v>
      </c>
      <c r="O19" s="62">
        <f>'Total REC Spend Activities'!P281</f>
        <v>0</v>
      </c>
      <c r="P19" s="62">
        <f>'Total REC Spend Activities'!P282</f>
        <v>-5381871.2039326811</v>
      </c>
      <c r="Q19" s="62">
        <f>'Total REC Spend Activities'!P283</f>
        <v>-1677569.3692668434</v>
      </c>
      <c r="R19" s="62">
        <f>'Total REC Spend Activities'!P284</f>
        <v>229871.5885661002</v>
      </c>
      <c r="S19" s="16">
        <f t="shared" si="3"/>
        <v>4906326687.840045</v>
      </c>
      <c r="T19" s="16">
        <f>'Collections and ACP'!H127</f>
        <v>606604472.1951921</v>
      </c>
      <c r="U19" s="16">
        <f t="shared" si="0"/>
        <v>5512931160.0352373</v>
      </c>
      <c r="V19" s="16">
        <f t="shared" si="1"/>
        <v>127749268.45285229</v>
      </c>
      <c r="W19" s="16">
        <f t="shared" si="2"/>
        <v>5385181891.5823851</v>
      </c>
    </row>
    <row r="20" spans="1:23" x14ac:dyDescent="0.3">
      <c r="A20" s="46" t="s">
        <v>62</v>
      </c>
      <c r="B20" s="127">
        <f>'RPS Spend Model'!B20</f>
        <v>0</v>
      </c>
      <c r="C20" s="127">
        <f>'RPS Spend Model'!C20</f>
        <v>0</v>
      </c>
      <c r="D20" s="127">
        <f>'RPS Spend Model'!D20</f>
        <v>0</v>
      </c>
      <c r="E20" s="58">
        <f>'RPS Spend Model'!E20</f>
        <v>0</v>
      </c>
      <c r="F20" s="58">
        <f>'RPS Spend Model'!F20</f>
        <v>18209514.676376209</v>
      </c>
      <c r="G20" s="58">
        <f>'RPS Spend Model'!G20</f>
        <v>0</v>
      </c>
      <c r="H20" s="58">
        <f>'RPS Spend Model'!H20</f>
        <v>50000000</v>
      </c>
      <c r="I20" s="58">
        <f>'RPS Spend Model'!J20</f>
        <v>43334156.788440682</v>
      </c>
      <c r="J20" s="62">
        <f>'Total REC Spend Activities'!Q276</f>
        <v>0</v>
      </c>
      <c r="K20" s="62">
        <f>'Total REC Spend Activities'!Q277</f>
        <v>0</v>
      </c>
      <c r="L20" s="62">
        <f>'Total REC Spend Activities'!Q278</f>
        <v>21094756.071265306</v>
      </c>
      <c r="M20" s="62">
        <f>'Total REC Spend Activities'!Q279</f>
        <v>39995.762653919126</v>
      </c>
      <c r="N20" s="62">
        <f>'Total REC Spend Activities'!Q280</f>
        <v>0</v>
      </c>
      <c r="O20" s="62">
        <f>'Total REC Spend Activities'!Q281</f>
        <v>0</v>
      </c>
      <c r="P20" s="62">
        <f>'Total REC Spend Activities'!Q282</f>
        <v>-5970622.6280113356</v>
      </c>
      <c r="Q20" s="62">
        <f>'Total REC Spend Activities'!Q283</f>
        <v>-2811799.7078420161</v>
      </c>
      <c r="R20" s="62">
        <f>'Total REC Spend Activities'!Q284</f>
        <v>218486.65592760773</v>
      </c>
      <c r="S20" s="16">
        <f t="shared" si="3"/>
        <v>5385181891.5823851</v>
      </c>
      <c r="T20" s="16">
        <f>'Collections and ACP'!H128</f>
        <v>606983822.54587364</v>
      </c>
      <c r="U20" s="16">
        <f t="shared" si="0"/>
        <v>5992165714.1282587</v>
      </c>
      <c r="V20" s="16">
        <f t="shared" si="1"/>
        <v>124114487.61881039</v>
      </c>
      <c r="W20" s="16">
        <f t="shared" si="2"/>
        <v>5868051226.5094481</v>
      </c>
    </row>
    <row r="21" spans="1:23" x14ac:dyDescent="0.3">
      <c r="A21" s="46" t="s">
        <v>63</v>
      </c>
      <c r="B21" s="127">
        <f>'RPS Spend Model'!B21</f>
        <v>0</v>
      </c>
      <c r="C21" s="127">
        <f>'RPS Spend Model'!C21</f>
        <v>0</v>
      </c>
      <c r="D21" s="127">
        <f>'RPS Spend Model'!D21</f>
        <v>0</v>
      </c>
      <c r="E21" s="58">
        <f>'RPS Spend Model'!E21</f>
        <v>0</v>
      </c>
      <c r="F21" s="58">
        <f>'RPS Spend Model'!F21</f>
        <v>18264106.623428311</v>
      </c>
      <c r="G21" s="58">
        <f>'RPS Spend Model'!G21</f>
        <v>0</v>
      </c>
      <c r="H21" s="58">
        <f>'RPS Spend Model'!H21</f>
        <v>50000000</v>
      </c>
      <c r="I21" s="58">
        <f>'RPS Spend Model'!J21</f>
        <v>41600790.51690305</v>
      </c>
      <c r="J21" s="62">
        <f>'Total REC Spend Activities'!R276</f>
        <v>0</v>
      </c>
      <c r="K21" s="62">
        <f>'Total REC Spend Activities'!R277</f>
        <v>0</v>
      </c>
      <c r="L21" s="62">
        <f>'Total REC Spend Activities'!R278</f>
        <v>20989282.290908977</v>
      </c>
      <c r="M21" s="62">
        <f>'Total REC Spend Activities'!R279</f>
        <v>39795.783840649528</v>
      </c>
      <c r="N21" s="62">
        <f>'Total REC Spend Activities'!R280</f>
        <v>0</v>
      </c>
      <c r="O21" s="62">
        <f>'Total REC Spend Activities'!R281</f>
        <v>0</v>
      </c>
      <c r="P21" s="62">
        <f>'Total REC Spend Activities'!R282</f>
        <v>-6571149.0805715621</v>
      </c>
      <c r="Q21" s="62">
        <f>'Total REC Spend Activities'!R283</f>
        <v>-3957383.9056870923</v>
      </c>
      <c r="R21" s="62">
        <f>'Total REC Spend Activities'!R284</f>
        <v>207006.13788934235</v>
      </c>
      <c r="S21" s="16">
        <f t="shared" si="3"/>
        <v>5868051226.5094481</v>
      </c>
      <c r="T21" s="16">
        <f>'Collections and ACP'!H129</f>
        <v>608803554.11427701</v>
      </c>
      <c r="U21" s="16">
        <f t="shared" si="0"/>
        <v>6476854780.6237249</v>
      </c>
      <c r="V21" s="16">
        <f t="shared" si="1"/>
        <v>120572448.36671168</v>
      </c>
      <c r="W21" s="16">
        <f t="shared" si="2"/>
        <v>6356282332.2570133</v>
      </c>
    </row>
    <row r="22" spans="1:23" x14ac:dyDescent="0.3">
      <c r="A22" s="46" t="s">
        <v>64</v>
      </c>
      <c r="B22" s="127">
        <f>'RPS Spend Model'!B22</f>
        <v>0</v>
      </c>
      <c r="C22" s="127">
        <f>'RPS Spend Model'!C22</f>
        <v>0</v>
      </c>
      <c r="D22" s="127">
        <f>'RPS Spend Model'!D22</f>
        <v>0</v>
      </c>
      <c r="E22" s="58">
        <f>'RPS Spend Model'!E22</f>
        <v>0</v>
      </c>
      <c r="F22" s="58">
        <f>'RPS Spend Model'!F22</f>
        <v>18264106.623428311</v>
      </c>
      <c r="G22" s="58">
        <f>'RPS Spend Model'!G22</f>
        <v>0</v>
      </c>
      <c r="H22" s="58">
        <f>'RPS Spend Model'!H22</f>
        <v>50000000</v>
      </c>
      <c r="I22" s="58">
        <f>'RPS Spend Model'!J22</f>
        <v>39936758.896226928</v>
      </c>
      <c r="J22" s="62">
        <f>'Total REC Spend Activities'!S276</f>
        <v>0</v>
      </c>
      <c r="K22" s="62">
        <f>'Total REC Spend Activities'!S277</f>
        <v>0</v>
      </c>
      <c r="L22" s="62">
        <f>'Total REC Spend Activities'!S278</f>
        <v>20884335.879454434</v>
      </c>
      <c r="M22" s="62">
        <f>'Total REC Spend Activities'!S279</f>
        <v>39596.804921446281</v>
      </c>
      <c r="N22" s="62">
        <f>'Total REC Spend Activities'!S280</f>
        <v>0</v>
      </c>
      <c r="O22" s="62">
        <f>'Total REC Spend Activities'!S281</f>
        <v>0</v>
      </c>
      <c r="P22" s="62">
        <f>'Total REC Spend Activities'!S282</f>
        <v>-7183686.0621829927</v>
      </c>
      <c r="Q22" s="62">
        <f>'Total REC Spend Activities'!S283</f>
        <v>-5114518.8661690662</v>
      </c>
      <c r="R22" s="62">
        <f>'Total REC Spend Activities'!S284</f>
        <v>195428.23997836479</v>
      </c>
      <c r="S22" s="16"/>
      <c r="T22" s="16"/>
      <c r="U22" s="16"/>
      <c r="V22" s="16"/>
      <c r="W22" s="16"/>
    </row>
    <row r="23" spans="1:23" x14ac:dyDescent="0.3">
      <c r="A23" s="46" t="s">
        <v>65</v>
      </c>
      <c r="B23" s="127">
        <f>'RPS Spend Model'!B23</f>
        <v>0</v>
      </c>
      <c r="C23" s="127">
        <f>'RPS Spend Model'!C23</f>
        <v>0</v>
      </c>
      <c r="D23" s="127">
        <f>'RPS Spend Model'!D23</f>
        <v>0</v>
      </c>
      <c r="E23" s="58">
        <f>'RPS Spend Model'!E23</f>
        <v>0</v>
      </c>
      <c r="F23" s="58">
        <f>'RPS Spend Model'!F23</f>
        <v>18264106.623428311</v>
      </c>
      <c r="G23" s="58">
        <f>'RPS Spend Model'!G23</f>
        <v>0</v>
      </c>
      <c r="H23" s="58">
        <f>'RPS Spend Model'!H23</f>
        <v>50000000</v>
      </c>
      <c r="I23" s="58">
        <f>'RPS Spend Model'!J23</f>
        <v>38339288.540377848</v>
      </c>
      <c r="J23" s="62">
        <f>'Total REC Spend Activities'!T276</f>
        <v>0</v>
      </c>
      <c r="K23" s="62">
        <f>'Total REC Spend Activities'!T277</f>
        <v>0</v>
      </c>
      <c r="L23" s="62">
        <f>'Total REC Spend Activities'!T278</f>
        <v>20779914.20005716</v>
      </c>
      <c r="M23" s="62">
        <f>'Total REC Spend Activities'!T279</f>
        <v>39398.820896839046</v>
      </c>
      <c r="N23" s="62">
        <f>'Total REC Spend Activities'!T280</f>
        <v>0</v>
      </c>
      <c r="O23" s="62">
        <f>'Total REC Spend Activities'!T281</f>
        <v>0</v>
      </c>
      <c r="P23" s="62">
        <f>'Total REC Spend Activities'!T282</f>
        <v>-7808473.7834266508</v>
      </c>
      <c r="Q23" s="62">
        <f>'Total REC Spend Activities'!T283</f>
        <v>-6283404.2878607837</v>
      </c>
      <c r="R23" s="62">
        <f>'Total REC Spend Activities'!T284</f>
        <v>183751.14283534131</v>
      </c>
      <c r="S23" s="16"/>
      <c r="T23" s="16"/>
      <c r="U23" s="16"/>
      <c r="V23" s="16"/>
      <c r="W23" s="16"/>
    </row>
    <row r="24" spans="1:23" x14ac:dyDescent="0.3">
      <c r="A24" s="46" t="s">
        <v>66</v>
      </c>
      <c r="B24" s="127">
        <f>'RPS Spend Model'!B24</f>
        <v>0</v>
      </c>
      <c r="C24" s="127">
        <f>'RPS Spend Model'!C24</f>
        <v>0</v>
      </c>
      <c r="D24" s="127">
        <f>'RPS Spend Model'!D24</f>
        <v>0</v>
      </c>
      <c r="E24" s="58">
        <f>'RPS Spend Model'!E24</f>
        <v>0</v>
      </c>
      <c r="F24" s="58">
        <f>'RPS Spend Model'!F24</f>
        <v>18264106.623428311</v>
      </c>
      <c r="G24" s="58">
        <f>'RPS Spend Model'!G24</f>
        <v>0</v>
      </c>
      <c r="H24" s="58">
        <f>'RPS Spend Model'!H24</f>
        <v>50000000</v>
      </c>
      <c r="I24" s="58">
        <f>'RPS Spend Model'!J24</f>
        <v>0</v>
      </c>
      <c r="J24" s="62">
        <f>'Total REC Spend Activities'!U276</f>
        <v>0</v>
      </c>
      <c r="K24" s="62">
        <f>'Total REC Spend Activities'!U277</f>
        <v>0</v>
      </c>
      <c r="L24" s="62">
        <f>'Total REC Spend Activities'!U278</f>
        <v>20676014.629056875</v>
      </c>
      <c r="M24" s="62">
        <f>'Total REC Spend Activities'!U279</f>
        <v>39201.826792354856</v>
      </c>
      <c r="N24" s="62">
        <f>'Total REC Spend Activities'!U280</f>
        <v>0</v>
      </c>
      <c r="O24" s="62">
        <f>'Total REC Spend Activities'!U281</f>
        <v>0</v>
      </c>
      <c r="P24" s="62">
        <f>'Total REC Spend Activities'!U282</f>
        <v>-8445757.2590951826</v>
      </c>
      <c r="Q24" s="62">
        <f>'Total REC Spend Activities'!U283</f>
        <v>-7464242.7068827795</v>
      </c>
      <c r="R24" s="62">
        <f>'Total REC Spend Activities'!U284</f>
        <v>171973.0018344803</v>
      </c>
      <c r="S24" s="16"/>
      <c r="T24" s="16"/>
      <c r="U24" s="16"/>
      <c r="V24" s="16"/>
      <c r="W24" s="16"/>
    </row>
    <row r="25" spans="1:23" x14ac:dyDescent="0.3">
      <c r="A25" s="46" t="s">
        <v>67</v>
      </c>
      <c r="B25" s="127">
        <f>'RPS Spend Model'!B25</f>
        <v>0</v>
      </c>
      <c r="C25" s="127">
        <f>'RPS Spend Model'!C25</f>
        <v>0</v>
      </c>
      <c r="D25" s="127">
        <f>'RPS Spend Model'!D25</f>
        <v>0</v>
      </c>
      <c r="E25" s="58">
        <f>'RPS Spend Model'!E25</f>
        <v>0</v>
      </c>
      <c r="F25" s="58">
        <f>'RPS Spend Model'!F25</f>
        <v>18264106.623428311</v>
      </c>
      <c r="G25" s="58">
        <f>'RPS Spend Model'!G25</f>
        <v>0</v>
      </c>
      <c r="H25" s="58">
        <f>'RPS Spend Model'!H25</f>
        <v>50000000</v>
      </c>
      <c r="I25" s="58">
        <f>'RPS Spend Model'!J25</f>
        <v>0</v>
      </c>
      <c r="J25" s="62">
        <f>'Total REC Spend Activities'!V276</f>
        <v>0</v>
      </c>
      <c r="K25" s="62">
        <f>'Total REC Spend Activities'!V277</f>
        <v>0</v>
      </c>
      <c r="L25" s="62">
        <f>'Total REC Spend Activities'!V278</f>
        <v>20572634.555911593</v>
      </c>
      <c r="M25" s="62">
        <f>'Total REC Spend Activities'!V279</f>
        <v>0</v>
      </c>
      <c r="N25" s="62">
        <f>'Total REC Spend Activities'!V280</f>
        <v>0</v>
      </c>
      <c r="O25" s="62">
        <f>'Total REC Spend Activities'!V281</f>
        <v>0</v>
      </c>
      <c r="P25" s="62">
        <f>'Total REC Spend Activities'!V282</f>
        <v>-9095786.4042770844</v>
      </c>
      <c r="Q25" s="62">
        <f>'Total REC Spend Activities'!V283</f>
        <v>-8657239.5398725383</v>
      </c>
      <c r="R25" s="62">
        <f>'Total REC Spend Activities'!V284</f>
        <v>160091.94669785199</v>
      </c>
      <c r="S25" s="16"/>
      <c r="T25" s="16"/>
      <c r="U25" s="16"/>
      <c r="V25" s="16"/>
      <c r="W25" s="16"/>
    </row>
    <row r="29" spans="1:23" x14ac:dyDescent="0.3">
      <c r="S29" s="116"/>
      <c r="T29" s="117"/>
    </row>
    <row r="30" spans="1:23" x14ac:dyDescent="0.3">
      <c r="A30" s="35" t="s">
        <v>94</v>
      </c>
      <c r="B30" s="126">
        <v>0.27317999999999998</v>
      </c>
    </row>
    <row r="31" spans="1:23" ht="57.6" x14ac:dyDescent="0.3">
      <c r="A31" s="53" t="s">
        <v>43</v>
      </c>
      <c r="B31" s="53" t="s">
        <v>125</v>
      </c>
      <c r="C31" s="53" t="s">
        <v>116</v>
      </c>
      <c r="D31" s="53" t="s">
        <v>117</v>
      </c>
      <c r="E31" s="53" t="s">
        <v>118</v>
      </c>
      <c r="F31" s="53" t="s">
        <v>275</v>
      </c>
      <c r="G31" s="53" t="s">
        <v>44</v>
      </c>
      <c r="H31" s="53" t="s">
        <v>119</v>
      </c>
      <c r="I31" s="53" t="s">
        <v>126</v>
      </c>
      <c r="J31" s="53" t="s">
        <v>6</v>
      </c>
      <c r="K31" s="53" t="s">
        <v>12</v>
      </c>
      <c r="L31" s="53" t="s">
        <v>21</v>
      </c>
      <c r="M31" s="53" t="s">
        <v>25</v>
      </c>
      <c r="N31" s="53" t="s">
        <v>29</v>
      </c>
      <c r="O31" s="53" t="s">
        <v>33</v>
      </c>
      <c r="P31" s="53" t="s">
        <v>40</v>
      </c>
      <c r="Q31" s="53" t="s">
        <v>41</v>
      </c>
      <c r="R31" s="53" t="s">
        <v>42</v>
      </c>
      <c r="S31" s="54" t="s">
        <v>131</v>
      </c>
      <c r="T31" s="54" t="s">
        <v>128</v>
      </c>
      <c r="U31" s="54" t="s">
        <v>122</v>
      </c>
      <c r="V31" s="53" t="s">
        <v>123</v>
      </c>
      <c r="W31" s="53" t="s">
        <v>124</v>
      </c>
    </row>
    <row r="32" spans="1:23" x14ac:dyDescent="0.3">
      <c r="A32" s="46" t="s">
        <v>45</v>
      </c>
      <c r="B32" s="127">
        <f t="shared" ref="B32:F42" si="4">$B$30*B3</f>
        <v>37741871.321795367</v>
      </c>
      <c r="C32" s="127">
        <f t="shared" si="4"/>
        <v>16832947.845013831</v>
      </c>
      <c r="D32" s="127">
        <f t="shared" si="4"/>
        <v>9150354.9289328717</v>
      </c>
      <c r="E32" s="58">
        <f t="shared" si="4"/>
        <v>8427154.8757223468</v>
      </c>
      <c r="F32" s="58">
        <f t="shared" si="4"/>
        <v>1845899.1203832121</v>
      </c>
      <c r="G32" s="58"/>
      <c r="H32" s="58">
        <f t="shared" ref="H32:R32" si="5">$B$30*H3</f>
        <v>3076498.5339720203</v>
      </c>
      <c r="I32" s="58">
        <f t="shared" si="5"/>
        <v>0</v>
      </c>
      <c r="J32" s="62">
        <f t="shared" si="5"/>
        <v>0</v>
      </c>
      <c r="K32" s="62">
        <f t="shared" si="5"/>
        <v>0</v>
      </c>
      <c r="L32" s="62">
        <f t="shared" si="5"/>
        <v>0</v>
      </c>
      <c r="M32" s="62">
        <f t="shared" si="5"/>
        <v>0</v>
      </c>
      <c r="N32" s="62">
        <f t="shared" si="5"/>
        <v>0</v>
      </c>
      <c r="O32" s="62">
        <f t="shared" si="5"/>
        <v>0</v>
      </c>
      <c r="P32" s="62">
        <f t="shared" si="5"/>
        <v>0</v>
      </c>
      <c r="Q32" s="62">
        <f t="shared" si="5"/>
        <v>0</v>
      </c>
      <c r="R32" s="62">
        <f t="shared" si="5"/>
        <v>0</v>
      </c>
      <c r="S32" s="16">
        <f>'Collections and ACP'!B158+'Collections and ACP'!B155</f>
        <v>164214831.63</v>
      </c>
      <c r="T32" s="16">
        <f>'Collections and ACP'!H7</f>
        <v>64309855.295962796</v>
      </c>
      <c r="U32" s="16">
        <f t="shared" ref="U32:U50" si="6">S32+T32</f>
        <v>228524686.92596281</v>
      </c>
      <c r="V32" s="16">
        <f t="shared" ref="V32:V50" si="7">SUM(B32:R32)</f>
        <v>77074726.625819668</v>
      </c>
      <c r="W32" s="16">
        <f t="shared" ref="W32:W50" si="8">U32-V32</f>
        <v>151449960.30014312</v>
      </c>
    </row>
    <row r="33" spans="1:23" x14ac:dyDescent="0.3">
      <c r="A33" s="46" t="s">
        <v>46</v>
      </c>
      <c r="B33" s="127">
        <f t="shared" si="4"/>
        <v>10395041.174882406</v>
      </c>
      <c r="C33" s="127">
        <f t="shared" si="4"/>
        <v>18064740.70809973</v>
      </c>
      <c r="D33" s="127">
        <f t="shared" si="4"/>
        <v>32034467.820922781</v>
      </c>
      <c r="E33" s="58">
        <f t="shared" si="4"/>
        <v>6595181.3256627964</v>
      </c>
      <c r="F33" s="58">
        <f t="shared" si="4"/>
        <v>3808712.4645429286</v>
      </c>
      <c r="G33" s="58"/>
      <c r="H33" s="58">
        <f t="shared" ref="H33:R33" si="9">$B$30*H4</f>
        <v>13658999.999999998</v>
      </c>
      <c r="I33" s="58">
        <f t="shared" si="9"/>
        <v>0</v>
      </c>
      <c r="J33" s="62">
        <f t="shared" si="9"/>
        <v>0</v>
      </c>
      <c r="K33" s="62">
        <f t="shared" si="9"/>
        <v>0</v>
      </c>
      <c r="L33" s="62">
        <f t="shared" si="9"/>
        <v>0</v>
      </c>
      <c r="M33" s="62">
        <f t="shared" si="9"/>
        <v>0</v>
      </c>
      <c r="N33" s="62">
        <f t="shared" si="9"/>
        <v>0</v>
      </c>
      <c r="O33" s="62">
        <f t="shared" si="9"/>
        <v>0</v>
      </c>
      <c r="P33" s="62">
        <f t="shared" si="9"/>
        <v>0</v>
      </c>
      <c r="Q33" s="62">
        <f t="shared" si="9"/>
        <v>0</v>
      </c>
      <c r="R33" s="62">
        <f t="shared" si="9"/>
        <v>0</v>
      </c>
      <c r="S33" s="16">
        <f t="shared" ref="S33:S50" si="10">W32</f>
        <v>151449960.30014312</v>
      </c>
      <c r="T33" s="16">
        <f>'Collections and ACP'!H8</f>
        <v>129499575.18679999</v>
      </c>
      <c r="U33" s="16">
        <f t="shared" si="6"/>
        <v>280949535.48694313</v>
      </c>
      <c r="V33" s="16">
        <f t="shared" si="7"/>
        <v>84557143.494110644</v>
      </c>
      <c r="W33" s="16">
        <f t="shared" si="8"/>
        <v>196392391.99283248</v>
      </c>
    </row>
    <row r="34" spans="1:23" x14ac:dyDescent="0.3">
      <c r="A34" s="46" t="s">
        <v>47</v>
      </c>
      <c r="B34" s="127">
        <f t="shared" si="4"/>
        <v>1329100.5368549991</v>
      </c>
      <c r="C34" s="127">
        <f t="shared" si="4"/>
        <v>17814068.896954257</v>
      </c>
      <c r="D34" s="127">
        <f t="shared" si="4"/>
        <v>30091588.277944073</v>
      </c>
      <c r="E34" s="58">
        <f t="shared" si="4"/>
        <v>6026991.2965067755</v>
      </c>
      <c r="F34" s="58">
        <f t="shared" si="4"/>
        <v>4814494.2231932348</v>
      </c>
      <c r="G34" s="58"/>
      <c r="H34" s="58">
        <f t="shared" ref="H34:R34" si="11">$B$30*H5</f>
        <v>13658999.999999998</v>
      </c>
      <c r="I34" s="58">
        <f t="shared" si="11"/>
        <v>91715692.593660548</v>
      </c>
      <c r="J34" s="62">
        <f t="shared" si="11"/>
        <v>37927522.155484863</v>
      </c>
      <c r="K34" s="62">
        <f t="shared" si="11"/>
        <v>3116167.2747563282</v>
      </c>
      <c r="L34" s="62">
        <f t="shared" si="11"/>
        <v>0</v>
      </c>
      <c r="M34" s="62">
        <f t="shared" si="11"/>
        <v>11779.223765664354</v>
      </c>
      <c r="N34" s="62">
        <f t="shared" si="11"/>
        <v>0</v>
      </c>
      <c r="O34" s="62">
        <f t="shared" si="11"/>
        <v>0</v>
      </c>
      <c r="P34" s="62">
        <f t="shared" si="11"/>
        <v>0</v>
      </c>
      <c r="Q34" s="62">
        <f t="shared" si="11"/>
        <v>0</v>
      </c>
      <c r="R34" s="62">
        <f t="shared" si="11"/>
        <v>0</v>
      </c>
      <c r="S34" s="16">
        <f t="shared" si="10"/>
        <v>196392391.99283248</v>
      </c>
      <c r="T34" s="16">
        <f>'Collections and ACP'!H9</f>
        <v>160483342.72150001</v>
      </c>
      <c r="U34" s="16">
        <f t="shared" si="6"/>
        <v>356875734.71433246</v>
      </c>
      <c r="V34" s="16">
        <f t="shared" si="7"/>
        <v>206506404.47912076</v>
      </c>
      <c r="W34" s="16">
        <f t="shared" si="8"/>
        <v>150369330.2352117</v>
      </c>
    </row>
    <row r="35" spans="1:23" x14ac:dyDescent="0.3">
      <c r="A35" s="46" t="s">
        <v>48</v>
      </c>
      <c r="B35" s="127">
        <f t="shared" si="4"/>
        <v>0</v>
      </c>
      <c r="C35" s="127">
        <f t="shared" si="4"/>
        <v>16033996.441034202</v>
      </c>
      <c r="D35" s="127">
        <f t="shared" si="4"/>
        <v>28919351.22876012</v>
      </c>
      <c r="E35" s="58">
        <f t="shared" si="4"/>
        <v>4841024.8058752296</v>
      </c>
      <c r="F35" s="58">
        <f t="shared" si="4"/>
        <v>4826995.9530275445</v>
      </c>
      <c r="G35" s="58"/>
      <c r="H35" s="58">
        <f t="shared" ref="H35:R35" si="12">$B$30*H6</f>
        <v>13658999.999999998</v>
      </c>
      <c r="I35" s="58">
        <f t="shared" si="12"/>
        <v>41928756.654330768</v>
      </c>
      <c r="J35" s="62">
        <f t="shared" si="12"/>
        <v>0</v>
      </c>
      <c r="K35" s="62">
        <f t="shared" si="12"/>
        <v>2943046.8706031991</v>
      </c>
      <c r="L35" s="62">
        <f t="shared" si="12"/>
        <v>6181591.1581595149</v>
      </c>
      <c r="M35" s="62">
        <f t="shared" si="12"/>
        <v>11720.327646836033</v>
      </c>
      <c r="N35" s="62">
        <f t="shared" si="12"/>
        <v>168718.64848982781</v>
      </c>
      <c r="O35" s="62">
        <f t="shared" si="12"/>
        <v>0</v>
      </c>
      <c r="P35" s="62">
        <f t="shared" si="12"/>
        <v>0</v>
      </c>
      <c r="Q35" s="62">
        <f t="shared" si="12"/>
        <v>0</v>
      </c>
      <c r="R35" s="62">
        <f t="shared" si="12"/>
        <v>0</v>
      </c>
      <c r="S35" s="16">
        <f t="shared" si="10"/>
        <v>150369330.2352117</v>
      </c>
      <c r="T35" s="16">
        <f>'Collections and ACP'!H10</f>
        <v>159798619.14649999</v>
      </c>
      <c r="U35" s="16">
        <f t="shared" si="6"/>
        <v>310167949.38171172</v>
      </c>
      <c r="V35" s="16">
        <f t="shared" si="7"/>
        <v>119514202.08792725</v>
      </c>
      <c r="W35" s="16">
        <f t="shared" si="8"/>
        <v>190653747.29378447</v>
      </c>
    </row>
    <row r="36" spans="1:23" x14ac:dyDescent="0.3">
      <c r="A36" s="46" t="s">
        <v>49</v>
      </c>
      <c r="B36" s="127">
        <f t="shared" si="4"/>
        <v>0</v>
      </c>
      <c r="C36" s="127">
        <f t="shared" si="4"/>
        <v>9990814.9060888365</v>
      </c>
      <c r="D36" s="127">
        <f t="shared" si="4"/>
        <v>27889148.155281082</v>
      </c>
      <c r="E36" s="58">
        <f t="shared" si="4"/>
        <v>4759216.7576746065</v>
      </c>
      <c r="F36" s="58">
        <f t="shared" si="4"/>
        <v>4811643.6825472517</v>
      </c>
      <c r="G36" s="58"/>
      <c r="H36" s="58">
        <f t="shared" ref="H36:R36" si="13">$B$30*H7</f>
        <v>13658999.999999998</v>
      </c>
      <c r="I36" s="58">
        <f t="shared" si="13"/>
        <v>40251606.388157532</v>
      </c>
      <c r="J36" s="62">
        <f t="shared" si="13"/>
        <v>0</v>
      </c>
      <c r="K36" s="62">
        <f t="shared" si="13"/>
        <v>2943046.8706031991</v>
      </c>
      <c r="L36" s="62">
        <f t="shared" si="13"/>
        <v>6150683.2023687176</v>
      </c>
      <c r="M36" s="62">
        <f t="shared" si="13"/>
        <v>11661.726008601852</v>
      </c>
      <c r="N36" s="62">
        <f t="shared" si="13"/>
        <v>159345.39024039294</v>
      </c>
      <c r="O36" s="62">
        <f t="shared" si="13"/>
        <v>0</v>
      </c>
      <c r="P36" s="62">
        <f t="shared" si="13"/>
        <v>0</v>
      </c>
      <c r="Q36" s="62">
        <f t="shared" si="13"/>
        <v>0</v>
      </c>
      <c r="R36" s="62">
        <f t="shared" si="13"/>
        <v>0</v>
      </c>
      <c r="S36" s="16">
        <f t="shared" si="10"/>
        <v>190653747.29378447</v>
      </c>
      <c r="T36" s="16">
        <f>'Collections and ACP'!H11</f>
        <v>157940101.377</v>
      </c>
      <c r="U36" s="16">
        <f t="shared" si="6"/>
        <v>348593848.67078447</v>
      </c>
      <c r="V36" s="16">
        <f t="shared" si="7"/>
        <v>110626167.07897022</v>
      </c>
      <c r="W36" s="16">
        <f t="shared" si="8"/>
        <v>237967681.59181425</v>
      </c>
    </row>
    <row r="37" spans="1:23" x14ac:dyDescent="0.3">
      <c r="A37" s="46" t="s">
        <v>50</v>
      </c>
      <c r="B37" s="127">
        <f t="shared" si="4"/>
        <v>0</v>
      </c>
      <c r="C37" s="127">
        <f t="shared" si="4"/>
        <v>2857721.4275648133</v>
      </c>
      <c r="D37" s="127">
        <f t="shared" si="4"/>
        <v>15190828.756851751</v>
      </c>
      <c r="E37" s="58">
        <f t="shared" si="4"/>
        <v>3114643.110213072</v>
      </c>
      <c r="F37" s="58">
        <f t="shared" si="4"/>
        <v>4795225.7136696298</v>
      </c>
      <c r="G37" s="58"/>
      <c r="H37" s="58">
        <f t="shared" ref="H37:R37" si="14">$B$30*H8</f>
        <v>13658999.999999998</v>
      </c>
      <c r="I37" s="58">
        <f t="shared" si="14"/>
        <v>38641542.132631227</v>
      </c>
      <c r="J37" s="62">
        <f t="shared" si="14"/>
        <v>0</v>
      </c>
      <c r="K37" s="62">
        <f t="shared" si="14"/>
        <v>2943046.8706031991</v>
      </c>
      <c r="L37" s="62">
        <f t="shared" si="14"/>
        <v>6119929.7863568747</v>
      </c>
      <c r="M37" s="62">
        <f t="shared" si="14"/>
        <v>11603.417378558845</v>
      </c>
      <c r="N37" s="62">
        <f t="shared" si="14"/>
        <v>159345.39024039294</v>
      </c>
      <c r="O37" s="62">
        <f t="shared" si="14"/>
        <v>0</v>
      </c>
      <c r="P37" s="62">
        <f t="shared" si="14"/>
        <v>103849.24587359971</v>
      </c>
      <c r="Q37" s="62">
        <f t="shared" si="14"/>
        <v>2760005.3731870232</v>
      </c>
      <c r="R37" s="62">
        <f t="shared" si="14"/>
        <v>95418.118063748872</v>
      </c>
      <c r="S37" s="16">
        <f t="shared" si="10"/>
        <v>237967681.59181425</v>
      </c>
      <c r="T37" s="16">
        <f>'Collections and ACP'!H12</f>
        <v>157075656.73749998</v>
      </c>
      <c r="U37" s="16">
        <f t="shared" si="6"/>
        <v>395043338.32931423</v>
      </c>
      <c r="V37" s="16">
        <f t="shared" si="7"/>
        <v>90452159.342633903</v>
      </c>
      <c r="W37" s="16">
        <f t="shared" si="8"/>
        <v>304591178.98668033</v>
      </c>
    </row>
    <row r="38" spans="1:23" x14ac:dyDescent="0.3">
      <c r="A38" s="46" t="s">
        <v>51</v>
      </c>
      <c r="B38" s="127">
        <f t="shared" si="4"/>
        <v>0</v>
      </c>
      <c r="C38" s="127">
        <f t="shared" si="4"/>
        <v>280260.48152978992</v>
      </c>
      <c r="D38" s="127">
        <f t="shared" si="4"/>
        <v>1239559.3956184799</v>
      </c>
      <c r="E38" s="58">
        <f t="shared" si="4"/>
        <v>2244291.6346679232</v>
      </c>
      <c r="F38" s="58">
        <f t="shared" si="4"/>
        <v>4800510.3155546812</v>
      </c>
      <c r="G38" s="58"/>
      <c r="H38" s="58">
        <f t="shared" ref="H38:R38" si="15">$B$30*H9</f>
        <v>13658999.999999998</v>
      </c>
      <c r="I38" s="58">
        <f t="shared" si="15"/>
        <v>37095880.447325982</v>
      </c>
      <c r="J38" s="62">
        <f t="shared" si="15"/>
        <v>0</v>
      </c>
      <c r="K38" s="62">
        <f t="shared" si="15"/>
        <v>2943046.8706031991</v>
      </c>
      <c r="L38" s="62">
        <f t="shared" si="15"/>
        <v>6089330.1374250902</v>
      </c>
      <c r="M38" s="62">
        <f t="shared" si="15"/>
        <v>11545.400291666048</v>
      </c>
      <c r="N38" s="62">
        <f t="shared" si="15"/>
        <v>159345.39024039294</v>
      </c>
      <c r="O38" s="62">
        <f t="shared" si="15"/>
        <v>0</v>
      </c>
      <c r="P38" s="62">
        <f t="shared" si="15"/>
        <v>-25504.49172892874</v>
      </c>
      <c r="Q38" s="62">
        <f t="shared" si="15"/>
        <v>2480931.6096577574</v>
      </c>
      <c r="R38" s="62">
        <f t="shared" si="15"/>
        <v>92564.705110406241</v>
      </c>
      <c r="S38" s="16">
        <f t="shared" si="10"/>
        <v>304591178.98668033</v>
      </c>
      <c r="T38" s="16">
        <f>'Collections and ACP'!H13</f>
        <v>157075656.73749998</v>
      </c>
      <c r="U38" s="16">
        <f t="shared" si="6"/>
        <v>461666835.72418034</v>
      </c>
      <c r="V38" s="16">
        <f t="shared" si="7"/>
        <v>71070761.896296427</v>
      </c>
      <c r="W38" s="16">
        <f t="shared" si="8"/>
        <v>390596073.8278839</v>
      </c>
    </row>
    <row r="39" spans="1:23" x14ac:dyDescent="0.3">
      <c r="A39" s="46" t="s">
        <v>52</v>
      </c>
      <c r="B39" s="127">
        <f t="shared" si="4"/>
        <v>0</v>
      </c>
      <c r="C39" s="127">
        <f t="shared" si="4"/>
        <v>0</v>
      </c>
      <c r="D39" s="127">
        <f t="shared" si="4"/>
        <v>0</v>
      </c>
      <c r="E39" s="58">
        <f t="shared" si="4"/>
        <v>1223978.2844489093</v>
      </c>
      <c r="F39" s="58">
        <f t="shared" si="4"/>
        <v>4814913.1016325643</v>
      </c>
      <c r="G39" s="58"/>
      <c r="H39" s="58">
        <f t="shared" ref="H39:R39" si="16">$B$30*H10</f>
        <v>13658999.999999998</v>
      </c>
      <c r="I39" s="58">
        <f t="shared" si="16"/>
        <v>35612045.22943294</v>
      </c>
      <c r="J39" s="62">
        <f t="shared" si="16"/>
        <v>0</v>
      </c>
      <c r="K39" s="62">
        <f t="shared" si="16"/>
        <v>2943046.8706031991</v>
      </c>
      <c r="L39" s="62">
        <f t="shared" si="16"/>
        <v>6058883.4867379647</v>
      </c>
      <c r="M39" s="62">
        <f t="shared" si="16"/>
        <v>11487.673290207716</v>
      </c>
      <c r="N39" s="62">
        <f t="shared" si="16"/>
        <v>159345.39024039294</v>
      </c>
      <c r="O39" s="62">
        <f t="shared" si="16"/>
        <v>0</v>
      </c>
      <c r="P39" s="62">
        <f t="shared" si="16"/>
        <v>-157445.30408350768</v>
      </c>
      <c r="Q39" s="62">
        <f t="shared" si="16"/>
        <v>2199300.6362698544</v>
      </c>
      <c r="R39" s="62">
        <f t="shared" si="16"/>
        <v>89690.152018621287</v>
      </c>
      <c r="S39" s="16">
        <f t="shared" si="10"/>
        <v>390596073.8278839</v>
      </c>
      <c r="T39" s="16">
        <f>'Collections and ACP'!H14</f>
        <v>157075656.73749998</v>
      </c>
      <c r="U39" s="16">
        <f t="shared" si="6"/>
        <v>547671730.56538391</v>
      </c>
      <c r="V39" s="16">
        <f t="shared" si="7"/>
        <v>66614245.52059114</v>
      </c>
      <c r="W39" s="16">
        <f t="shared" si="8"/>
        <v>481057485.04479277</v>
      </c>
    </row>
    <row r="40" spans="1:23" x14ac:dyDescent="0.3">
      <c r="A40" s="46" t="s">
        <v>53</v>
      </c>
      <c r="B40" s="127">
        <f t="shared" si="4"/>
        <v>0</v>
      </c>
      <c r="C40" s="127">
        <f t="shared" si="4"/>
        <v>0</v>
      </c>
      <c r="D40" s="127">
        <f t="shared" si="4"/>
        <v>0</v>
      </c>
      <c r="E40" s="58">
        <f t="shared" si="4"/>
        <v>1223336.1705694718</v>
      </c>
      <c r="F40" s="58">
        <f t="shared" si="4"/>
        <v>4838486.2587735523</v>
      </c>
      <c r="G40" s="58"/>
      <c r="H40" s="58">
        <f t="shared" ref="H40:R40" si="17">$B$30*H11</f>
        <v>13658999.999999998</v>
      </c>
      <c r="I40" s="58">
        <f t="shared" si="17"/>
        <v>34187563.420255624</v>
      </c>
      <c r="J40" s="62">
        <f t="shared" si="17"/>
        <v>0</v>
      </c>
      <c r="K40" s="62">
        <f t="shared" si="17"/>
        <v>2943046.8706031991</v>
      </c>
      <c r="L40" s="62">
        <f t="shared" si="17"/>
        <v>6028589.0693042744</v>
      </c>
      <c r="M40" s="62">
        <f t="shared" si="17"/>
        <v>11430.234923756678</v>
      </c>
      <c r="N40" s="62">
        <f t="shared" si="17"/>
        <v>159345.39024039294</v>
      </c>
      <c r="O40" s="62">
        <f t="shared" si="17"/>
        <v>0</v>
      </c>
      <c r="P40" s="62">
        <f t="shared" si="17"/>
        <v>-292024.93268517772</v>
      </c>
      <c r="Q40" s="62">
        <f t="shared" si="17"/>
        <v>1915066.3456503314</v>
      </c>
      <c r="R40" s="62">
        <f t="shared" si="17"/>
        <v>86794.036921758394</v>
      </c>
      <c r="S40" s="16">
        <f t="shared" si="10"/>
        <v>481057485.04479277</v>
      </c>
      <c r="T40" s="16">
        <f>'Collections and ACP'!H15</f>
        <v>157075656.73749998</v>
      </c>
      <c r="U40" s="16">
        <f t="shared" si="6"/>
        <v>638133141.78229272</v>
      </c>
      <c r="V40" s="16">
        <f t="shared" si="7"/>
        <v>64760632.864557184</v>
      </c>
      <c r="W40" s="16">
        <f t="shared" si="8"/>
        <v>573372508.91773558</v>
      </c>
    </row>
    <row r="41" spans="1:23" x14ac:dyDescent="0.3">
      <c r="A41" s="46" t="s">
        <v>54</v>
      </c>
      <c r="B41" s="127">
        <f t="shared" si="4"/>
        <v>0</v>
      </c>
      <c r="C41" s="127">
        <f t="shared" si="4"/>
        <v>0</v>
      </c>
      <c r="D41" s="127">
        <f t="shared" si="4"/>
        <v>0</v>
      </c>
      <c r="E41" s="58">
        <f t="shared" si="4"/>
        <v>1185057.2026104901</v>
      </c>
      <c r="F41" s="58">
        <f t="shared" si="4"/>
        <v>4844486.1924790554</v>
      </c>
      <c r="G41" s="58"/>
      <c r="H41" s="58">
        <f t="shared" ref="H41:R41" si="18">$B$30*H12</f>
        <v>13658999.999999998</v>
      </c>
      <c r="I41" s="58">
        <f t="shared" si="18"/>
        <v>32820060.883445397</v>
      </c>
      <c r="J41" s="62">
        <f t="shared" si="18"/>
        <v>0</v>
      </c>
      <c r="K41" s="62">
        <f t="shared" si="18"/>
        <v>0</v>
      </c>
      <c r="L41" s="62">
        <f t="shared" si="18"/>
        <v>5998446.1239577532</v>
      </c>
      <c r="M41" s="62">
        <f t="shared" si="18"/>
        <v>11373.083749137895</v>
      </c>
      <c r="N41" s="62">
        <f t="shared" si="18"/>
        <v>159345.39024039294</v>
      </c>
      <c r="O41" s="62">
        <f t="shared" si="18"/>
        <v>0</v>
      </c>
      <c r="P41" s="62">
        <f t="shared" si="18"/>
        <v>-429296.15385888127</v>
      </c>
      <c r="Q41" s="62">
        <f t="shared" si="18"/>
        <v>1628181.983451077</v>
      </c>
      <c r="R41" s="62">
        <f t="shared" si="18"/>
        <v>83875.932201761927</v>
      </c>
      <c r="S41" s="16">
        <f t="shared" si="10"/>
        <v>573372508.91773558</v>
      </c>
      <c r="T41" s="16">
        <f>'Collections and ACP'!H16</f>
        <v>157075656.73749998</v>
      </c>
      <c r="U41" s="16">
        <f t="shared" si="6"/>
        <v>730448165.65523553</v>
      </c>
      <c r="V41" s="16">
        <f t="shared" si="7"/>
        <v>59960530.63827619</v>
      </c>
      <c r="W41" s="16">
        <f t="shared" si="8"/>
        <v>670487635.01695931</v>
      </c>
    </row>
    <row r="42" spans="1:23" x14ac:dyDescent="0.3">
      <c r="A42" s="46" t="s">
        <v>55</v>
      </c>
      <c r="B42" s="127">
        <f t="shared" si="4"/>
        <v>0</v>
      </c>
      <c r="C42" s="127">
        <f t="shared" si="4"/>
        <v>0</v>
      </c>
      <c r="D42" s="127">
        <f t="shared" si="4"/>
        <v>0</v>
      </c>
      <c r="E42" s="58">
        <f t="shared" si="4"/>
        <v>1175617.4759307411</v>
      </c>
      <c r="F42" s="58">
        <f t="shared" si="4"/>
        <v>4859721.3755531562</v>
      </c>
      <c r="G42" s="58"/>
      <c r="H42" s="58">
        <f t="shared" ref="H42:R42" si="19">$B$30*H13</f>
        <v>13658999.999999998</v>
      </c>
      <c r="I42" s="58">
        <f t="shared" si="19"/>
        <v>31507258.448107578</v>
      </c>
      <c r="J42" s="62">
        <f t="shared" si="19"/>
        <v>0</v>
      </c>
      <c r="K42" s="62">
        <f t="shared" si="19"/>
        <v>0</v>
      </c>
      <c r="L42" s="62">
        <f t="shared" si="19"/>
        <v>5968453.8933379641</v>
      </c>
      <c r="M42" s="62">
        <f t="shared" si="19"/>
        <v>11316.218330392205</v>
      </c>
      <c r="N42" s="62">
        <f t="shared" si="19"/>
        <v>0</v>
      </c>
      <c r="O42" s="62">
        <f t="shared" si="19"/>
        <v>0</v>
      </c>
      <c r="P42" s="62">
        <f t="shared" si="19"/>
        <v>-569312.79945605877</v>
      </c>
      <c r="Q42" s="62">
        <f t="shared" si="19"/>
        <v>1338600.1385088011</v>
      </c>
      <c r="R42" s="62">
        <f t="shared" si="19"/>
        <v>80935.404400788175</v>
      </c>
      <c r="S42" s="16">
        <f t="shared" si="10"/>
        <v>670487635.01695931</v>
      </c>
      <c r="T42" s="16">
        <f>'Collections and ACP'!H17</f>
        <v>157075656.73749998</v>
      </c>
      <c r="U42" s="16">
        <f t="shared" si="6"/>
        <v>827563291.75445926</v>
      </c>
      <c r="V42" s="16">
        <f t="shared" si="7"/>
        <v>58031590.154713362</v>
      </c>
      <c r="W42" s="16">
        <f t="shared" si="8"/>
        <v>769531701.59974587</v>
      </c>
    </row>
    <row r="43" spans="1:23" x14ac:dyDescent="0.3">
      <c r="A43" s="46" t="s">
        <v>56</v>
      </c>
      <c r="B43" s="127">
        <f t="shared" ref="B43:E54" si="20">$B$30*B14</f>
        <v>0</v>
      </c>
      <c r="C43" s="127">
        <f t="shared" si="20"/>
        <v>0</v>
      </c>
      <c r="D43" s="127">
        <f t="shared" si="20"/>
        <v>0</v>
      </c>
      <c r="E43" s="58">
        <f t="shared" si="20"/>
        <v>1164041.7502967019</v>
      </c>
      <c r="F43" s="58"/>
      <c r="G43" s="58"/>
      <c r="H43" s="58">
        <f t="shared" ref="H43:R43" si="21">$B$30*H14</f>
        <v>13658999.999999998</v>
      </c>
      <c r="I43" s="58">
        <f t="shared" si="21"/>
        <v>30246968.110183273</v>
      </c>
      <c r="J43" s="62">
        <f t="shared" si="21"/>
        <v>0</v>
      </c>
      <c r="K43" s="62">
        <f t="shared" si="21"/>
        <v>0</v>
      </c>
      <c r="L43" s="62">
        <f t="shared" si="21"/>
        <v>5938611.6238712734</v>
      </c>
      <c r="M43" s="62">
        <f t="shared" si="21"/>
        <v>11259.637238740246</v>
      </c>
      <c r="N43" s="62">
        <f t="shared" si="21"/>
        <v>0</v>
      </c>
      <c r="O43" s="62">
        <f t="shared" si="21"/>
        <v>0</v>
      </c>
      <c r="P43" s="62">
        <f t="shared" si="21"/>
        <v>-712129.77796518034</v>
      </c>
      <c r="Q43" s="62">
        <f t="shared" si="21"/>
        <v>1046272.7328593632</v>
      </c>
      <c r="R43" s="62">
        <f t="shared" si="21"/>
        <v>77972.014131533811</v>
      </c>
      <c r="S43" s="16">
        <f t="shared" si="10"/>
        <v>769531701.59974587</v>
      </c>
      <c r="T43" s="16">
        <f>'Collections and ACP'!H18</f>
        <v>157075656.73749998</v>
      </c>
      <c r="U43" s="16">
        <f t="shared" si="6"/>
        <v>926607358.33724582</v>
      </c>
      <c r="V43" s="16">
        <f t="shared" si="7"/>
        <v>51431996.090615705</v>
      </c>
      <c r="W43" s="16">
        <f t="shared" si="8"/>
        <v>875175362.24663007</v>
      </c>
    </row>
    <row r="44" spans="1:23" x14ac:dyDescent="0.3">
      <c r="A44" s="46" t="s">
        <v>57</v>
      </c>
      <c r="B44" s="127">
        <f t="shared" si="20"/>
        <v>0</v>
      </c>
      <c r="C44" s="127">
        <f t="shared" si="20"/>
        <v>0</v>
      </c>
      <c r="D44" s="127">
        <f t="shared" si="20"/>
        <v>0</v>
      </c>
      <c r="E44" s="58">
        <f t="shared" si="20"/>
        <v>0</v>
      </c>
      <c r="F44" s="58"/>
      <c r="G44" s="58"/>
      <c r="H44" s="58">
        <f t="shared" ref="H44:R44" si="22">$B$30*H15</f>
        <v>13658999.999999998</v>
      </c>
      <c r="I44" s="58">
        <f t="shared" si="22"/>
        <v>29037089.385775942</v>
      </c>
      <c r="J44" s="62">
        <f t="shared" si="22"/>
        <v>0</v>
      </c>
      <c r="K44" s="62">
        <f t="shared" si="22"/>
        <v>0</v>
      </c>
      <c r="L44" s="62">
        <f t="shared" si="22"/>
        <v>5908918.5657519177</v>
      </c>
      <c r="M44" s="62">
        <f t="shared" si="22"/>
        <v>11203.339052546544</v>
      </c>
      <c r="N44" s="62">
        <f t="shared" si="22"/>
        <v>0</v>
      </c>
      <c r="O44" s="62">
        <f t="shared" si="22"/>
        <v>0</v>
      </c>
      <c r="P44" s="62">
        <f t="shared" si="22"/>
        <v>-857803.09604448394</v>
      </c>
      <c r="Q44" s="62">
        <f t="shared" si="22"/>
        <v>751151.01160431502</v>
      </c>
      <c r="R44" s="62">
        <f t="shared" si="22"/>
        <v>74985.315986241694</v>
      </c>
      <c r="S44" s="16">
        <f t="shared" si="10"/>
        <v>875175362.24663007</v>
      </c>
      <c r="T44" s="16">
        <f>'Collections and ACP'!H19</f>
        <v>157075656.73749998</v>
      </c>
      <c r="U44" s="16">
        <f t="shared" si="6"/>
        <v>1032251018.98413</v>
      </c>
      <c r="V44" s="16">
        <f t="shared" si="7"/>
        <v>48584544.522126473</v>
      </c>
      <c r="W44" s="16">
        <f t="shared" si="8"/>
        <v>983666474.46200359</v>
      </c>
    </row>
    <row r="45" spans="1:23" x14ac:dyDescent="0.3">
      <c r="A45" s="46" t="s">
        <v>58</v>
      </c>
      <c r="B45" s="127">
        <f t="shared" si="20"/>
        <v>0</v>
      </c>
      <c r="C45" s="127">
        <f t="shared" si="20"/>
        <v>0</v>
      </c>
      <c r="D45" s="127">
        <f t="shared" si="20"/>
        <v>0</v>
      </c>
      <c r="E45" s="58">
        <f t="shared" si="20"/>
        <v>0</v>
      </c>
      <c r="F45" s="58"/>
      <c r="G45" s="58"/>
      <c r="H45" s="58">
        <f t="shared" ref="H45:R45" si="23">$B$30*H16</f>
        <v>13658999.999999998</v>
      </c>
      <c r="I45" s="58">
        <f t="shared" si="23"/>
        <v>13937802.90517245</v>
      </c>
      <c r="J45" s="62">
        <f t="shared" si="23"/>
        <v>0</v>
      </c>
      <c r="K45" s="62">
        <f t="shared" si="23"/>
        <v>0</v>
      </c>
      <c r="L45" s="62">
        <f t="shared" si="23"/>
        <v>5879373.9729231587</v>
      </c>
      <c r="M45" s="62">
        <f t="shared" si="23"/>
        <v>11147.322357283811</v>
      </c>
      <c r="N45" s="62">
        <f t="shared" si="23"/>
        <v>0</v>
      </c>
      <c r="O45" s="62">
        <f t="shared" si="23"/>
        <v>0</v>
      </c>
      <c r="P45" s="62">
        <f t="shared" si="23"/>
        <v>-1006389.8804853734</v>
      </c>
      <c r="Q45" s="62">
        <f t="shared" si="23"/>
        <v>453185.53262744076</v>
      </c>
      <c r="R45" s="62">
        <f t="shared" si="23"/>
        <v>71974.858444363999</v>
      </c>
      <c r="S45" s="16">
        <f t="shared" si="10"/>
        <v>983666474.46200359</v>
      </c>
      <c r="T45" s="16">
        <f>'Collections and ACP'!H20</f>
        <v>157075656.73749998</v>
      </c>
      <c r="U45" s="16">
        <f t="shared" si="6"/>
        <v>1140742131.1995037</v>
      </c>
      <c r="V45" s="16">
        <f t="shared" si="7"/>
        <v>33006094.71103932</v>
      </c>
      <c r="W45" s="16">
        <f t="shared" si="8"/>
        <v>1107736036.4884644</v>
      </c>
    </row>
    <row r="46" spans="1:23" x14ac:dyDescent="0.3">
      <c r="A46" s="46" t="s">
        <v>59</v>
      </c>
      <c r="B46" s="127">
        <f t="shared" si="20"/>
        <v>0</v>
      </c>
      <c r="C46" s="127">
        <f t="shared" si="20"/>
        <v>0</v>
      </c>
      <c r="D46" s="127">
        <f t="shared" si="20"/>
        <v>0</v>
      </c>
      <c r="E46" s="58">
        <f t="shared" si="20"/>
        <v>0</v>
      </c>
      <c r="F46" s="58"/>
      <c r="G46" s="58"/>
      <c r="H46" s="58">
        <f t="shared" ref="H46:R46" si="24">$B$30*H17</f>
        <v>13658999.999999998</v>
      </c>
      <c r="I46" s="58">
        <f t="shared" si="24"/>
        <v>13380290.788965553</v>
      </c>
      <c r="J46" s="62">
        <f t="shared" si="24"/>
        <v>0</v>
      </c>
      <c r="K46" s="62">
        <f t="shared" si="24"/>
        <v>0</v>
      </c>
      <c r="L46" s="62">
        <f t="shared" si="24"/>
        <v>5849977.1030585421</v>
      </c>
      <c r="M46" s="62">
        <f t="shared" si="24"/>
        <v>11091.585745497392</v>
      </c>
      <c r="N46" s="62">
        <f t="shared" si="24"/>
        <v>0</v>
      </c>
      <c r="O46" s="62">
        <f t="shared" si="24"/>
        <v>0</v>
      </c>
      <c r="P46" s="62">
        <f t="shared" si="24"/>
        <v>-1157948.4006150807</v>
      </c>
      <c r="Q46" s="62">
        <f t="shared" si="24"/>
        <v>152326.15615905978</v>
      </c>
      <c r="R46" s="62">
        <f t="shared" si="24"/>
        <v>68940.183778862673</v>
      </c>
      <c r="S46" s="16">
        <f t="shared" si="10"/>
        <v>1107736036.4884644</v>
      </c>
      <c r="T46" s="16">
        <f>'Collections and ACP'!H21</f>
        <v>157075656.73749998</v>
      </c>
      <c r="U46" s="16">
        <f t="shared" si="6"/>
        <v>1264811693.2259643</v>
      </c>
      <c r="V46" s="16">
        <f t="shared" si="7"/>
        <v>31963677.417092435</v>
      </c>
      <c r="W46" s="16">
        <f t="shared" si="8"/>
        <v>1232848015.808872</v>
      </c>
    </row>
    <row r="47" spans="1:23" x14ac:dyDescent="0.3">
      <c r="A47" s="46" t="s">
        <v>60</v>
      </c>
      <c r="B47" s="127">
        <f t="shared" si="20"/>
        <v>0</v>
      </c>
      <c r="C47" s="127">
        <f t="shared" si="20"/>
        <v>0</v>
      </c>
      <c r="D47" s="127">
        <f t="shared" si="20"/>
        <v>0</v>
      </c>
      <c r="E47" s="58">
        <f t="shared" si="20"/>
        <v>0</v>
      </c>
      <c r="F47" s="58"/>
      <c r="G47" s="58"/>
      <c r="H47" s="58">
        <f t="shared" ref="H47:R47" si="25">$B$30*H18</f>
        <v>13658999.999999998</v>
      </c>
      <c r="I47" s="58">
        <f t="shared" si="25"/>
        <v>12845079.15740693</v>
      </c>
      <c r="J47" s="62">
        <f t="shared" si="25"/>
        <v>0</v>
      </c>
      <c r="K47" s="62">
        <f t="shared" si="25"/>
        <v>0</v>
      </c>
      <c r="L47" s="62">
        <f t="shared" si="25"/>
        <v>5820727.217543249</v>
      </c>
      <c r="M47" s="62">
        <f t="shared" si="25"/>
        <v>11036.127816769906</v>
      </c>
      <c r="N47" s="62">
        <f t="shared" si="25"/>
        <v>0</v>
      </c>
      <c r="O47" s="62">
        <f t="shared" si="25"/>
        <v>0</v>
      </c>
      <c r="P47" s="62">
        <f t="shared" si="25"/>
        <v>-1312538.0911473823</v>
      </c>
      <c r="Q47" s="62">
        <f t="shared" si="25"/>
        <v>-151477.96581417791</v>
      </c>
      <c r="R47" s="62">
        <f t="shared" si="25"/>
        <v>65880.827961126983</v>
      </c>
      <c r="S47" s="16">
        <f t="shared" si="10"/>
        <v>1232848015.808872</v>
      </c>
      <c r="T47" s="16">
        <f>'Collections and ACP'!H22</f>
        <v>157075656.73749998</v>
      </c>
      <c r="U47" s="16">
        <f t="shared" si="6"/>
        <v>1389923672.5463719</v>
      </c>
      <c r="V47" s="16">
        <f t="shared" si="7"/>
        <v>30937707.273766514</v>
      </c>
      <c r="W47" s="16">
        <f t="shared" si="8"/>
        <v>1358985965.2726054</v>
      </c>
    </row>
    <row r="48" spans="1:23" x14ac:dyDescent="0.3">
      <c r="A48" s="46" t="s">
        <v>61</v>
      </c>
      <c r="B48" s="127">
        <f t="shared" si="20"/>
        <v>0</v>
      </c>
      <c r="C48" s="127">
        <f t="shared" si="20"/>
        <v>0</v>
      </c>
      <c r="D48" s="127">
        <f t="shared" si="20"/>
        <v>0</v>
      </c>
      <c r="E48" s="58">
        <f t="shared" si="20"/>
        <v>0</v>
      </c>
      <c r="F48" s="58"/>
      <c r="G48" s="58"/>
      <c r="H48" s="58">
        <f t="shared" ref="H48:R48" si="26">$B$30*H19</f>
        <v>13658999.999999998</v>
      </c>
      <c r="I48" s="58">
        <f t="shared" si="26"/>
        <v>12331275.991110651</v>
      </c>
      <c r="J48" s="62">
        <f t="shared" si="26"/>
        <v>0</v>
      </c>
      <c r="K48" s="62">
        <f t="shared" si="26"/>
        <v>0</v>
      </c>
      <c r="L48" s="62">
        <f t="shared" si="26"/>
        <v>5791623.5814555325</v>
      </c>
      <c r="M48" s="62">
        <f t="shared" si="26"/>
        <v>10980.947177686056</v>
      </c>
      <c r="N48" s="62">
        <f t="shared" si="26"/>
        <v>0</v>
      </c>
      <c r="O48" s="62">
        <f t="shared" si="26"/>
        <v>0</v>
      </c>
      <c r="P48" s="62">
        <f t="shared" si="26"/>
        <v>-1470219.5754903296</v>
      </c>
      <c r="Q48" s="62">
        <f t="shared" si="26"/>
        <v>-458278.40029631625</v>
      </c>
      <c r="R48" s="62">
        <f t="shared" si="26"/>
        <v>62796.320564487243</v>
      </c>
      <c r="S48" s="16">
        <f t="shared" si="10"/>
        <v>1358985965.2726054</v>
      </c>
      <c r="T48" s="16">
        <f>'Collections and ACP'!H23</f>
        <v>157075656.73749998</v>
      </c>
      <c r="U48" s="16">
        <f t="shared" si="6"/>
        <v>1516061622.0101054</v>
      </c>
      <c r="V48" s="16">
        <f t="shared" si="7"/>
        <v>29927178.864521708</v>
      </c>
      <c r="W48" s="16">
        <f t="shared" si="8"/>
        <v>1486134443.1455836</v>
      </c>
    </row>
    <row r="49" spans="1:23" x14ac:dyDescent="0.3">
      <c r="A49" s="46" t="s">
        <v>62</v>
      </c>
      <c r="B49" s="127">
        <f t="shared" si="20"/>
        <v>0</v>
      </c>
      <c r="C49" s="127">
        <f t="shared" si="20"/>
        <v>0</v>
      </c>
      <c r="D49" s="127">
        <f t="shared" si="20"/>
        <v>0</v>
      </c>
      <c r="E49" s="58">
        <f t="shared" si="20"/>
        <v>0</v>
      </c>
      <c r="F49" s="58"/>
      <c r="G49" s="58"/>
      <c r="H49" s="58">
        <f t="shared" ref="H49:R49" si="27">$B$30*H20</f>
        <v>13658999.999999998</v>
      </c>
      <c r="I49" s="58">
        <f t="shared" si="27"/>
        <v>11838024.951466225</v>
      </c>
      <c r="J49" s="62">
        <f t="shared" si="27"/>
        <v>0</v>
      </c>
      <c r="K49" s="62">
        <f t="shared" si="27"/>
        <v>0</v>
      </c>
      <c r="L49" s="62">
        <f t="shared" si="27"/>
        <v>5762665.4635482561</v>
      </c>
      <c r="M49" s="62">
        <f t="shared" si="27"/>
        <v>10926.042441797626</v>
      </c>
      <c r="N49" s="62">
        <f t="shared" si="27"/>
        <v>0</v>
      </c>
      <c r="O49" s="62">
        <f t="shared" si="27"/>
        <v>0</v>
      </c>
      <c r="P49" s="62">
        <f t="shared" si="27"/>
        <v>-1631054.6895201365</v>
      </c>
      <c r="Q49" s="62">
        <f t="shared" si="27"/>
        <v>-768127.44418828189</v>
      </c>
      <c r="R49" s="62">
        <f t="shared" si="27"/>
        <v>59686.184666303874</v>
      </c>
      <c r="S49" s="16">
        <f t="shared" si="10"/>
        <v>1486134443.1455836</v>
      </c>
      <c r="T49" s="16">
        <f>'Collections and ACP'!H24</f>
        <v>157075656.73749998</v>
      </c>
      <c r="U49" s="16">
        <f t="shared" si="6"/>
        <v>1643210099.8830836</v>
      </c>
      <c r="V49" s="16">
        <f t="shared" si="7"/>
        <v>28931120.508414164</v>
      </c>
      <c r="W49" s="16">
        <f t="shared" si="8"/>
        <v>1614278979.3746693</v>
      </c>
    </row>
    <row r="50" spans="1:23" x14ac:dyDescent="0.3">
      <c r="A50" s="46" t="s">
        <v>63</v>
      </c>
      <c r="B50" s="127">
        <f t="shared" si="20"/>
        <v>0</v>
      </c>
      <c r="C50" s="127">
        <f t="shared" si="20"/>
        <v>0</v>
      </c>
      <c r="D50" s="127">
        <f t="shared" si="20"/>
        <v>0</v>
      </c>
      <c r="E50" s="58">
        <f t="shared" si="20"/>
        <v>0</v>
      </c>
      <c r="F50" s="58"/>
      <c r="G50" s="58"/>
      <c r="H50" s="58"/>
      <c r="I50" s="58">
        <f t="shared" ref="I50:R50" si="28">$B$30*I21</f>
        <v>11364503.953407574</v>
      </c>
      <c r="J50" s="62">
        <f t="shared" si="28"/>
        <v>0</v>
      </c>
      <c r="K50" s="62">
        <f t="shared" si="28"/>
        <v>0</v>
      </c>
      <c r="L50" s="62">
        <f t="shared" si="28"/>
        <v>5733852.1362305144</v>
      </c>
      <c r="M50" s="62">
        <f t="shared" si="28"/>
        <v>10871.412229588637</v>
      </c>
      <c r="N50" s="62">
        <f t="shared" si="28"/>
        <v>0</v>
      </c>
      <c r="O50" s="62">
        <f t="shared" si="28"/>
        <v>0</v>
      </c>
      <c r="P50" s="62">
        <f t="shared" si="28"/>
        <v>-1795106.5058305392</v>
      </c>
      <c r="Q50" s="62">
        <f t="shared" si="28"/>
        <v>-1081078.1353555997</v>
      </c>
      <c r="R50" s="62">
        <f t="shared" si="28"/>
        <v>56549.93674861054</v>
      </c>
      <c r="S50" s="16">
        <f t="shared" si="10"/>
        <v>1614278979.3746693</v>
      </c>
      <c r="T50" s="16">
        <f>'Collections and ACP'!H25</f>
        <v>157075656.73749998</v>
      </c>
      <c r="U50" s="16">
        <f t="shared" si="6"/>
        <v>1771354636.1121693</v>
      </c>
      <c r="V50" s="16">
        <f t="shared" si="7"/>
        <v>14289592.79743015</v>
      </c>
      <c r="W50" s="16">
        <f t="shared" si="8"/>
        <v>1757065043.3147392</v>
      </c>
    </row>
    <row r="51" spans="1:23" x14ac:dyDescent="0.3">
      <c r="A51" s="46" t="s">
        <v>64</v>
      </c>
      <c r="B51" s="127">
        <f t="shared" si="20"/>
        <v>0</v>
      </c>
      <c r="C51" s="127">
        <f t="shared" si="20"/>
        <v>0</v>
      </c>
      <c r="D51" s="127">
        <f t="shared" si="20"/>
        <v>0</v>
      </c>
      <c r="E51" s="58">
        <f t="shared" si="20"/>
        <v>0</v>
      </c>
      <c r="F51" s="58"/>
      <c r="G51" s="58"/>
      <c r="H51" s="58"/>
      <c r="I51" s="58">
        <f t="shared" ref="I51:R51" si="29">$B$30*I22</f>
        <v>10909923.795271272</v>
      </c>
      <c r="J51" s="62">
        <f t="shared" si="29"/>
        <v>0</v>
      </c>
      <c r="K51" s="62">
        <f t="shared" si="29"/>
        <v>0</v>
      </c>
      <c r="L51" s="62">
        <f t="shared" si="29"/>
        <v>5705182.875549362</v>
      </c>
      <c r="M51" s="62">
        <f t="shared" si="29"/>
        <v>10817.055168440695</v>
      </c>
      <c r="N51" s="62">
        <f t="shared" si="29"/>
        <v>0</v>
      </c>
      <c r="O51" s="62">
        <f t="shared" si="29"/>
        <v>0</v>
      </c>
      <c r="P51" s="62">
        <f t="shared" si="29"/>
        <v>-1962439.3584671498</v>
      </c>
      <c r="Q51" s="62">
        <f t="shared" si="29"/>
        <v>-1397184.2638600655</v>
      </c>
      <c r="R51" s="62">
        <f t="shared" si="29"/>
        <v>53387.086597289686</v>
      </c>
      <c r="S51" s="16"/>
      <c r="T51" s="16"/>
      <c r="U51" s="16"/>
      <c r="V51" s="16"/>
      <c r="W51" s="16"/>
    </row>
    <row r="52" spans="1:23" x14ac:dyDescent="0.3">
      <c r="A52" s="46" t="s">
        <v>65</v>
      </c>
      <c r="B52" s="127">
        <f t="shared" si="20"/>
        <v>0</v>
      </c>
      <c r="C52" s="127">
        <f t="shared" si="20"/>
        <v>0</v>
      </c>
      <c r="D52" s="127">
        <f t="shared" si="20"/>
        <v>0</v>
      </c>
      <c r="E52" s="58">
        <f t="shared" si="20"/>
        <v>0</v>
      </c>
      <c r="F52" s="58"/>
      <c r="G52" s="58"/>
      <c r="H52" s="58"/>
      <c r="I52" s="58">
        <f t="shared" ref="I52:R52" si="30">$B$30*I23</f>
        <v>10473526.84346042</v>
      </c>
      <c r="J52" s="62">
        <f t="shared" si="30"/>
        <v>0</v>
      </c>
      <c r="K52" s="62">
        <f t="shared" si="30"/>
        <v>0</v>
      </c>
      <c r="L52" s="62">
        <f t="shared" si="30"/>
        <v>5676656.9611716149</v>
      </c>
      <c r="M52" s="62">
        <f t="shared" si="30"/>
        <v>10762.96989259849</v>
      </c>
      <c r="N52" s="62">
        <f t="shared" si="30"/>
        <v>0</v>
      </c>
      <c r="O52" s="62">
        <f t="shared" si="30"/>
        <v>0</v>
      </c>
      <c r="P52" s="62">
        <f t="shared" si="30"/>
        <v>-2133118.8681564922</v>
      </c>
      <c r="Q52" s="62">
        <f t="shared" si="30"/>
        <v>-1716500.3833578087</v>
      </c>
      <c r="R52" s="62">
        <f t="shared" si="30"/>
        <v>50197.137199758537</v>
      </c>
      <c r="S52" s="16"/>
      <c r="T52" s="16"/>
      <c r="U52" s="16"/>
      <c r="V52" s="16"/>
      <c r="W52" s="16"/>
    </row>
    <row r="53" spans="1:23" x14ac:dyDescent="0.3">
      <c r="A53" s="46" t="s">
        <v>66</v>
      </c>
      <c r="B53" s="127">
        <f t="shared" si="20"/>
        <v>0</v>
      </c>
      <c r="C53" s="127">
        <f t="shared" si="20"/>
        <v>0</v>
      </c>
      <c r="D53" s="127">
        <f t="shared" si="20"/>
        <v>0</v>
      </c>
      <c r="E53" s="58">
        <f t="shared" si="20"/>
        <v>0</v>
      </c>
      <c r="F53" s="58"/>
      <c r="G53" s="58"/>
      <c r="H53" s="57"/>
      <c r="I53" s="58">
        <f t="shared" ref="I53:R53" si="31">$B$30*I24</f>
        <v>0</v>
      </c>
      <c r="J53" s="62">
        <f t="shared" si="31"/>
        <v>0</v>
      </c>
      <c r="K53" s="62">
        <f t="shared" si="31"/>
        <v>0</v>
      </c>
      <c r="L53" s="62">
        <f t="shared" si="31"/>
        <v>5648273.6763657564</v>
      </c>
      <c r="M53" s="62">
        <f t="shared" si="31"/>
        <v>10709.155043135499</v>
      </c>
      <c r="N53" s="62">
        <f t="shared" si="31"/>
        <v>0</v>
      </c>
      <c r="O53" s="62">
        <f t="shared" si="31"/>
        <v>0</v>
      </c>
      <c r="P53" s="62">
        <f t="shared" si="31"/>
        <v>-2307211.9680396216</v>
      </c>
      <c r="Q53" s="62">
        <f t="shared" si="31"/>
        <v>-2039081.8226662376</v>
      </c>
      <c r="R53" s="62">
        <f t="shared" si="31"/>
        <v>46979.584641143323</v>
      </c>
      <c r="S53" s="16"/>
      <c r="T53" s="16"/>
      <c r="U53" s="16"/>
      <c r="V53" s="16"/>
      <c r="W53" s="16"/>
    </row>
    <row r="54" spans="1:23" x14ac:dyDescent="0.3">
      <c r="A54" s="46" t="s">
        <v>67</v>
      </c>
      <c r="B54" s="127">
        <f t="shared" si="20"/>
        <v>0</v>
      </c>
      <c r="C54" s="127">
        <f t="shared" si="20"/>
        <v>0</v>
      </c>
      <c r="D54" s="127">
        <f t="shared" si="20"/>
        <v>0</v>
      </c>
      <c r="E54" s="58">
        <f t="shared" si="20"/>
        <v>0</v>
      </c>
      <c r="F54" s="58"/>
      <c r="G54" s="58"/>
      <c r="H54" s="57"/>
      <c r="I54" s="58">
        <f t="shared" ref="I54:R54" si="32">$B$30*I25</f>
        <v>0</v>
      </c>
      <c r="J54" s="62">
        <f t="shared" si="32"/>
        <v>0</v>
      </c>
      <c r="K54" s="62">
        <f t="shared" si="32"/>
        <v>0</v>
      </c>
      <c r="L54" s="62">
        <f t="shared" si="32"/>
        <v>5620032.3079839284</v>
      </c>
      <c r="M54" s="62">
        <f t="shared" si="32"/>
        <v>0</v>
      </c>
      <c r="N54" s="62">
        <f t="shared" si="32"/>
        <v>0</v>
      </c>
      <c r="O54" s="62">
        <f t="shared" si="32"/>
        <v>0</v>
      </c>
      <c r="P54" s="62">
        <f t="shared" si="32"/>
        <v>-2484786.9299204135</v>
      </c>
      <c r="Q54" s="62">
        <f t="shared" si="32"/>
        <v>-2364984.6975023798</v>
      </c>
      <c r="R54" s="62">
        <f t="shared" si="32"/>
        <v>43733.917998919205</v>
      </c>
      <c r="S54" s="16"/>
      <c r="T54" s="16"/>
      <c r="U54" s="16"/>
      <c r="V54" s="16"/>
      <c r="W54" s="16"/>
    </row>
    <row r="58" spans="1:23" x14ac:dyDescent="0.3">
      <c r="A58" s="35" t="s">
        <v>106</v>
      </c>
      <c r="B58" s="126">
        <v>0.72445000000000004</v>
      </c>
    </row>
    <row r="59" spans="1:23" ht="57.6" x14ac:dyDescent="0.3">
      <c r="A59" s="53" t="s">
        <v>43</v>
      </c>
      <c r="B59" s="53" t="s">
        <v>125</v>
      </c>
      <c r="C59" s="53" t="s">
        <v>116</v>
      </c>
      <c r="D59" s="53" t="s">
        <v>117</v>
      </c>
      <c r="E59" s="53" t="s">
        <v>118</v>
      </c>
      <c r="F59" s="53" t="s">
        <v>275</v>
      </c>
      <c r="G59" s="53" t="s">
        <v>44</v>
      </c>
      <c r="H59" s="53" t="s">
        <v>119</v>
      </c>
      <c r="I59" s="53" t="s">
        <v>126</v>
      </c>
      <c r="J59" s="53" t="s">
        <v>6</v>
      </c>
      <c r="K59" s="53" t="s">
        <v>12</v>
      </c>
      <c r="L59" s="53" t="s">
        <v>21</v>
      </c>
      <c r="M59" s="53" t="s">
        <v>25</v>
      </c>
      <c r="N59" s="53" t="s">
        <v>29</v>
      </c>
      <c r="O59" s="53" t="s">
        <v>33</v>
      </c>
      <c r="P59" s="53" t="s">
        <v>40</v>
      </c>
      <c r="Q59" s="53" t="s">
        <v>41</v>
      </c>
      <c r="R59" s="53" t="s">
        <v>42</v>
      </c>
      <c r="S59" s="54" t="s">
        <v>131</v>
      </c>
      <c r="T59" s="54" t="s">
        <v>128</v>
      </c>
      <c r="U59" s="54" t="s">
        <v>122</v>
      </c>
      <c r="V59" s="53" t="s">
        <v>123</v>
      </c>
      <c r="W59" s="53" t="s">
        <v>124</v>
      </c>
    </row>
    <row r="60" spans="1:23" x14ac:dyDescent="0.3">
      <c r="A60" s="46" t="s">
        <v>45</v>
      </c>
      <c r="B60" s="127">
        <f t="shared" ref="B60:F71" si="33">$B$58*B3</f>
        <v>100088215.38573343</v>
      </c>
      <c r="C60" s="127">
        <f t="shared" si="33"/>
        <v>44639538.27630233</v>
      </c>
      <c r="D60" s="127">
        <f t="shared" si="33"/>
        <v>24265958.812011931</v>
      </c>
      <c r="E60" s="58">
        <f t="shared" si="33"/>
        <v>22348094.112735391</v>
      </c>
      <c r="F60" s="58">
        <f t="shared" si="33"/>
        <v>4895166.6218669675</v>
      </c>
      <c r="G60" s="58"/>
      <c r="H60" s="58">
        <f t="shared" ref="H60:R60" si="34">$B$58*H3</f>
        <v>8158611.0364449453</v>
      </c>
      <c r="I60" s="58">
        <f t="shared" si="34"/>
        <v>0</v>
      </c>
      <c r="J60" s="62">
        <f t="shared" si="34"/>
        <v>0</v>
      </c>
      <c r="K60" s="62">
        <f t="shared" si="34"/>
        <v>0</v>
      </c>
      <c r="L60" s="62">
        <f t="shared" si="34"/>
        <v>0</v>
      </c>
      <c r="M60" s="62">
        <f t="shared" si="34"/>
        <v>0</v>
      </c>
      <c r="N60" s="62">
        <f t="shared" si="34"/>
        <v>0</v>
      </c>
      <c r="O60" s="62">
        <f t="shared" si="34"/>
        <v>0</v>
      </c>
      <c r="P60" s="62">
        <f t="shared" si="34"/>
        <v>0</v>
      </c>
      <c r="Q60" s="62">
        <f t="shared" si="34"/>
        <v>0</v>
      </c>
      <c r="R60" s="62">
        <f t="shared" si="34"/>
        <v>0</v>
      </c>
      <c r="S60" s="16">
        <f>'Collections and ACP'!C158+'Collections and ACP'!C155</f>
        <v>296007918.98000002</v>
      </c>
      <c r="T60" s="16">
        <f>'Collections and ACP'!H46</f>
        <v>160340838.45917991</v>
      </c>
      <c r="U60" s="16">
        <f t="shared" ref="U60:U78" si="35">S60+T60</f>
        <v>456348757.4391799</v>
      </c>
      <c r="V60" s="16">
        <f t="shared" ref="V60:V78" si="36">SUM(B60:R60)</f>
        <v>204395584.24509498</v>
      </c>
      <c r="W60" s="16">
        <f t="shared" ref="W60:W78" si="37">U60-V60</f>
        <v>251953173.19408491</v>
      </c>
    </row>
    <row r="61" spans="1:23" x14ac:dyDescent="0.3">
      <c r="A61" s="46" t="s">
        <v>46</v>
      </c>
      <c r="B61" s="127">
        <f t="shared" si="33"/>
        <v>27566760.301426023</v>
      </c>
      <c r="C61" s="127">
        <f t="shared" si="33"/>
        <v>47906147.616893075</v>
      </c>
      <c r="D61" s="127">
        <f t="shared" si="33"/>
        <v>84952669.349394217</v>
      </c>
      <c r="E61" s="58">
        <f t="shared" si="33"/>
        <v>17489856.912571978</v>
      </c>
      <c r="F61" s="58">
        <f t="shared" si="33"/>
        <v>10100379.767692089</v>
      </c>
      <c r="G61" s="58">
        <v>10000000</v>
      </c>
      <c r="H61" s="58">
        <f t="shared" ref="H61:R61" si="38">$B$58*H4</f>
        <v>36222500</v>
      </c>
      <c r="I61" s="58">
        <f t="shared" si="38"/>
        <v>0</v>
      </c>
      <c r="J61" s="62">
        <f t="shared" si="38"/>
        <v>0</v>
      </c>
      <c r="K61" s="62">
        <f t="shared" si="38"/>
        <v>0</v>
      </c>
      <c r="L61" s="62">
        <f t="shared" si="38"/>
        <v>0</v>
      </c>
      <c r="M61" s="62">
        <f t="shared" si="38"/>
        <v>0</v>
      </c>
      <c r="N61" s="62">
        <f t="shared" si="38"/>
        <v>0</v>
      </c>
      <c r="O61" s="62">
        <f t="shared" si="38"/>
        <v>0</v>
      </c>
      <c r="P61" s="62">
        <f t="shared" si="38"/>
        <v>0</v>
      </c>
      <c r="Q61" s="62">
        <f t="shared" si="38"/>
        <v>0</v>
      </c>
      <c r="R61" s="62">
        <f t="shared" si="38"/>
        <v>0</v>
      </c>
      <c r="S61" s="16">
        <f t="shared" ref="S61:S78" si="39">W60</f>
        <v>251953173.19408491</v>
      </c>
      <c r="T61" s="16">
        <f>'Collections and ACP'!H47</f>
        <v>334084827.7045005</v>
      </c>
      <c r="U61" s="16">
        <f t="shared" si="35"/>
        <v>586038000.89858544</v>
      </c>
      <c r="V61" s="16">
        <f t="shared" si="36"/>
        <v>234238313.94797736</v>
      </c>
      <c r="W61" s="16">
        <f t="shared" si="37"/>
        <v>351799686.95060807</v>
      </c>
    </row>
    <row r="62" spans="1:23" x14ac:dyDescent="0.3">
      <c r="A62" s="46" t="s">
        <v>47</v>
      </c>
      <c r="B62" s="127">
        <f t="shared" si="33"/>
        <v>3524660.9705124982</v>
      </c>
      <c r="C62" s="127">
        <f t="shared" si="33"/>
        <v>47241387.409028895</v>
      </c>
      <c r="D62" s="127">
        <f t="shared" si="33"/>
        <v>79800318.939734191</v>
      </c>
      <c r="E62" s="58">
        <f t="shared" si="33"/>
        <v>15983065.541966226</v>
      </c>
      <c r="F62" s="58">
        <f t="shared" si="33"/>
        <v>12767626.985842081</v>
      </c>
      <c r="G62" s="58"/>
      <c r="H62" s="58">
        <f t="shared" ref="H62:R62" si="40">$B$58*H5</f>
        <v>36222500</v>
      </c>
      <c r="I62" s="58">
        <f t="shared" si="40"/>
        <v>243222174.02253971</v>
      </c>
      <c r="J62" s="62">
        <f t="shared" si="40"/>
        <v>100580545.52141817</v>
      </c>
      <c r="K62" s="62">
        <f t="shared" si="40"/>
        <v>8263809.1448759884</v>
      </c>
      <c r="L62" s="62">
        <f t="shared" si="40"/>
        <v>0</v>
      </c>
      <c r="M62" s="62">
        <f t="shared" si="40"/>
        <v>31237.494168810099</v>
      </c>
      <c r="N62" s="62">
        <f t="shared" si="40"/>
        <v>0</v>
      </c>
      <c r="O62" s="62">
        <f t="shared" si="40"/>
        <v>0</v>
      </c>
      <c r="P62" s="62">
        <f t="shared" si="40"/>
        <v>0</v>
      </c>
      <c r="Q62" s="62">
        <f t="shared" si="40"/>
        <v>0</v>
      </c>
      <c r="R62" s="62">
        <f t="shared" si="40"/>
        <v>0</v>
      </c>
      <c r="S62" s="16">
        <f t="shared" si="39"/>
        <v>351799686.95060807</v>
      </c>
      <c r="T62" s="16">
        <f>'Collections and ACP'!H48</f>
        <v>425587002.41775018</v>
      </c>
      <c r="U62" s="16">
        <f t="shared" si="35"/>
        <v>777386689.36835825</v>
      </c>
      <c r="V62" s="16">
        <f t="shared" si="36"/>
        <v>547637326.03008652</v>
      </c>
      <c r="W62" s="16">
        <f t="shared" si="37"/>
        <v>229749363.33827174</v>
      </c>
    </row>
    <row r="63" spans="1:23" x14ac:dyDescent="0.3">
      <c r="A63" s="46" t="s">
        <v>48</v>
      </c>
      <c r="B63" s="127">
        <f t="shared" si="33"/>
        <v>0</v>
      </c>
      <c r="C63" s="127">
        <f t="shared" si="33"/>
        <v>42520787.472389005</v>
      </c>
      <c r="D63" s="127">
        <f t="shared" si="33"/>
        <v>76691646.524911299</v>
      </c>
      <c r="E63" s="58">
        <f t="shared" si="33"/>
        <v>12837983.822447876</v>
      </c>
      <c r="F63" s="58">
        <f t="shared" si="33"/>
        <v>12800780.504322443</v>
      </c>
      <c r="G63" s="58"/>
      <c r="H63" s="58">
        <f t="shared" ref="H63:R63" si="41">$B$58*H6</f>
        <v>36222500</v>
      </c>
      <c r="I63" s="58">
        <f t="shared" si="41"/>
        <v>111191477.26125605</v>
      </c>
      <c r="J63" s="62">
        <f t="shared" si="41"/>
        <v>0</v>
      </c>
      <c r="K63" s="62">
        <f t="shared" si="41"/>
        <v>7804708.6368273227</v>
      </c>
      <c r="L63" s="62">
        <f t="shared" si="41"/>
        <v>16393051.15502109</v>
      </c>
      <c r="M63" s="62">
        <f t="shared" si="41"/>
        <v>31081.306697966047</v>
      </c>
      <c r="N63" s="62">
        <f t="shared" si="41"/>
        <v>447427.42842981103</v>
      </c>
      <c r="O63" s="62">
        <f t="shared" si="41"/>
        <v>0</v>
      </c>
      <c r="P63" s="62">
        <f t="shared" si="41"/>
        <v>0</v>
      </c>
      <c r="Q63" s="62">
        <f t="shared" si="41"/>
        <v>0</v>
      </c>
      <c r="R63" s="62">
        <f t="shared" si="41"/>
        <v>0</v>
      </c>
      <c r="S63" s="16">
        <f t="shared" si="39"/>
        <v>229749363.33827174</v>
      </c>
      <c r="T63" s="16">
        <f>'Collections and ACP'!H49</f>
        <v>427796090.93619514</v>
      </c>
      <c r="U63" s="16">
        <f t="shared" si="35"/>
        <v>657545454.27446687</v>
      </c>
      <c r="V63" s="16">
        <f t="shared" si="36"/>
        <v>316941444.11230284</v>
      </c>
      <c r="W63" s="16">
        <f t="shared" si="37"/>
        <v>340604010.16216403</v>
      </c>
    </row>
    <row r="64" spans="1:23" x14ac:dyDescent="0.3">
      <c r="A64" s="46" t="s">
        <v>49</v>
      </c>
      <c r="B64" s="127">
        <f t="shared" si="33"/>
        <v>0</v>
      </c>
      <c r="C64" s="127">
        <f t="shared" si="33"/>
        <v>26494786.802533343</v>
      </c>
      <c r="D64" s="127">
        <f t="shared" si="33"/>
        <v>73959636.068135962</v>
      </c>
      <c r="E64" s="58">
        <f t="shared" si="33"/>
        <v>12621035.874139283</v>
      </c>
      <c r="F64" s="58">
        <f t="shared" si="33"/>
        <v>12760067.595802609</v>
      </c>
      <c r="G64" s="58">
        <v>10000000</v>
      </c>
      <c r="H64" s="58">
        <f t="shared" ref="H64:R64" si="42">$B$58*H7</f>
        <v>36222500</v>
      </c>
      <c r="I64" s="58">
        <f t="shared" si="42"/>
        <v>106743818.1708058</v>
      </c>
      <c r="J64" s="62">
        <f t="shared" si="42"/>
        <v>0</v>
      </c>
      <c r="K64" s="62">
        <f t="shared" si="42"/>
        <v>7804708.6368273227</v>
      </c>
      <c r="L64" s="62">
        <f t="shared" si="42"/>
        <v>16311085.899245987</v>
      </c>
      <c r="M64" s="62">
        <f t="shared" si="42"/>
        <v>30925.900164476214</v>
      </c>
      <c r="N64" s="62">
        <f t="shared" si="42"/>
        <v>422570.34907259932</v>
      </c>
      <c r="O64" s="62">
        <f t="shared" si="42"/>
        <v>0</v>
      </c>
      <c r="P64" s="62">
        <f t="shared" si="42"/>
        <v>0</v>
      </c>
      <c r="Q64" s="62">
        <f t="shared" si="42"/>
        <v>0</v>
      </c>
      <c r="R64" s="62">
        <f t="shared" si="42"/>
        <v>0</v>
      </c>
      <c r="S64" s="16">
        <f t="shared" si="39"/>
        <v>340604010.16216403</v>
      </c>
      <c r="T64" s="16">
        <f>'Collections and ACP'!H50</f>
        <v>427782563.48452926</v>
      </c>
      <c r="U64" s="16">
        <f t="shared" si="35"/>
        <v>768386573.64669323</v>
      </c>
      <c r="V64" s="16">
        <f t="shared" si="36"/>
        <v>303371135.29672736</v>
      </c>
      <c r="W64" s="16">
        <f t="shared" si="37"/>
        <v>465015438.34996587</v>
      </c>
    </row>
    <row r="65" spans="1:23" x14ac:dyDescent="0.3">
      <c r="A65" s="46" t="s">
        <v>50</v>
      </c>
      <c r="B65" s="127">
        <f t="shared" si="33"/>
        <v>0</v>
      </c>
      <c r="C65" s="127">
        <f t="shared" si="33"/>
        <v>7578432.8581862841</v>
      </c>
      <c r="D65" s="127">
        <f t="shared" si="33"/>
        <v>40284778.874373131</v>
      </c>
      <c r="E65" s="58">
        <f t="shared" si="33"/>
        <v>8259767.1908406923</v>
      </c>
      <c r="F65" s="58">
        <f t="shared" si="33"/>
        <v>12716528.546262404</v>
      </c>
      <c r="G65" s="58"/>
      <c r="H65" s="58">
        <f t="shared" ref="H65:R65" si="43">$B$58*H8</f>
        <v>36222500</v>
      </c>
      <c r="I65" s="58">
        <f t="shared" si="43"/>
        <v>102474065.44397356</v>
      </c>
      <c r="J65" s="62">
        <f t="shared" si="43"/>
        <v>0</v>
      </c>
      <c r="K65" s="62">
        <f t="shared" si="43"/>
        <v>7804708.6368273227</v>
      </c>
      <c r="L65" s="62">
        <f t="shared" si="43"/>
        <v>16229530.469749756</v>
      </c>
      <c r="M65" s="62">
        <f t="shared" si="43"/>
        <v>30771.270663653839</v>
      </c>
      <c r="N65" s="62">
        <f t="shared" si="43"/>
        <v>422570.34907259932</v>
      </c>
      <c r="O65" s="62">
        <f t="shared" si="43"/>
        <v>0</v>
      </c>
      <c r="P65" s="62">
        <f t="shared" si="43"/>
        <v>275399.31976399926</v>
      </c>
      <c r="Q65" s="62">
        <f t="shared" si="43"/>
        <v>7319298.2378114769</v>
      </c>
      <c r="R65" s="62">
        <f t="shared" si="43"/>
        <v>253040.6897696862</v>
      </c>
      <c r="S65" s="16">
        <f t="shared" si="39"/>
        <v>465015438.34996587</v>
      </c>
      <c r="T65" s="16">
        <f>'Collections and ACP'!H51</f>
        <v>426644165.48655927</v>
      </c>
      <c r="U65" s="16">
        <f t="shared" si="35"/>
        <v>891659603.8365252</v>
      </c>
      <c r="V65" s="16">
        <f t="shared" si="36"/>
        <v>239871391.88729453</v>
      </c>
      <c r="W65" s="16">
        <f t="shared" si="37"/>
        <v>651788211.94923067</v>
      </c>
    </row>
    <row r="66" spans="1:23" x14ac:dyDescent="0.3">
      <c r="A66" s="46" t="s">
        <v>51</v>
      </c>
      <c r="B66" s="127">
        <f t="shared" si="33"/>
        <v>0</v>
      </c>
      <c r="C66" s="127">
        <f t="shared" si="33"/>
        <v>743226.83155522496</v>
      </c>
      <c r="D66" s="127">
        <f t="shared" si="33"/>
        <v>3287205.5207402003</v>
      </c>
      <c r="E66" s="58">
        <f t="shared" si="33"/>
        <v>5951669.5026545767</v>
      </c>
      <c r="F66" s="58">
        <f t="shared" si="33"/>
        <v>12730542.858567938</v>
      </c>
      <c r="G66" s="58"/>
      <c r="H66" s="58">
        <f t="shared" ref="H66:R66" si="44">$B$58*H9</f>
        <v>36222500</v>
      </c>
      <c r="I66" s="58">
        <f t="shared" si="44"/>
        <v>98375102.826214626</v>
      </c>
      <c r="J66" s="62">
        <f t="shared" si="44"/>
        <v>0</v>
      </c>
      <c r="K66" s="62">
        <f t="shared" si="44"/>
        <v>7804708.6368273227</v>
      </c>
      <c r="L66" s="62">
        <f t="shared" si="44"/>
        <v>16148382.817401007</v>
      </c>
      <c r="M66" s="62">
        <f t="shared" si="44"/>
        <v>30617.414310335567</v>
      </c>
      <c r="N66" s="62">
        <f t="shared" si="44"/>
        <v>422570.34907259932</v>
      </c>
      <c r="O66" s="62">
        <f t="shared" si="44"/>
        <v>0</v>
      </c>
      <c r="P66" s="62">
        <f t="shared" si="44"/>
        <v>-67635.731140721982</v>
      </c>
      <c r="Q66" s="62">
        <f t="shared" si="44"/>
        <v>6579218.4809157429</v>
      </c>
      <c r="R66" s="62">
        <f t="shared" si="44"/>
        <v>245473.68261671354</v>
      </c>
      <c r="S66" s="16">
        <f t="shared" si="39"/>
        <v>651788211.94923067</v>
      </c>
      <c r="T66" s="16">
        <f>'Collections and ACP'!H52</f>
        <v>427288775.61238623</v>
      </c>
      <c r="U66" s="16">
        <f t="shared" si="35"/>
        <v>1079076987.5616169</v>
      </c>
      <c r="V66" s="16">
        <f t="shared" si="36"/>
        <v>188473583.18973559</v>
      </c>
      <c r="W66" s="16">
        <f t="shared" si="37"/>
        <v>890603404.37188125</v>
      </c>
    </row>
    <row r="67" spans="1:23" x14ac:dyDescent="0.3">
      <c r="A67" s="46" t="s">
        <v>52</v>
      </c>
      <c r="B67" s="127">
        <f t="shared" si="33"/>
        <v>0</v>
      </c>
      <c r="C67" s="127">
        <f t="shared" si="33"/>
        <v>0</v>
      </c>
      <c r="D67" s="127">
        <f t="shared" si="33"/>
        <v>0</v>
      </c>
      <c r="E67" s="58">
        <f t="shared" si="33"/>
        <v>3245885.7462808862</v>
      </c>
      <c r="F67" s="58">
        <f t="shared" si="33"/>
        <v>12768737.815644307</v>
      </c>
      <c r="G67" s="58">
        <v>10000000</v>
      </c>
      <c r="H67" s="58">
        <f t="shared" ref="H67:R67" si="45">$B$58*H10</f>
        <v>36222500</v>
      </c>
      <c r="I67" s="58">
        <f t="shared" si="45"/>
        <v>94440098.713166028</v>
      </c>
      <c r="J67" s="62">
        <f t="shared" si="45"/>
        <v>0</v>
      </c>
      <c r="K67" s="62">
        <f t="shared" si="45"/>
        <v>7804708.6368273227</v>
      </c>
      <c r="L67" s="62">
        <f t="shared" si="45"/>
        <v>16067640.903314004</v>
      </c>
      <c r="M67" s="62">
        <f t="shared" si="45"/>
        <v>30464.327238783884</v>
      </c>
      <c r="N67" s="62">
        <f t="shared" si="45"/>
        <v>422570.34907259932</v>
      </c>
      <c r="O67" s="62">
        <f t="shared" si="45"/>
        <v>0</v>
      </c>
      <c r="P67" s="62">
        <f t="shared" si="45"/>
        <v>-417531.48306353745</v>
      </c>
      <c r="Q67" s="62">
        <f t="shared" si="45"/>
        <v>5832357.2221454578</v>
      </c>
      <c r="R67" s="62">
        <f t="shared" si="45"/>
        <v>237850.61362431437</v>
      </c>
      <c r="S67" s="16">
        <f t="shared" si="39"/>
        <v>890603404.37188125</v>
      </c>
      <c r="T67" s="16">
        <f>'Collections and ACP'!H53</f>
        <v>429045104.18550754</v>
      </c>
      <c r="U67" s="16">
        <f t="shared" si="35"/>
        <v>1319648508.5573888</v>
      </c>
      <c r="V67" s="16">
        <f t="shared" si="36"/>
        <v>186655282.84425017</v>
      </c>
      <c r="W67" s="16">
        <f t="shared" si="37"/>
        <v>1132993225.7131386</v>
      </c>
    </row>
    <row r="68" spans="1:23" x14ac:dyDescent="0.3">
      <c r="A68" s="46" t="s">
        <v>53</v>
      </c>
      <c r="B68" s="127">
        <f t="shared" si="33"/>
        <v>0</v>
      </c>
      <c r="C68" s="127">
        <f t="shared" si="33"/>
        <v>0</v>
      </c>
      <c r="D68" s="127">
        <f t="shared" si="33"/>
        <v>0</v>
      </c>
      <c r="E68" s="58">
        <f t="shared" si="33"/>
        <v>3244182.9151806645</v>
      </c>
      <c r="F68" s="58">
        <f t="shared" si="33"/>
        <v>12831251.812608905</v>
      </c>
      <c r="G68" s="58"/>
      <c r="H68" s="58">
        <f t="shared" ref="H68:R68" si="46">$B$58*H11</f>
        <v>36222500</v>
      </c>
      <c r="I68" s="58">
        <f t="shared" si="46"/>
        <v>90662494.764639392</v>
      </c>
      <c r="J68" s="62">
        <f t="shared" si="46"/>
        <v>0</v>
      </c>
      <c r="K68" s="62">
        <f t="shared" si="46"/>
        <v>7804708.6368273227</v>
      </c>
      <c r="L68" s="62">
        <f t="shared" si="46"/>
        <v>15987302.698797429</v>
      </c>
      <c r="M68" s="62">
        <f t="shared" si="46"/>
        <v>30312.005602589965</v>
      </c>
      <c r="N68" s="62">
        <f t="shared" si="46"/>
        <v>422570.34907259932</v>
      </c>
      <c r="O68" s="62">
        <f t="shared" si="46"/>
        <v>0</v>
      </c>
      <c r="P68" s="62">
        <f t="shared" si="46"/>
        <v>-774425.1500248079</v>
      </c>
      <c r="Q68" s="62">
        <f t="shared" si="46"/>
        <v>5078592.1886901772</v>
      </c>
      <c r="R68" s="62">
        <f t="shared" si="46"/>
        <v>230170.3640382454</v>
      </c>
      <c r="S68" s="16">
        <f t="shared" si="39"/>
        <v>1132993225.7131386</v>
      </c>
      <c r="T68" s="16">
        <f>'Collections and ACP'!H54</f>
        <v>431920687.15558982</v>
      </c>
      <c r="U68" s="16">
        <f t="shared" si="35"/>
        <v>1564913912.8687284</v>
      </c>
      <c r="V68" s="16">
        <f t="shared" si="36"/>
        <v>171739660.58543256</v>
      </c>
      <c r="W68" s="16">
        <f t="shared" si="37"/>
        <v>1393174252.2832959</v>
      </c>
    </row>
    <row r="69" spans="1:23" x14ac:dyDescent="0.3">
      <c r="A69" s="46" t="s">
        <v>54</v>
      </c>
      <c r="B69" s="127">
        <f t="shared" si="33"/>
        <v>0</v>
      </c>
      <c r="C69" s="127">
        <f t="shared" si="33"/>
        <v>0</v>
      </c>
      <c r="D69" s="127">
        <f t="shared" si="33"/>
        <v>0</v>
      </c>
      <c r="E69" s="58">
        <f t="shared" si="33"/>
        <v>3142670.3654409903</v>
      </c>
      <c r="F69" s="58">
        <f t="shared" si="33"/>
        <v>12847163.12373326</v>
      </c>
      <c r="G69" s="58"/>
      <c r="H69" s="58">
        <f t="shared" ref="H69:R69" si="47">$B$58*H12</f>
        <v>36222500</v>
      </c>
      <c r="I69" s="58">
        <f t="shared" si="47"/>
        <v>87035994.974053815</v>
      </c>
      <c r="J69" s="62">
        <f t="shared" si="47"/>
        <v>0</v>
      </c>
      <c r="K69" s="62">
        <f t="shared" si="47"/>
        <v>0</v>
      </c>
      <c r="L69" s="62">
        <f t="shared" si="47"/>
        <v>15907366.185303444</v>
      </c>
      <c r="M69" s="62">
        <f t="shared" si="47"/>
        <v>30160.445574577017</v>
      </c>
      <c r="N69" s="62">
        <f t="shared" si="47"/>
        <v>422570.34907259932</v>
      </c>
      <c r="O69" s="62">
        <f t="shared" si="47"/>
        <v>0</v>
      </c>
      <c r="P69" s="62">
        <f t="shared" si="47"/>
        <v>-1138456.6903253042</v>
      </c>
      <c r="Q69" s="62">
        <f t="shared" si="47"/>
        <v>4317799.3920167396</v>
      </c>
      <c r="R69" s="62">
        <f t="shared" si="47"/>
        <v>222431.79985198932</v>
      </c>
      <c r="S69" s="16">
        <f t="shared" si="39"/>
        <v>1393174252.2832959</v>
      </c>
      <c r="T69" s="16">
        <f>'Collections and ACP'!H55</f>
        <v>432651888.83378154</v>
      </c>
      <c r="U69" s="16">
        <f t="shared" si="35"/>
        <v>1825826141.1170774</v>
      </c>
      <c r="V69" s="16">
        <f t="shared" si="36"/>
        <v>159010199.94472212</v>
      </c>
      <c r="W69" s="16">
        <f t="shared" si="37"/>
        <v>1666815941.1723552</v>
      </c>
    </row>
    <row r="70" spans="1:23" x14ac:dyDescent="0.3">
      <c r="A70" s="46" t="s">
        <v>55</v>
      </c>
      <c r="B70" s="127">
        <f t="shared" si="33"/>
        <v>0</v>
      </c>
      <c r="C70" s="127">
        <f t="shared" si="33"/>
        <v>0</v>
      </c>
      <c r="D70" s="127">
        <f t="shared" si="33"/>
        <v>0</v>
      </c>
      <c r="E70" s="58">
        <f t="shared" si="33"/>
        <v>3117637.017490393</v>
      </c>
      <c r="F70" s="58">
        <f t="shared" si="33"/>
        <v>12887565.526464179</v>
      </c>
      <c r="G70" s="58">
        <v>10000000</v>
      </c>
      <c r="H70" s="58">
        <f t="shared" ref="H70:R70" si="48">$B$58*H13</f>
        <v>36222500</v>
      </c>
      <c r="I70" s="58">
        <f t="shared" si="48"/>
        <v>83554555.175091654</v>
      </c>
      <c r="J70" s="62">
        <f t="shared" si="48"/>
        <v>0</v>
      </c>
      <c r="K70" s="62">
        <f t="shared" si="48"/>
        <v>0</v>
      </c>
      <c r="L70" s="62">
        <f t="shared" si="48"/>
        <v>15827829.354376925</v>
      </c>
      <c r="M70" s="62">
        <f t="shared" si="48"/>
        <v>30009.643346704128</v>
      </c>
      <c r="N70" s="62">
        <f t="shared" si="48"/>
        <v>0</v>
      </c>
      <c r="O70" s="62">
        <f t="shared" si="48"/>
        <v>0</v>
      </c>
      <c r="P70" s="62">
        <f t="shared" si="48"/>
        <v>-1509768.8614318101</v>
      </c>
      <c r="Q70" s="62">
        <f t="shared" si="48"/>
        <v>3549853.1017742916</v>
      </c>
      <c r="R70" s="62">
        <f t="shared" si="48"/>
        <v>214633.77157241016</v>
      </c>
      <c r="S70" s="16">
        <f t="shared" si="39"/>
        <v>1666815941.1723552</v>
      </c>
      <c r="T70" s="16">
        <f>'Collections and ACP'!H56</f>
        <v>434509872.83833295</v>
      </c>
      <c r="U70" s="16">
        <f t="shared" si="35"/>
        <v>2101325814.0106881</v>
      </c>
      <c r="V70" s="16">
        <f t="shared" si="36"/>
        <v>163894814.72868475</v>
      </c>
      <c r="W70" s="16">
        <f t="shared" si="37"/>
        <v>1937430999.2820034</v>
      </c>
    </row>
    <row r="71" spans="1:23" x14ac:dyDescent="0.3">
      <c r="A71" s="46" t="s">
        <v>56</v>
      </c>
      <c r="B71" s="127">
        <f t="shared" si="33"/>
        <v>0</v>
      </c>
      <c r="C71" s="127">
        <f t="shared" si="33"/>
        <v>0</v>
      </c>
      <c r="D71" s="127">
        <f t="shared" si="33"/>
        <v>0</v>
      </c>
      <c r="E71" s="58">
        <f t="shared" si="33"/>
        <v>3086939.1829652456</v>
      </c>
      <c r="F71" s="58">
        <f t="shared" si="33"/>
        <v>12935442.070384257</v>
      </c>
      <c r="G71" s="58"/>
      <c r="H71" s="58">
        <f t="shared" ref="H71:R71" si="49">$B$58*H14</f>
        <v>36222500</v>
      </c>
      <c r="I71" s="58">
        <f t="shared" si="49"/>
        <v>80212372.968087986</v>
      </c>
      <c r="J71" s="62">
        <f t="shared" si="49"/>
        <v>0</v>
      </c>
      <c r="K71" s="62">
        <f t="shared" si="49"/>
        <v>0</v>
      </c>
      <c r="L71" s="62">
        <f t="shared" si="49"/>
        <v>15748690.20760504</v>
      </c>
      <c r="M71" s="62">
        <f t="shared" si="49"/>
        <v>29859.595129970614</v>
      </c>
      <c r="N71" s="62">
        <f t="shared" si="49"/>
        <v>0</v>
      </c>
      <c r="O71" s="62">
        <f t="shared" si="49"/>
        <v>0</v>
      </c>
      <c r="P71" s="62">
        <f t="shared" si="49"/>
        <v>-1888507.2759604473</v>
      </c>
      <c r="Q71" s="62">
        <f t="shared" si="49"/>
        <v>2774625.819313148</v>
      </c>
      <c r="R71" s="62">
        <f t="shared" si="49"/>
        <v>206775.1139819521</v>
      </c>
      <c r="S71" s="16">
        <f t="shared" si="39"/>
        <v>1937430999.2820034</v>
      </c>
      <c r="T71" s="16">
        <f>'Collections and ACP'!H57</f>
        <v>436711740.6575731</v>
      </c>
      <c r="U71" s="16">
        <f t="shared" si="35"/>
        <v>2374142739.9395766</v>
      </c>
      <c r="V71" s="16">
        <f t="shared" si="36"/>
        <v>149328697.68150714</v>
      </c>
      <c r="W71" s="16">
        <f t="shared" si="37"/>
        <v>2224814042.2580695</v>
      </c>
    </row>
    <row r="72" spans="1:23" x14ac:dyDescent="0.3">
      <c r="A72" s="46" t="s">
        <v>57</v>
      </c>
      <c r="B72" s="127">
        <f t="shared" ref="B72:E82" si="50">$B$58*B15</f>
        <v>0</v>
      </c>
      <c r="C72" s="127">
        <f t="shared" si="50"/>
        <v>0</v>
      </c>
      <c r="D72" s="127">
        <f t="shared" si="50"/>
        <v>0</v>
      </c>
      <c r="E72" s="58">
        <f t="shared" si="50"/>
        <v>0</v>
      </c>
      <c r="F72" s="58"/>
      <c r="G72" s="58"/>
      <c r="H72" s="58">
        <f t="shared" ref="H72:R72" si="51">$B$58*H15</f>
        <v>36222500</v>
      </c>
      <c r="I72" s="58">
        <f t="shared" si="51"/>
        <v>77003878.049364462</v>
      </c>
      <c r="J72" s="62">
        <f t="shared" si="51"/>
        <v>0</v>
      </c>
      <c r="K72" s="62">
        <f t="shared" si="51"/>
        <v>0</v>
      </c>
      <c r="L72" s="62">
        <f t="shared" si="51"/>
        <v>15669946.756567014</v>
      </c>
      <c r="M72" s="62">
        <f t="shared" si="51"/>
        <v>29710.29715432076</v>
      </c>
      <c r="N72" s="62">
        <f t="shared" si="51"/>
        <v>0</v>
      </c>
      <c r="O72" s="62">
        <f t="shared" si="51"/>
        <v>0</v>
      </c>
      <c r="P72" s="62">
        <f t="shared" si="51"/>
        <v>-2274820.4587796563</v>
      </c>
      <c r="Q72" s="62">
        <f t="shared" si="51"/>
        <v>1991988.2508117217</v>
      </c>
      <c r="R72" s="62">
        <f t="shared" si="51"/>
        <v>198854.64589733072</v>
      </c>
      <c r="S72" s="16">
        <f t="shared" si="39"/>
        <v>2224814042.2580695</v>
      </c>
      <c r="T72" s="16">
        <f>'Collections and ACP'!H58</f>
        <v>440793222.53098226</v>
      </c>
      <c r="U72" s="16">
        <f t="shared" si="35"/>
        <v>2665607264.789052</v>
      </c>
      <c r="V72" s="16">
        <f t="shared" si="36"/>
        <v>128842057.54101519</v>
      </c>
      <c r="W72" s="16">
        <f t="shared" si="37"/>
        <v>2536765207.2480369</v>
      </c>
    </row>
    <row r="73" spans="1:23" x14ac:dyDescent="0.3">
      <c r="A73" s="46" t="s">
        <v>58</v>
      </c>
      <c r="B73" s="127">
        <f t="shared" si="50"/>
        <v>0</v>
      </c>
      <c r="C73" s="127">
        <f t="shared" si="50"/>
        <v>0</v>
      </c>
      <c r="D73" s="127">
        <f t="shared" si="50"/>
        <v>0</v>
      </c>
      <c r="E73" s="58">
        <f t="shared" si="50"/>
        <v>0</v>
      </c>
      <c r="F73" s="58"/>
      <c r="G73" s="58"/>
      <c r="H73" s="58">
        <f t="shared" ref="H73:R73" si="52">$B$58*H16</f>
        <v>36222500</v>
      </c>
      <c r="I73" s="58">
        <f t="shared" si="52"/>
        <v>36961861.463694938</v>
      </c>
      <c r="J73" s="62">
        <f t="shared" si="52"/>
        <v>0</v>
      </c>
      <c r="K73" s="62">
        <f t="shared" si="52"/>
        <v>0</v>
      </c>
      <c r="L73" s="62">
        <f t="shared" si="52"/>
        <v>15591597.022784181</v>
      </c>
      <c r="M73" s="62">
        <f t="shared" si="52"/>
        <v>29561.745668549152</v>
      </c>
      <c r="N73" s="62">
        <f t="shared" si="52"/>
        <v>0</v>
      </c>
      <c r="O73" s="62">
        <f t="shared" si="52"/>
        <v>0</v>
      </c>
      <c r="P73" s="62">
        <f t="shared" si="52"/>
        <v>-2668859.9052552488</v>
      </c>
      <c r="Q73" s="62">
        <f t="shared" si="52"/>
        <v>1201809.280005672</v>
      </c>
      <c r="R73" s="62">
        <f t="shared" si="52"/>
        <v>190871.16992466323</v>
      </c>
      <c r="S73" s="16">
        <f t="shared" si="39"/>
        <v>2536765207.2480369</v>
      </c>
      <c r="T73" s="16">
        <f>'Collections and ACP'!H59</f>
        <v>441764820.37954783</v>
      </c>
      <c r="U73" s="16">
        <f t="shared" si="35"/>
        <v>2978530027.6275845</v>
      </c>
      <c r="V73" s="16">
        <f t="shared" si="36"/>
        <v>87529340.776822746</v>
      </c>
      <c r="W73" s="16">
        <f t="shared" si="37"/>
        <v>2891000686.8507619</v>
      </c>
    </row>
    <row r="74" spans="1:23" x14ac:dyDescent="0.3">
      <c r="A74" s="46" t="s">
        <v>59</v>
      </c>
      <c r="B74" s="127">
        <f t="shared" si="50"/>
        <v>0</v>
      </c>
      <c r="C74" s="127">
        <f t="shared" si="50"/>
        <v>0</v>
      </c>
      <c r="D74" s="127">
        <f t="shared" si="50"/>
        <v>0</v>
      </c>
      <c r="E74" s="58">
        <f t="shared" si="50"/>
        <v>0</v>
      </c>
      <c r="F74" s="58"/>
      <c r="G74" s="58"/>
      <c r="H74" s="58">
        <f t="shared" ref="H74:R74" si="53">$B$58*H17</f>
        <v>36222500</v>
      </c>
      <c r="I74" s="58">
        <f t="shared" si="53"/>
        <v>35483387.005147137</v>
      </c>
      <c r="J74" s="62">
        <f t="shared" si="53"/>
        <v>0</v>
      </c>
      <c r="K74" s="62">
        <f t="shared" si="53"/>
        <v>0</v>
      </c>
      <c r="L74" s="62">
        <f t="shared" si="53"/>
        <v>15513639.037670258</v>
      </c>
      <c r="M74" s="62">
        <f t="shared" si="53"/>
        <v>29413.936940206411</v>
      </c>
      <c r="N74" s="62">
        <f t="shared" si="53"/>
        <v>0</v>
      </c>
      <c r="O74" s="62">
        <f t="shared" si="53"/>
        <v>0</v>
      </c>
      <c r="P74" s="62">
        <f t="shared" si="53"/>
        <v>-3070780.1406603535</v>
      </c>
      <c r="Q74" s="62">
        <f t="shared" si="53"/>
        <v>403955.94051332772</v>
      </c>
      <c r="R74" s="62">
        <f t="shared" si="53"/>
        <v>182823.47221098567</v>
      </c>
      <c r="S74" s="16">
        <f t="shared" si="39"/>
        <v>2891000686.8507619</v>
      </c>
      <c r="T74" s="16">
        <f>'Collections and ACP'!H60</f>
        <v>443449098.87589866</v>
      </c>
      <c r="U74" s="16">
        <f t="shared" si="35"/>
        <v>3334449785.7266607</v>
      </c>
      <c r="V74" s="16">
        <f t="shared" si="36"/>
        <v>84764939.251821548</v>
      </c>
      <c r="W74" s="16">
        <f t="shared" si="37"/>
        <v>3249684846.4748392</v>
      </c>
    </row>
    <row r="75" spans="1:23" x14ac:dyDescent="0.3">
      <c r="A75" s="46" t="s">
        <v>60</v>
      </c>
      <c r="B75" s="127">
        <f t="shared" si="50"/>
        <v>0</v>
      </c>
      <c r="C75" s="127">
        <f t="shared" si="50"/>
        <v>0</v>
      </c>
      <c r="D75" s="127">
        <f t="shared" si="50"/>
        <v>0</v>
      </c>
      <c r="E75" s="58">
        <f t="shared" si="50"/>
        <v>0</v>
      </c>
      <c r="F75" s="58"/>
      <c r="G75" s="58"/>
      <c r="H75" s="58"/>
      <c r="I75" s="58">
        <f t="shared" ref="I75:R75" si="54">$B$58*I18</f>
        <v>34064051.524941251</v>
      </c>
      <c r="J75" s="62">
        <f t="shared" si="54"/>
        <v>0</v>
      </c>
      <c r="K75" s="62">
        <f t="shared" si="54"/>
        <v>0</v>
      </c>
      <c r="L75" s="62">
        <f t="shared" si="54"/>
        <v>15436070.842481907</v>
      </c>
      <c r="M75" s="62">
        <f t="shared" si="54"/>
        <v>29266.867255505378</v>
      </c>
      <c r="N75" s="62">
        <f t="shared" si="54"/>
        <v>0</v>
      </c>
      <c r="O75" s="62">
        <f t="shared" si="54"/>
        <v>0</v>
      </c>
      <c r="P75" s="62">
        <f t="shared" si="54"/>
        <v>-3480738.7807735601</v>
      </c>
      <c r="Q75" s="62">
        <f t="shared" si="54"/>
        <v>-401706.61224863172</v>
      </c>
      <c r="R75" s="62">
        <f t="shared" si="54"/>
        <v>174710.32219210209</v>
      </c>
      <c r="S75" s="16">
        <f t="shared" si="39"/>
        <v>3249684846.4748392</v>
      </c>
      <c r="T75" s="16">
        <f>'Collections and ACP'!H61</f>
        <v>445476724.40887928</v>
      </c>
      <c r="U75" s="16">
        <f t="shared" si="35"/>
        <v>3695161570.8837185</v>
      </c>
      <c r="V75" s="16">
        <f t="shared" si="36"/>
        <v>45821654.163848586</v>
      </c>
      <c r="W75" s="16">
        <f t="shared" si="37"/>
        <v>3649339916.7198701</v>
      </c>
    </row>
    <row r="76" spans="1:23" x14ac:dyDescent="0.3">
      <c r="A76" s="46" t="s">
        <v>61</v>
      </c>
      <c r="B76" s="127">
        <f t="shared" si="50"/>
        <v>0</v>
      </c>
      <c r="C76" s="127">
        <f t="shared" si="50"/>
        <v>0</v>
      </c>
      <c r="D76" s="127">
        <f t="shared" si="50"/>
        <v>0</v>
      </c>
      <c r="E76" s="58">
        <f t="shared" si="50"/>
        <v>0</v>
      </c>
      <c r="F76" s="58"/>
      <c r="G76" s="58"/>
      <c r="H76" s="58"/>
      <c r="I76" s="58">
        <f t="shared" ref="I76:R76" si="55">$B$58*I19</f>
        <v>32701489.463943601</v>
      </c>
      <c r="J76" s="62">
        <f t="shared" si="55"/>
        <v>0</v>
      </c>
      <c r="K76" s="62">
        <f t="shared" si="55"/>
        <v>0</v>
      </c>
      <c r="L76" s="62">
        <f t="shared" si="55"/>
        <v>15358890.488269497</v>
      </c>
      <c r="M76" s="62">
        <f t="shared" si="55"/>
        <v>29120.532919227851</v>
      </c>
      <c r="N76" s="62">
        <f t="shared" si="55"/>
        <v>0</v>
      </c>
      <c r="O76" s="62">
        <f t="shared" si="55"/>
        <v>0</v>
      </c>
      <c r="P76" s="62">
        <f t="shared" si="55"/>
        <v>-3898896.593689031</v>
      </c>
      <c r="Q76" s="62">
        <f t="shared" si="55"/>
        <v>-1215315.1295653647</v>
      </c>
      <c r="R76" s="62">
        <f t="shared" si="55"/>
        <v>166530.4723367113</v>
      </c>
      <c r="S76" s="16">
        <f t="shared" si="39"/>
        <v>3649339916.7198701</v>
      </c>
      <c r="T76" s="16">
        <f>'Collections and ACP'!H62</f>
        <v>448129018.45769209</v>
      </c>
      <c r="U76" s="16">
        <f t="shared" si="35"/>
        <v>4097468935.1775622</v>
      </c>
      <c r="V76" s="16">
        <f t="shared" si="36"/>
        <v>43141819.234214634</v>
      </c>
      <c r="W76" s="16">
        <f t="shared" si="37"/>
        <v>4054327115.9433475</v>
      </c>
    </row>
    <row r="77" spans="1:23" x14ac:dyDescent="0.3">
      <c r="A77" s="46" t="s">
        <v>62</v>
      </c>
      <c r="B77" s="127">
        <f t="shared" si="50"/>
        <v>0</v>
      </c>
      <c r="C77" s="127">
        <f t="shared" si="50"/>
        <v>0</v>
      </c>
      <c r="D77" s="127">
        <f t="shared" si="50"/>
        <v>0</v>
      </c>
      <c r="E77" s="58">
        <f t="shared" si="50"/>
        <v>0</v>
      </c>
      <c r="F77" s="58"/>
      <c r="G77" s="58"/>
      <c r="H77" s="58"/>
      <c r="I77" s="58">
        <f t="shared" ref="I77:R77" si="56">$B$58*I20</f>
        <v>31393429.885385852</v>
      </c>
      <c r="J77" s="62">
        <f t="shared" si="56"/>
        <v>0</v>
      </c>
      <c r="K77" s="62">
        <f t="shared" si="56"/>
        <v>0</v>
      </c>
      <c r="L77" s="62">
        <f t="shared" si="56"/>
        <v>15282096.035828153</v>
      </c>
      <c r="M77" s="62">
        <f t="shared" si="56"/>
        <v>28974.930254631712</v>
      </c>
      <c r="N77" s="62">
        <f t="shared" si="56"/>
        <v>0</v>
      </c>
      <c r="O77" s="62">
        <f t="shared" si="56"/>
        <v>0</v>
      </c>
      <c r="P77" s="62">
        <f t="shared" si="56"/>
        <v>-4325417.5628628125</v>
      </c>
      <c r="Q77" s="62">
        <f t="shared" si="56"/>
        <v>-2037008.2983461488</v>
      </c>
      <c r="R77" s="62">
        <f t="shared" si="56"/>
        <v>158282.65788675542</v>
      </c>
      <c r="S77" s="16">
        <f t="shared" si="39"/>
        <v>4054327115.9433475</v>
      </c>
      <c r="T77" s="16">
        <f>'Collections and ACP'!H63</f>
        <v>448508030.18337369</v>
      </c>
      <c r="U77" s="16">
        <f t="shared" si="35"/>
        <v>4502835146.1267214</v>
      </c>
      <c r="V77" s="16">
        <f t="shared" si="36"/>
        <v>40500357.648146436</v>
      </c>
      <c r="W77" s="16">
        <f t="shared" si="37"/>
        <v>4462334788.4785748</v>
      </c>
    </row>
    <row r="78" spans="1:23" x14ac:dyDescent="0.3">
      <c r="A78" s="46" t="s">
        <v>63</v>
      </c>
      <c r="B78" s="127">
        <f t="shared" si="50"/>
        <v>0</v>
      </c>
      <c r="C78" s="127">
        <f t="shared" si="50"/>
        <v>0</v>
      </c>
      <c r="D78" s="127">
        <f t="shared" si="50"/>
        <v>0</v>
      </c>
      <c r="E78" s="58">
        <f t="shared" si="50"/>
        <v>0</v>
      </c>
      <c r="F78" s="58"/>
      <c r="G78" s="58"/>
      <c r="H78" s="58"/>
      <c r="I78" s="58">
        <f t="shared" ref="I78:R78" si="57">$B$58*I21</f>
        <v>30137692.689970415</v>
      </c>
      <c r="J78" s="62">
        <f t="shared" si="57"/>
        <v>0</v>
      </c>
      <c r="K78" s="62">
        <f t="shared" si="57"/>
        <v>0</v>
      </c>
      <c r="L78" s="62">
        <f t="shared" si="57"/>
        <v>15205685.555649009</v>
      </c>
      <c r="M78" s="62">
        <f t="shared" si="57"/>
        <v>28830.055603358553</v>
      </c>
      <c r="N78" s="62">
        <f t="shared" si="57"/>
        <v>0</v>
      </c>
      <c r="O78" s="62">
        <f t="shared" si="57"/>
        <v>0</v>
      </c>
      <c r="P78" s="62">
        <f t="shared" si="57"/>
        <v>-4760468.9514200687</v>
      </c>
      <c r="Q78" s="62">
        <f t="shared" si="57"/>
        <v>-2866926.7704750141</v>
      </c>
      <c r="R78" s="62">
        <f t="shared" si="57"/>
        <v>149965.59659393408</v>
      </c>
      <c r="S78" s="16">
        <f t="shared" si="39"/>
        <v>4462334788.4785748</v>
      </c>
      <c r="T78" s="16">
        <f>'Collections and ACP'!H64</f>
        <v>450327525.50177699</v>
      </c>
      <c r="U78" s="16">
        <f t="shared" si="35"/>
        <v>4912662313.9803514</v>
      </c>
      <c r="V78" s="16">
        <f t="shared" si="36"/>
        <v>37894778.175921626</v>
      </c>
      <c r="W78" s="16">
        <f t="shared" si="37"/>
        <v>4874767535.80443</v>
      </c>
    </row>
    <row r="79" spans="1:23" x14ac:dyDescent="0.3">
      <c r="A79" s="46" t="s">
        <v>64</v>
      </c>
      <c r="B79" s="127">
        <f t="shared" si="50"/>
        <v>0</v>
      </c>
      <c r="C79" s="127">
        <f t="shared" si="50"/>
        <v>0</v>
      </c>
      <c r="D79" s="127">
        <f t="shared" si="50"/>
        <v>0</v>
      </c>
      <c r="E79" s="58">
        <f t="shared" si="50"/>
        <v>0</v>
      </c>
      <c r="F79" s="58"/>
      <c r="G79" s="58"/>
      <c r="H79" s="58"/>
      <c r="I79" s="58">
        <f t="shared" ref="I79:R79" si="58">$B$58*I22</f>
        <v>28932184.982371598</v>
      </c>
      <c r="J79" s="62">
        <f t="shared" si="58"/>
        <v>0</v>
      </c>
      <c r="K79" s="62">
        <f t="shared" si="58"/>
        <v>0</v>
      </c>
      <c r="L79" s="62">
        <f t="shared" si="58"/>
        <v>15129657.127870765</v>
      </c>
      <c r="M79" s="62">
        <f t="shared" si="58"/>
        <v>28685.905325341759</v>
      </c>
      <c r="N79" s="62">
        <f t="shared" si="58"/>
        <v>0</v>
      </c>
      <c r="O79" s="62">
        <f t="shared" si="58"/>
        <v>0</v>
      </c>
      <c r="P79" s="62">
        <f t="shared" si="58"/>
        <v>-5204221.3677484691</v>
      </c>
      <c r="Q79" s="62">
        <f t="shared" si="58"/>
        <v>-3705213.1925961804</v>
      </c>
      <c r="R79" s="62">
        <f t="shared" si="58"/>
        <v>141577.98845232639</v>
      </c>
      <c r="S79" s="16"/>
      <c r="T79" s="16"/>
      <c r="U79" s="16"/>
      <c r="V79" s="16"/>
      <c r="W79" s="16"/>
    </row>
    <row r="80" spans="1:23" x14ac:dyDescent="0.3">
      <c r="A80" s="46" t="s">
        <v>65</v>
      </c>
      <c r="B80" s="127">
        <f t="shared" si="50"/>
        <v>0</v>
      </c>
      <c r="C80" s="127">
        <f t="shared" si="50"/>
        <v>0</v>
      </c>
      <c r="D80" s="127">
        <f t="shared" si="50"/>
        <v>0</v>
      </c>
      <c r="E80" s="58">
        <f t="shared" si="50"/>
        <v>0</v>
      </c>
      <c r="F80" s="58"/>
      <c r="G80" s="58"/>
      <c r="H80" s="58"/>
      <c r="I80" s="58">
        <f t="shared" ref="I80:R80" si="59">$B$58*I23</f>
        <v>27774897.583076734</v>
      </c>
      <c r="J80" s="62">
        <f t="shared" si="59"/>
        <v>0</v>
      </c>
      <c r="K80" s="62">
        <f t="shared" si="59"/>
        <v>0</v>
      </c>
      <c r="L80" s="62">
        <f t="shared" si="59"/>
        <v>15054008.84223141</v>
      </c>
      <c r="M80" s="62">
        <f t="shared" si="59"/>
        <v>28542.475798715048</v>
      </c>
      <c r="N80" s="62">
        <f t="shared" si="59"/>
        <v>0</v>
      </c>
      <c r="O80" s="62">
        <f t="shared" si="59"/>
        <v>0</v>
      </c>
      <c r="P80" s="62">
        <f t="shared" si="59"/>
        <v>-5656848.8324034372</v>
      </c>
      <c r="Q80" s="62">
        <f t="shared" si="59"/>
        <v>-4552012.2363407454</v>
      </c>
      <c r="R80" s="62">
        <f t="shared" si="59"/>
        <v>133118.51542706302</v>
      </c>
      <c r="S80" s="16"/>
      <c r="T80" s="16"/>
      <c r="U80" s="16"/>
      <c r="V80" s="16"/>
      <c r="W80" s="16"/>
    </row>
    <row r="81" spans="1:23" x14ac:dyDescent="0.3">
      <c r="A81" s="46" t="s">
        <v>66</v>
      </c>
      <c r="B81" s="127">
        <f t="shared" si="50"/>
        <v>0</v>
      </c>
      <c r="C81" s="127">
        <f t="shared" si="50"/>
        <v>0</v>
      </c>
      <c r="D81" s="127">
        <f t="shared" si="50"/>
        <v>0</v>
      </c>
      <c r="E81" s="58">
        <f t="shared" si="50"/>
        <v>0</v>
      </c>
      <c r="F81" s="58"/>
      <c r="G81" s="58"/>
      <c r="H81" s="57"/>
      <c r="I81" s="58">
        <f t="shared" ref="I81:R81" si="60">$B$58*I24</f>
        <v>0</v>
      </c>
      <c r="J81" s="62">
        <f t="shared" si="60"/>
        <v>0</v>
      </c>
      <c r="K81" s="62">
        <f t="shared" si="60"/>
        <v>0</v>
      </c>
      <c r="L81" s="62">
        <f t="shared" si="60"/>
        <v>14978738.798020253</v>
      </c>
      <c r="M81" s="62">
        <f t="shared" si="60"/>
        <v>28399.763419721476</v>
      </c>
      <c r="N81" s="62">
        <f t="shared" si="60"/>
        <v>0</v>
      </c>
      <c r="O81" s="62">
        <f t="shared" si="60"/>
        <v>0</v>
      </c>
      <c r="P81" s="62">
        <f t="shared" si="60"/>
        <v>-6118528.8463515053</v>
      </c>
      <c r="Q81" s="62">
        <f t="shared" si="60"/>
        <v>-5407470.62900123</v>
      </c>
      <c r="R81" s="62">
        <f t="shared" si="60"/>
        <v>124585.84117898926</v>
      </c>
      <c r="S81" s="16"/>
      <c r="T81" s="16"/>
      <c r="U81" s="16"/>
      <c r="V81" s="16"/>
      <c r="W81" s="16"/>
    </row>
    <row r="82" spans="1:23" x14ac:dyDescent="0.3">
      <c r="A82" s="46" t="s">
        <v>67</v>
      </c>
      <c r="B82" s="127">
        <f t="shared" si="50"/>
        <v>0</v>
      </c>
      <c r="C82" s="127">
        <f t="shared" si="50"/>
        <v>0</v>
      </c>
      <c r="D82" s="127">
        <f t="shared" si="50"/>
        <v>0</v>
      </c>
      <c r="E82" s="58">
        <f t="shared" si="50"/>
        <v>0</v>
      </c>
      <c r="F82" s="58"/>
      <c r="G82" s="58"/>
      <c r="H82" s="57"/>
      <c r="I82" s="58">
        <f t="shared" ref="I82:R82" si="61">$B$58*I25</f>
        <v>0</v>
      </c>
      <c r="J82" s="62">
        <f t="shared" si="61"/>
        <v>0</v>
      </c>
      <c r="K82" s="62">
        <f t="shared" si="61"/>
        <v>0</v>
      </c>
      <c r="L82" s="62">
        <f t="shared" si="61"/>
        <v>14903845.104030155</v>
      </c>
      <c r="M82" s="62">
        <f t="shared" si="61"/>
        <v>0</v>
      </c>
      <c r="N82" s="62">
        <f t="shared" si="61"/>
        <v>0</v>
      </c>
      <c r="O82" s="62">
        <f t="shared" si="61"/>
        <v>0</v>
      </c>
      <c r="P82" s="62">
        <f t="shared" si="61"/>
        <v>-6589442.4605785338</v>
      </c>
      <c r="Q82" s="62">
        <f t="shared" si="61"/>
        <v>-6271737.184660661</v>
      </c>
      <c r="R82" s="62">
        <f t="shared" si="61"/>
        <v>115978.61078525888</v>
      </c>
      <c r="S82" s="16"/>
      <c r="T82" s="16"/>
      <c r="U82" s="16"/>
      <c r="V82" s="16"/>
      <c r="W82" s="16"/>
    </row>
    <row r="86" spans="1:23" x14ac:dyDescent="0.3">
      <c r="A86" s="35" t="s">
        <v>130</v>
      </c>
      <c r="B86" s="126">
        <v>2.3700000000000001E-3</v>
      </c>
    </row>
    <row r="87" spans="1:23" ht="57.6" x14ac:dyDescent="0.3">
      <c r="A87" s="53" t="s">
        <v>43</v>
      </c>
      <c r="B87" s="53" t="s">
        <v>125</v>
      </c>
      <c r="C87" s="53" t="s">
        <v>116</v>
      </c>
      <c r="D87" s="53" t="s">
        <v>117</v>
      </c>
      <c r="E87" s="53" t="s">
        <v>118</v>
      </c>
      <c r="F87" s="53" t="s">
        <v>275</v>
      </c>
      <c r="G87" s="53" t="s">
        <v>44</v>
      </c>
      <c r="H87" s="53" t="s">
        <v>119</v>
      </c>
      <c r="I87" s="53" t="s">
        <v>126</v>
      </c>
      <c r="J87" s="53" t="s">
        <v>6</v>
      </c>
      <c r="K87" s="53" t="s">
        <v>12</v>
      </c>
      <c r="L87" s="53" t="s">
        <v>21</v>
      </c>
      <c r="M87" s="53" t="s">
        <v>25</v>
      </c>
      <c r="N87" s="53" t="s">
        <v>29</v>
      </c>
      <c r="O87" s="53" t="s">
        <v>33</v>
      </c>
      <c r="P87" s="53" t="s">
        <v>40</v>
      </c>
      <c r="Q87" s="53" t="s">
        <v>41</v>
      </c>
      <c r="R87" s="53" t="s">
        <v>42</v>
      </c>
      <c r="S87" s="54" t="s">
        <v>131</v>
      </c>
      <c r="T87" s="54" t="s">
        <v>128</v>
      </c>
      <c r="U87" s="54" t="s">
        <v>122</v>
      </c>
      <c r="V87" s="53" t="s">
        <v>123</v>
      </c>
      <c r="W87" s="53" t="s">
        <v>124</v>
      </c>
    </row>
    <row r="88" spans="1:23" x14ac:dyDescent="0.3">
      <c r="A88" s="46" t="s">
        <v>45</v>
      </c>
      <c r="B88" s="58">
        <f t="shared" ref="B88:F97" si="62">$B$86*B3</f>
        <v>327433.32247109973</v>
      </c>
      <c r="C88" s="127">
        <f t="shared" si="62"/>
        <v>146035.89718384502</v>
      </c>
      <c r="D88" s="58">
        <f t="shared" si="62"/>
        <v>79384.805555205021</v>
      </c>
      <c r="E88" s="58">
        <f t="shared" si="62"/>
        <v>73110.612253686078</v>
      </c>
      <c r="F88" s="58">
        <f t="shared" si="62"/>
        <v>16014.279651907947</v>
      </c>
      <c r="G88" s="58"/>
      <c r="H88" s="58">
        <f t="shared" ref="H88:R88" si="63">$B$86*H3</f>
        <v>26690.466086513246</v>
      </c>
      <c r="I88" s="58">
        <f t="shared" si="63"/>
        <v>0</v>
      </c>
      <c r="J88" s="62">
        <f t="shared" si="63"/>
        <v>0</v>
      </c>
      <c r="K88" s="62">
        <f t="shared" si="63"/>
        <v>0</v>
      </c>
      <c r="L88" s="62">
        <f t="shared" si="63"/>
        <v>0</v>
      </c>
      <c r="M88" s="62">
        <f t="shared" si="63"/>
        <v>0</v>
      </c>
      <c r="N88" s="62">
        <f t="shared" si="63"/>
        <v>0</v>
      </c>
      <c r="O88" s="62">
        <f t="shared" si="63"/>
        <v>0</v>
      </c>
      <c r="P88" s="62">
        <f t="shared" si="63"/>
        <v>0</v>
      </c>
      <c r="Q88" s="62">
        <f t="shared" si="63"/>
        <v>0</v>
      </c>
      <c r="R88" s="62">
        <f t="shared" si="63"/>
        <v>0</v>
      </c>
      <c r="S88" s="16">
        <f>'Collections and ACP'!C158+'Collections and ACP'!C155</f>
        <v>296007918.98000002</v>
      </c>
      <c r="T88" s="16">
        <f>'Collections and ACP'!H79</f>
        <v>585306.97492689674</v>
      </c>
      <c r="U88" s="16">
        <f t="shared" ref="U88:U106" si="64">S88+T88</f>
        <v>296593225.95492691</v>
      </c>
      <c r="V88" s="16">
        <f t="shared" ref="V88:V106" si="65">SUM(B88:R88)</f>
        <v>668669.38320225698</v>
      </c>
      <c r="W88" s="16">
        <f t="shared" ref="W88:W106" si="66">U88-V88</f>
        <v>295924556.57172465</v>
      </c>
    </row>
    <row r="89" spans="1:23" x14ac:dyDescent="0.3">
      <c r="A89" s="46" t="s">
        <v>46</v>
      </c>
      <c r="B89" s="58">
        <f t="shared" si="62"/>
        <v>90183.20369160008</v>
      </c>
      <c r="C89" s="127">
        <f t="shared" si="62"/>
        <v>156722.43750712485</v>
      </c>
      <c r="D89" s="58">
        <f t="shared" si="62"/>
        <v>277918.18118305516</v>
      </c>
      <c r="E89" s="58">
        <f t="shared" si="62"/>
        <v>57217.145258879966</v>
      </c>
      <c r="F89" s="58">
        <f t="shared" si="62"/>
        <v>33042.860168997518</v>
      </c>
      <c r="G89" s="58"/>
      <c r="H89" s="58">
        <f t="shared" ref="H89:R89" si="67">$B$86*H4</f>
        <v>118500</v>
      </c>
      <c r="I89" s="58">
        <f t="shared" si="67"/>
        <v>0</v>
      </c>
      <c r="J89" s="62">
        <f t="shared" si="67"/>
        <v>0</v>
      </c>
      <c r="K89" s="62">
        <f t="shared" si="67"/>
        <v>0</v>
      </c>
      <c r="L89" s="62">
        <f t="shared" si="67"/>
        <v>0</v>
      </c>
      <c r="M89" s="62">
        <f t="shared" si="67"/>
        <v>0</v>
      </c>
      <c r="N89" s="62">
        <f t="shared" si="67"/>
        <v>0</v>
      </c>
      <c r="O89" s="62">
        <f t="shared" si="67"/>
        <v>0</v>
      </c>
      <c r="P89" s="62">
        <f t="shared" si="67"/>
        <v>0</v>
      </c>
      <c r="Q89" s="62">
        <f t="shared" si="67"/>
        <v>0</v>
      </c>
      <c r="R89" s="62">
        <f t="shared" si="67"/>
        <v>0</v>
      </c>
      <c r="S89" s="16">
        <f t="shared" ref="S89:S106" si="68">W88</f>
        <v>295924556.57172465</v>
      </c>
      <c r="T89" s="16">
        <f>'Collections and ACP'!H80</f>
        <v>1153433.5221666666</v>
      </c>
      <c r="U89" s="16">
        <f t="shared" si="64"/>
        <v>297077990.09389132</v>
      </c>
      <c r="V89" s="16">
        <f t="shared" si="65"/>
        <v>733583.82780965755</v>
      </c>
      <c r="W89" s="16">
        <f t="shared" si="66"/>
        <v>296344406.26608169</v>
      </c>
    </row>
    <row r="90" spans="1:23" x14ac:dyDescent="0.3">
      <c r="A90" s="46" t="s">
        <v>47</v>
      </c>
      <c r="B90" s="58">
        <f t="shared" si="62"/>
        <v>11530.742632499994</v>
      </c>
      <c r="C90" s="127">
        <f t="shared" si="62"/>
        <v>154547.70951673473</v>
      </c>
      <c r="D90" s="58">
        <f t="shared" si="62"/>
        <v>261062.53832171997</v>
      </c>
      <c r="E90" s="58">
        <f t="shared" si="62"/>
        <v>52287.756690537593</v>
      </c>
      <c r="F90" s="58">
        <f t="shared" si="62"/>
        <v>41768.618892188184</v>
      </c>
      <c r="G90" s="58"/>
      <c r="H90" s="58">
        <f t="shared" ref="H90:R90" si="69">$B$86*H5</f>
        <v>118500</v>
      </c>
      <c r="I90" s="58">
        <f t="shared" si="69"/>
        <v>795688.52568627114</v>
      </c>
      <c r="J90" s="62">
        <f t="shared" si="69"/>
        <v>329043.95456658298</v>
      </c>
      <c r="K90" s="62">
        <f t="shared" si="69"/>
        <v>27034.616154815503</v>
      </c>
      <c r="L90" s="62">
        <f t="shared" si="69"/>
        <v>0</v>
      </c>
      <c r="M90" s="62">
        <f t="shared" si="69"/>
        <v>102.19181610888251</v>
      </c>
      <c r="N90" s="62">
        <f t="shared" si="69"/>
        <v>0</v>
      </c>
      <c r="O90" s="62">
        <f t="shared" si="69"/>
        <v>0</v>
      </c>
      <c r="P90" s="62">
        <f t="shared" si="69"/>
        <v>0</v>
      </c>
      <c r="Q90" s="62">
        <f t="shared" si="69"/>
        <v>0</v>
      </c>
      <c r="R90" s="62">
        <f t="shared" si="69"/>
        <v>0</v>
      </c>
      <c r="S90" s="16">
        <f t="shared" si="68"/>
        <v>296344406.26608169</v>
      </c>
      <c r="T90" s="16">
        <f>'Collections and ACP'!H81</f>
        <v>1392649.125</v>
      </c>
      <c r="U90" s="16">
        <f t="shared" si="64"/>
        <v>297737055.39108169</v>
      </c>
      <c r="V90" s="16">
        <f t="shared" si="65"/>
        <v>1791566.6542774588</v>
      </c>
      <c r="W90" s="16">
        <f t="shared" si="66"/>
        <v>295945488.73680425</v>
      </c>
    </row>
    <row r="91" spans="1:23" x14ac:dyDescent="0.3">
      <c r="A91" s="46" t="s">
        <v>48</v>
      </c>
      <c r="B91" s="58">
        <f t="shared" si="62"/>
        <v>0</v>
      </c>
      <c r="C91" s="127">
        <f t="shared" si="62"/>
        <v>139104.51557672987</v>
      </c>
      <c r="D91" s="58">
        <f t="shared" si="62"/>
        <v>250892.68032858003</v>
      </c>
      <c r="E91" s="58">
        <f t="shared" si="62"/>
        <v>41998.787575680122</v>
      </c>
      <c r="F91" s="58">
        <f t="shared" si="62"/>
        <v>41877.078880867128</v>
      </c>
      <c r="G91" s="58"/>
      <c r="H91" s="58">
        <f t="shared" ref="H91:R91" si="70">$B$86*H6</f>
        <v>118500</v>
      </c>
      <c r="I91" s="58">
        <f t="shared" si="70"/>
        <v>363757.05860884371</v>
      </c>
      <c r="J91" s="62">
        <f t="shared" si="70"/>
        <v>0</v>
      </c>
      <c r="K91" s="62">
        <f t="shared" si="70"/>
        <v>25532.693035103533</v>
      </c>
      <c r="L91" s="62">
        <f t="shared" si="70"/>
        <v>53629.003019394004</v>
      </c>
      <c r="M91" s="62">
        <f t="shared" si="70"/>
        <v>101.6808570283381</v>
      </c>
      <c r="N91" s="62">
        <f t="shared" si="70"/>
        <v>1463.7352548535471</v>
      </c>
      <c r="O91" s="62">
        <f t="shared" si="70"/>
        <v>0</v>
      </c>
      <c r="P91" s="62">
        <f t="shared" si="70"/>
        <v>0</v>
      </c>
      <c r="Q91" s="62">
        <f t="shared" si="70"/>
        <v>0</v>
      </c>
      <c r="R91" s="62">
        <f t="shared" si="70"/>
        <v>0</v>
      </c>
      <c r="S91" s="16">
        <f t="shared" si="68"/>
        <v>295945488.73680425</v>
      </c>
      <c r="T91" s="16">
        <f>'Collections and ACP'!H82</f>
        <v>1393741.125</v>
      </c>
      <c r="U91" s="16">
        <f t="shared" si="64"/>
        <v>297339229.86180425</v>
      </c>
      <c r="V91" s="16">
        <f t="shared" si="65"/>
        <v>1036857.2331370802</v>
      </c>
      <c r="W91" s="16">
        <f t="shared" si="66"/>
        <v>296302372.62866718</v>
      </c>
    </row>
    <row r="92" spans="1:23" x14ac:dyDescent="0.3">
      <c r="A92" s="46" t="s">
        <v>49</v>
      </c>
      <c r="B92" s="58">
        <f t="shared" si="62"/>
        <v>0</v>
      </c>
      <c r="C92" s="127">
        <f t="shared" si="62"/>
        <v>86676.298877774898</v>
      </c>
      <c r="D92" s="58">
        <f t="shared" si="62"/>
        <v>241955.05208293497</v>
      </c>
      <c r="E92" s="58">
        <f t="shared" si="62"/>
        <v>41289.053794892818</v>
      </c>
      <c r="F92" s="58">
        <f t="shared" si="62"/>
        <v>41743.888746017234</v>
      </c>
      <c r="G92" s="58"/>
      <c r="H92" s="58">
        <f t="shared" ref="H92:R92" si="71">$B$86*H7</f>
        <v>118500</v>
      </c>
      <c r="I92" s="58">
        <f t="shared" si="71"/>
        <v>349206.77626448992</v>
      </c>
      <c r="J92" s="62">
        <f t="shared" si="71"/>
        <v>0</v>
      </c>
      <c r="K92" s="62">
        <f t="shared" si="71"/>
        <v>25532.693035103533</v>
      </c>
      <c r="L92" s="62">
        <f t="shared" si="71"/>
        <v>53360.858004297035</v>
      </c>
      <c r="M92" s="62">
        <f t="shared" si="71"/>
        <v>101.1724527431964</v>
      </c>
      <c r="N92" s="62">
        <f t="shared" si="71"/>
        <v>1382.4166295839054</v>
      </c>
      <c r="O92" s="62">
        <f t="shared" si="71"/>
        <v>0</v>
      </c>
      <c r="P92" s="62">
        <f t="shared" si="71"/>
        <v>0</v>
      </c>
      <c r="Q92" s="62">
        <f t="shared" si="71"/>
        <v>0</v>
      </c>
      <c r="R92" s="62">
        <f t="shared" si="71"/>
        <v>0</v>
      </c>
      <c r="S92" s="16">
        <f t="shared" si="68"/>
        <v>296302372.62866718</v>
      </c>
      <c r="T92" s="16">
        <f>'Collections and ACP'!H83</f>
        <v>1392507.375</v>
      </c>
      <c r="U92" s="16">
        <f t="shared" si="64"/>
        <v>297694880.00366718</v>
      </c>
      <c r="V92" s="16">
        <f t="shared" si="65"/>
        <v>959748.20988783741</v>
      </c>
      <c r="W92" s="16">
        <f t="shared" si="66"/>
        <v>296735131.79377931</v>
      </c>
    </row>
    <row r="93" spans="1:23" x14ac:dyDescent="0.3">
      <c r="A93" s="46" t="s">
        <v>50</v>
      </c>
      <c r="B93" s="58">
        <f t="shared" si="62"/>
        <v>0</v>
      </c>
      <c r="C93" s="127">
        <f t="shared" si="62"/>
        <v>24792.44374891503</v>
      </c>
      <c r="D93" s="58">
        <f t="shared" si="62"/>
        <v>131789.53127512502</v>
      </c>
      <c r="E93" s="58">
        <f t="shared" si="62"/>
        <v>27021.393115180399</v>
      </c>
      <c r="F93" s="58">
        <f t="shared" si="62"/>
        <v>41601.453039743115</v>
      </c>
      <c r="G93" s="58"/>
      <c r="H93" s="58">
        <f t="shared" ref="H93:R93" si="72">$B$86*H8</f>
        <v>118500</v>
      </c>
      <c r="I93" s="58">
        <f t="shared" si="72"/>
        <v>335238.50521391036</v>
      </c>
      <c r="J93" s="62">
        <f t="shared" si="72"/>
        <v>0</v>
      </c>
      <c r="K93" s="62">
        <f t="shared" si="72"/>
        <v>25532.693035103533</v>
      </c>
      <c r="L93" s="62">
        <f t="shared" si="72"/>
        <v>53094.053714275549</v>
      </c>
      <c r="M93" s="62">
        <f t="shared" si="72"/>
        <v>100.66659047948043</v>
      </c>
      <c r="N93" s="62">
        <f t="shared" si="72"/>
        <v>1382.4166295839054</v>
      </c>
      <c r="O93" s="62">
        <f t="shared" si="72"/>
        <v>0</v>
      </c>
      <c r="P93" s="62">
        <f t="shared" si="72"/>
        <v>900.95436239999765</v>
      </c>
      <c r="Q93" s="62">
        <f t="shared" si="72"/>
        <v>23944.698493496031</v>
      </c>
      <c r="R93" s="62">
        <f t="shared" si="72"/>
        <v>827.80928256491995</v>
      </c>
      <c r="S93" s="16">
        <f t="shared" si="68"/>
        <v>296735131.79377931</v>
      </c>
      <c r="T93" s="16">
        <f>'Collections and ACP'!H84</f>
        <v>1392034.875</v>
      </c>
      <c r="U93" s="16">
        <f t="shared" si="64"/>
        <v>298127166.66877931</v>
      </c>
      <c r="V93" s="16">
        <f t="shared" si="65"/>
        <v>784726.61850077729</v>
      </c>
      <c r="W93" s="16">
        <f t="shared" si="66"/>
        <v>297342440.05027854</v>
      </c>
    </row>
    <row r="94" spans="1:23" x14ac:dyDescent="0.3">
      <c r="A94" s="46" t="s">
        <v>51</v>
      </c>
      <c r="B94" s="58">
        <f t="shared" si="62"/>
        <v>0</v>
      </c>
      <c r="C94" s="127">
        <f t="shared" si="62"/>
        <v>2431.4274149849998</v>
      </c>
      <c r="D94" s="58">
        <f t="shared" si="62"/>
        <v>10753.919641320001</v>
      </c>
      <c r="E94" s="58">
        <f t="shared" si="62"/>
        <v>19470.5731538289</v>
      </c>
      <c r="F94" s="58">
        <f t="shared" si="62"/>
        <v>41647.300123964407</v>
      </c>
      <c r="G94" s="58"/>
      <c r="H94" s="58">
        <f t="shared" ref="H94:R94" si="73">$B$86*H9</f>
        <v>118500</v>
      </c>
      <c r="I94" s="58">
        <f t="shared" si="73"/>
        <v>321828.96500535391</v>
      </c>
      <c r="J94" s="62">
        <f t="shared" si="73"/>
        <v>0</v>
      </c>
      <c r="K94" s="62">
        <f t="shared" si="73"/>
        <v>25532.693035103533</v>
      </c>
      <c r="L94" s="62">
        <f t="shared" si="73"/>
        <v>52828.583445704171</v>
      </c>
      <c r="M94" s="62">
        <f t="shared" si="73"/>
        <v>100.16325752708302</v>
      </c>
      <c r="N94" s="62">
        <f t="shared" si="73"/>
        <v>1382.4166295839054</v>
      </c>
      <c r="O94" s="62">
        <f t="shared" si="73"/>
        <v>0</v>
      </c>
      <c r="P94" s="62">
        <f t="shared" si="73"/>
        <v>-221.26673035200648</v>
      </c>
      <c r="Q94" s="62">
        <f t="shared" si="73"/>
        <v>21523.56656742399</v>
      </c>
      <c r="R94" s="62">
        <f t="shared" si="73"/>
        <v>803.05421740853217</v>
      </c>
      <c r="S94" s="16">
        <f t="shared" si="68"/>
        <v>297342440.05027854</v>
      </c>
      <c r="T94" s="16">
        <f>'Collections and ACP'!H85</f>
        <v>1392250.125</v>
      </c>
      <c r="U94" s="16">
        <f t="shared" si="64"/>
        <v>298734690.17527854</v>
      </c>
      <c r="V94" s="16">
        <f t="shared" si="65"/>
        <v>616581.39576185145</v>
      </c>
      <c r="W94" s="16">
        <f t="shared" si="66"/>
        <v>298118108.7795167</v>
      </c>
    </row>
    <row r="95" spans="1:23" x14ac:dyDescent="0.3">
      <c r="A95" s="46" t="s">
        <v>52</v>
      </c>
      <c r="B95" s="58">
        <f t="shared" si="62"/>
        <v>0</v>
      </c>
      <c r="C95" s="127">
        <f t="shared" si="62"/>
        <v>0</v>
      </c>
      <c r="D95" s="58">
        <f t="shared" si="62"/>
        <v>0</v>
      </c>
      <c r="E95" s="58">
        <f t="shared" si="62"/>
        <v>10618.744176527987</v>
      </c>
      <c r="F95" s="58">
        <f t="shared" si="62"/>
        <v>41772.252913350829</v>
      </c>
      <c r="G95" s="58"/>
      <c r="H95" s="58">
        <f t="shared" ref="H95:R95" si="74">$B$86*H10</f>
        <v>118500</v>
      </c>
      <c r="I95" s="58">
        <f t="shared" si="74"/>
        <v>308955.80640513974</v>
      </c>
      <c r="J95" s="62">
        <f t="shared" si="74"/>
        <v>0</v>
      </c>
      <c r="K95" s="62">
        <f t="shared" si="74"/>
        <v>25532.693035103533</v>
      </c>
      <c r="L95" s="62">
        <f t="shared" si="74"/>
        <v>52564.44052847565</v>
      </c>
      <c r="M95" s="62">
        <f t="shared" si="74"/>
        <v>99.662441239447588</v>
      </c>
      <c r="N95" s="62">
        <f t="shared" si="74"/>
        <v>1382.4166295839054</v>
      </c>
      <c r="O95" s="62">
        <f t="shared" si="74"/>
        <v>0</v>
      </c>
      <c r="P95" s="62">
        <f t="shared" si="74"/>
        <v>-1365.93224495905</v>
      </c>
      <c r="Q95" s="62">
        <f t="shared" si="74"/>
        <v>19080.249315321602</v>
      </c>
      <c r="R95" s="62">
        <f t="shared" si="74"/>
        <v>778.11574889864733</v>
      </c>
      <c r="S95" s="16">
        <f t="shared" si="68"/>
        <v>298118108.7795167</v>
      </c>
      <c r="T95" s="16">
        <f>'Collections and ACP'!H86</f>
        <v>1393344.75</v>
      </c>
      <c r="U95" s="16">
        <f t="shared" si="64"/>
        <v>299511453.5295167</v>
      </c>
      <c r="V95" s="16">
        <f t="shared" si="65"/>
        <v>577918.44894868229</v>
      </c>
      <c r="W95" s="16">
        <f t="shared" si="66"/>
        <v>298933535.08056802</v>
      </c>
    </row>
    <row r="96" spans="1:23" x14ac:dyDescent="0.3">
      <c r="A96" s="46" t="s">
        <v>53</v>
      </c>
      <c r="B96" s="58">
        <f t="shared" si="62"/>
        <v>0</v>
      </c>
      <c r="C96" s="127">
        <f t="shared" si="62"/>
        <v>0</v>
      </c>
      <c r="D96" s="58">
        <f t="shared" si="62"/>
        <v>0</v>
      </c>
      <c r="E96" s="58">
        <f t="shared" si="62"/>
        <v>10613.17345431455</v>
      </c>
      <c r="F96" s="58">
        <f t="shared" si="62"/>
        <v>41976.764160236184</v>
      </c>
      <c r="G96" s="58"/>
      <c r="H96" s="58">
        <f t="shared" ref="H96:R96" si="75">$B$86*H11</f>
        <v>118500</v>
      </c>
      <c r="I96" s="58">
        <f t="shared" si="75"/>
        <v>296597.57414893416</v>
      </c>
      <c r="J96" s="62">
        <f t="shared" si="75"/>
        <v>0</v>
      </c>
      <c r="K96" s="62">
        <f t="shared" si="75"/>
        <v>25532.693035103533</v>
      </c>
      <c r="L96" s="62">
        <f t="shared" si="75"/>
        <v>52301.618325833268</v>
      </c>
      <c r="M96" s="62">
        <f t="shared" si="75"/>
        <v>99.164129033250347</v>
      </c>
      <c r="N96" s="62">
        <f t="shared" si="75"/>
        <v>1382.4166295839054</v>
      </c>
      <c r="O96" s="62">
        <f t="shared" si="75"/>
        <v>0</v>
      </c>
      <c r="P96" s="62">
        <f t="shared" si="75"/>
        <v>-2533.4910698582298</v>
      </c>
      <c r="Q96" s="62">
        <f t="shared" si="75"/>
        <v>16614.346728132681</v>
      </c>
      <c r="R96" s="62">
        <f t="shared" si="75"/>
        <v>752.99021708971168</v>
      </c>
      <c r="S96" s="16">
        <f t="shared" si="68"/>
        <v>298933535.08056802</v>
      </c>
      <c r="T96" s="16">
        <f>'Collections and ACP'!H87</f>
        <v>1394150.625</v>
      </c>
      <c r="U96" s="16">
        <f t="shared" si="64"/>
        <v>300327685.70556802</v>
      </c>
      <c r="V96" s="16">
        <f t="shared" si="65"/>
        <v>561837.24975840317</v>
      </c>
      <c r="W96" s="16">
        <f t="shared" si="66"/>
        <v>299765848.45580959</v>
      </c>
    </row>
    <row r="97" spans="1:23" x14ac:dyDescent="0.3">
      <c r="A97" s="46" t="s">
        <v>54</v>
      </c>
      <c r="B97" s="58">
        <f t="shared" si="62"/>
        <v>0</v>
      </c>
      <c r="C97" s="127">
        <f t="shared" si="62"/>
        <v>0</v>
      </c>
      <c r="D97" s="58">
        <f t="shared" si="62"/>
        <v>0</v>
      </c>
      <c r="E97" s="58">
        <f t="shared" si="62"/>
        <v>10281.080497060042</v>
      </c>
      <c r="F97" s="58">
        <f t="shared" si="62"/>
        <v>42028.817176130615</v>
      </c>
      <c r="G97" s="58"/>
      <c r="H97" s="58">
        <f t="shared" ref="H97:R97" si="76">$B$86*H12</f>
        <v>118500</v>
      </c>
      <c r="I97" s="58">
        <f t="shared" si="76"/>
        <v>284733.6711829768</v>
      </c>
      <c r="J97" s="62">
        <f t="shared" si="76"/>
        <v>0</v>
      </c>
      <c r="K97" s="62">
        <f t="shared" si="76"/>
        <v>0</v>
      </c>
      <c r="L97" s="62">
        <f t="shared" si="76"/>
        <v>52040.110234204098</v>
      </c>
      <c r="M97" s="62">
        <f t="shared" si="76"/>
        <v>98.6683083880841</v>
      </c>
      <c r="N97" s="62">
        <f t="shared" si="76"/>
        <v>1382.4166295839054</v>
      </c>
      <c r="O97" s="62">
        <f t="shared" si="76"/>
        <v>0</v>
      </c>
      <c r="P97" s="62">
        <f t="shared" si="76"/>
        <v>-3724.4010712553945</v>
      </c>
      <c r="Q97" s="62">
        <f t="shared" si="76"/>
        <v>14125.453183904579</v>
      </c>
      <c r="R97" s="62">
        <f t="shared" si="76"/>
        <v>727.67391213916028</v>
      </c>
      <c r="S97" s="16">
        <f t="shared" si="68"/>
        <v>299765848.45580959</v>
      </c>
      <c r="T97" s="16">
        <f>'Collections and ACP'!H88</f>
        <v>1395058.875</v>
      </c>
      <c r="U97" s="16">
        <f t="shared" si="64"/>
        <v>301160907.33080959</v>
      </c>
      <c r="V97" s="16">
        <f t="shared" si="65"/>
        <v>520193.49005313194</v>
      </c>
      <c r="W97" s="16">
        <f t="shared" si="66"/>
        <v>300640713.84075648</v>
      </c>
    </row>
    <row r="98" spans="1:23" x14ac:dyDescent="0.3">
      <c r="A98" s="46" t="s">
        <v>55</v>
      </c>
      <c r="B98" s="58">
        <f t="shared" ref="B98:F107" si="77">$B$86*B13</f>
        <v>0</v>
      </c>
      <c r="C98" s="127">
        <f t="shared" si="77"/>
        <v>0</v>
      </c>
      <c r="D98" s="58">
        <f t="shared" si="77"/>
        <v>0</v>
      </c>
      <c r="E98" s="58">
        <f t="shared" si="77"/>
        <v>10199.185218375638</v>
      </c>
      <c r="F98" s="58">
        <f t="shared" si="77"/>
        <v>42160.991507654231</v>
      </c>
      <c r="G98" s="58"/>
      <c r="H98" s="58">
        <f t="shared" ref="H98:R98" si="78">$B$86*H13</f>
        <v>118500</v>
      </c>
      <c r="I98" s="58">
        <f t="shared" si="78"/>
        <v>273344.3243356577</v>
      </c>
      <c r="J98" s="62">
        <f t="shared" si="78"/>
        <v>0</v>
      </c>
      <c r="K98" s="62">
        <f t="shared" si="78"/>
        <v>0</v>
      </c>
      <c r="L98" s="62">
        <f t="shared" si="78"/>
        <v>51779.909683033082</v>
      </c>
      <c r="M98" s="62">
        <f t="shared" si="78"/>
        <v>98.174966846143676</v>
      </c>
      <c r="N98" s="62">
        <f t="shared" si="78"/>
        <v>0</v>
      </c>
      <c r="O98" s="62">
        <f t="shared" si="78"/>
        <v>0</v>
      </c>
      <c r="P98" s="62">
        <f t="shared" si="78"/>
        <v>-4939.1292726805023</v>
      </c>
      <c r="Q98" s="62">
        <f t="shared" si="78"/>
        <v>11613.157362419866</v>
      </c>
      <c r="R98" s="62">
        <f t="shared" si="78"/>
        <v>702.16307354077173</v>
      </c>
      <c r="S98" s="16">
        <f t="shared" si="68"/>
        <v>300640713.84075648</v>
      </c>
      <c r="T98" s="16">
        <f>'Collections and ACP'!H89</f>
        <v>1396066.875</v>
      </c>
      <c r="U98" s="16">
        <f t="shared" si="64"/>
        <v>302036780.71575648</v>
      </c>
      <c r="V98" s="16">
        <f t="shared" si="65"/>
        <v>503458.77687484695</v>
      </c>
      <c r="W98" s="16">
        <f t="shared" si="66"/>
        <v>301533321.93888164</v>
      </c>
    </row>
    <row r="99" spans="1:23" x14ac:dyDescent="0.3">
      <c r="A99" s="46" t="s">
        <v>56</v>
      </c>
      <c r="B99" s="58">
        <f t="shared" si="77"/>
        <v>0</v>
      </c>
      <c r="C99" s="127">
        <f t="shared" si="77"/>
        <v>0</v>
      </c>
      <c r="D99" s="58">
        <f t="shared" si="77"/>
        <v>0</v>
      </c>
      <c r="E99" s="58">
        <f t="shared" si="77"/>
        <v>10098.758870353553</v>
      </c>
      <c r="F99" s="58">
        <f t="shared" si="77"/>
        <v>42317.617098227194</v>
      </c>
      <c r="G99" s="58"/>
      <c r="H99" s="58">
        <f t="shared" ref="H99:R99" si="79">$B$86*H14</f>
        <v>118500</v>
      </c>
      <c r="I99" s="58">
        <f t="shared" si="79"/>
        <v>262410.55136223137</v>
      </c>
      <c r="J99" s="62">
        <f t="shared" si="79"/>
        <v>0</v>
      </c>
      <c r="K99" s="62">
        <f t="shared" si="79"/>
        <v>0</v>
      </c>
      <c r="L99" s="62">
        <f t="shared" si="79"/>
        <v>51521.010134617907</v>
      </c>
      <c r="M99" s="62">
        <f t="shared" si="79"/>
        <v>97.684092011912981</v>
      </c>
      <c r="N99" s="62">
        <f t="shared" si="79"/>
        <v>0</v>
      </c>
      <c r="O99" s="62">
        <f t="shared" si="79"/>
        <v>0</v>
      </c>
      <c r="P99" s="62">
        <f t="shared" si="79"/>
        <v>-6178.1520381341152</v>
      </c>
      <c r="Q99" s="62">
        <f t="shared" si="79"/>
        <v>9077.0421585646509</v>
      </c>
      <c r="R99" s="62">
        <f t="shared" si="79"/>
        <v>676.45388934671337</v>
      </c>
      <c r="S99" s="16">
        <f t="shared" si="68"/>
        <v>301533321.93888164</v>
      </c>
      <c r="T99" s="16">
        <f>'Collections and ACP'!H90</f>
        <v>1397090.625</v>
      </c>
      <c r="U99" s="16">
        <f t="shared" si="64"/>
        <v>302930412.56388164</v>
      </c>
      <c r="V99" s="16">
        <f t="shared" si="65"/>
        <v>488520.96556721919</v>
      </c>
      <c r="W99" s="16">
        <f t="shared" si="66"/>
        <v>302441891.5983144</v>
      </c>
    </row>
    <row r="100" spans="1:23" x14ac:dyDescent="0.3">
      <c r="A100" s="46" t="s">
        <v>57</v>
      </c>
      <c r="B100" s="58">
        <f t="shared" si="77"/>
        <v>0</v>
      </c>
      <c r="C100" s="127">
        <f t="shared" si="77"/>
        <v>0</v>
      </c>
      <c r="D100" s="58">
        <f t="shared" si="77"/>
        <v>0</v>
      </c>
      <c r="E100" s="58">
        <f t="shared" si="77"/>
        <v>0</v>
      </c>
      <c r="F100" s="58">
        <f t="shared" si="77"/>
        <v>42607.853945964082</v>
      </c>
      <c r="G100" s="58"/>
      <c r="H100" s="58">
        <f t="shared" ref="H100:R100" si="80">$B$86*H15</f>
        <v>118500</v>
      </c>
      <c r="I100" s="58">
        <f t="shared" si="80"/>
        <v>251914.12930774211</v>
      </c>
      <c r="J100" s="62">
        <f t="shared" si="80"/>
        <v>0</v>
      </c>
      <c r="K100" s="62">
        <f t="shared" si="80"/>
        <v>0</v>
      </c>
      <c r="L100" s="62">
        <f t="shared" si="80"/>
        <v>51263.405083944825</v>
      </c>
      <c r="M100" s="62">
        <f t="shared" si="80"/>
        <v>97.195671551853408</v>
      </c>
      <c r="N100" s="62">
        <f t="shared" si="80"/>
        <v>0</v>
      </c>
      <c r="O100" s="62">
        <f t="shared" si="80"/>
        <v>0</v>
      </c>
      <c r="P100" s="62">
        <f t="shared" si="80"/>
        <v>-7441.9552588967981</v>
      </c>
      <c r="Q100" s="62">
        <f t="shared" si="80"/>
        <v>6516.6845944147708</v>
      </c>
      <c r="R100" s="62">
        <f t="shared" si="80"/>
        <v>650.54249537811279</v>
      </c>
      <c r="S100" s="16">
        <f t="shared" si="68"/>
        <v>302441891.5983144</v>
      </c>
      <c r="T100" s="16">
        <f>'Collections and ACP'!H91</f>
        <v>1397702.25</v>
      </c>
      <c r="U100" s="16">
        <f t="shared" si="64"/>
        <v>303839593.8483144</v>
      </c>
      <c r="V100" s="16">
        <f t="shared" si="65"/>
        <v>464107.85584009899</v>
      </c>
      <c r="W100" s="16">
        <f t="shared" si="66"/>
        <v>303375485.99247432</v>
      </c>
    </row>
    <row r="101" spans="1:23" x14ac:dyDescent="0.3">
      <c r="A101" s="46" t="s">
        <v>58</v>
      </c>
      <c r="B101" s="58">
        <f t="shared" si="77"/>
        <v>0</v>
      </c>
      <c r="C101" s="127">
        <f t="shared" si="77"/>
        <v>0</v>
      </c>
      <c r="D101" s="58">
        <f t="shared" si="77"/>
        <v>0</v>
      </c>
      <c r="E101" s="58">
        <f t="shared" si="77"/>
        <v>0</v>
      </c>
      <c r="F101" s="58">
        <f t="shared" si="77"/>
        <v>42676.980465822096</v>
      </c>
      <c r="G101" s="58"/>
      <c r="H101" s="58">
        <f t="shared" ref="H101:R101" si="81">$B$86*H16</f>
        <v>118500</v>
      </c>
      <c r="I101" s="58">
        <f t="shared" si="81"/>
        <v>120918.78206771621</v>
      </c>
      <c r="J101" s="62">
        <f t="shared" si="81"/>
        <v>0</v>
      </c>
      <c r="K101" s="62">
        <f t="shared" si="81"/>
        <v>0</v>
      </c>
      <c r="L101" s="62">
        <f t="shared" si="81"/>
        <v>51007.0880585251</v>
      </c>
      <c r="M101" s="62">
        <f t="shared" si="81"/>
        <v>96.709693194094129</v>
      </c>
      <c r="N101" s="62">
        <f t="shared" si="81"/>
        <v>0</v>
      </c>
      <c r="O101" s="62">
        <f t="shared" si="81"/>
        <v>0</v>
      </c>
      <c r="P101" s="62">
        <f t="shared" si="81"/>
        <v>-8731.0345440747315</v>
      </c>
      <c r="Q101" s="62">
        <f t="shared" si="81"/>
        <v>3931.6557300206268</v>
      </c>
      <c r="R101" s="62">
        <f t="shared" si="81"/>
        <v>624.42497442397939</v>
      </c>
      <c r="S101" s="16">
        <f t="shared" si="68"/>
        <v>303375485.99247432</v>
      </c>
      <c r="T101" s="16">
        <f>'Collections and ACP'!H92</f>
        <v>1398348</v>
      </c>
      <c r="U101" s="16">
        <f t="shared" si="64"/>
        <v>304773833.99247432</v>
      </c>
      <c r="V101" s="16">
        <f t="shared" si="65"/>
        <v>329024.60644562735</v>
      </c>
      <c r="W101" s="16">
        <f t="shared" si="66"/>
        <v>304444809.38602871</v>
      </c>
    </row>
    <row r="102" spans="1:23" x14ac:dyDescent="0.3">
      <c r="A102" s="46" t="s">
        <v>59</v>
      </c>
      <c r="B102" s="58">
        <f t="shared" si="77"/>
        <v>0</v>
      </c>
      <c r="C102" s="127">
        <f t="shared" si="77"/>
        <v>0</v>
      </c>
      <c r="D102" s="58">
        <f t="shared" si="77"/>
        <v>0</v>
      </c>
      <c r="E102" s="58">
        <f t="shared" si="77"/>
        <v>0</v>
      </c>
      <c r="F102" s="58">
        <f t="shared" si="77"/>
        <v>42796.756929787647</v>
      </c>
      <c r="G102" s="58"/>
      <c r="H102" s="58">
        <f t="shared" ref="H102:R102" si="82">$B$86*H17</f>
        <v>118500</v>
      </c>
      <c r="I102" s="58">
        <f t="shared" si="82"/>
        <v>116082.03078500755</v>
      </c>
      <c r="J102" s="62">
        <f t="shared" si="82"/>
        <v>0</v>
      </c>
      <c r="K102" s="62">
        <f t="shared" si="82"/>
        <v>0</v>
      </c>
      <c r="L102" s="62">
        <f t="shared" si="82"/>
        <v>50752.052618232468</v>
      </c>
      <c r="M102" s="62">
        <f t="shared" si="82"/>
        <v>96.226144728123671</v>
      </c>
      <c r="N102" s="62">
        <f t="shared" si="82"/>
        <v>0</v>
      </c>
      <c r="O102" s="62">
        <f t="shared" si="82"/>
        <v>0</v>
      </c>
      <c r="P102" s="62">
        <f t="shared" si="82"/>
        <v>-10045.895414956225</v>
      </c>
      <c r="Q102" s="62">
        <f t="shared" si="82"/>
        <v>1321.5205728712633</v>
      </c>
      <c r="R102" s="62">
        <f t="shared" si="82"/>
        <v>598.09735542830572</v>
      </c>
      <c r="S102" s="16">
        <f t="shared" si="68"/>
        <v>304444809.38602871</v>
      </c>
      <c r="T102" s="16">
        <f>'Collections and ACP'!H93</f>
        <v>1398689.25</v>
      </c>
      <c r="U102" s="16">
        <f t="shared" si="64"/>
        <v>305843498.63602871</v>
      </c>
      <c r="V102" s="16">
        <f t="shared" si="65"/>
        <v>320100.78899109917</v>
      </c>
      <c r="W102" s="16">
        <f t="shared" si="66"/>
        <v>305523397.84703761</v>
      </c>
    </row>
    <row r="103" spans="1:23" x14ac:dyDescent="0.3">
      <c r="A103" s="46" t="s">
        <v>60</v>
      </c>
      <c r="B103" s="58">
        <f t="shared" si="77"/>
        <v>0</v>
      </c>
      <c r="C103" s="127">
        <f t="shared" si="77"/>
        <v>0</v>
      </c>
      <c r="D103" s="58">
        <f t="shared" si="77"/>
        <v>0</v>
      </c>
      <c r="E103" s="58">
        <f t="shared" si="77"/>
        <v>0</v>
      </c>
      <c r="F103" s="58">
        <f t="shared" si="77"/>
        <v>42940.972430495065</v>
      </c>
      <c r="G103" s="58"/>
      <c r="H103" s="58">
        <f t="shared" ref="H103:R103" si="83">$B$86*H18</f>
        <v>118500</v>
      </c>
      <c r="I103" s="58">
        <f t="shared" si="83"/>
        <v>111438.74955360725</v>
      </c>
      <c r="J103" s="62">
        <f t="shared" si="83"/>
        <v>0</v>
      </c>
      <c r="K103" s="62">
        <f t="shared" si="83"/>
        <v>0</v>
      </c>
      <c r="L103" s="62">
        <f t="shared" si="83"/>
        <v>50498.292355141311</v>
      </c>
      <c r="M103" s="62">
        <f t="shared" si="83"/>
        <v>95.745014004483053</v>
      </c>
      <c r="N103" s="62">
        <f t="shared" si="83"/>
        <v>0</v>
      </c>
      <c r="O103" s="62">
        <f t="shared" si="83"/>
        <v>0</v>
      </c>
      <c r="P103" s="62">
        <f t="shared" si="83"/>
        <v>-11387.053503255349</v>
      </c>
      <c r="Q103" s="62">
        <f t="shared" si="83"/>
        <v>-1314.1620139819961</v>
      </c>
      <c r="R103" s="62">
        <f t="shared" si="83"/>
        <v>571.55561266516941</v>
      </c>
      <c r="S103" s="16">
        <f t="shared" si="68"/>
        <v>305523397.84703761</v>
      </c>
      <c r="T103" s="16">
        <f>'Collections and ACP'!H94</f>
        <v>1399411.125</v>
      </c>
      <c r="U103" s="16">
        <f t="shared" si="64"/>
        <v>306922808.97203761</v>
      </c>
      <c r="V103" s="16">
        <f t="shared" si="65"/>
        <v>311344.09944867593</v>
      </c>
      <c r="W103" s="16">
        <f t="shared" si="66"/>
        <v>306611464.87258893</v>
      </c>
    </row>
    <row r="104" spans="1:23" x14ac:dyDescent="0.3">
      <c r="A104" s="46" t="s">
        <v>61</v>
      </c>
      <c r="B104" s="58">
        <f t="shared" si="77"/>
        <v>0</v>
      </c>
      <c r="C104" s="127">
        <f t="shared" si="77"/>
        <v>0</v>
      </c>
      <c r="D104" s="58">
        <f t="shared" si="77"/>
        <v>0</v>
      </c>
      <c r="E104" s="58">
        <f t="shared" si="77"/>
        <v>0</v>
      </c>
      <c r="F104" s="58">
        <f t="shared" si="77"/>
        <v>43129.577973078158</v>
      </c>
      <c r="G104" s="58"/>
      <c r="H104" s="58">
        <f t="shared" ref="H104:R104" si="84">$B$86*H19</f>
        <v>118500</v>
      </c>
      <c r="I104" s="58">
        <f t="shared" si="84"/>
        <v>106981.19957146294</v>
      </c>
      <c r="J104" s="62">
        <f t="shared" si="84"/>
        <v>0</v>
      </c>
      <c r="K104" s="62">
        <f t="shared" si="84"/>
        <v>0</v>
      </c>
      <c r="L104" s="62">
        <f t="shared" si="84"/>
        <v>50245.800893365602</v>
      </c>
      <c r="M104" s="62">
        <f t="shared" si="84"/>
        <v>95.266288934460633</v>
      </c>
      <c r="N104" s="62">
        <f t="shared" si="84"/>
        <v>0</v>
      </c>
      <c r="O104" s="62">
        <f t="shared" si="84"/>
        <v>0</v>
      </c>
      <c r="P104" s="62">
        <f t="shared" si="84"/>
        <v>-12755.034753320455</v>
      </c>
      <c r="Q104" s="62">
        <f t="shared" si="84"/>
        <v>-3975.8394051624191</v>
      </c>
      <c r="R104" s="62">
        <f t="shared" si="84"/>
        <v>544.79566490165746</v>
      </c>
      <c r="S104" s="16">
        <f t="shared" si="68"/>
        <v>306611464.87258893</v>
      </c>
      <c r="T104" s="16">
        <f>'Collections and ACP'!H95</f>
        <v>1399797</v>
      </c>
      <c r="U104" s="16">
        <f t="shared" si="64"/>
        <v>308011261.87258893</v>
      </c>
      <c r="V104" s="16">
        <f t="shared" si="65"/>
        <v>302765.76623325993</v>
      </c>
      <c r="W104" s="16">
        <f t="shared" si="66"/>
        <v>307708496.10635567</v>
      </c>
    </row>
    <row r="105" spans="1:23" x14ac:dyDescent="0.3">
      <c r="A105" s="46" t="s">
        <v>62</v>
      </c>
      <c r="B105" s="58">
        <f t="shared" si="77"/>
        <v>0</v>
      </c>
      <c r="C105" s="127">
        <f t="shared" si="77"/>
        <v>0</v>
      </c>
      <c r="D105" s="58">
        <f t="shared" si="77"/>
        <v>0</v>
      </c>
      <c r="E105" s="58">
        <f t="shared" si="77"/>
        <v>0</v>
      </c>
      <c r="F105" s="58">
        <f t="shared" si="77"/>
        <v>43156.549783011615</v>
      </c>
      <c r="G105" s="58"/>
      <c r="H105" s="58">
        <f t="shared" ref="H105:R105" si="85">$B$86*H20</f>
        <v>118500</v>
      </c>
      <c r="I105" s="58">
        <f t="shared" si="85"/>
        <v>102701.95158860442</v>
      </c>
      <c r="J105" s="62">
        <f t="shared" si="85"/>
        <v>0</v>
      </c>
      <c r="K105" s="62">
        <f t="shared" si="85"/>
        <v>0</v>
      </c>
      <c r="L105" s="62">
        <f t="shared" si="85"/>
        <v>49994.571888898776</v>
      </c>
      <c r="M105" s="62">
        <f t="shared" si="85"/>
        <v>94.789957489788335</v>
      </c>
      <c r="N105" s="62">
        <f t="shared" si="85"/>
        <v>0</v>
      </c>
      <c r="O105" s="62">
        <f t="shared" si="85"/>
        <v>0</v>
      </c>
      <c r="P105" s="62">
        <f t="shared" si="85"/>
        <v>-14150.375628386866</v>
      </c>
      <c r="Q105" s="62">
        <f t="shared" si="85"/>
        <v>-6663.9653075855786</v>
      </c>
      <c r="R105" s="62">
        <f t="shared" si="85"/>
        <v>517.81337454843037</v>
      </c>
      <c r="S105" s="16">
        <f t="shared" si="68"/>
        <v>307708496.10635567</v>
      </c>
      <c r="T105" s="16">
        <f>'Collections and ACP'!H96</f>
        <v>1400135.625</v>
      </c>
      <c r="U105" s="16">
        <f t="shared" si="64"/>
        <v>309108631.73135567</v>
      </c>
      <c r="V105" s="16">
        <f t="shared" si="65"/>
        <v>294151.33565658057</v>
      </c>
      <c r="W105" s="16">
        <f t="shared" si="66"/>
        <v>308814480.39569908</v>
      </c>
    </row>
    <row r="106" spans="1:23" x14ac:dyDescent="0.3">
      <c r="A106" s="46" t="s">
        <v>63</v>
      </c>
      <c r="B106" s="58">
        <f t="shared" si="77"/>
        <v>0</v>
      </c>
      <c r="C106" s="127">
        <f t="shared" si="77"/>
        <v>0</v>
      </c>
      <c r="D106" s="58">
        <f t="shared" si="77"/>
        <v>0</v>
      </c>
      <c r="E106" s="58">
        <f t="shared" si="77"/>
        <v>0</v>
      </c>
      <c r="F106" s="58">
        <f t="shared" si="77"/>
        <v>43285.932697525102</v>
      </c>
      <c r="G106" s="58"/>
      <c r="H106" s="58">
        <f t="shared" ref="H106:R106" si="86">$B$86*H21</f>
        <v>118500</v>
      </c>
      <c r="I106" s="58">
        <f t="shared" si="86"/>
        <v>98593.873525060233</v>
      </c>
      <c r="J106" s="62">
        <f t="shared" si="86"/>
        <v>0</v>
      </c>
      <c r="K106" s="62">
        <f t="shared" si="86"/>
        <v>0</v>
      </c>
      <c r="L106" s="62">
        <f t="shared" si="86"/>
        <v>49744.599029454279</v>
      </c>
      <c r="M106" s="62">
        <f t="shared" si="86"/>
        <v>94.316007702339391</v>
      </c>
      <c r="N106" s="62">
        <f t="shared" si="86"/>
        <v>0</v>
      </c>
      <c r="O106" s="62">
        <f t="shared" si="86"/>
        <v>0</v>
      </c>
      <c r="P106" s="62">
        <f t="shared" si="86"/>
        <v>-15573.623320954603</v>
      </c>
      <c r="Q106" s="62">
        <f t="shared" si="86"/>
        <v>-9378.9998564784091</v>
      </c>
      <c r="R106" s="62">
        <f t="shared" si="86"/>
        <v>490.60454679774142</v>
      </c>
      <c r="S106" s="16">
        <f t="shared" si="68"/>
        <v>308814480.39569908</v>
      </c>
      <c r="T106" s="16">
        <f>'Collections and ACP'!H97</f>
        <v>1400371.875</v>
      </c>
      <c r="U106" s="16">
        <f t="shared" si="64"/>
        <v>310214852.27069908</v>
      </c>
      <c r="V106" s="16">
        <f t="shared" si="65"/>
        <v>285756.70262910664</v>
      </c>
      <c r="W106" s="16">
        <f t="shared" si="66"/>
        <v>309929095.56806999</v>
      </c>
    </row>
    <row r="107" spans="1:23" x14ac:dyDescent="0.3">
      <c r="A107" s="46" t="s">
        <v>64</v>
      </c>
      <c r="B107" s="58">
        <f t="shared" si="77"/>
        <v>0</v>
      </c>
      <c r="C107" s="127">
        <f t="shared" si="77"/>
        <v>0</v>
      </c>
      <c r="D107" s="58">
        <f t="shared" si="77"/>
        <v>0</v>
      </c>
      <c r="E107" s="58">
        <f t="shared" si="77"/>
        <v>0</v>
      </c>
      <c r="F107" s="58">
        <f t="shared" si="77"/>
        <v>43285.932697525102</v>
      </c>
      <c r="G107" s="58"/>
      <c r="H107" s="58">
        <f t="shared" ref="H107:R107" si="87">$B$86*H22</f>
        <v>118500</v>
      </c>
      <c r="I107" s="58">
        <f t="shared" si="87"/>
        <v>94650.118584057826</v>
      </c>
      <c r="J107" s="62">
        <f t="shared" si="87"/>
        <v>0</v>
      </c>
      <c r="K107" s="62">
        <f t="shared" si="87"/>
        <v>0</v>
      </c>
      <c r="L107" s="62">
        <f t="shared" si="87"/>
        <v>49495.87603430701</v>
      </c>
      <c r="M107" s="62">
        <f t="shared" si="87"/>
        <v>93.844427663827688</v>
      </c>
      <c r="N107" s="62">
        <f t="shared" si="87"/>
        <v>0</v>
      </c>
      <c r="O107" s="62">
        <f t="shared" si="87"/>
        <v>0</v>
      </c>
      <c r="P107" s="62">
        <f t="shared" si="87"/>
        <v>-17025.335967373692</v>
      </c>
      <c r="Q107" s="62">
        <f t="shared" si="87"/>
        <v>-12121.409712820687</v>
      </c>
      <c r="R107" s="62">
        <f t="shared" si="87"/>
        <v>463.16492874872455</v>
      </c>
      <c r="S107" s="16"/>
      <c r="T107" s="16"/>
      <c r="U107" s="16"/>
      <c r="V107" s="16"/>
      <c r="W107" s="16"/>
    </row>
    <row r="108" spans="1:23" x14ac:dyDescent="0.3">
      <c r="A108" s="46" t="s">
        <v>65</v>
      </c>
      <c r="B108" s="58">
        <f t="shared" ref="B108:F110" si="88">$B$86*B23</f>
        <v>0</v>
      </c>
      <c r="C108" s="127">
        <f t="shared" si="88"/>
        <v>0</v>
      </c>
      <c r="D108" s="58">
        <f t="shared" si="88"/>
        <v>0</v>
      </c>
      <c r="E108" s="58">
        <f t="shared" si="88"/>
        <v>0</v>
      </c>
      <c r="F108" s="58">
        <f t="shared" si="88"/>
        <v>43285.932697525102</v>
      </c>
      <c r="G108" s="58"/>
      <c r="H108" s="58">
        <f t="shared" ref="H108:R108" si="89">$B$86*H23</f>
        <v>118500</v>
      </c>
      <c r="I108" s="58">
        <f t="shared" si="89"/>
        <v>90864.1138406955</v>
      </c>
      <c r="J108" s="62">
        <f t="shared" si="89"/>
        <v>0</v>
      </c>
      <c r="K108" s="62">
        <f t="shared" si="89"/>
        <v>0</v>
      </c>
      <c r="L108" s="62">
        <f t="shared" si="89"/>
        <v>49248.396654135475</v>
      </c>
      <c r="M108" s="62">
        <f t="shared" si="89"/>
        <v>93.375205525508548</v>
      </c>
      <c r="N108" s="62">
        <f t="shared" si="89"/>
        <v>0</v>
      </c>
      <c r="O108" s="62">
        <f t="shared" si="89"/>
        <v>0</v>
      </c>
      <c r="P108" s="62">
        <f t="shared" si="89"/>
        <v>-18506.082866721164</v>
      </c>
      <c r="Q108" s="62">
        <f t="shared" si="89"/>
        <v>-14891.668162230058</v>
      </c>
      <c r="R108" s="62">
        <f t="shared" si="89"/>
        <v>435.49020851975894</v>
      </c>
      <c r="S108" s="16"/>
      <c r="T108" s="16"/>
      <c r="U108" s="16"/>
      <c r="V108" s="16"/>
      <c r="W108" s="16"/>
    </row>
    <row r="109" spans="1:23" x14ac:dyDescent="0.3">
      <c r="A109" s="46" t="s">
        <v>66</v>
      </c>
      <c r="B109" s="58">
        <f t="shared" si="88"/>
        <v>0</v>
      </c>
      <c r="C109" s="127">
        <f t="shared" si="88"/>
        <v>0</v>
      </c>
      <c r="D109" s="58">
        <f t="shared" si="88"/>
        <v>0</v>
      </c>
      <c r="E109" s="58">
        <f t="shared" si="88"/>
        <v>0</v>
      </c>
      <c r="F109" s="58">
        <f t="shared" si="88"/>
        <v>43285.932697525102</v>
      </c>
      <c r="G109" s="58"/>
      <c r="H109" s="58">
        <f t="shared" ref="H109:R109" si="90">$B$86*H24</f>
        <v>118500</v>
      </c>
      <c r="I109" s="58">
        <f t="shared" si="90"/>
        <v>0</v>
      </c>
      <c r="J109" s="62">
        <f t="shared" si="90"/>
        <v>0</v>
      </c>
      <c r="K109" s="62">
        <f t="shared" si="90"/>
        <v>0</v>
      </c>
      <c r="L109" s="62">
        <f t="shared" si="90"/>
        <v>49002.154670864795</v>
      </c>
      <c r="M109" s="62">
        <f t="shared" si="90"/>
        <v>92.908329497881013</v>
      </c>
      <c r="N109" s="62">
        <f t="shared" si="90"/>
        <v>0</v>
      </c>
      <c r="O109" s="62">
        <f t="shared" si="90"/>
        <v>0</v>
      </c>
      <c r="P109" s="62">
        <f t="shared" si="90"/>
        <v>-20016.444704055582</v>
      </c>
      <c r="Q109" s="62">
        <f t="shared" si="90"/>
        <v>-17690.255215312187</v>
      </c>
      <c r="R109" s="62">
        <f t="shared" si="90"/>
        <v>407.57601434771834</v>
      </c>
      <c r="S109" s="16"/>
      <c r="T109" s="16"/>
      <c r="U109" s="16"/>
      <c r="V109" s="16"/>
      <c r="W109" s="16"/>
    </row>
    <row r="110" spans="1:23" x14ac:dyDescent="0.3">
      <c r="A110" s="46" t="s">
        <v>67</v>
      </c>
      <c r="B110" s="58">
        <f t="shared" si="88"/>
        <v>0</v>
      </c>
      <c r="C110" s="127">
        <f t="shared" si="88"/>
        <v>0</v>
      </c>
      <c r="D110" s="58">
        <f t="shared" si="88"/>
        <v>0</v>
      </c>
      <c r="E110" s="58">
        <f t="shared" si="88"/>
        <v>0</v>
      </c>
      <c r="F110" s="58">
        <f t="shared" si="88"/>
        <v>43285.932697525102</v>
      </c>
      <c r="G110" s="58"/>
      <c r="H110" s="58">
        <f t="shared" ref="H110:R110" si="91">$B$86*H25</f>
        <v>118500</v>
      </c>
      <c r="I110" s="58">
        <f t="shared" si="91"/>
        <v>0</v>
      </c>
      <c r="J110" s="62">
        <f t="shared" si="91"/>
        <v>0</v>
      </c>
      <c r="K110" s="62">
        <f t="shared" si="91"/>
        <v>0</v>
      </c>
      <c r="L110" s="62">
        <f t="shared" si="91"/>
        <v>48757.143897510476</v>
      </c>
      <c r="M110" s="62">
        <f t="shared" si="91"/>
        <v>0</v>
      </c>
      <c r="N110" s="62">
        <f t="shared" si="91"/>
        <v>0</v>
      </c>
      <c r="O110" s="62">
        <f t="shared" si="91"/>
        <v>0</v>
      </c>
      <c r="P110" s="62">
        <f t="shared" si="91"/>
        <v>-21557.01377813669</v>
      </c>
      <c r="Q110" s="62">
        <f t="shared" si="91"/>
        <v>-20517.657709497918</v>
      </c>
      <c r="R110" s="62">
        <f t="shared" si="91"/>
        <v>379.41791367390925</v>
      </c>
      <c r="S110" s="16"/>
      <c r="T110" s="16"/>
      <c r="U110" s="16"/>
      <c r="V110" s="16"/>
      <c r="W110" s="16"/>
    </row>
  </sheetData>
  <printOptions horizontalCentered="1" verticalCentered="1"/>
  <pageMargins left="0.7" right="0.7" top="0.75" bottom="0.75" header="0.3" footer="0.3"/>
  <pageSetup scale="26" orientation="landscape" r:id="rId1"/>
  <headerFooter>
    <oddHeader>&amp;A</oddHeader>
  </headerFooter>
  <rowBreaks count="3" manualBreakCount="3">
    <brk id="27" max="16383" man="1"/>
    <brk id="55" max="16383" man="1"/>
    <brk id="84"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0C427-8EE0-461B-BE02-8A6A90C556CC}">
  <dimension ref="A1:W110"/>
  <sheetViews>
    <sheetView zoomScaleNormal="100" workbookViewId="0"/>
  </sheetViews>
  <sheetFormatPr defaultRowHeight="14.4" x14ac:dyDescent="0.3"/>
  <cols>
    <col min="1" max="1" width="17.44140625" bestFit="1" customWidth="1"/>
    <col min="2" max="2" width="16.88671875" bestFit="1" customWidth="1"/>
    <col min="3" max="3" width="16.77734375" bestFit="1" customWidth="1"/>
    <col min="4" max="4" width="16.44140625" bestFit="1" customWidth="1"/>
    <col min="5" max="5" width="12.77734375" bestFit="1" customWidth="1"/>
    <col min="6" max="6" width="14.77734375" bestFit="1" customWidth="1"/>
    <col min="7" max="7" width="16.44140625" bestFit="1" customWidth="1"/>
    <col min="8" max="8" width="12.77734375" bestFit="1" customWidth="1"/>
    <col min="9" max="9" width="29" bestFit="1" customWidth="1"/>
    <col min="10" max="10" width="17.5546875" bestFit="1" customWidth="1"/>
    <col min="11" max="11" width="24" bestFit="1" customWidth="1"/>
    <col min="12" max="12" width="36" bestFit="1" customWidth="1"/>
    <col min="13" max="13" width="19.6640625" bestFit="1" customWidth="1"/>
    <col min="14" max="14" width="45.109375" bestFit="1" customWidth="1"/>
    <col min="15" max="15" width="32.44140625" bestFit="1" customWidth="1"/>
    <col min="16" max="16" width="14.77734375" bestFit="1" customWidth="1"/>
    <col min="17" max="17" width="15.5546875" bestFit="1" customWidth="1"/>
    <col min="18" max="18" width="14.21875" bestFit="1" customWidth="1"/>
    <col min="19" max="19" width="19.44140625" bestFit="1" customWidth="1"/>
    <col min="20" max="20" width="14" bestFit="1" customWidth="1"/>
    <col min="21" max="21" width="15.77734375" bestFit="1" customWidth="1"/>
    <col min="22" max="22" width="16.109375" bestFit="1" customWidth="1"/>
    <col min="23" max="23" width="17.21875" bestFit="1" customWidth="1"/>
    <col min="24" max="24" width="11.77734375" bestFit="1" customWidth="1"/>
    <col min="25" max="26" width="13.21875" bestFit="1" customWidth="1"/>
    <col min="27" max="28" width="11.77734375" bestFit="1" customWidth="1"/>
  </cols>
  <sheetData>
    <row r="1" spans="1:23" x14ac:dyDescent="0.3">
      <c r="A1" s="125" t="s">
        <v>132</v>
      </c>
    </row>
    <row r="2" spans="1:23" ht="57.6" x14ac:dyDescent="0.3">
      <c r="A2" s="53" t="s">
        <v>43</v>
      </c>
      <c r="B2" s="53" t="s">
        <v>125</v>
      </c>
      <c r="C2" s="53" t="s">
        <v>116</v>
      </c>
      <c r="D2" s="53" t="s">
        <v>117</v>
      </c>
      <c r="E2" s="53" t="s">
        <v>118</v>
      </c>
      <c r="F2" s="53" t="s">
        <v>275</v>
      </c>
      <c r="G2" s="53" t="s">
        <v>44</v>
      </c>
      <c r="H2" s="53" t="s">
        <v>119</v>
      </c>
      <c r="I2" s="53" t="s">
        <v>126</v>
      </c>
      <c r="J2" s="53" t="s">
        <v>6</v>
      </c>
      <c r="K2" s="53" t="s">
        <v>12</v>
      </c>
      <c r="L2" s="53" t="s">
        <v>21</v>
      </c>
      <c r="M2" s="53" t="s">
        <v>25</v>
      </c>
      <c r="N2" s="53" t="s">
        <v>29</v>
      </c>
      <c r="O2" s="53" t="s">
        <v>33</v>
      </c>
      <c r="P2" s="53" t="s">
        <v>40</v>
      </c>
      <c r="Q2" s="53" t="s">
        <v>41</v>
      </c>
      <c r="R2" s="53" t="s">
        <v>42</v>
      </c>
      <c r="S2" s="54" t="s">
        <v>131</v>
      </c>
      <c r="T2" s="54" t="s">
        <v>128</v>
      </c>
      <c r="U2" s="54" t="s">
        <v>122</v>
      </c>
      <c r="V2" s="53" t="s">
        <v>123</v>
      </c>
      <c r="W2" s="53" t="s">
        <v>124</v>
      </c>
    </row>
    <row r="3" spans="1:23" x14ac:dyDescent="0.3">
      <c r="A3" s="46" t="s">
        <v>45</v>
      </c>
      <c r="B3" s="127">
        <f>'RPS Spend Model'!B3</f>
        <v>138157520.02999988</v>
      </c>
      <c r="C3" s="127">
        <f>'RPS Spend Model'!C3</f>
        <v>61618522.018500008</v>
      </c>
      <c r="D3" s="127">
        <f>'RPS Spend Model'!D3</f>
        <v>33495698.546500009</v>
      </c>
      <c r="E3" s="58">
        <f>'RPS Spend Model'!E3</f>
        <v>30848359.600711424</v>
      </c>
      <c r="F3" s="58">
        <f>'RPS Spend Model'!F3</f>
        <v>6757080.0219020871</v>
      </c>
      <c r="G3" s="58">
        <f>'RPS Spend Model'!G3</f>
        <v>0</v>
      </c>
      <c r="H3" s="58">
        <f>'RPS Spend Model'!H3</f>
        <v>11261800.036503479</v>
      </c>
      <c r="I3" s="58">
        <f>'RPS Spend Model'!J3</f>
        <v>0</v>
      </c>
      <c r="J3" s="62"/>
      <c r="K3" s="62"/>
      <c r="L3" s="62"/>
      <c r="M3" s="62"/>
      <c r="N3" s="62"/>
      <c r="O3" s="62"/>
      <c r="P3" s="62"/>
      <c r="Q3" s="62"/>
      <c r="R3" s="62"/>
      <c r="S3" s="16">
        <f>'Collections and ACP'!E158+'Collections and ACP'!E155</f>
        <v>460710682.26743871</v>
      </c>
      <c r="T3" s="16">
        <f>'Collections and ACP'!H111</f>
        <v>225236000.73006958</v>
      </c>
      <c r="U3" s="16">
        <f t="shared" ref="U3:U21" si="0">S3+T3</f>
        <v>685946682.99750829</v>
      </c>
      <c r="V3" s="16">
        <f t="shared" ref="V3:V21" si="1">SUM(B3:R3)</f>
        <v>282138980.25411689</v>
      </c>
      <c r="W3" s="16">
        <f t="shared" ref="W3:W21" si="2">U3-V3</f>
        <v>403807702.74339139</v>
      </c>
    </row>
    <row r="4" spans="1:23" x14ac:dyDescent="0.3">
      <c r="A4" s="46" t="s">
        <v>46</v>
      </c>
      <c r="B4" s="127">
        <f>'RPS Spend Model'!B4</f>
        <v>38051984.68000003</v>
      </c>
      <c r="C4" s="127">
        <f>'RPS Spend Model'!C4</f>
        <v>66127610.762499928</v>
      </c>
      <c r="D4" s="127">
        <f>'RPS Spend Model'!D4</f>
        <v>117265055.35150005</v>
      </c>
      <c r="E4" s="58">
        <f>'RPS Spend Model'!E4</f>
        <v>24142255.383493654</v>
      </c>
      <c r="F4" s="58">
        <f>'RPS Spend Model'!F4</f>
        <v>13942135.092404015</v>
      </c>
      <c r="G4" s="58">
        <f>'RPS Spend Model'!G4</f>
        <v>10000000</v>
      </c>
      <c r="H4" s="58">
        <f>'RPS Spend Model'!H4</f>
        <v>50000000</v>
      </c>
      <c r="I4" s="58">
        <f>'RPS Spend Model'!J4</f>
        <v>0</v>
      </c>
      <c r="J4" s="62"/>
      <c r="K4" s="62"/>
      <c r="L4" s="62"/>
      <c r="M4" s="62"/>
      <c r="N4" s="62"/>
      <c r="O4" s="62"/>
      <c r="P4" s="62"/>
      <c r="Q4" s="62"/>
      <c r="R4" s="62"/>
      <c r="S4" s="16">
        <f t="shared" ref="S4:S21" si="3">W3</f>
        <v>403807702.74339139</v>
      </c>
      <c r="T4" s="16">
        <f>'Collections and ACP'!H112</f>
        <v>464737836.41346717</v>
      </c>
      <c r="U4" s="16">
        <f t="shared" si="0"/>
        <v>868545539.15685856</v>
      </c>
      <c r="V4" s="16">
        <f t="shared" si="1"/>
        <v>319529041.2698977</v>
      </c>
      <c r="W4" s="16">
        <f t="shared" si="2"/>
        <v>549016497.88696086</v>
      </c>
    </row>
    <row r="5" spans="1:23" x14ac:dyDescent="0.3">
      <c r="A5" s="46" t="s">
        <v>47</v>
      </c>
      <c r="B5" s="127">
        <f>'RPS Spend Model'!B5</f>
        <v>4865292.2499999972</v>
      </c>
      <c r="C5" s="127">
        <f>'RPS Spend Model'!C5</f>
        <v>65210004.015499882</v>
      </c>
      <c r="D5" s="127">
        <f>'RPS Spend Model'!D5</f>
        <v>110152969.75599998</v>
      </c>
      <c r="E5" s="58">
        <f>'RPS Spend Model'!E5</f>
        <v>22062344.595163539</v>
      </c>
      <c r="F5" s="58">
        <f>'RPS Spend Model'!F5</f>
        <v>17623889.827927504</v>
      </c>
      <c r="G5" s="58">
        <f>'RPS Spend Model'!G5</f>
        <v>0</v>
      </c>
      <c r="H5" s="58">
        <f>'RPS Spend Model'!H5</f>
        <v>50000000</v>
      </c>
      <c r="I5" s="58">
        <f>'RPS Spend Model'!J5</f>
        <v>335733555.14188653</v>
      </c>
      <c r="J5" s="62">
        <f>'Total REC Spend Activities'!B288</f>
        <v>196896443.51041692</v>
      </c>
      <c r="K5" s="62">
        <f>'Total REC Spend Activities'!B289</f>
        <v>25347753.897498447</v>
      </c>
      <c r="L5" s="62">
        <f>'Total REC Spend Activities'!B290</f>
        <v>0</v>
      </c>
      <c r="M5" s="62">
        <f>'Total REC Spend Activities'!B291</f>
        <v>18094414.836347114</v>
      </c>
      <c r="N5" s="62">
        <f>'Total REC Spend Activities'!B292</f>
        <v>0</v>
      </c>
      <c r="O5" s="62">
        <f>'Total REC Spend Activities'!B293</f>
        <v>19783279.830774501</v>
      </c>
      <c r="P5" s="62">
        <f>'Total REC Spend Activities'!B294</f>
        <v>0</v>
      </c>
      <c r="Q5" s="62">
        <f>'Total REC Spend Activities'!B295</f>
        <v>0</v>
      </c>
      <c r="R5" s="62">
        <f>'Total REC Spend Activities'!B296</f>
        <v>0</v>
      </c>
      <c r="S5" s="16">
        <f t="shared" si="3"/>
        <v>549016497.88696086</v>
      </c>
      <c r="T5" s="16">
        <f>'Collections and ACP'!H113</f>
        <v>587462994.26425016</v>
      </c>
      <c r="U5" s="16">
        <f t="shared" si="0"/>
        <v>1136479492.151211</v>
      </c>
      <c r="V5" s="16">
        <f t="shared" si="1"/>
        <v>865769947.66151464</v>
      </c>
      <c r="W5" s="16">
        <f t="shared" si="2"/>
        <v>270709544.48969638</v>
      </c>
    </row>
    <row r="6" spans="1:23" x14ac:dyDescent="0.3">
      <c r="A6" s="46" t="s">
        <v>48</v>
      </c>
      <c r="B6" s="127">
        <f>'RPS Spend Model'!B6</f>
        <v>0</v>
      </c>
      <c r="C6" s="127">
        <f>'RPS Spend Model'!C6</f>
        <v>58693888.428999938</v>
      </c>
      <c r="D6" s="127">
        <f>'RPS Spend Model'!D6</f>
        <v>105861890.434</v>
      </c>
      <c r="E6" s="58">
        <f>'RPS Spend Model'!E6</f>
        <v>17721007.415898785</v>
      </c>
      <c r="F6" s="58">
        <f>'RPS Spend Model'!F6</f>
        <v>17669653.536230855</v>
      </c>
      <c r="G6" s="58">
        <f>'RPS Spend Model'!G6</f>
        <v>0</v>
      </c>
      <c r="H6" s="58">
        <f>'RPS Spend Model'!H6</f>
        <v>50000000</v>
      </c>
      <c r="I6" s="58">
        <f>'RPS Spend Model'!J6</f>
        <v>153483990.97419566</v>
      </c>
      <c r="J6" s="62">
        <f>'Total REC Spend Activities'!C288</f>
        <v>153483990.97419566</v>
      </c>
      <c r="K6" s="62">
        <f>'Total REC Spend Activities'!C289</f>
        <v>40409436.757454984</v>
      </c>
      <c r="L6" s="62">
        <f>'Total REC Spend Activities'!C290</f>
        <v>12854593.901951998</v>
      </c>
      <c r="M6" s="62">
        <f>'Total REC Spend Activities'!C291</f>
        <v>25998942.703223471</v>
      </c>
      <c r="N6" s="62">
        <f>'Total REC Spend Activities'!C292</f>
        <v>8853984.2387289014</v>
      </c>
      <c r="O6" s="62">
        <f>'Total REC Spend Activities'!C293</f>
        <v>26919154.433973588</v>
      </c>
      <c r="P6" s="62">
        <f>'Total REC Spend Activities'!C294</f>
        <v>0</v>
      </c>
      <c r="Q6" s="62">
        <f>'Total REC Spend Activities'!C295</f>
        <v>0</v>
      </c>
      <c r="R6" s="62">
        <f>'Total REC Spend Activities'!C296</f>
        <v>0</v>
      </c>
      <c r="S6" s="16">
        <f t="shared" si="3"/>
        <v>270709544.48969638</v>
      </c>
      <c r="T6" s="16">
        <f>'Collections and ACP'!H114</f>
        <v>588988451.20769513</v>
      </c>
      <c r="U6" s="16">
        <f t="shared" si="0"/>
        <v>859697995.69739151</v>
      </c>
      <c r="V6" s="16">
        <f t="shared" si="1"/>
        <v>671950533.79885387</v>
      </c>
      <c r="W6" s="16">
        <f t="shared" si="2"/>
        <v>187747461.89853764</v>
      </c>
    </row>
    <row r="7" spans="1:23" x14ac:dyDescent="0.3">
      <c r="A7" s="46" t="s">
        <v>49</v>
      </c>
      <c r="B7" s="127">
        <f>'RPS Spend Model'!B7</f>
        <v>0</v>
      </c>
      <c r="C7" s="127">
        <f>'RPS Spend Model'!C7</f>
        <v>36572278.007499956</v>
      </c>
      <c r="D7" s="127">
        <f>'RPS Spend Model'!D7</f>
        <v>102090739.27549998</v>
      </c>
      <c r="E7" s="58">
        <f>'RPS Spend Model'!E7</f>
        <v>17421541.685608782</v>
      </c>
      <c r="F7" s="58">
        <f>'RPS Spend Model'!F7</f>
        <v>17613455.167095877</v>
      </c>
      <c r="G7" s="58">
        <f>'RPS Spend Model'!G7</f>
        <v>10000000</v>
      </c>
      <c r="H7" s="58">
        <f>'RPS Spend Model'!H7</f>
        <v>50000000</v>
      </c>
      <c r="I7" s="58">
        <f>'RPS Spend Model'!J7</f>
        <v>147344631.33522782</v>
      </c>
      <c r="J7" s="62">
        <f>'Total REC Spend Activities'!D288</f>
        <v>0</v>
      </c>
      <c r="K7" s="62">
        <f>'Total REC Spend Activities'!D289</f>
        <v>39494442.790242895</v>
      </c>
      <c r="L7" s="62">
        <f>'Total REC Spend Activities'!D290</f>
        <v>26937444.251235515</v>
      </c>
      <c r="M7" s="62">
        <f>'Total REC Spend Activities'!D291</f>
        <v>25868947.989707347</v>
      </c>
      <c r="N7" s="62">
        <f>'Total REC Spend Activities'!D292</f>
        <v>14832952.261839781</v>
      </c>
      <c r="O7" s="62">
        <f>'Total REC Spend Activities'!D293</f>
        <v>26461657.450367544</v>
      </c>
      <c r="P7" s="62">
        <f>'Total REC Spend Activities'!D294</f>
        <v>0</v>
      </c>
      <c r="Q7" s="62">
        <f>'Total REC Spend Activities'!D295</f>
        <v>0</v>
      </c>
      <c r="R7" s="62">
        <f>'Total REC Spend Activities'!D296</f>
        <v>0</v>
      </c>
      <c r="S7" s="16">
        <f t="shared" si="3"/>
        <v>187747461.89853764</v>
      </c>
      <c r="T7" s="16">
        <f>'Collections and ACP'!H115</f>
        <v>587115172.23652923</v>
      </c>
      <c r="U7" s="16">
        <f t="shared" si="0"/>
        <v>774862634.13506687</v>
      </c>
      <c r="V7" s="16">
        <f t="shared" si="1"/>
        <v>514638090.21432549</v>
      </c>
      <c r="W7" s="16">
        <f t="shared" si="2"/>
        <v>260224543.92074138</v>
      </c>
    </row>
    <row r="8" spans="1:23" x14ac:dyDescent="0.3">
      <c r="A8" s="46" t="s">
        <v>50</v>
      </c>
      <c r="B8" s="127">
        <f>'RPS Spend Model'!B8</f>
        <v>0</v>
      </c>
      <c r="C8" s="127">
        <f>'RPS Spend Model'!C8</f>
        <v>10460946.729500012</v>
      </c>
      <c r="D8" s="127">
        <f>'RPS Spend Model'!D8</f>
        <v>55607397.162500009</v>
      </c>
      <c r="E8" s="58">
        <f>'RPS Spend Model'!E8</f>
        <v>11401431.694168944</v>
      </c>
      <c r="F8" s="58">
        <f>'RPS Spend Model'!F8</f>
        <v>17553355.712971777</v>
      </c>
      <c r="G8" s="58">
        <f>'RPS Spend Model'!G8</f>
        <v>0</v>
      </c>
      <c r="H8" s="58">
        <f>'RPS Spend Model'!H8</f>
        <v>50000000</v>
      </c>
      <c r="I8" s="58">
        <f>'RPS Spend Model'!J8</f>
        <v>141450846.0818187</v>
      </c>
      <c r="J8" s="62">
        <f>'Total REC Spend Activities'!E288</f>
        <v>0</v>
      </c>
      <c r="K8" s="62">
        <f>'Total REC Spend Activities'!E289</f>
        <v>39494442.790242895</v>
      </c>
      <c r="L8" s="62">
        <f>'Total REC Spend Activities'!E290</f>
        <v>26802757.029979333</v>
      </c>
      <c r="M8" s="62">
        <f>'Total REC Spend Activities'!E291</f>
        <v>25739603.249758814</v>
      </c>
      <c r="N8" s="62">
        <f>'Total REC Spend Activities'!E292</f>
        <v>14473460.259819025</v>
      </c>
      <c r="O8" s="62">
        <f>'Total REC Spend Activities'!E293</f>
        <v>26461657.450367544</v>
      </c>
      <c r="P8" s="62">
        <f>'Total REC Spend Activities'!E294</f>
        <v>0</v>
      </c>
      <c r="Q8" s="62">
        <f>'Total REC Spend Activities'!E295</f>
        <v>10053578.773159996</v>
      </c>
      <c r="R8" s="62">
        <f>'Total REC Spend Activities'!E296</f>
        <v>2030698.8453239996</v>
      </c>
      <c r="S8" s="16">
        <f t="shared" si="3"/>
        <v>260224543.92074138</v>
      </c>
      <c r="T8" s="16">
        <f>'Collections and ACP'!H116</f>
        <v>585111857.09905922</v>
      </c>
      <c r="U8" s="16">
        <f t="shared" si="0"/>
        <v>845336401.01980066</v>
      </c>
      <c r="V8" s="16">
        <f t="shared" si="1"/>
        <v>431530175.77961111</v>
      </c>
      <c r="W8" s="16">
        <f t="shared" si="2"/>
        <v>413806225.24018955</v>
      </c>
    </row>
    <row r="9" spans="1:23" x14ac:dyDescent="0.3">
      <c r="A9" s="46" t="s">
        <v>51</v>
      </c>
      <c r="B9" s="127">
        <f>'RPS Spend Model'!B9</f>
        <v>0</v>
      </c>
      <c r="C9" s="127">
        <f>'RPS Spend Model'!C9</f>
        <v>1025918.7404999998</v>
      </c>
      <c r="D9" s="127">
        <f>'RPS Spend Model'!D9</f>
        <v>4537518.8360000001</v>
      </c>
      <c r="E9" s="58">
        <f>'RPS Spend Model'!E9</f>
        <v>8215431.7104763286</v>
      </c>
      <c r="F9" s="58">
        <f>'RPS Spend Model'!F9</f>
        <v>17572700.474246584</v>
      </c>
      <c r="G9" s="58">
        <f>'RPS Spend Model'!G9</f>
        <v>0</v>
      </c>
      <c r="H9" s="58">
        <f>'RPS Spend Model'!H9</f>
        <v>50000000</v>
      </c>
      <c r="I9" s="58">
        <f>'RPS Spend Model'!J9</f>
        <v>135792812.23854595</v>
      </c>
      <c r="J9" s="62">
        <f>'Total REC Spend Activities'!F288</f>
        <v>0</v>
      </c>
      <c r="K9" s="62">
        <f>'Total REC Spend Activities'!F289</f>
        <v>39494442.790242895</v>
      </c>
      <c r="L9" s="62">
        <f>'Total REC Spend Activities'!F290</f>
        <v>26668743.244829439</v>
      </c>
      <c r="M9" s="62">
        <f>'Total REC Spend Activities'!F291</f>
        <v>25610905.233510017</v>
      </c>
      <c r="N9" s="62">
        <f>'Total REC Spend Activities'!F292</f>
        <v>14473460.259819025</v>
      </c>
      <c r="O9" s="62">
        <f>'Total REC Spend Activities'!F293</f>
        <v>26461657.450367544</v>
      </c>
      <c r="P9" s="62">
        <f>'Total REC Spend Activities'!F294</f>
        <v>2950290.8399999905</v>
      </c>
      <c r="Q9" s="62">
        <f>'Total REC Spend Activities'!F295</f>
        <v>20521456.51213187</v>
      </c>
      <c r="R9" s="62">
        <f>'Total REC Spend Activities'!F296</f>
        <v>5352021.6071203463</v>
      </c>
      <c r="S9" s="16">
        <f t="shared" si="3"/>
        <v>413806225.24018955</v>
      </c>
      <c r="T9" s="16">
        <f>'Collections and ACP'!H117</f>
        <v>585756682.47488618</v>
      </c>
      <c r="U9" s="16">
        <f t="shared" si="0"/>
        <v>999562907.71507573</v>
      </c>
      <c r="V9" s="16">
        <f t="shared" si="1"/>
        <v>378677359.93778998</v>
      </c>
      <c r="W9" s="16">
        <f t="shared" si="2"/>
        <v>620885547.77728581</v>
      </c>
    </row>
    <row r="10" spans="1:23" x14ac:dyDescent="0.3">
      <c r="A10" s="46" t="s">
        <v>52</v>
      </c>
      <c r="B10" s="127">
        <f>'RPS Spend Model'!B10</f>
        <v>0</v>
      </c>
      <c r="C10" s="127">
        <f>'RPS Spend Model'!C10</f>
        <v>0</v>
      </c>
      <c r="D10" s="127">
        <f>'RPS Spend Model'!D10</f>
        <v>0</v>
      </c>
      <c r="E10" s="58">
        <f>'RPS Spend Model'!E10</f>
        <v>4480482.7749063233</v>
      </c>
      <c r="F10" s="58">
        <f>'RPS Spend Model'!F10</f>
        <v>17625423.170190223</v>
      </c>
      <c r="G10" s="58">
        <f>'RPS Spend Model'!G10</f>
        <v>10000000</v>
      </c>
      <c r="H10" s="58">
        <f>'RPS Spend Model'!H10</f>
        <v>50000000</v>
      </c>
      <c r="I10" s="58">
        <f>'RPS Spend Model'!J10</f>
        <v>130361099.74900411</v>
      </c>
      <c r="J10" s="62">
        <f>'Total REC Spend Activities'!G288</f>
        <v>0</v>
      </c>
      <c r="K10" s="62">
        <f>'Total REC Spend Activities'!G289</f>
        <v>39494442.790242895</v>
      </c>
      <c r="L10" s="62">
        <f>'Total REC Spend Activities'!G290</f>
        <v>26535399.528605293</v>
      </c>
      <c r="M10" s="62">
        <f>'Total REC Spend Activities'!G291</f>
        <v>25482850.707342468</v>
      </c>
      <c r="N10" s="62">
        <f>'Total REC Spend Activities'!G292</f>
        <v>14473460.259819025</v>
      </c>
      <c r="O10" s="62">
        <f>'Total REC Spend Activities'!G293</f>
        <v>26461657.450367544</v>
      </c>
      <c r="P10" s="62">
        <f>'Total REC Spend Activities'!G294</f>
        <v>-724566.34320002072</v>
      </c>
      <c r="Q10" s="62">
        <f>'Total REC Spend Activities'!G295</f>
        <v>18334358.482065752</v>
      </c>
      <c r="R10" s="62">
        <f>'Total REC Spend Activities'!G296</f>
        <v>5189707.2002656516</v>
      </c>
      <c r="S10" s="16">
        <f t="shared" si="3"/>
        <v>620885547.77728581</v>
      </c>
      <c r="T10" s="16">
        <f>'Collections and ACP'!H118</f>
        <v>587514105.67300749</v>
      </c>
      <c r="U10" s="16">
        <f t="shared" si="0"/>
        <v>1208399653.4502933</v>
      </c>
      <c r="V10" s="16">
        <f t="shared" si="1"/>
        <v>367714315.76960927</v>
      </c>
      <c r="W10" s="16">
        <f t="shared" si="2"/>
        <v>840685337.68068409</v>
      </c>
    </row>
    <row r="11" spans="1:23" x14ac:dyDescent="0.3">
      <c r="A11" s="46" t="s">
        <v>53</v>
      </c>
      <c r="B11" s="127">
        <f>'RPS Spend Model'!B11</f>
        <v>0</v>
      </c>
      <c r="C11" s="127">
        <f>'RPS Spend Model'!C11</f>
        <v>0</v>
      </c>
      <c r="D11" s="127">
        <f>'RPS Spend Model'!D11</f>
        <v>0</v>
      </c>
      <c r="E11" s="58">
        <f>'RPS Spend Model'!E11</f>
        <v>4478132.259204451</v>
      </c>
      <c r="F11" s="58">
        <f>'RPS Spend Model'!F11</f>
        <v>17711714.835542694</v>
      </c>
      <c r="G11" s="58">
        <f>'RPS Spend Model'!G11</f>
        <v>0</v>
      </c>
      <c r="H11" s="58">
        <f>'RPS Spend Model'!H11</f>
        <v>50000000</v>
      </c>
      <c r="I11" s="58">
        <f>'RPS Spend Model'!J11</f>
        <v>125146655.75904395</v>
      </c>
      <c r="J11" s="62">
        <f>'Total REC Spend Activities'!H288</f>
        <v>0</v>
      </c>
      <c r="K11" s="62">
        <f>'Total REC Spend Activities'!H289</f>
        <v>39494442.790242895</v>
      </c>
      <c r="L11" s="62">
        <f>'Total REC Spend Activities'!H290</f>
        <v>26402722.530962266</v>
      </c>
      <c r="M11" s="62">
        <f>'Total REC Spend Activities'!H291</f>
        <v>25355436.45380576</v>
      </c>
      <c r="N11" s="62">
        <f>'Total REC Spend Activities'!H292</f>
        <v>14473460.259819025</v>
      </c>
      <c r="O11" s="62">
        <f>'Total REC Spend Activities'!H293</f>
        <v>26461657.450367544</v>
      </c>
      <c r="P11" s="62">
        <f>'Total REC Spend Activities'!H294</f>
        <v>-4472920.6700640172</v>
      </c>
      <c r="Q11" s="62">
        <f>'Total REC Spend Activities'!H295</f>
        <v>16127137.030012142</v>
      </c>
      <c r="R11" s="62">
        <f>'Total REC Spend Activities'!H296</f>
        <v>5026184.6063928269</v>
      </c>
      <c r="S11" s="16">
        <f t="shared" si="3"/>
        <v>840685337.68068409</v>
      </c>
      <c r="T11" s="16">
        <f>'Collections and ACP'!H119</f>
        <v>590390494.51808977</v>
      </c>
      <c r="U11" s="16">
        <f t="shared" si="0"/>
        <v>1431075832.1987739</v>
      </c>
      <c r="V11" s="16">
        <f t="shared" si="1"/>
        <v>346204623.3053295</v>
      </c>
      <c r="W11" s="16">
        <f t="shared" si="2"/>
        <v>1084871208.8934443</v>
      </c>
    </row>
    <row r="12" spans="1:23" x14ac:dyDescent="0.3">
      <c r="A12" s="46" t="s">
        <v>54</v>
      </c>
      <c r="B12" s="127">
        <f>'RPS Spend Model'!B12</f>
        <v>0</v>
      </c>
      <c r="C12" s="127">
        <f>'RPS Spend Model'!C12</f>
        <v>0</v>
      </c>
      <c r="D12" s="127">
        <f>'RPS Spend Model'!D12</f>
        <v>0</v>
      </c>
      <c r="E12" s="58">
        <f>'RPS Spend Model'!E12</f>
        <v>4338008.6485485407</v>
      </c>
      <c r="F12" s="58">
        <f>'RPS Spend Model'!F12</f>
        <v>17733678.133388445</v>
      </c>
      <c r="G12" s="58">
        <f>'RPS Spend Model'!G12</f>
        <v>0</v>
      </c>
      <c r="H12" s="58">
        <f>'RPS Spend Model'!H12</f>
        <v>50000000</v>
      </c>
      <c r="I12" s="58">
        <f>'RPS Spend Model'!J12</f>
        <v>120140789.52868219</v>
      </c>
      <c r="J12" s="62">
        <f>'Total REC Spend Activities'!I288</f>
        <v>0</v>
      </c>
      <c r="K12" s="62">
        <f>'Total REC Spend Activities'!I289</f>
        <v>15554897.442605475</v>
      </c>
      <c r="L12" s="62">
        <f>'Total REC Spend Activities'!I290</f>
        <v>26270708.918307453</v>
      </c>
      <c r="M12" s="62">
        <f>'Total REC Spend Activities'!I291</f>
        <v>25228659.271536723</v>
      </c>
      <c r="N12" s="62">
        <f>'Total REC Spend Activities'!I292</f>
        <v>14473460.259819025</v>
      </c>
      <c r="O12" s="62">
        <f>'Total REC Spend Activities'!I293</f>
        <v>7777448.7213027375</v>
      </c>
      <c r="P12" s="62">
        <f>'Total REC Spend Activities'!I294</f>
        <v>-8296242.0834652977</v>
      </c>
      <c r="Q12" s="62">
        <f>'Total REC Spend Activities'!I295</f>
        <v>13899429.995290115</v>
      </c>
      <c r="R12" s="62">
        <f>'Total REC Spend Activities'!I296</f>
        <v>4861429.7720270799</v>
      </c>
      <c r="S12" s="16">
        <f t="shared" si="3"/>
        <v>1084871208.8934443</v>
      </c>
      <c r="T12" s="16">
        <f>'Collections and ACP'!H120</f>
        <v>591122604.44628155</v>
      </c>
      <c r="U12" s="16">
        <f t="shared" si="0"/>
        <v>1675993813.339726</v>
      </c>
      <c r="V12" s="16">
        <f t="shared" si="1"/>
        <v>291982268.60804248</v>
      </c>
      <c r="W12" s="16">
        <f t="shared" si="2"/>
        <v>1384011544.7316835</v>
      </c>
    </row>
    <row r="13" spans="1:23" x14ac:dyDescent="0.3">
      <c r="A13" s="46" t="s">
        <v>55</v>
      </c>
      <c r="B13" s="127">
        <f>'RPS Spend Model'!B13</f>
        <v>0</v>
      </c>
      <c r="C13" s="127">
        <f>'RPS Spend Model'!C13</f>
        <v>0</v>
      </c>
      <c r="D13" s="127">
        <f>'RPS Spend Model'!D13</f>
        <v>0</v>
      </c>
      <c r="E13" s="58">
        <f>'RPS Spend Model'!E13</f>
        <v>4303453.6786395097</v>
      </c>
      <c r="F13" s="58">
        <f>'RPS Spend Model'!F13</f>
        <v>17789447.893524989</v>
      </c>
      <c r="G13" s="58">
        <f>'RPS Spend Model'!G13</f>
        <v>10000000</v>
      </c>
      <c r="H13" s="58">
        <f>'RPS Spend Model'!H13</f>
        <v>50000000</v>
      </c>
      <c r="I13" s="58">
        <f>'RPS Spend Model'!J13</f>
        <v>115335157.94753489</v>
      </c>
      <c r="J13" s="62">
        <f>'Total REC Spend Activities'!J288</f>
        <v>0</v>
      </c>
      <c r="K13" s="62">
        <f>'Total REC Spend Activities'!J289</f>
        <v>0</v>
      </c>
      <c r="L13" s="62">
        <f>'Total REC Spend Activities'!J290</f>
        <v>26139355.373715919</v>
      </c>
      <c r="M13" s="62">
        <f>'Total REC Spend Activities'!J291</f>
        <v>25102515.975179039</v>
      </c>
      <c r="N13" s="62">
        <f>'Total REC Spend Activities'!J292</f>
        <v>6111364.0343528409</v>
      </c>
      <c r="O13" s="62">
        <f>'Total REC Spend Activities'!J293</f>
        <v>0</v>
      </c>
      <c r="P13" s="62">
        <f>'Total REC Spend Activities'!J294</f>
        <v>-12196029.925134603</v>
      </c>
      <c r="Q13" s="62">
        <f>'Total REC Spend Activities'!J295</f>
        <v>11650870.132633075</v>
      </c>
      <c r="R13" s="62">
        <f>'Total REC Spend Activities'!J296</f>
        <v>4695418.3155542882</v>
      </c>
      <c r="S13" s="16">
        <f t="shared" si="3"/>
        <v>1384011544.7316835</v>
      </c>
      <c r="T13" s="16">
        <f>'Collections and ACP'!H121</f>
        <v>592981596.45083296</v>
      </c>
      <c r="U13" s="16">
        <f t="shared" si="0"/>
        <v>1976993141.1825166</v>
      </c>
      <c r="V13" s="16">
        <f t="shared" si="1"/>
        <v>258931553.42599997</v>
      </c>
      <c r="W13" s="16">
        <f t="shared" si="2"/>
        <v>1718061587.7565167</v>
      </c>
    </row>
    <row r="14" spans="1:23" x14ac:dyDescent="0.3">
      <c r="A14" s="46" t="s">
        <v>56</v>
      </c>
      <c r="B14" s="127">
        <f>'RPS Spend Model'!B14</f>
        <v>0</v>
      </c>
      <c r="C14" s="127">
        <f>'RPS Spend Model'!C14</f>
        <v>0</v>
      </c>
      <c r="D14" s="127">
        <f>'RPS Spend Model'!D14</f>
        <v>0</v>
      </c>
      <c r="E14" s="58">
        <f>'RPS Spend Model'!E14</f>
        <v>4261079.6921323007</v>
      </c>
      <c r="F14" s="58">
        <f>'RPS Spend Model'!F14</f>
        <v>17855534.64060219</v>
      </c>
      <c r="G14" s="58">
        <f>'RPS Spend Model'!G14</f>
        <v>0</v>
      </c>
      <c r="H14" s="58">
        <f>'RPS Spend Model'!H14</f>
        <v>50000000</v>
      </c>
      <c r="I14" s="58">
        <f>'RPS Spend Model'!J14</f>
        <v>110721751.62963349</v>
      </c>
      <c r="J14" s="62">
        <f>'Total REC Spend Activities'!K288</f>
        <v>0</v>
      </c>
      <c r="K14" s="62">
        <f>'Total REC Spend Activities'!K289</f>
        <v>0</v>
      </c>
      <c r="L14" s="62">
        <f>'Total REC Spend Activities'!K290</f>
        <v>26008658.59684734</v>
      </c>
      <c r="M14" s="62">
        <f>'Total REC Spend Activities'!K291</f>
        <v>24977003.395303145</v>
      </c>
      <c r="N14" s="62">
        <f>'Total REC Spend Activities'!K292</f>
        <v>0</v>
      </c>
      <c r="O14" s="62">
        <f>'Total REC Spend Activities'!K293</f>
        <v>0</v>
      </c>
      <c r="P14" s="62">
        <f>'Total REC Spend Activities'!K294</f>
        <v>-16173813.523637304</v>
      </c>
      <c r="Q14" s="62">
        <f>'Total REC Spend Activities'!K295</f>
        <v>9381085.0348703768</v>
      </c>
      <c r="R14" s="62">
        <f>'Total REC Spend Activities'!K296</f>
        <v>4528125.5221804325</v>
      </c>
      <c r="S14" s="16">
        <f t="shared" si="3"/>
        <v>1718061587.7565167</v>
      </c>
      <c r="T14" s="16">
        <f>'Collections and ACP'!H122</f>
        <v>595184488.02007306</v>
      </c>
      <c r="U14" s="16">
        <f t="shared" si="0"/>
        <v>2313246075.7765899</v>
      </c>
      <c r="V14" s="16">
        <f t="shared" si="1"/>
        <v>231559424.98793197</v>
      </c>
      <c r="W14" s="16">
        <f t="shared" si="2"/>
        <v>2081686650.7886579</v>
      </c>
    </row>
    <row r="15" spans="1:23" x14ac:dyDescent="0.3">
      <c r="A15" s="46" t="s">
        <v>57</v>
      </c>
      <c r="B15" s="127">
        <f>'RPS Spend Model'!B15</f>
        <v>0</v>
      </c>
      <c r="C15" s="127">
        <f>'RPS Spend Model'!C15</f>
        <v>0</v>
      </c>
      <c r="D15" s="127">
        <f>'RPS Spend Model'!D15</f>
        <v>0</v>
      </c>
      <c r="E15" s="58">
        <f>'RPS Spend Model'!E15</f>
        <v>0</v>
      </c>
      <c r="F15" s="58">
        <f>'RPS Spend Model'!F15</f>
        <v>17977997.445554465</v>
      </c>
      <c r="G15" s="58">
        <f>'RPS Spend Model'!G15</f>
        <v>0</v>
      </c>
      <c r="H15" s="58">
        <f>'RPS Spend Model'!H15</f>
        <v>50000000</v>
      </c>
      <c r="I15" s="58">
        <f>'RPS Spend Model'!J15</f>
        <v>106292881.56444815</v>
      </c>
      <c r="J15" s="62">
        <f>'Total REC Spend Activities'!L288</f>
        <v>0</v>
      </c>
      <c r="K15" s="62">
        <f>'Total REC Spend Activities'!L289</f>
        <v>0</v>
      </c>
      <c r="L15" s="62">
        <f>'Total REC Spend Activities'!L290</f>
        <v>25878615.303863101</v>
      </c>
      <c r="M15" s="62">
        <f>'Total REC Spend Activities'!L291</f>
        <v>24852118.378326632</v>
      </c>
      <c r="N15" s="62">
        <f>'Total REC Spend Activities'!L292</f>
        <v>0</v>
      </c>
      <c r="O15" s="62">
        <f>'Total REC Spend Activities'!L293</f>
        <v>0</v>
      </c>
      <c r="P15" s="62">
        <f>'Total REC Spend Activities'!L294</f>
        <v>-20231152.794110052</v>
      </c>
      <c r="Q15" s="62">
        <f>'Total REC Spend Activities'!L295</f>
        <v>7089697.0544647109</v>
      </c>
      <c r="R15" s="62">
        <f>'Total REC Spend Activities'!L296</f>
        <v>4359526.3388166847</v>
      </c>
      <c r="S15" s="16">
        <f t="shared" si="3"/>
        <v>2081686650.7886579</v>
      </c>
      <c r="T15" s="16">
        <f>'Collections and ACP'!H123</f>
        <v>599266581.51848221</v>
      </c>
      <c r="U15" s="16">
        <f t="shared" si="0"/>
        <v>2680953232.3071404</v>
      </c>
      <c r="V15" s="16">
        <f t="shared" si="1"/>
        <v>216219683.29136366</v>
      </c>
      <c r="W15" s="16">
        <f t="shared" si="2"/>
        <v>2464733549.0157766</v>
      </c>
    </row>
    <row r="16" spans="1:23" x14ac:dyDescent="0.3">
      <c r="A16" s="46" t="s">
        <v>58</v>
      </c>
      <c r="B16" s="127">
        <f>'RPS Spend Model'!B16</f>
        <v>0</v>
      </c>
      <c r="C16" s="127">
        <f>'RPS Spend Model'!C16</f>
        <v>0</v>
      </c>
      <c r="D16" s="127">
        <f>'RPS Spend Model'!D16</f>
        <v>0</v>
      </c>
      <c r="E16" s="58">
        <f>'RPS Spend Model'!E16</f>
        <v>0</v>
      </c>
      <c r="F16" s="58">
        <f>'RPS Spend Model'!F16</f>
        <v>18007164.753511433</v>
      </c>
      <c r="G16" s="58">
        <f>'RPS Spend Model'!G16</f>
        <v>0</v>
      </c>
      <c r="H16" s="58">
        <f>'RPS Spend Model'!H16</f>
        <v>50000000</v>
      </c>
      <c r="I16" s="58">
        <f>'RPS Spend Model'!J16</f>
        <v>51020583.150935106</v>
      </c>
      <c r="J16" s="62">
        <f>'Total REC Spend Activities'!M288</f>
        <v>0</v>
      </c>
      <c r="K16" s="62">
        <f>'Total REC Spend Activities'!M289</f>
        <v>0</v>
      </c>
      <c r="L16" s="62">
        <f>'Total REC Spend Activities'!M290</f>
        <v>25749222.227343783</v>
      </c>
      <c r="M16" s="62">
        <f>'Total REC Spend Activities'!M291</f>
        <v>24727857.786435001</v>
      </c>
      <c r="N16" s="62">
        <f>'Total REC Spend Activities'!M292</f>
        <v>0</v>
      </c>
      <c r="O16" s="62">
        <f>'Total REC Spend Activities'!M293</f>
        <v>0</v>
      </c>
      <c r="P16" s="62">
        <f>'Total REC Spend Activities'!M294</f>
        <v>-24369638.849992245</v>
      </c>
      <c r="Q16" s="62">
        <f>'Total REC Spend Activities'!M295</f>
        <v>4776323.2238881309</v>
      </c>
      <c r="R16" s="62">
        <f>'Total REC Spend Activities'!M296</f>
        <v>4189595.3688890385</v>
      </c>
      <c r="S16" s="16">
        <f t="shared" si="3"/>
        <v>2464733549.0157766</v>
      </c>
      <c r="T16" s="16">
        <f>'Collections and ACP'!H124</f>
        <v>600238825.11704779</v>
      </c>
      <c r="U16" s="16">
        <f t="shared" si="0"/>
        <v>3064972374.1328244</v>
      </c>
      <c r="V16" s="16">
        <f t="shared" si="1"/>
        <v>154101107.66101027</v>
      </c>
      <c r="W16" s="16">
        <f t="shared" si="2"/>
        <v>2910871266.4718142</v>
      </c>
    </row>
    <row r="17" spans="1:23" x14ac:dyDescent="0.3">
      <c r="A17" s="46" t="s">
        <v>59</v>
      </c>
      <c r="B17" s="127">
        <f>'RPS Spend Model'!B17</f>
        <v>0</v>
      </c>
      <c r="C17" s="127">
        <f>'RPS Spend Model'!C17</f>
        <v>0</v>
      </c>
      <c r="D17" s="127">
        <f>'RPS Spend Model'!D17</f>
        <v>0</v>
      </c>
      <c r="E17" s="58">
        <f>'RPS Spend Model'!E17</f>
        <v>0</v>
      </c>
      <c r="F17" s="58">
        <f>'RPS Spend Model'!F17</f>
        <v>18057703.345901959</v>
      </c>
      <c r="G17" s="58">
        <f>'RPS Spend Model'!G17</f>
        <v>0</v>
      </c>
      <c r="H17" s="58">
        <f>'RPS Spend Model'!H17</f>
        <v>50000000</v>
      </c>
      <c r="I17" s="58">
        <f>'RPS Spend Model'!J17</f>
        <v>48979759.824897699</v>
      </c>
      <c r="J17" s="62">
        <f>'Total REC Spend Activities'!N288</f>
        <v>0</v>
      </c>
      <c r="K17" s="62">
        <f>'Total REC Spend Activities'!N289</f>
        <v>0</v>
      </c>
      <c r="L17" s="62">
        <f>'Total REC Spend Activities'!N290</f>
        <v>25620476.116207063</v>
      </c>
      <c r="M17" s="62">
        <f>'Total REC Spend Activities'!N291</f>
        <v>24604218.497502826</v>
      </c>
      <c r="N17" s="62">
        <f>'Total REC Spend Activities'!N292</f>
        <v>0</v>
      </c>
      <c r="O17" s="62">
        <f>'Total REC Spend Activities'!N293</f>
        <v>0</v>
      </c>
      <c r="P17" s="62">
        <f>'Total REC Spend Activities'!N294</f>
        <v>-28590894.626992084</v>
      </c>
      <c r="Q17" s="62">
        <f>'Total REC Spend Activities'!N295</f>
        <v>2440575.1748194005</v>
      </c>
      <c r="R17" s="62">
        <f>'Total REC Spend Activities'!N296</f>
        <v>4018306.8670713492</v>
      </c>
      <c r="S17" s="16">
        <f t="shared" si="3"/>
        <v>2910871266.4718142</v>
      </c>
      <c r="T17" s="16">
        <f>'Collections and ACP'!H125</f>
        <v>601923444.86339867</v>
      </c>
      <c r="U17" s="16">
        <f t="shared" si="0"/>
        <v>3512794711.3352127</v>
      </c>
      <c r="V17" s="16">
        <f t="shared" si="1"/>
        <v>145130145.19940826</v>
      </c>
      <c r="W17" s="16">
        <f t="shared" si="2"/>
        <v>3367664566.1358047</v>
      </c>
    </row>
    <row r="18" spans="1:23" x14ac:dyDescent="0.3">
      <c r="A18" s="46" t="s">
        <v>60</v>
      </c>
      <c r="B18" s="127">
        <f>'RPS Spend Model'!B18</f>
        <v>0</v>
      </c>
      <c r="C18" s="127">
        <f>'RPS Spend Model'!C18</f>
        <v>0</v>
      </c>
      <c r="D18" s="127">
        <f>'RPS Spend Model'!D18</f>
        <v>0</v>
      </c>
      <c r="E18" s="58">
        <f>'RPS Spend Model'!E18</f>
        <v>0</v>
      </c>
      <c r="F18" s="58">
        <f>'RPS Spend Model'!F18</f>
        <v>18118553.768141378</v>
      </c>
      <c r="G18" s="58">
        <f>'RPS Spend Model'!G18</f>
        <v>0</v>
      </c>
      <c r="H18" s="58">
        <f>'RPS Spend Model'!H18</f>
        <v>50000000</v>
      </c>
      <c r="I18" s="58">
        <f>'RPS Spend Model'!J18</f>
        <v>47020569.43190179</v>
      </c>
      <c r="J18" s="62">
        <f>'Total REC Spend Activities'!O288</f>
        <v>0</v>
      </c>
      <c r="K18" s="62">
        <f>'Total REC Spend Activities'!O289</f>
        <v>0</v>
      </c>
      <c r="L18" s="62">
        <f>'Total REC Spend Activities'!O290</f>
        <v>25492373.735626031</v>
      </c>
      <c r="M18" s="62">
        <f>'Total REC Spend Activities'!O291</f>
        <v>24481197.405015312</v>
      </c>
      <c r="N18" s="62">
        <f>'Total REC Spend Activities'!O292</f>
        <v>0</v>
      </c>
      <c r="O18" s="62">
        <f>'Total REC Spend Activities'!O293</f>
        <v>0</v>
      </c>
      <c r="P18" s="62">
        <f>'Total REC Spend Activities'!O294</f>
        <v>-32896575.519531928</v>
      </c>
      <c r="Q18" s="62">
        <f>'Total REC Spend Activities'!O295</f>
        <v>82059.05614506558</v>
      </c>
      <c r="R18" s="62">
        <f>'Total REC Spend Activities'!O296</f>
        <v>3845634.7339406474</v>
      </c>
      <c r="S18" s="16">
        <f t="shared" si="3"/>
        <v>3367664566.1358047</v>
      </c>
      <c r="T18" s="16">
        <f>'Collections and ACP'!H126</f>
        <v>603951792.27137923</v>
      </c>
      <c r="U18" s="16">
        <f t="shared" si="0"/>
        <v>3971616358.4071836</v>
      </c>
      <c r="V18" s="16">
        <f t="shared" si="1"/>
        <v>136143812.61123833</v>
      </c>
      <c r="W18" s="16">
        <f t="shared" si="2"/>
        <v>3835472545.7959452</v>
      </c>
    </row>
    <row r="19" spans="1:23" x14ac:dyDescent="0.3">
      <c r="A19" s="46" t="s">
        <v>61</v>
      </c>
      <c r="B19" s="127">
        <f>'RPS Spend Model'!B19</f>
        <v>0</v>
      </c>
      <c r="C19" s="127">
        <f>'RPS Spend Model'!C19</f>
        <v>0</v>
      </c>
      <c r="D19" s="127">
        <f>'RPS Spend Model'!D19</f>
        <v>0</v>
      </c>
      <c r="E19" s="58">
        <f>'RPS Spend Model'!E19</f>
        <v>0</v>
      </c>
      <c r="F19" s="58">
        <f>'RPS Spend Model'!F19</f>
        <v>18198134.165855762</v>
      </c>
      <c r="G19" s="58">
        <f>'RPS Spend Model'!G19</f>
        <v>0</v>
      </c>
      <c r="H19" s="58">
        <f>'RPS Spend Model'!H19</f>
        <v>50000000</v>
      </c>
      <c r="I19" s="58">
        <f>'RPS Spend Model'!J19</f>
        <v>45139746.654625714</v>
      </c>
      <c r="J19" s="62">
        <f>'Total REC Spend Activities'!P288</f>
        <v>0</v>
      </c>
      <c r="K19" s="62">
        <f>'Total REC Spend Activities'!P289</f>
        <v>0</v>
      </c>
      <c r="L19" s="62">
        <f>'Total REC Spend Activities'!P290</f>
        <v>25364911.866947901</v>
      </c>
      <c r="M19" s="62">
        <f>'Total REC Spend Activities'!P291</f>
        <v>24358791.417990234</v>
      </c>
      <c r="N19" s="62">
        <f>'Total REC Spend Activities'!P292</f>
        <v>0</v>
      </c>
      <c r="O19" s="62">
        <f>'Total REC Spend Activities'!P293</f>
        <v>0</v>
      </c>
      <c r="P19" s="62">
        <f>'Total REC Spend Activities'!P294</f>
        <v>-37288370.02992256</v>
      </c>
      <c r="Q19" s="62">
        <f>'Total REC Spend Activities'!P295</f>
        <v>-2299624.5492536165</v>
      </c>
      <c r="R19" s="62">
        <f>'Total REC Spend Activities'!P296</f>
        <v>3671552.510553549</v>
      </c>
      <c r="S19" s="16">
        <f t="shared" si="3"/>
        <v>3835472545.7959452</v>
      </c>
      <c r="T19" s="16">
        <f>'Collections and ACP'!H127</f>
        <v>606604472.1951921</v>
      </c>
      <c r="U19" s="16">
        <f t="shared" si="0"/>
        <v>4442077017.9911375</v>
      </c>
      <c r="V19" s="16">
        <f t="shared" si="1"/>
        <v>127145142.03679699</v>
      </c>
      <c r="W19" s="16">
        <f t="shared" si="2"/>
        <v>4314931875.9543409</v>
      </c>
    </row>
    <row r="20" spans="1:23" x14ac:dyDescent="0.3">
      <c r="A20" s="46" t="s">
        <v>62</v>
      </c>
      <c r="B20" s="127">
        <f>'RPS Spend Model'!B20</f>
        <v>0</v>
      </c>
      <c r="C20" s="127">
        <f>'RPS Spend Model'!C20</f>
        <v>0</v>
      </c>
      <c r="D20" s="127">
        <f>'RPS Spend Model'!D20</f>
        <v>0</v>
      </c>
      <c r="E20" s="58">
        <f>'RPS Spend Model'!E20</f>
        <v>0</v>
      </c>
      <c r="F20" s="58">
        <f>'RPS Spend Model'!F20</f>
        <v>18209514.676376209</v>
      </c>
      <c r="G20" s="58">
        <f>'RPS Spend Model'!G20</f>
        <v>0</v>
      </c>
      <c r="H20" s="58">
        <f>'RPS Spend Model'!H20</f>
        <v>50000000</v>
      </c>
      <c r="I20" s="58">
        <f>'RPS Spend Model'!J20</f>
        <v>43334156.788440682</v>
      </c>
      <c r="J20" s="62">
        <f>'Total REC Spend Activities'!Q288</f>
        <v>0</v>
      </c>
      <c r="K20" s="62">
        <f>'Total REC Spend Activities'!Q289</f>
        <v>0</v>
      </c>
      <c r="L20" s="62">
        <f>'Total REC Spend Activities'!Q290</f>
        <v>25238087.30761316</v>
      </c>
      <c r="M20" s="62">
        <f>'Total REC Spend Activities'!Q291</f>
        <v>24236997.460900288</v>
      </c>
      <c r="N20" s="62">
        <f>'Total REC Spend Activities'!Q292</f>
        <v>0</v>
      </c>
      <c r="O20" s="62">
        <f>'Total REC Spend Activities'!Q293</f>
        <v>0</v>
      </c>
      <c r="P20" s="62">
        <f>'Total REC Spend Activities'!Q294</f>
        <v>-41768000.430521019</v>
      </c>
      <c r="Q20" s="62">
        <f>'Total REC Spend Activities'!Q295</f>
        <v>-4704880.7089460706</v>
      </c>
      <c r="R20" s="62">
        <f>'Total REC Spend Activities'!Q296</f>
        <v>3496033.3729425967</v>
      </c>
      <c r="S20" s="16">
        <f t="shared" si="3"/>
        <v>4314931875.9543409</v>
      </c>
      <c r="T20" s="16">
        <f>'Collections and ACP'!H128</f>
        <v>606983822.54587364</v>
      </c>
      <c r="U20" s="16">
        <f t="shared" si="0"/>
        <v>4921915698.5002146</v>
      </c>
      <c r="V20" s="16">
        <f t="shared" si="1"/>
        <v>118041908.46680586</v>
      </c>
      <c r="W20" s="16">
        <f t="shared" si="2"/>
        <v>4803873790.0334091</v>
      </c>
    </row>
    <row r="21" spans="1:23" x14ac:dyDescent="0.3">
      <c r="A21" s="46" t="s">
        <v>63</v>
      </c>
      <c r="B21" s="127">
        <f>'RPS Spend Model'!B21</f>
        <v>0</v>
      </c>
      <c r="C21" s="127">
        <f>'RPS Spend Model'!C21</f>
        <v>0</v>
      </c>
      <c r="D21" s="127">
        <f>'RPS Spend Model'!D21</f>
        <v>0</v>
      </c>
      <c r="E21" s="58">
        <f>'RPS Spend Model'!E21</f>
        <v>0</v>
      </c>
      <c r="F21" s="58">
        <f>'RPS Spend Model'!F21</f>
        <v>18264106.623428311</v>
      </c>
      <c r="G21" s="58">
        <f>'RPS Spend Model'!G21</f>
        <v>0</v>
      </c>
      <c r="H21" s="58">
        <f>'RPS Spend Model'!H21</f>
        <v>50000000</v>
      </c>
      <c r="I21" s="58">
        <f>'RPS Spend Model'!J21</f>
        <v>41600790.51690305</v>
      </c>
      <c r="J21" s="62">
        <f>'Total REC Spend Activities'!R288</f>
        <v>0</v>
      </c>
      <c r="K21" s="62">
        <f>'Total REC Spend Activities'!R289</f>
        <v>0</v>
      </c>
      <c r="L21" s="62">
        <f>'Total REC Spend Activities'!R290</f>
        <v>25111896.871075097</v>
      </c>
      <c r="M21" s="62">
        <f>'Total REC Spend Activities'!R291</f>
        <v>24115812.473595783</v>
      </c>
      <c r="N21" s="62">
        <f>'Total REC Spend Activities'!R292</f>
        <v>0</v>
      </c>
      <c r="O21" s="62">
        <f>'Total REC Spend Activities'!R293</f>
        <v>0</v>
      </c>
      <c r="P21" s="62">
        <f>'Total REC Spend Activities'!R294</f>
        <v>-46337223.439131439</v>
      </c>
      <c r="Q21" s="62">
        <f>'Total REC Spend Activities'!R295</f>
        <v>-7134120.2266483959</v>
      </c>
      <c r="R21" s="62">
        <f>'Total REC Spend Activities'!R296</f>
        <v>3319050.1265313318</v>
      </c>
      <c r="S21" s="16">
        <f t="shared" si="3"/>
        <v>4803873790.0334091</v>
      </c>
      <c r="T21" s="16">
        <f>'Collections and ACP'!H129</f>
        <v>608803554.11427701</v>
      </c>
      <c r="U21" s="16">
        <f t="shared" si="0"/>
        <v>5412677344.147686</v>
      </c>
      <c r="V21" s="16">
        <f t="shared" si="1"/>
        <v>108940312.94575372</v>
      </c>
      <c r="W21" s="16">
        <f t="shared" si="2"/>
        <v>5303737031.201932</v>
      </c>
    </row>
    <row r="22" spans="1:23" x14ac:dyDescent="0.3">
      <c r="A22" s="46" t="s">
        <v>64</v>
      </c>
      <c r="B22" s="127">
        <f>'RPS Spend Model'!B22</f>
        <v>0</v>
      </c>
      <c r="C22" s="127">
        <f>'RPS Spend Model'!C22</f>
        <v>0</v>
      </c>
      <c r="D22" s="127">
        <f>'RPS Spend Model'!D22</f>
        <v>0</v>
      </c>
      <c r="E22" s="58">
        <f>'RPS Spend Model'!E22</f>
        <v>0</v>
      </c>
      <c r="F22" s="58">
        <f>'RPS Spend Model'!F22</f>
        <v>18264106.623428311</v>
      </c>
      <c r="G22" s="58">
        <f>'RPS Spend Model'!G22</f>
        <v>0</v>
      </c>
      <c r="H22" s="58">
        <f>'RPS Spend Model'!H22</f>
        <v>50000000</v>
      </c>
      <c r="I22" s="58">
        <f>'RPS Spend Model'!J22</f>
        <v>39936758.896226928</v>
      </c>
      <c r="J22" s="62">
        <f>'Total REC Spend Activities'!S288</f>
        <v>0</v>
      </c>
      <c r="K22" s="62">
        <f>'Total REC Spend Activities'!S289</f>
        <v>0</v>
      </c>
      <c r="L22" s="62">
        <f>'Total REC Spend Activities'!S290</f>
        <v>24986337.386719722</v>
      </c>
      <c r="M22" s="62">
        <f>'Total REC Spend Activities'!S291</f>
        <v>23995233.411227804</v>
      </c>
      <c r="N22" s="62">
        <f>'Total REC Spend Activities'!S292</f>
        <v>0</v>
      </c>
      <c r="O22" s="62">
        <f>'Total REC Spend Activities'!S293</f>
        <v>0</v>
      </c>
      <c r="P22" s="62">
        <f>'Total REC Spend Activities'!S294</f>
        <v>-50997830.907914065</v>
      </c>
      <c r="Q22" s="62">
        <f>'Total REC Spend Activities'!S295</f>
        <v>-9587759.7291887868</v>
      </c>
      <c r="R22" s="62">
        <f>'Total REC Spend Activities'!S296</f>
        <v>3140575.2004668806</v>
      </c>
      <c r="S22" s="16"/>
      <c r="T22" s="16"/>
      <c r="U22" s="16"/>
      <c r="V22" s="16"/>
      <c r="W22" s="16"/>
    </row>
    <row r="23" spans="1:23" x14ac:dyDescent="0.3">
      <c r="A23" s="46" t="s">
        <v>65</v>
      </c>
      <c r="B23" s="127">
        <f>'RPS Spend Model'!B23</f>
        <v>0</v>
      </c>
      <c r="C23" s="127">
        <f>'RPS Spend Model'!C23</f>
        <v>0</v>
      </c>
      <c r="D23" s="127">
        <f>'RPS Spend Model'!D23</f>
        <v>0</v>
      </c>
      <c r="E23" s="58">
        <f>'RPS Spend Model'!E23</f>
        <v>0</v>
      </c>
      <c r="F23" s="58">
        <f>'RPS Spend Model'!F23</f>
        <v>18264106.623428311</v>
      </c>
      <c r="G23" s="58">
        <f>'RPS Spend Model'!G23</f>
        <v>0</v>
      </c>
      <c r="H23" s="58">
        <f>'RPS Spend Model'!H23</f>
        <v>50000000</v>
      </c>
      <c r="I23" s="58">
        <f>'RPS Spend Model'!J23</f>
        <v>38339288.540377848</v>
      </c>
      <c r="J23" s="62">
        <f>'Total REC Spend Activities'!T288</f>
        <v>0</v>
      </c>
      <c r="K23" s="62">
        <f>'Total REC Spend Activities'!T289</f>
        <v>0</v>
      </c>
      <c r="L23" s="62">
        <f>'Total REC Spend Activities'!T290</f>
        <v>24861405.699786123</v>
      </c>
      <c r="M23" s="62">
        <f>'Total REC Spend Activities'!T291</f>
        <v>23875257.244171664</v>
      </c>
      <c r="N23" s="62">
        <f>'Total REC Spend Activities'!T292</f>
        <v>0</v>
      </c>
      <c r="O23" s="62">
        <f>'Total REC Spend Activities'!T293</f>
        <v>0</v>
      </c>
      <c r="P23" s="62">
        <f>'Total REC Spend Activities'!T294</f>
        <v>-55751650.526072331</v>
      </c>
      <c r="Q23" s="62">
        <f>'Total REC Spend Activities'!T295</f>
        <v>-12066221.754761208</v>
      </c>
      <c r="R23" s="62">
        <f>'Total REC Spend Activities'!T296</f>
        <v>2960580.6418688176</v>
      </c>
      <c r="S23" s="16"/>
      <c r="T23" s="16"/>
      <c r="U23" s="16"/>
      <c r="V23" s="16"/>
      <c r="W23" s="16"/>
    </row>
    <row r="24" spans="1:23" x14ac:dyDescent="0.3">
      <c r="A24" s="46" t="s">
        <v>66</v>
      </c>
      <c r="B24" s="127">
        <f>'RPS Spend Model'!B24</f>
        <v>0</v>
      </c>
      <c r="C24" s="127">
        <f>'RPS Spend Model'!C24</f>
        <v>0</v>
      </c>
      <c r="D24" s="127">
        <f>'RPS Spend Model'!D24</f>
        <v>0</v>
      </c>
      <c r="E24" s="58">
        <f>'RPS Spend Model'!E24</f>
        <v>0</v>
      </c>
      <c r="F24" s="58">
        <f>'RPS Spend Model'!F24</f>
        <v>18264106.623428311</v>
      </c>
      <c r="G24" s="58">
        <f>'RPS Spend Model'!G24</f>
        <v>0</v>
      </c>
      <c r="H24" s="58">
        <f>'RPS Spend Model'!H24</f>
        <v>50000000</v>
      </c>
      <c r="I24" s="58">
        <f>'RPS Spend Model'!J24</f>
        <v>0</v>
      </c>
      <c r="J24" s="62">
        <f>'Total REC Spend Activities'!U288</f>
        <v>0</v>
      </c>
      <c r="K24" s="62">
        <f>'Total REC Spend Activities'!U289</f>
        <v>0</v>
      </c>
      <c r="L24" s="62">
        <f>'Total REC Spend Activities'!U290</f>
        <v>24737098.671287194</v>
      </c>
      <c r="M24" s="62">
        <f>'Total REC Spend Activities'!U291</f>
        <v>23755880.957950808</v>
      </c>
      <c r="N24" s="62">
        <f>'Total REC Spend Activities'!U292</f>
        <v>0</v>
      </c>
      <c r="O24" s="62">
        <f>'Total REC Spend Activities'!U293</f>
        <v>0</v>
      </c>
      <c r="P24" s="62">
        <f>'Total REC Spend Activities'!U294</f>
        <v>-60600546.536593765</v>
      </c>
      <c r="Q24" s="62">
        <f>'Total REC Spend Activities'!U295</f>
        <v>-14569934.842486624</v>
      </c>
      <c r="R24" s="62">
        <f>'Total REC Spend Activities'!U296</f>
        <v>2779038.1099930685</v>
      </c>
      <c r="S24" s="16"/>
      <c r="T24" s="16"/>
      <c r="U24" s="16"/>
      <c r="V24" s="16"/>
      <c r="W24" s="16"/>
    </row>
    <row r="25" spans="1:23" x14ac:dyDescent="0.3">
      <c r="A25" s="46" t="s">
        <v>67</v>
      </c>
      <c r="B25" s="127">
        <f>'RPS Spend Model'!B25</f>
        <v>0</v>
      </c>
      <c r="C25" s="127">
        <f>'RPS Spend Model'!C25</f>
        <v>0</v>
      </c>
      <c r="D25" s="127">
        <f>'RPS Spend Model'!D25</f>
        <v>0</v>
      </c>
      <c r="E25" s="58">
        <f>'RPS Spend Model'!E25</f>
        <v>0</v>
      </c>
      <c r="F25" s="58">
        <f>'RPS Spend Model'!F25</f>
        <v>18264106.623428311</v>
      </c>
      <c r="G25" s="58">
        <f>'RPS Spend Model'!G25</f>
        <v>0</v>
      </c>
      <c r="H25" s="58">
        <f>'RPS Spend Model'!H25</f>
        <v>50000000</v>
      </c>
      <c r="I25" s="58">
        <f>'RPS Spend Model'!J25</f>
        <v>0</v>
      </c>
      <c r="J25" s="62">
        <f>'Total REC Spend Activities'!V288</f>
        <v>0</v>
      </c>
      <c r="K25" s="62">
        <f>'Total REC Spend Activities'!V289</f>
        <v>0</v>
      </c>
      <c r="L25" s="62">
        <f>'Total REC Spend Activities'!V290</f>
        <v>24613413.177930754</v>
      </c>
      <c r="M25" s="62">
        <f>'Total REC Spend Activities'!V291</f>
        <v>7268704.2577649206</v>
      </c>
      <c r="N25" s="62">
        <f>'Total REC Spend Activities'!V292</f>
        <v>0</v>
      </c>
      <c r="O25" s="62">
        <f>'Total REC Spend Activities'!V293</f>
        <v>0</v>
      </c>
      <c r="P25" s="62">
        <f>'Total REC Spend Activities'!V294</f>
        <v>-65546420.467325635</v>
      </c>
      <c r="Q25" s="62">
        <f>'Total REC Spend Activities'!V295</f>
        <v>-17099333.623301253</v>
      </c>
      <c r="R25" s="62">
        <f>'Total REC Spend Activities'!V296</f>
        <v>2595918.8703095689</v>
      </c>
      <c r="S25" s="16"/>
      <c r="T25" s="16"/>
      <c r="U25" s="16"/>
      <c r="V25" s="16"/>
      <c r="W25" s="16"/>
    </row>
    <row r="29" spans="1:23" x14ac:dyDescent="0.3">
      <c r="S29" s="116"/>
      <c r="T29" s="117"/>
    </row>
    <row r="30" spans="1:23" x14ac:dyDescent="0.3">
      <c r="A30" s="35" t="s">
        <v>94</v>
      </c>
      <c r="B30" s="126">
        <v>0.27317999999999998</v>
      </c>
    </row>
    <row r="31" spans="1:23" ht="57.6" x14ac:dyDescent="0.3">
      <c r="A31" s="53" t="s">
        <v>43</v>
      </c>
      <c r="B31" s="53" t="s">
        <v>125</v>
      </c>
      <c r="C31" s="53" t="s">
        <v>116</v>
      </c>
      <c r="D31" s="53" t="s">
        <v>117</v>
      </c>
      <c r="E31" s="53" t="s">
        <v>118</v>
      </c>
      <c r="F31" s="53" t="s">
        <v>275</v>
      </c>
      <c r="G31" s="53" t="s">
        <v>44</v>
      </c>
      <c r="H31" s="53" t="s">
        <v>119</v>
      </c>
      <c r="I31" s="53" t="s">
        <v>126</v>
      </c>
      <c r="J31" s="53" t="s">
        <v>6</v>
      </c>
      <c r="K31" s="53" t="s">
        <v>12</v>
      </c>
      <c r="L31" s="53" t="s">
        <v>21</v>
      </c>
      <c r="M31" s="53" t="s">
        <v>25</v>
      </c>
      <c r="N31" s="53" t="s">
        <v>29</v>
      </c>
      <c r="O31" s="53" t="s">
        <v>33</v>
      </c>
      <c r="P31" s="53" t="s">
        <v>40</v>
      </c>
      <c r="Q31" s="53" t="s">
        <v>41</v>
      </c>
      <c r="R31" s="53" t="s">
        <v>42</v>
      </c>
      <c r="S31" s="54" t="s">
        <v>131</v>
      </c>
      <c r="T31" s="54" t="s">
        <v>128</v>
      </c>
      <c r="U31" s="54" t="s">
        <v>122</v>
      </c>
      <c r="V31" s="53" t="s">
        <v>123</v>
      </c>
      <c r="W31" s="53" t="s">
        <v>124</v>
      </c>
    </row>
    <row r="32" spans="1:23" x14ac:dyDescent="0.3">
      <c r="A32" s="46" t="s">
        <v>45</v>
      </c>
      <c r="B32" s="127">
        <f t="shared" ref="B32:F42" si="4">$B$30*B3</f>
        <v>37741871.321795367</v>
      </c>
      <c r="C32" s="127">
        <f t="shared" si="4"/>
        <v>16832947.845013831</v>
      </c>
      <c r="D32" s="127">
        <f t="shared" si="4"/>
        <v>9150354.9289328717</v>
      </c>
      <c r="E32" s="58">
        <f t="shared" si="4"/>
        <v>8427154.8757223468</v>
      </c>
      <c r="F32" s="58">
        <f t="shared" si="4"/>
        <v>1845899.1203832121</v>
      </c>
      <c r="G32" s="58"/>
      <c r="H32" s="58">
        <f t="shared" ref="H32:R32" si="5">$B$30*H3</f>
        <v>3076498.5339720203</v>
      </c>
      <c r="I32" s="58">
        <f t="shared" si="5"/>
        <v>0</v>
      </c>
      <c r="J32" s="62">
        <f t="shared" si="5"/>
        <v>0</v>
      </c>
      <c r="K32" s="62">
        <f t="shared" si="5"/>
        <v>0</v>
      </c>
      <c r="L32" s="62">
        <f t="shared" si="5"/>
        <v>0</v>
      </c>
      <c r="M32" s="62">
        <f t="shared" si="5"/>
        <v>0</v>
      </c>
      <c r="N32" s="62">
        <f t="shared" si="5"/>
        <v>0</v>
      </c>
      <c r="O32" s="62">
        <f t="shared" si="5"/>
        <v>0</v>
      </c>
      <c r="P32" s="62">
        <f t="shared" si="5"/>
        <v>0</v>
      </c>
      <c r="Q32" s="62">
        <f t="shared" si="5"/>
        <v>0</v>
      </c>
      <c r="R32" s="62">
        <f t="shared" si="5"/>
        <v>0</v>
      </c>
      <c r="S32" s="16">
        <f>'Collections and ACP'!B158+'Collections and ACP'!B155</f>
        <v>164214831.63</v>
      </c>
      <c r="T32" s="16">
        <f>'Collections and ACP'!H7</f>
        <v>64309855.295962796</v>
      </c>
      <c r="U32" s="16">
        <f t="shared" ref="U32:U50" si="6">S32+T32</f>
        <v>228524686.92596281</v>
      </c>
      <c r="V32" s="16">
        <f t="shared" ref="V32:V50" si="7">SUM(B32:R32)</f>
        <v>77074726.625819668</v>
      </c>
      <c r="W32" s="16">
        <f t="shared" ref="W32:W50" si="8">U32-V32</f>
        <v>151449960.30014312</v>
      </c>
    </row>
    <row r="33" spans="1:23" x14ac:dyDescent="0.3">
      <c r="A33" s="46" t="s">
        <v>46</v>
      </c>
      <c r="B33" s="127">
        <f t="shared" si="4"/>
        <v>10395041.174882406</v>
      </c>
      <c r="C33" s="127">
        <f t="shared" si="4"/>
        <v>18064740.70809973</v>
      </c>
      <c r="D33" s="127">
        <f t="shared" si="4"/>
        <v>32034467.820922781</v>
      </c>
      <c r="E33" s="58">
        <f t="shared" si="4"/>
        <v>6595181.3256627964</v>
      </c>
      <c r="F33" s="58">
        <f t="shared" si="4"/>
        <v>3808712.4645429286</v>
      </c>
      <c r="G33" s="58"/>
      <c r="H33" s="58">
        <f t="shared" ref="H33:R33" si="9">$B$30*H4</f>
        <v>13658999.999999998</v>
      </c>
      <c r="I33" s="58">
        <f t="shared" si="9"/>
        <v>0</v>
      </c>
      <c r="J33" s="62">
        <f t="shared" si="9"/>
        <v>0</v>
      </c>
      <c r="K33" s="62">
        <f t="shared" si="9"/>
        <v>0</v>
      </c>
      <c r="L33" s="62">
        <f t="shared" si="9"/>
        <v>0</v>
      </c>
      <c r="M33" s="62">
        <f t="shared" si="9"/>
        <v>0</v>
      </c>
      <c r="N33" s="62">
        <f t="shared" si="9"/>
        <v>0</v>
      </c>
      <c r="O33" s="62">
        <f t="shared" si="9"/>
        <v>0</v>
      </c>
      <c r="P33" s="62">
        <f t="shared" si="9"/>
        <v>0</v>
      </c>
      <c r="Q33" s="62">
        <f t="shared" si="9"/>
        <v>0</v>
      </c>
      <c r="R33" s="62">
        <f t="shared" si="9"/>
        <v>0</v>
      </c>
      <c r="S33" s="16">
        <f t="shared" ref="S33:S50" si="10">W32</f>
        <v>151449960.30014312</v>
      </c>
      <c r="T33" s="16">
        <f>'Collections and ACP'!H8</f>
        <v>129499575.18679999</v>
      </c>
      <c r="U33" s="16">
        <f t="shared" si="6"/>
        <v>280949535.48694313</v>
      </c>
      <c r="V33" s="16">
        <f t="shared" si="7"/>
        <v>84557143.494110644</v>
      </c>
      <c r="W33" s="16">
        <f t="shared" si="8"/>
        <v>196392391.99283248</v>
      </c>
    </row>
    <row r="34" spans="1:23" x14ac:dyDescent="0.3">
      <c r="A34" s="46" t="s">
        <v>47</v>
      </c>
      <c r="B34" s="127">
        <f t="shared" si="4"/>
        <v>1329100.5368549991</v>
      </c>
      <c r="C34" s="127">
        <f t="shared" si="4"/>
        <v>17814068.896954257</v>
      </c>
      <c r="D34" s="127">
        <f t="shared" si="4"/>
        <v>30091588.277944073</v>
      </c>
      <c r="E34" s="58">
        <f t="shared" si="4"/>
        <v>6026991.2965067755</v>
      </c>
      <c r="F34" s="58">
        <f t="shared" si="4"/>
        <v>4814494.2231932348</v>
      </c>
      <c r="G34" s="58"/>
      <c r="H34" s="58">
        <f t="shared" ref="H34:R34" si="11">$B$30*H5</f>
        <v>13658999.999999998</v>
      </c>
      <c r="I34" s="58">
        <f t="shared" si="11"/>
        <v>91715692.593660548</v>
      </c>
      <c r="J34" s="62">
        <f t="shared" si="11"/>
        <v>53788170.438175693</v>
      </c>
      <c r="K34" s="62">
        <f t="shared" si="11"/>
        <v>6924499.4097186252</v>
      </c>
      <c r="L34" s="62">
        <f t="shared" si="11"/>
        <v>0</v>
      </c>
      <c r="M34" s="62">
        <f t="shared" si="11"/>
        <v>4943032.2449933039</v>
      </c>
      <c r="N34" s="62">
        <f t="shared" si="11"/>
        <v>0</v>
      </c>
      <c r="O34" s="62">
        <f t="shared" si="11"/>
        <v>5404396.3841709774</v>
      </c>
      <c r="P34" s="62">
        <f t="shared" si="11"/>
        <v>0</v>
      </c>
      <c r="Q34" s="62">
        <f t="shared" si="11"/>
        <v>0</v>
      </c>
      <c r="R34" s="62">
        <f t="shared" si="11"/>
        <v>0</v>
      </c>
      <c r="S34" s="16">
        <f t="shared" si="10"/>
        <v>196392391.99283248</v>
      </c>
      <c r="T34" s="16">
        <f>'Collections and ACP'!H9</f>
        <v>160483342.72150001</v>
      </c>
      <c r="U34" s="16">
        <f t="shared" si="6"/>
        <v>356875734.71433246</v>
      </c>
      <c r="V34" s="16">
        <f t="shared" si="7"/>
        <v>236511034.30217248</v>
      </c>
      <c r="W34" s="16">
        <f t="shared" si="8"/>
        <v>120364700.41215998</v>
      </c>
    </row>
    <row r="35" spans="1:23" x14ac:dyDescent="0.3">
      <c r="A35" s="46" t="s">
        <v>48</v>
      </c>
      <c r="B35" s="127">
        <f t="shared" si="4"/>
        <v>0</v>
      </c>
      <c r="C35" s="127">
        <f t="shared" si="4"/>
        <v>16033996.441034202</v>
      </c>
      <c r="D35" s="127">
        <f t="shared" si="4"/>
        <v>28919351.22876012</v>
      </c>
      <c r="E35" s="58">
        <f t="shared" si="4"/>
        <v>4841024.8058752296</v>
      </c>
      <c r="F35" s="58">
        <f t="shared" si="4"/>
        <v>4826995.9530275445</v>
      </c>
      <c r="G35" s="58"/>
      <c r="H35" s="58">
        <f t="shared" ref="H35:R35" si="12">$B$30*H6</f>
        <v>13658999.999999998</v>
      </c>
      <c r="I35" s="58">
        <f t="shared" si="12"/>
        <v>41928756.654330768</v>
      </c>
      <c r="J35" s="62">
        <f t="shared" si="12"/>
        <v>41928756.654330768</v>
      </c>
      <c r="K35" s="62">
        <f t="shared" si="12"/>
        <v>11039049.933401551</v>
      </c>
      <c r="L35" s="62">
        <f t="shared" si="12"/>
        <v>3511617.9621352465</v>
      </c>
      <c r="M35" s="62">
        <f t="shared" si="12"/>
        <v>7102391.167666587</v>
      </c>
      <c r="N35" s="62">
        <f t="shared" si="12"/>
        <v>2418731.414335961</v>
      </c>
      <c r="O35" s="62">
        <f t="shared" si="12"/>
        <v>7353774.6082729045</v>
      </c>
      <c r="P35" s="62">
        <f t="shared" si="12"/>
        <v>0</v>
      </c>
      <c r="Q35" s="62">
        <f t="shared" si="12"/>
        <v>0</v>
      </c>
      <c r="R35" s="62">
        <f t="shared" si="12"/>
        <v>0</v>
      </c>
      <c r="S35" s="16">
        <f t="shared" si="10"/>
        <v>120364700.41215998</v>
      </c>
      <c r="T35" s="16">
        <f>'Collections and ACP'!H10</f>
        <v>159798619.14649999</v>
      </c>
      <c r="U35" s="16">
        <f t="shared" si="6"/>
        <v>280163319.55865997</v>
      </c>
      <c r="V35" s="16">
        <f t="shared" si="7"/>
        <v>183563446.8231709</v>
      </c>
      <c r="W35" s="16">
        <f t="shared" si="8"/>
        <v>96599872.73548907</v>
      </c>
    </row>
    <row r="36" spans="1:23" x14ac:dyDescent="0.3">
      <c r="A36" s="46" t="s">
        <v>49</v>
      </c>
      <c r="B36" s="127">
        <f t="shared" si="4"/>
        <v>0</v>
      </c>
      <c r="C36" s="127">
        <f t="shared" si="4"/>
        <v>9990814.9060888365</v>
      </c>
      <c r="D36" s="127">
        <f t="shared" si="4"/>
        <v>27889148.155281082</v>
      </c>
      <c r="E36" s="58">
        <f t="shared" si="4"/>
        <v>4759216.7576746065</v>
      </c>
      <c r="F36" s="58">
        <f t="shared" si="4"/>
        <v>4811643.6825472517</v>
      </c>
      <c r="G36" s="58"/>
      <c r="H36" s="58">
        <f t="shared" ref="H36:R36" si="13">$B$30*H7</f>
        <v>13658999.999999998</v>
      </c>
      <c r="I36" s="58">
        <f t="shared" si="13"/>
        <v>40251606.388157532</v>
      </c>
      <c r="J36" s="62">
        <f t="shared" si="13"/>
        <v>0</v>
      </c>
      <c r="K36" s="62">
        <f t="shared" si="13"/>
        <v>10789091.881438553</v>
      </c>
      <c r="L36" s="62">
        <f t="shared" si="13"/>
        <v>7358771.0205525169</v>
      </c>
      <c r="M36" s="62">
        <f t="shared" si="13"/>
        <v>7066879.2118282523</v>
      </c>
      <c r="N36" s="62">
        <f t="shared" si="13"/>
        <v>4052065.8988893912</v>
      </c>
      <c r="O36" s="62">
        <f t="shared" si="13"/>
        <v>7228795.5822914047</v>
      </c>
      <c r="P36" s="62">
        <f t="shared" si="13"/>
        <v>0</v>
      </c>
      <c r="Q36" s="62">
        <f t="shared" si="13"/>
        <v>0</v>
      </c>
      <c r="R36" s="62">
        <f t="shared" si="13"/>
        <v>0</v>
      </c>
      <c r="S36" s="16">
        <f t="shared" si="10"/>
        <v>96599872.73548907</v>
      </c>
      <c r="T36" s="16">
        <f>'Collections and ACP'!H11</f>
        <v>157940101.377</v>
      </c>
      <c r="U36" s="16">
        <f t="shared" si="6"/>
        <v>254539974.11248907</v>
      </c>
      <c r="V36" s="16">
        <f t="shared" si="7"/>
        <v>137857033.48474941</v>
      </c>
      <c r="W36" s="16">
        <f t="shared" si="8"/>
        <v>116682940.62773967</v>
      </c>
    </row>
    <row r="37" spans="1:23" x14ac:dyDescent="0.3">
      <c r="A37" s="46" t="s">
        <v>50</v>
      </c>
      <c r="B37" s="127">
        <f t="shared" si="4"/>
        <v>0</v>
      </c>
      <c r="C37" s="127">
        <f t="shared" si="4"/>
        <v>2857721.4275648133</v>
      </c>
      <c r="D37" s="127">
        <f t="shared" si="4"/>
        <v>15190828.756851751</v>
      </c>
      <c r="E37" s="58">
        <f t="shared" si="4"/>
        <v>3114643.110213072</v>
      </c>
      <c r="F37" s="58">
        <f t="shared" si="4"/>
        <v>4795225.7136696298</v>
      </c>
      <c r="G37" s="58"/>
      <c r="H37" s="58">
        <f t="shared" ref="H37:R37" si="14">$B$30*H8</f>
        <v>13658999.999999998</v>
      </c>
      <c r="I37" s="58">
        <f t="shared" si="14"/>
        <v>38641542.132631227</v>
      </c>
      <c r="J37" s="62">
        <f t="shared" si="14"/>
        <v>0</v>
      </c>
      <c r="K37" s="62">
        <f t="shared" si="14"/>
        <v>10789091.881438553</v>
      </c>
      <c r="L37" s="62">
        <f t="shared" si="14"/>
        <v>7321977.1654497534</v>
      </c>
      <c r="M37" s="62">
        <f t="shared" si="14"/>
        <v>7031544.8157691117</v>
      </c>
      <c r="N37" s="62">
        <f t="shared" si="14"/>
        <v>3953859.8737773611</v>
      </c>
      <c r="O37" s="62">
        <f t="shared" si="14"/>
        <v>7228795.5822914047</v>
      </c>
      <c r="P37" s="62">
        <f t="shared" si="14"/>
        <v>0</v>
      </c>
      <c r="Q37" s="62">
        <f t="shared" si="14"/>
        <v>2746436.6492518475</v>
      </c>
      <c r="R37" s="62">
        <f t="shared" si="14"/>
        <v>554746.31056561018</v>
      </c>
      <c r="S37" s="16">
        <f t="shared" si="10"/>
        <v>116682940.62773967</v>
      </c>
      <c r="T37" s="16">
        <f>'Collections and ACP'!H12</f>
        <v>157075656.73749998</v>
      </c>
      <c r="U37" s="16">
        <f t="shared" si="6"/>
        <v>273758597.36523962</v>
      </c>
      <c r="V37" s="16">
        <f t="shared" si="7"/>
        <v>117885413.41947414</v>
      </c>
      <c r="W37" s="16">
        <f t="shared" si="8"/>
        <v>155873183.9457655</v>
      </c>
    </row>
    <row r="38" spans="1:23" x14ac:dyDescent="0.3">
      <c r="A38" s="46" t="s">
        <v>51</v>
      </c>
      <c r="B38" s="127">
        <f t="shared" si="4"/>
        <v>0</v>
      </c>
      <c r="C38" s="127">
        <f t="shared" si="4"/>
        <v>280260.48152978992</v>
      </c>
      <c r="D38" s="127">
        <f t="shared" si="4"/>
        <v>1239559.3956184799</v>
      </c>
      <c r="E38" s="58">
        <f t="shared" si="4"/>
        <v>2244291.6346679232</v>
      </c>
      <c r="F38" s="58">
        <f t="shared" si="4"/>
        <v>4800510.3155546812</v>
      </c>
      <c r="G38" s="58"/>
      <c r="H38" s="58">
        <f t="shared" ref="H38:R38" si="15">$B$30*H9</f>
        <v>13658999.999999998</v>
      </c>
      <c r="I38" s="58">
        <f t="shared" si="15"/>
        <v>37095880.447325982</v>
      </c>
      <c r="J38" s="62">
        <f t="shared" si="15"/>
        <v>0</v>
      </c>
      <c r="K38" s="62">
        <f t="shared" si="15"/>
        <v>10789091.881438553</v>
      </c>
      <c r="L38" s="62">
        <f t="shared" si="15"/>
        <v>7285367.2796225054</v>
      </c>
      <c r="M38" s="62">
        <f t="shared" si="15"/>
        <v>6996387.0916902656</v>
      </c>
      <c r="N38" s="62">
        <f t="shared" si="15"/>
        <v>3953859.8737773611</v>
      </c>
      <c r="O38" s="62">
        <f t="shared" si="15"/>
        <v>7228795.5822914047</v>
      </c>
      <c r="P38" s="62">
        <f t="shared" si="15"/>
        <v>805960.45167119731</v>
      </c>
      <c r="Q38" s="62">
        <f t="shared" si="15"/>
        <v>5606051.4899841836</v>
      </c>
      <c r="R38" s="62">
        <f t="shared" si="15"/>
        <v>1462065.262633136</v>
      </c>
      <c r="S38" s="16">
        <f t="shared" si="10"/>
        <v>155873183.9457655</v>
      </c>
      <c r="T38" s="16">
        <f>'Collections and ACP'!H13</f>
        <v>157075656.73749998</v>
      </c>
      <c r="U38" s="16">
        <f t="shared" si="6"/>
        <v>312948840.68326545</v>
      </c>
      <c r="V38" s="16">
        <f t="shared" si="7"/>
        <v>103447081.18780547</v>
      </c>
      <c r="W38" s="16">
        <f t="shared" si="8"/>
        <v>209501759.49545997</v>
      </c>
    </row>
    <row r="39" spans="1:23" x14ac:dyDescent="0.3">
      <c r="A39" s="46" t="s">
        <v>52</v>
      </c>
      <c r="B39" s="127">
        <f t="shared" si="4"/>
        <v>0</v>
      </c>
      <c r="C39" s="127">
        <f t="shared" si="4"/>
        <v>0</v>
      </c>
      <c r="D39" s="127">
        <f t="shared" si="4"/>
        <v>0</v>
      </c>
      <c r="E39" s="58">
        <f t="shared" si="4"/>
        <v>1223978.2844489093</v>
      </c>
      <c r="F39" s="58">
        <f t="shared" si="4"/>
        <v>4814913.1016325643</v>
      </c>
      <c r="G39" s="58"/>
      <c r="H39" s="58">
        <f t="shared" ref="H39:R39" si="16">$B$30*H10</f>
        <v>13658999.999999998</v>
      </c>
      <c r="I39" s="58">
        <f t="shared" si="16"/>
        <v>35612045.22943294</v>
      </c>
      <c r="J39" s="62">
        <f t="shared" si="16"/>
        <v>0</v>
      </c>
      <c r="K39" s="62">
        <f t="shared" si="16"/>
        <v>10789091.881438553</v>
      </c>
      <c r="L39" s="62">
        <f t="shared" si="16"/>
        <v>7248940.4432243938</v>
      </c>
      <c r="M39" s="62">
        <f t="shared" si="16"/>
        <v>6961405.156231815</v>
      </c>
      <c r="N39" s="62">
        <f t="shared" si="16"/>
        <v>3953859.8737773611</v>
      </c>
      <c r="O39" s="62">
        <f t="shared" si="16"/>
        <v>7228795.5822914047</v>
      </c>
      <c r="P39" s="62">
        <f t="shared" si="16"/>
        <v>-197937.03363538164</v>
      </c>
      <c r="Q39" s="62">
        <f t="shared" si="16"/>
        <v>5008580.0501307221</v>
      </c>
      <c r="R39" s="62">
        <f t="shared" si="16"/>
        <v>1417724.2129685706</v>
      </c>
      <c r="S39" s="16">
        <f t="shared" si="10"/>
        <v>209501759.49545997</v>
      </c>
      <c r="T39" s="16">
        <f>'Collections and ACP'!H14</f>
        <v>157075656.73749998</v>
      </c>
      <c r="U39" s="16">
        <f t="shared" si="6"/>
        <v>366577416.23295999</v>
      </c>
      <c r="V39" s="16">
        <f t="shared" si="7"/>
        <v>97720396.781941876</v>
      </c>
      <c r="W39" s="16">
        <f t="shared" si="8"/>
        <v>268857019.4510181</v>
      </c>
    </row>
    <row r="40" spans="1:23" x14ac:dyDescent="0.3">
      <c r="A40" s="46" t="s">
        <v>53</v>
      </c>
      <c r="B40" s="127">
        <f t="shared" si="4"/>
        <v>0</v>
      </c>
      <c r="C40" s="127">
        <f t="shared" si="4"/>
        <v>0</v>
      </c>
      <c r="D40" s="127">
        <f t="shared" si="4"/>
        <v>0</v>
      </c>
      <c r="E40" s="58">
        <f t="shared" si="4"/>
        <v>1223336.1705694718</v>
      </c>
      <c r="F40" s="58">
        <f t="shared" si="4"/>
        <v>4838486.2587735523</v>
      </c>
      <c r="G40" s="58"/>
      <c r="H40" s="58">
        <f t="shared" ref="H40:R40" si="17">$B$30*H11</f>
        <v>13658999.999999998</v>
      </c>
      <c r="I40" s="58">
        <f t="shared" si="17"/>
        <v>34187563.420255624</v>
      </c>
      <c r="J40" s="62">
        <f t="shared" si="17"/>
        <v>0</v>
      </c>
      <c r="K40" s="62">
        <f t="shared" si="17"/>
        <v>10789091.881438553</v>
      </c>
      <c r="L40" s="62">
        <f t="shared" si="17"/>
        <v>7212695.7410082715</v>
      </c>
      <c r="M40" s="62">
        <f t="shared" si="17"/>
        <v>6926598.1304506566</v>
      </c>
      <c r="N40" s="62">
        <f t="shared" si="17"/>
        <v>3953859.8737773611</v>
      </c>
      <c r="O40" s="62">
        <f t="shared" si="17"/>
        <v>7228795.5822914047</v>
      </c>
      <c r="P40" s="62">
        <f t="shared" si="17"/>
        <v>-1221912.4686480882</v>
      </c>
      <c r="Q40" s="62">
        <f t="shared" si="17"/>
        <v>4405611.2938587163</v>
      </c>
      <c r="R40" s="62">
        <f t="shared" si="17"/>
        <v>1373053.1107743923</v>
      </c>
      <c r="S40" s="16">
        <f t="shared" si="10"/>
        <v>268857019.4510181</v>
      </c>
      <c r="T40" s="16">
        <f>'Collections and ACP'!H15</f>
        <v>157075656.73749998</v>
      </c>
      <c r="U40" s="16">
        <f t="shared" si="6"/>
        <v>425932676.18851805</v>
      </c>
      <c r="V40" s="16">
        <f t="shared" si="7"/>
        <v>94576178.994549915</v>
      </c>
      <c r="W40" s="16">
        <f t="shared" si="8"/>
        <v>331356497.19396812</v>
      </c>
    </row>
    <row r="41" spans="1:23" x14ac:dyDescent="0.3">
      <c r="A41" s="46" t="s">
        <v>54</v>
      </c>
      <c r="B41" s="127">
        <f t="shared" si="4"/>
        <v>0</v>
      </c>
      <c r="C41" s="127">
        <f t="shared" si="4"/>
        <v>0</v>
      </c>
      <c r="D41" s="127">
        <f t="shared" si="4"/>
        <v>0</v>
      </c>
      <c r="E41" s="58">
        <f t="shared" si="4"/>
        <v>1185057.2026104901</v>
      </c>
      <c r="F41" s="58">
        <f t="shared" si="4"/>
        <v>4844486.1924790554</v>
      </c>
      <c r="G41" s="58"/>
      <c r="H41" s="58">
        <f t="shared" ref="H41:R41" si="18">$B$30*H12</f>
        <v>13658999.999999998</v>
      </c>
      <c r="I41" s="58">
        <f t="shared" si="18"/>
        <v>32820060.883445397</v>
      </c>
      <c r="J41" s="62">
        <f t="shared" si="18"/>
        <v>0</v>
      </c>
      <c r="K41" s="62">
        <f t="shared" si="18"/>
        <v>4249286.8833709629</v>
      </c>
      <c r="L41" s="62">
        <f t="shared" si="18"/>
        <v>7176632.2623032294</v>
      </c>
      <c r="M41" s="62">
        <f t="shared" si="18"/>
        <v>6891965.1397984009</v>
      </c>
      <c r="N41" s="62">
        <f t="shared" si="18"/>
        <v>3953859.8737773611</v>
      </c>
      <c r="O41" s="62">
        <f t="shared" si="18"/>
        <v>2124643.4416854815</v>
      </c>
      <c r="P41" s="62">
        <f t="shared" si="18"/>
        <v>-2266367.41236105</v>
      </c>
      <c r="Q41" s="62">
        <f t="shared" si="18"/>
        <v>3797046.2861133534</v>
      </c>
      <c r="R41" s="62">
        <f t="shared" si="18"/>
        <v>1328045.3851223576</v>
      </c>
      <c r="S41" s="16">
        <f t="shared" si="10"/>
        <v>331356497.19396812</v>
      </c>
      <c r="T41" s="16">
        <f>'Collections and ACP'!H16</f>
        <v>157075656.73749998</v>
      </c>
      <c r="U41" s="16">
        <f t="shared" si="6"/>
        <v>488432153.93146813</v>
      </c>
      <c r="V41" s="16">
        <f t="shared" si="7"/>
        <v>79763716.138345033</v>
      </c>
      <c r="W41" s="16">
        <f t="shared" si="8"/>
        <v>408668437.79312313</v>
      </c>
    </row>
    <row r="42" spans="1:23" x14ac:dyDescent="0.3">
      <c r="A42" s="46" t="s">
        <v>55</v>
      </c>
      <c r="B42" s="127">
        <f t="shared" si="4"/>
        <v>0</v>
      </c>
      <c r="C42" s="127">
        <f t="shared" si="4"/>
        <v>0</v>
      </c>
      <c r="D42" s="127">
        <f t="shared" si="4"/>
        <v>0</v>
      </c>
      <c r="E42" s="58">
        <f t="shared" si="4"/>
        <v>1175617.4759307411</v>
      </c>
      <c r="F42" s="58">
        <f t="shared" si="4"/>
        <v>4859721.3755531562</v>
      </c>
      <c r="G42" s="58"/>
      <c r="H42" s="58">
        <f t="shared" ref="H42:R42" si="19">$B$30*H13</f>
        <v>13658999.999999998</v>
      </c>
      <c r="I42" s="58">
        <f t="shared" si="19"/>
        <v>31507258.448107578</v>
      </c>
      <c r="J42" s="62">
        <f t="shared" si="19"/>
        <v>0</v>
      </c>
      <c r="K42" s="62">
        <f t="shared" si="19"/>
        <v>0</v>
      </c>
      <c r="L42" s="62">
        <f t="shared" si="19"/>
        <v>7140749.1009917138</v>
      </c>
      <c r="M42" s="62">
        <f t="shared" si="19"/>
        <v>6857505.3140994096</v>
      </c>
      <c r="N42" s="62">
        <f t="shared" si="19"/>
        <v>1669502.4269045088</v>
      </c>
      <c r="O42" s="62">
        <f t="shared" si="19"/>
        <v>0</v>
      </c>
      <c r="P42" s="62">
        <f t="shared" si="19"/>
        <v>-3331711.4549482707</v>
      </c>
      <c r="Q42" s="62">
        <f t="shared" si="19"/>
        <v>3182784.702832703</v>
      </c>
      <c r="R42" s="62">
        <f t="shared" si="19"/>
        <v>1282694.3754431203</v>
      </c>
      <c r="S42" s="16">
        <f t="shared" si="10"/>
        <v>408668437.79312313</v>
      </c>
      <c r="T42" s="16">
        <f>'Collections and ACP'!H17</f>
        <v>157075656.73749998</v>
      </c>
      <c r="U42" s="16">
        <f t="shared" si="6"/>
        <v>565744094.53062308</v>
      </c>
      <c r="V42" s="16">
        <f t="shared" si="7"/>
        <v>68003121.764914662</v>
      </c>
      <c r="W42" s="16">
        <f t="shared" si="8"/>
        <v>497740972.76570845</v>
      </c>
    </row>
    <row r="43" spans="1:23" x14ac:dyDescent="0.3">
      <c r="A43" s="46" t="s">
        <v>56</v>
      </c>
      <c r="B43" s="127">
        <f t="shared" ref="B43:E54" si="20">$B$30*B14</f>
        <v>0</v>
      </c>
      <c r="C43" s="127">
        <f t="shared" si="20"/>
        <v>0</v>
      </c>
      <c r="D43" s="127">
        <f t="shared" si="20"/>
        <v>0</v>
      </c>
      <c r="E43" s="58">
        <f t="shared" si="20"/>
        <v>1164041.7502967019</v>
      </c>
      <c r="F43" s="58"/>
      <c r="G43" s="58"/>
      <c r="H43" s="58">
        <f t="shared" ref="H43:R43" si="21">$B$30*H14</f>
        <v>13658999.999999998</v>
      </c>
      <c r="I43" s="58">
        <f t="shared" si="21"/>
        <v>30246968.110183273</v>
      </c>
      <c r="J43" s="62">
        <f t="shared" si="21"/>
        <v>0</v>
      </c>
      <c r="K43" s="62">
        <f t="shared" si="21"/>
        <v>0</v>
      </c>
      <c r="L43" s="62">
        <f t="shared" si="21"/>
        <v>7105045.3554867562</v>
      </c>
      <c r="M43" s="62">
        <f t="shared" si="21"/>
        <v>6823217.7875289125</v>
      </c>
      <c r="N43" s="62">
        <f t="shared" si="21"/>
        <v>0</v>
      </c>
      <c r="O43" s="62">
        <f t="shared" si="21"/>
        <v>0</v>
      </c>
      <c r="P43" s="62">
        <f t="shared" si="21"/>
        <v>-4418362.3783872388</v>
      </c>
      <c r="Q43" s="62">
        <f t="shared" si="21"/>
        <v>2562724.8098258893</v>
      </c>
      <c r="R43" s="62">
        <f t="shared" si="21"/>
        <v>1236993.3301492503</v>
      </c>
      <c r="S43" s="16">
        <f t="shared" si="10"/>
        <v>497740972.76570845</v>
      </c>
      <c r="T43" s="16">
        <f>'Collections and ACP'!H18</f>
        <v>157075656.73749998</v>
      </c>
      <c r="U43" s="16">
        <f t="shared" si="6"/>
        <v>654816629.5032084</v>
      </c>
      <c r="V43" s="16">
        <f t="shared" si="7"/>
        <v>58379628.765083544</v>
      </c>
      <c r="W43" s="16">
        <f t="shared" si="8"/>
        <v>596437000.73812485</v>
      </c>
    </row>
    <row r="44" spans="1:23" x14ac:dyDescent="0.3">
      <c r="A44" s="46" t="s">
        <v>57</v>
      </c>
      <c r="B44" s="127">
        <f t="shared" si="20"/>
        <v>0</v>
      </c>
      <c r="C44" s="127">
        <f t="shared" si="20"/>
        <v>0</v>
      </c>
      <c r="D44" s="127">
        <f t="shared" si="20"/>
        <v>0</v>
      </c>
      <c r="E44" s="58">
        <f t="shared" si="20"/>
        <v>0</v>
      </c>
      <c r="F44" s="58"/>
      <c r="G44" s="58"/>
      <c r="H44" s="58">
        <f t="shared" ref="H44:R44" si="22">$B$30*H15</f>
        <v>13658999.999999998</v>
      </c>
      <c r="I44" s="58">
        <f t="shared" si="22"/>
        <v>29037089.385775942</v>
      </c>
      <c r="J44" s="62">
        <f t="shared" si="22"/>
        <v>0</v>
      </c>
      <c r="K44" s="62">
        <f t="shared" si="22"/>
        <v>0</v>
      </c>
      <c r="L44" s="62">
        <f t="shared" si="22"/>
        <v>7069520.1287093209</v>
      </c>
      <c r="M44" s="62">
        <f t="shared" si="22"/>
        <v>6789101.6985912686</v>
      </c>
      <c r="N44" s="62">
        <f t="shared" si="22"/>
        <v>0</v>
      </c>
      <c r="O44" s="62">
        <f t="shared" si="22"/>
        <v>0</v>
      </c>
      <c r="P44" s="62">
        <f t="shared" si="22"/>
        <v>-5526746.3202949837</v>
      </c>
      <c r="Q44" s="62">
        <f t="shared" si="22"/>
        <v>1936763.4413386695</v>
      </c>
      <c r="R44" s="62">
        <f t="shared" si="22"/>
        <v>1190935.4052379418</v>
      </c>
      <c r="S44" s="16">
        <f t="shared" si="10"/>
        <v>596437000.73812485</v>
      </c>
      <c r="T44" s="16">
        <f>'Collections and ACP'!H19</f>
        <v>157075656.73749998</v>
      </c>
      <c r="U44" s="16">
        <f t="shared" si="6"/>
        <v>753512657.4756248</v>
      </c>
      <c r="V44" s="16">
        <f t="shared" si="7"/>
        <v>54155663.739358157</v>
      </c>
      <c r="W44" s="16">
        <f t="shared" si="8"/>
        <v>699356993.73626661</v>
      </c>
    </row>
    <row r="45" spans="1:23" x14ac:dyDescent="0.3">
      <c r="A45" s="46" t="s">
        <v>58</v>
      </c>
      <c r="B45" s="127">
        <f t="shared" si="20"/>
        <v>0</v>
      </c>
      <c r="C45" s="127">
        <f t="shared" si="20"/>
        <v>0</v>
      </c>
      <c r="D45" s="127">
        <f t="shared" si="20"/>
        <v>0</v>
      </c>
      <c r="E45" s="58">
        <f t="shared" si="20"/>
        <v>0</v>
      </c>
      <c r="F45" s="58"/>
      <c r="G45" s="58"/>
      <c r="H45" s="58">
        <f t="shared" ref="H45:R45" si="23">$B$30*H16</f>
        <v>13658999.999999998</v>
      </c>
      <c r="I45" s="58">
        <f t="shared" si="23"/>
        <v>13937802.90517245</v>
      </c>
      <c r="J45" s="62">
        <f t="shared" si="23"/>
        <v>0</v>
      </c>
      <c r="K45" s="62">
        <f t="shared" si="23"/>
        <v>0</v>
      </c>
      <c r="L45" s="62">
        <f t="shared" si="23"/>
        <v>7034172.5280657737</v>
      </c>
      <c r="M45" s="62">
        <f t="shared" si="23"/>
        <v>6755156.1900983127</v>
      </c>
      <c r="N45" s="62">
        <f t="shared" si="23"/>
        <v>0</v>
      </c>
      <c r="O45" s="62">
        <f t="shared" si="23"/>
        <v>0</v>
      </c>
      <c r="P45" s="62">
        <f t="shared" si="23"/>
        <v>-6657297.941040881</v>
      </c>
      <c r="Q45" s="62">
        <f t="shared" si="23"/>
        <v>1304795.9783017596</v>
      </c>
      <c r="R45" s="62">
        <f t="shared" si="23"/>
        <v>1144513.6628731075</v>
      </c>
      <c r="S45" s="16">
        <f t="shared" si="10"/>
        <v>699356993.73626661</v>
      </c>
      <c r="T45" s="16">
        <f>'Collections and ACP'!H20</f>
        <v>157075656.73749998</v>
      </c>
      <c r="U45" s="16">
        <f t="shared" si="6"/>
        <v>856432650.47376657</v>
      </c>
      <c r="V45" s="16">
        <f t="shared" si="7"/>
        <v>37178143.323470518</v>
      </c>
      <c r="W45" s="16">
        <f t="shared" si="8"/>
        <v>819254507.15029609</v>
      </c>
    </row>
    <row r="46" spans="1:23" x14ac:dyDescent="0.3">
      <c r="A46" s="46" t="s">
        <v>59</v>
      </c>
      <c r="B46" s="127">
        <f t="shared" si="20"/>
        <v>0</v>
      </c>
      <c r="C46" s="127">
        <f t="shared" si="20"/>
        <v>0</v>
      </c>
      <c r="D46" s="127">
        <f t="shared" si="20"/>
        <v>0</v>
      </c>
      <c r="E46" s="58">
        <f t="shared" si="20"/>
        <v>0</v>
      </c>
      <c r="F46" s="58"/>
      <c r="G46" s="58"/>
      <c r="H46" s="58">
        <f t="shared" ref="H46:R46" si="24">$B$30*H17</f>
        <v>13658999.999999998</v>
      </c>
      <c r="I46" s="58">
        <f t="shared" si="24"/>
        <v>13380290.788965553</v>
      </c>
      <c r="J46" s="62">
        <f t="shared" si="24"/>
        <v>0</v>
      </c>
      <c r="K46" s="62">
        <f t="shared" si="24"/>
        <v>0</v>
      </c>
      <c r="L46" s="62">
        <f t="shared" si="24"/>
        <v>6999001.665425445</v>
      </c>
      <c r="M46" s="62">
        <f t="shared" si="24"/>
        <v>6721380.4091478214</v>
      </c>
      <c r="N46" s="62">
        <f t="shared" si="24"/>
        <v>0</v>
      </c>
      <c r="O46" s="62">
        <f t="shared" si="24"/>
        <v>0</v>
      </c>
      <c r="P46" s="62">
        <f t="shared" si="24"/>
        <v>-7810460.594201697</v>
      </c>
      <c r="Q46" s="62">
        <f t="shared" si="24"/>
        <v>666716.32625716378</v>
      </c>
      <c r="R46" s="62">
        <f t="shared" si="24"/>
        <v>1097721.069946551</v>
      </c>
      <c r="S46" s="16">
        <f t="shared" si="10"/>
        <v>819254507.15029609</v>
      </c>
      <c r="T46" s="16">
        <f>'Collections and ACP'!H21</f>
        <v>157075656.73749998</v>
      </c>
      <c r="U46" s="16">
        <f t="shared" si="6"/>
        <v>976330163.88779604</v>
      </c>
      <c r="V46" s="16">
        <f t="shared" si="7"/>
        <v>34713649.665540829</v>
      </c>
      <c r="W46" s="16">
        <f t="shared" si="8"/>
        <v>941616514.22225523</v>
      </c>
    </row>
    <row r="47" spans="1:23" x14ac:dyDescent="0.3">
      <c r="A47" s="46" t="s">
        <v>60</v>
      </c>
      <c r="B47" s="127">
        <f t="shared" si="20"/>
        <v>0</v>
      </c>
      <c r="C47" s="127">
        <f t="shared" si="20"/>
        <v>0</v>
      </c>
      <c r="D47" s="127">
        <f t="shared" si="20"/>
        <v>0</v>
      </c>
      <c r="E47" s="58">
        <f t="shared" si="20"/>
        <v>0</v>
      </c>
      <c r="F47" s="58"/>
      <c r="G47" s="58"/>
      <c r="H47" s="58">
        <f t="shared" ref="H47:R47" si="25">$B$30*H18</f>
        <v>13658999.999999998</v>
      </c>
      <c r="I47" s="58">
        <f t="shared" si="25"/>
        <v>12845079.15740693</v>
      </c>
      <c r="J47" s="62">
        <f t="shared" si="25"/>
        <v>0</v>
      </c>
      <c r="K47" s="62">
        <f t="shared" si="25"/>
        <v>0</v>
      </c>
      <c r="L47" s="62">
        <f t="shared" si="25"/>
        <v>6964006.6570983185</v>
      </c>
      <c r="M47" s="62">
        <f t="shared" si="25"/>
        <v>6687773.5071020825</v>
      </c>
      <c r="N47" s="62">
        <f t="shared" si="25"/>
        <v>0</v>
      </c>
      <c r="O47" s="62">
        <f t="shared" si="25"/>
        <v>0</v>
      </c>
      <c r="P47" s="62">
        <f t="shared" si="25"/>
        <v>-8986686.5004257318</v>
      </c>
      <c r="Q47" s="62">
        <f t="shared" si="25"/>
        <v>22416.892957709013</v>
      </c>
      <c r="R47" s="62">
        <f t="shared" si="25"/>
        <v>1050550.496617906</v>
      </c>
      <c r="S47" s="16">
        <f t="shared" si="10"/>
        <v>941616514.22225523</v>
      </c>
      <c r="T47" s="16">
        <f>'Collections and ACP'!H22</f>
        <v>157075656.73749998</v>
      </c>
      <c r="U47" s="16">
        <f t="shared" si="6"/>
        <v>1098692170.9597552</v>
      </c>
      <c r="V47" s="16">
        <f t="shared" si="7"/>
        <v>32242140.210757211</v>
      </c>
      <c r="W47" s="16">
        <f t="shared" si="8"/>
        <v>1066450030.7489979</v>
      </c>
    </row>
    <row r="48" spans="1:23" x14ac:dyDescent="0.3">
      <c r="A48" s="46" t="s">
        <v>61</v>
      </c>
      <c r="B48" s="127">
        <f t="shared" si="20"/>
        <v>0</v>
      </c>
      <c r="C48" s="127">
        <f t="shared" si="20"/>
        <v>0</v>
      </c>
      <c r="D48" s="127">
        <f t="shared" si="20"/>
        <v>0</v>
      </c>
      <c r="E48" s="58">
        <f t="shared" si="20"/>
        <v>0</v>
      </c>
      <c r="F48" s="58"/>
      <c r="G48" s="58"/>
      <c r="H48" s="58">
        <f t="shared" ref="H48:R48" si="26">$B$30*H19</f>
        <v>13658999.999999998</v>
      </c>
      <c r="I48" s="58">
        <f t="shared" si="26"/>
        <v>12331275.991110651</v>
      </c>
      <c r="J48" s="62">
        <f t="shared" si="26"/>
        <v>0</v>
      </c>
      <c r="K48" s="62">
        <f t="shared" si="26"/>
        <v>0</v>
      </c>
      <c r="L48" s="62">
        <f t="shared" si="26"/>
        <v>6929186.6238128273</v>
      </c>
      <c r="M48" s="62">
        <f t="shared" si="26"/>
        <v>6654334.6395665715</v>
      </c>
      <c r="N48" s="62">
        <f t="shared" si="26"/>
        <v>0</v>
      </c>
      <c r="O48" s="62">
        <f t="shared" si="26"/>
        <v>0</v>
      </c>
      <c r="P48" s="62">
        <f t="shared" si="26"/>
        <v>-10186436.924774244</v>
      </c>
      <c r="Q48" s="62">
        <f t="shared" si="26"/>
        <v>-628211.4343651029</v>
      </c>
      <c r="R48" s="62">
        <f t="shared" si="26"/>
        <v>1002994.7148330185</v>
      </c>
      <c r="S48" s="16">
        <f t="shared" si="10"/>
        <v>1066450030.7489979</v>
      </c>
      <c r="T48" s="16">
        <f>'Collections and ACP'!H23</f>
        <v>157075656.73749998</v>
      </c>
      <c r="U48" s="16">
        <f t="shared" si="6"/>
        <v>1223525687.4864979</v>
      </c>
      <c r="V48" s="16">
        <f t="shared" si="7"/>
        <v>29762143.61018372</v>
      </c>
      <c r="W48" s="16">
        <f t="shared" si="8"/>
        <v>1193763543.8763142</v>
      </c>
    </row>
    <row r="49" spans="1:23" x14ac:dyDescent="0.3">
      <c r="A49" s="46" t="s">
        <v>62</v>
      </c>
      <c r="B49" s="127">
        <f t="shared" si="20"/>
        <v>0</v>
      </c>
      <c r="C49" s="127">
        <f t="shared" si="20"/>
        <v>0</v>
      </c>
      <c r="D49" s="127">
        <f t="shared" si="20"/>
        <v>0</v>
      </c>
      <c r="E49" s="58">
        <f t="shared" si="20"/>
        <v>0</v>
      </c>
      <c r="F49" s="58"/>
      <c r="G49" s="58"/>
      <c r="H49" s="58">
        <f t="shared" ref="H49:R49" si="27">$B$30*H20</f>
        <v>13658999.999999998</v>
      </c>
      <c r="I49" s="58">
        <f t="shared" si="27"/>
        <v>11838024.951466225</v>
      </c>
      <c r="J49" s="62">
        <f t="shared" si="27"/>
        <v>0</v>
      </c>
      <c r="K49" s="62">
        <f t="shared" si="27"/>
        <v>0</v>
      </c>
      <c r="L49" s="62">
        <f t="shared" si="27"/>
        <v>6894540.6906937631</v>
      </c>
      <c r="M49" s="62">
        <f t="shared" si="27"/>
        <v>6621062.9663687404</v>
      </c>
      <c r="N49" s="62">
        <f t="shared" si="27"/>
        <v>0</v>
      </c>
      <c r="O49" s="62">
        <f t="shared" si="27"/>
        <v>0</v>
      </c>
      <c r="P49" s="62">
        <f t="shared" si="27"/>
        <v>-11410182.35760973</v>
      </c>
      <c r="Q49" s="62">
        <f t="shared" si="27"/>
        <v>-1285279.3120698875</v>
      </c>
      <c r="R49" s="62">
        <f t="shared" si="27"/>
        <v>955046.39682045847</v>
      </c>
      <c r="S49" s="16">
        <f t="shared" si="10"/>
        <v>1193763543.8763142</v>
      </c>
      <c r="T49" s="16">
        <f>'Collections and ACP'!H24</f>
        <v>157075656.73749998</v>
      </c>
      <c r="U49" s="16">
        <f t="shared" si="6"/>
        <v>1350839200.6138141</v>
      </c>
      <c r="V49" s="16">
        <f t="shared" si="7"/>
        <v>27272213.335669566</v>
      </c>
      <c r="W49" s="16">
        <f t="shared" si="8"/>
        <v>1323566987.2781446</v>
      </c>
    </row>
    <row r="50" spans="1:23" x14ac:dyDescent="0.3">
      <c r="A50" s="46" t="s">
        <v>63</v>
      </c>
      <c r="B50" s="127">
        <f t="shared" si="20"/>
        <v>0</v>
      </c>
      <c r="C50" s="127">
        <f t="shared" si="20"/>
        <v>0</v>
      </c>
      <c r="D50" s="127">
        <f t="shared" si="20"/>
        <v>0</v>
      </c>
      <c r="E50" s="58">
        <f t="shared" si="20"/>
        <v>0</v>
      </c>
      <c r="F50" s="58"/>
      <c r="G50" s="58"/>
      <c r="H50" s="58"/>
      <c r="I50" s="58">
        <f t="shared" ref="I50:R50" si="28">$B$30*I21</f>
        <v>11364503.953407574</v>
      </c>
      <c r="J50" s="62">
        <f t="shared" si="28"/>
        <v>0</v>
      </c>
      <c r="K50" s="62">
        <f t="shared" si="28"/>
        <v>0</v>
      </c>
      <c r="L50" s="62">
        <f t="shared" si="28"/>
        <v>6860067.9872402949</v>
      </c>
      <c r="M50" s="62">
        <f t="shared" si="28"/>
        <v>6587957.6515368959</v>
      </c>
      <c r="N50" s="62">
        <f t="shared" si="28"/>
        <v>0</v>
      </c>
      <c r="O50" s="62">
        <f t="shared" si="28"/>
        <v>0</v>
      </c>
      <c r="P50" s="62">
        <f t="shared" si="28"/>
        <v>-12658402.699101925</v>
      </c>
      <c r="Q50" s="62">
        <f t="shared" si="28"/>
        <v>-1948898.9635158086</v>
      </c>
      <c r="R50" s="62">
        <f t="shared" si="28"/>
        <v>906698.11356582912</v>
      </c>
      <c r="S50" s="16">
        <f t="shared" si="10"/>
        <v>1323566987.2781446</v>
      </c>
      <c r="T50" s="16">
        <f>'Collections and ACP'!H25</f>
        <v>157075656.73749998</v>
      </c>
      <c r="U50" s="16">
        <f t="shared" si="6"/>
        <v>1480642644.0156446</v>
      </c>
      <c r="V50" s="16">
        <f t="shared" si="7"/>
        <v>11111926.043132862</v>
      </c>
      <c r="W50" s="16">
        <f t="shared" si="8"/>
        <v>1469530717.9725118</v>
      </c>
    </row>
    <row r="51" spans="1:23" x14ac:dyDescent="0.3">
      <c r="A51" s="46" t="s">
        <v>64</v>
      </c>
      <c r="B51" s="127">
        <f t="shared" si="20"/>
        <v>0</v>
      </c>
      <c r="C51" s="127">
        <f t="shared" si="20"/>
        <v>0</v>
      </c>
      <c r="D51" s="127">
        <f t="shared" si="20"/>
        <v>0</v>
      </c>
      <c r="E51" s="58">
        <f t="shared" si="20"/>
        <v>0</v>
      </c>
      <c r="F51" s="58"/>
      <c r="G51" s="58"/>
      <c r="H51" s="58"/>
      <c r="I51" s="58">
        <f t="shared" ref="I51:R51" si="29">$B$30*I22</f>
        <v>10909923.795271272</v>
      </c>
      <c r="J51" s="62">
        <f t="shared" si="29"/>
        <v>0</v>
      </c>
      <c r="K51" s="62">
        <f t="shared" si="29"/>
        <v>0</v>
      </c>
      <c r="L51" s="62">
        <f t="shared" si="29"/>
        <v>6825767.6473040935</v>
      </c>
      <c r="M51" s="62">
        <f t="shared" si="29"/>
        <v>6555017.8632792113</v>
      </c>
      <c r="N51" s="62">
        <f t="shared" si="29"/>
        <v>0</v>
      </c>
      <c r="O51" s="62">
        <f t="shared" si="29"/>
        <v>0</v>
      </c>
      <c r="P51" s="62">
        <f t="shared" si="29"/>
        <v>-13931587.447423963</v>
      </c>
      <c r="Q51" s="62">
        <f t="shared" si="29"/>
        <v>-2619184.2028197926</v>
      </c>
      <c r="R51" s="62">
        <f t="shared" si="29"/>
        <v>857942.33326354239</v>
      </c>
      <c r="S51" s="16"/>
      <c r="T51" s="16"/>
      <c r="U51" s="16"/>
      <c r="V51" s="16"/>
      <c r="W51" s="16"/>
    </row>
    <row r="52" spans="1:23" x14ac:dyDescent="0.3">
      <c r="A52" s="46" t="s">
        <v>65</v>
      </c>
      <c r="B52" s="127">
        <f t="shared" si="20"/>
        <v>0</v>
      </c>
      <c r="C52" s="127">
        <f t="shared" si="20"/>
        <v>0</v>
      </c>
      <c r="D52" s="127">
        <f t="shared" si="20"/>
        <v>0</v>
      </c>
      <c r="E52" s="58">
        <f t="shared" si="20"/>
        <v>0</v>
      </c>
      <c r="F52" s="58"/>
      <c r="G52" s="58"/>
      <c r="H52" s="58"/>
      <c r="I52" s="58">
        <f t="shared" ref="I52:R52" si="30">$B$30*I23</f>
        <v>10473526.84346042</v>
      </c>
      <c r="J52" s="62">
        <f t="shared" si="30"/>
        <v>0</v>
      </c>
      <c r="K52" s="62">
        <f t="shared" si="30"/>
        <v>0</v>
      </c>
      <c r="L52" s="62">
        <f t="shared" si="30"/>
        <v>6791638.8090675725</v>
      </c>
      <c r="M52" s="62">
        <f t="shared" si="30"/>
        <v>6522242.7739628144</v>
      </c>
      <c r="N52" s="62">
        <f t="shared" si="30"/>
        <v>0</v>
      </c>
      <c r="O52" s="62">
        <f t="shared" si="30"/>
        <v>0</v>
      </c>
      <c r="P52" s="62">
        <f t="shared" si="30"/>
        <v>-15230235.890712438</v>
      </c>
      <c r="Q52" s="62">
        <f t="shared" si="30"/>
        <v>-3296250.4589656666</v>
      </c>
      <c r="R52" s="62">
        <f t="shared" si="30"/>
        <v>808771.41974572348</v>
      </c>
      <c r="S52" s="16"/>
      <c r="T52" s="16"/>
      <c r="U52" s="16"/>
      <c r="V52" s="16"/>
      <c r="W52" s="16"/>
    </row>
    <row r="53" spans="1:23" x14ac:dyDescent="0.3">
      <c r="A53" s="46" t="s">
        <v>66</v>
      </c>
      <c r="B53" s="127">
        <f t="shared" si="20"/>
        <v>0</v>
      </c>
      <c r="C53" s="127">
        <f t="shared" si="20"/>
        <v>0</v>
      </c>
      <c r="D53" s="127">
        <f t="shared" si="20"/>
        <v>0</v>
      </c>
      <c r="E53" s="58">
        <f t="shared" si="20"/>
        <v>0</v>
      </c>
      <c r="F53" s="58"/>
      <c r="G53" s="58"/>
      <c r="H53" s="57"/>
      <c r="I53" s="58">
        <f t="shared" ref="I53:R53" si="31">$B$30*I24</f>
        <v>0</v>
      </c>
      <c r="J53" s="62">
        <f t="shared" si="31"/>
        <v>0</v>
      </c>
      <c r="K53" s="62">
        <f t="shared" si="31"/>
        <v>0</v>
      </c>
      <c r="L53" s="62">
        <f t="shared" si="31"/>
        <v>6757680.6150222355</v>
      </c>
      <c r="M53" s="62">
        <f t="shared" si="31"/>
        <v>6489631.5600930015</v>
      </c>
      <c r="N53" s="62">
        <f t="shared" si="31"/>
        <v>0</v>
      </c>
      <c r="O53" s="62">
        <f t="shared" si="31"/>
        <v>0</v>
      </c>
      <c r="P53" s="62">
        <f t="shared" si="31"/>
        <v>-16554857.302866684</v>
      </c>
      <c r="Q53" s="62">
        <f t="shared" si="31"/>
        <v>-3980214.8002704955</v>
      </c>
      <c r="R53" s="62">
        <f t="shared" si="31"/>
        <v>759177.63088790642</v>
      </c>
      <c r="S53" s="16"/>
      <c r="T53" s="16"/>
      <c r="U53" s="16"/>
      <c r="V53" s="16"/>
      <c r="W53" s="16"/>
    </row>
    <row r="54" spans="1:23" x14ac:dyDescent="0.3">
      <c r="A54" s="46" t="s">
        <v>67</v>
      </c>
      <c r="B54" s="127">
        <f t="shared" si="20"/>
        <v>0</v>
      </c>
      <c r="C54" s="127">
        <f t="shared" si="20"/>
        <v>0</v>
      </c>
      <c r="D54" s="127">
        <f t="shared" si="20"/>
        <v>0</v>
      </c>
      <c r="E54" s="58">
        <f t="shared" si="20"/>
        <v>0</v>
      </c>
      <c r="F54" s="58"/>
      <c r="G54" s="58"/>
      <c r="H54" s="57"/>
      <c r="I54" s="58">
        <f t="shared" ref="I54:R54" si="32">$B$30*I25</f>
        <v>0</v>
      </c>
      <c r="J54" s="62">
        <f t="shared" si="32"/>
        <v>0</v>
      </c>
      <c r="K54" s="62">
        <f t="shared" si="32"/>
        <v>0</v>
      </c>
      <c r="L54" s="62">
        <f t="shared" si="32"/>
        <v>6723892.2119471226</v>
      </c>
      <c r="M54" s="62">
        <f t="shared" si="32"/>
        <v>1985664.6291362208</v>
      </c>
      <c r="N54" s="62">
        <f t="shared" si="32"/>
        <v>0</v>
      </c>
      <c r="O54" s="62">
        <f t="shared" si="32"/>
        <v>0</v>
      </c>
      <c r="P54" s="62">
        <f t="shared" si="32"/>
        <v>-17905971.143264014</v>
      </c>
      <c r="Q54" s="62">
        <f t="shared" si="32"/>
        <v>-4671195.9592134356</v>
      </c>
      <c r="R54" s="62">
        <f t="shared" si="32"/>
        <v>709153.116991168</v>
      </c>
      <c r="S54" s="16"/>
      <c r="T54" s="16"/>
      <c r="U54" s="16"/>
      <c r="V54" s="16"/>
      <c r="W54" s="16"/>
    </row>
    <row r="58" spans="1:23" x14ac:dyDescent="0.3">
      <c r="A58" s="35" t="s">
        <v>106</v>
      </c>
      <c r="B58" s="126">
        <v>0.72445000000000004</v>
      </c>
    </row>
    <row r="59" spans="1:23" ht="57.6" x14ac:dyDescent="0.3">
      <c r="A59" s="53" t="s">
        <v>43</v>
      </c>
      <c r="B59" s="53" t="s">
        <v>125</v>
      </c>
      <c r="C59" s="53" t="s">
        <v>116</v>
      </c>
      <c r="D59" s="53" t="s">
        <v>117</v>
      </c>
      <c r="E59" s="53" t="s">
        <v>118</v>
      </c>
      <c r="F59" s="53" t="s">
        <v>275</v>
      </c>
      <c r="G59" s="53" t="s">
        <v>44</v>
      </c>
      <c r="H59" s="53" t="s">
        <v>119</v>
      </c>
      <c r="I59" s="53" t="s">
        <v>126</v>
      </c>
      <c r="J59" s="53" t="s">
        <v>6</v>
      </c>
      <c r="K59" s="53" t="s">
        <v>12</v>
      </c>
      <c r="L59" s="53" t="s">
        <v>21</v>
      </c>
      <c r="M59" s="53" t="s">
        <v>25</v>
      </c>
      <c r="N59" s="53" t="s">
        <v>29</v>
      </c>
      <c r="O59" s="53" t="s">
        <v>33</v>
      </c>
      <c r="P59" s="53" t="s">
        <v>40</v>
      </c>
      <c r="Q59" s="53" t="s">
        <v>41</v>
      </c>
      <c r="R59" s="53" t="s">
        <v>42</v>
      </c>
      <c r="S59" s="54" t="s">
        <v>131</v>
      </c>
      <c r="T59" s="54" t="s">
        <v>128</v>
      </c>
      <c r="U59" s="54" t="s">
        <v>122</v>
      </c>
      <c r="V59" s="53" t="s">
        <v>123</v>
      </c>
      <c r="W59" s="53" t="s">
        <v>124</v>
      </c>
    </row>
    <row r="60" spans="1:23" x14ac:dyDescent="0.3">
      <c r="A60" s="46" t="s">
        <v>45</v>
      </c>
      <c r="B60" s="127">
        <f t="shared" ref="B60:F71" si="33">$B$58*B3</f>
        <v>100088215.38573343</v>
      </c>
      <c r="C60" s="127">
        <f t="shared" si="33"/>
        <v>44639538.27630233</v>
      </c>
      <c r="D60" s="127">
        <f t="shared" si="33"/>
        <v>24265958.812011931</v>
      </c>
      <c r="E60" s="58">
        <f t="shared" si="33"/>
        <v>22348094.112735391</v>
      </c>
      <c r="F60" s="58">
        <f t="shared" si="33"/>
        <v>4895166.6218669675</v>
      </c>
      <c r="G60" s="58"/>
      <c r="H60" s="58">
        <f t="shared" ref="H60:R60" si="34">$B$58*H3</f>
        <v>8158611.0364449453</v>
      </c>
      <c r="I60" s="58">
        <f t="shared" si="34"/>
        <v>0</v>
      </c>
      <c r="J60" s="62">
        <f t="shared" si="34"/>
        <v>0</v>
      </c>
      <c r="K60" s="62">
        <f t="shared" si="34"/>
        <v>0</v>
      </c>
      <c r="L60" s="62">
        <f t="shared" si="34"/>
        <v>0</v>
      </c>
      <c r="M60" s="62">
        <f t="shared" si="34"/>
        <v>0</v>
      </c>
      <c r="N60" s="62">
        <f t="shared" si="34"/>
        <v>0</v>
      </c>
      <c r="O60" s="62">
        <f t="shared" si="34"/>
        <v>0</v>
      </c>
      <c r="P60" s="62">
        <f t="shared" si="34"/>
        <v>0</v>
      </c>
      <c r="Q60" s="62">
        <f t="shared" si="34"/>
        <v>0</v>
      </c>
      <c r="R60" s="62">
        <f t="shared" si="34"/>
        <v>0</v>
      </c>
      <c r="S60" s="16">
        <f>'Collections and ACP'!C158+'Collections and ACP'!C155</f>
        <v>296007918.98000002</v>
      </c>
      <c r="T60" s="16">
        <f>'Collections and ACP'!H46</f>
        <v>160340838.45917991</v>
      </c>
      <c r="U60" s="16">
        <f t="shared" ref="U60:U78" si="35">S60+T60</f>
        <v>456348757.4391799</v>
      </c>
      <c r="V60" s="16">
        <f t="shared" ref="V60:V78" si="36">SUM(B60:R60)</f>
        <v>204395584.24509498</v>
      </c>
      <c r="W60" s="16">
        <f t="shared" ref="W60:W78" si="37">U60-V60</f>
        <v>251953173.19408491</v>
      </c>
    </row>
    <row r="61" spans="1:23" x14ac:dyDescent="0.3">
      <c r="A61" s="46" t="s">
        <v>46</v>
      </c>
      <c r="B61" s="127">
        <f t="shared" si="33"/>
        <v>27566760.301426023</v>
      </c>
      <c r="C61" s="127">
        <f t="shared" si="33"/>
        <v>47906147.616893075</v>
      </c>
      <c r="D61" s="127">
        <f t="shared" si="33"/>
        <v>84952669.349394217</v>
      </c>
      <c r="E61" s="58">
        <f t="shared" si="33"/>
        <v>17489856.912571978</v>
      </c>
      <c r="F61" s="58">
        <f t="shared" si="33"/>
        <v>10100379.767692089</v>
      </c>
      <c r="G61" s="58">
        <v>10000000</v>
      </c>
      <c r="H61" s="58">
        <f t="shared" ref="H61:R61" si="38">$B$58*H4</f>
        <v>36222500</v>
      </c>
      <c r="I61" s="58">
        <f t="shared" si="38"/>
        <v>0</v>
      </c>
      <c r="J61" s="62">
        <f t="shared" si="38"/>
        <v>0</v>
      </c>
      <c r="K61" s="62">
        <f t="shared" si="38"/>
        <v>0</v>
      </c>
      <c r="L61" s="62">
        <f t="shared" si="38"/>
        <v>0</v>
      </c>
      <c r="M61" s="62">
        <f t="shared" si="38"/>
        <v>0</v>
      </c>
      <c r="N61" s="62">
        <f t="shared" si="38"/>
        <v>0</v>
      </c>
      <c r="O61" s="62">
        <f t="shared" si="38"/>
        <v>0</v>
      </c>
      <c r="P61" s="62">
        <f t="shared" si="38"/>
        <v>0</v>
      </c>
      <c r="Q61" s="62">
        <f t="shared" si="38"/>
        <v>0</v>
      </c>
      <c r="R61" s="62">
        <f t="shared" si="38"/>
        <v>0</v>
      </c>
      <c r="S61" s="16">
        <f t="shared" ref="S61:S78" si="39">W60</f>
        <v>251953173.19408491</v>
      </c>
      <c r="T61" s="16">
        <f>'Collections and ACP'!H47</f>
        <v>334084827.7045005</v>
      </c>
      <c r="U61" s="16">
        <f t="shared" si="35"/>
        <v>586038000.89858544</v>
      </c>
      <c r="V61" s="16">
        <f t="shared" si="36"/>
        <v>234238313.94797736</v>
      </c>
      <c r="W61" s="16">
        <f t="shared" si="37"/>
        <v>351799686.95060807</v>
      </c>
    </row>
    <row r="62" spans="1:23" x14ac:dyDescent="0.3">
      <c r="A62" s="46" t="s">
        <v>47</v>
      </c>
      <c r="B62" s="127">
        <f t="shared" si="33"/>
        <v>3524660.9705124982</v>
      </c>
      <c r="C62" s="127">
        <f t="shared" si="33"/>
        <v>47241387.409028895</v>
      </c>
      <c r="D62" s="127">
        <f t="shared" si="33"/>
        <v>79800318.939734191</v>
      </c>
      <c r="E62" s="58">
        <f t="shared" si="33"/>
        <v>15983065.541966226</v>
      </c>
      <c r="F62" s="58">
        <f t="shared" si="33"/>
        <v>12767626.985842081</v>
      </c>
      <c r="G62" s="58"/>
      <c r="H62" s="58">
        <f t="shared" ref="H62:R62" si="40">$B$58*H5</f>
        <v>36222500</v>
      </c>
      <c r="I62" s="58">
        <f t="shared" si="40"/>
        <v>243222174.02253971</v>
      </c>
      <c r="J62" s="62">
        <f t="shared" si="40"/>
        <v>142641628.50112155</v>
      </c>
      <c r="K62" s="62">
        <f t="shared" si="40"/>
        <v>18363180.311042752</v>
      </c>
      <c r="L62" s="62">
        <f t="shared" si="40"/>
        <v>0</v>
      </c>
      <c r="M62" s="62">
        <f t="shared" si="40"/>
        <v>13108498.828191668</v>
      </c>
      <c r="N62" s="62">
        <f t="shared" si="40"/>
        <v>0</v>
      </c>
      <c r="O62" s="62">
        <f t="shared" si="40"/>
        <v>14331997.073404588</v>
      </c>
      <c r="P62" s="62">
        <f t="shared" si="40"/>
        <v>0</v>
      </c>
      <c r="Q62" s="62">
        <f t="shared" si="40"/>
        <v>0</v>
      </c>
      <c r="R62" s="62">
        <f t="shared" si="40"/>
        <v>0</v>
      </c>
      <c r="S62" s="16">
        <f t="shared" si="39"/>
        <v>351799686.95060807</v>
      </c>
      <c r="T62" s="16">
        <f>'Collections and ACP'!H48</f>
        <v>425587002.41775018</v>
      </c>
      <c r="U62" s="16">
        <f t="shared" si="35"/>
        <v>777386689.36835825</v>
      </c>
      <c r="V62" s="16">
        <f t="shared" si="36"/>
        <v>627207038.58338416</v>
      </c>
      <c r="W62" s="16">
        <f t="shared" si="37"/>
        <v>150179650.7849741</v>
      </c>
    </row>
    <row r="63" spans="1:23" x14ac:dyDescent="0.3">
      <c r="A63" s="46" t="s">
        <v>48</v>
      </c>
      <c r="B63" s="127">
        <f t="shared" si="33"/>
        <v>0</v>
      </c>
      <c r="C63" s="127">
        <f t="shared" si="33"/>
        <v>42520787.472389005</v>
      </c>
      <c r="D63" s="127">
        <f t="shared" si="33"/>
        <v>76691646.524911299</v>
      </c>
      <c r="E63" s="58">
        <f t="shared" si="33"/>
        <v>12837983.822447876</v>
      </c>
      <c r="F63" s="58">
        <f t="shared" si="33"/>
        <v>12800780.504322443</v>
      </c>
      <c r="G63" s="58"/>
      <c r="H63" s="58">
        <f t="shared" ref="H63:R63" si="41">$B$58*H6</f>
        <v>36222500</v>
      </c>
      <c r="I63" s="58">
        <f t="shared" si="41"/>
        <v>111191477.26125605</v>
      </c>
      <c r="J63" s="62">
        <f t="shared" si="41"/>
        <v>111191477.26125605</v>
      </c>
      <c r="K63" s="62">
        <f t="shared" si="41"/>
        <v>29274616.458938263</v>
      </c>
      <c r="L63" s="62">
        <f t="shared" si="41"/>
        <v>9312510.5522691254</v>
      </c>
      <c r="M63" s="62">
        <f t="shared" si="41"/>
        <v>18834934.041350245</v>
      </c>
      <c r="N63" s="62">
        <f t="shared" si="41"/>
        <v>6414268.8817471527</v>
      </c>
      <c r="O63" s="62">
        <f t="shared" si="41"/>
        <v>19501581.429692168</v>
      </c>
      <c r="P63" s="62">
        <f t="shared" si="41"/>
        <v>0</v>
      </c>
      <c r="Q63" s="62">
        <f t="shared" si="41"/>
        <v>0</v>
      </c>
      <c r="R63" s="62">
        <f t="shared" si="41"/>
        <v>0</v>
      </c>
      <c r="S63" s="16">
        <f t="shared" si="39"/>
        <v>150179650.7849741</v>
      </c>
      <c r="T63" s="16">
        <f>'Collections and ACP'!H49</f>
        <v>427796090.93619514</v>
      </c>
      <c r="U63" s="16">
        <f t="shared" si="35"/>
        <v>577975741.72116923</v>
      </c>
      <c r="V63" s="16">
        <f t="shared" si="36"/>
        <v>486794564.21057957</v>
      </c>
      <c r="W63" s="16">
        <f t="shared" si="37"/>
        <v>91181177.510589659</v>
      </c>
    </row>
    <row r="64" spans="1:23" x14ac:dyDescent="0.3">
      <c r="A64" s="46" t="s">
        <v>49</v>
      </c>
      <c r="B64" s="127">
        <f t="shared" si="33"/>
        <v>0</v>
      </c>
      <c r="C64" s="127">
        <f t="shared" si="33"/>
        <v>26494786.802533343</v>
      </c>
      <c r="D64" s="127">
        <f t="shared" si="33"/>
        <v>73959636.068135962</v>
      </c>
      <c r="E64" s="58">
        <f t="shared" si="33"/>
        <v>12621035.874139283</v>
      </c>
      <c r="F64" s="58">
        <f t="shared" si="33"/>
        <v>12760067.595802609</v>
      </c>
      <c r="G64" s="58">
        <v>10000000</v>
      </c>
      <c r="H64" s="58">
        <f t="shared" ref="H64:R64" si="42">$B$58*H7</f>
        <v>36222500</v>
      </c>
      <c r="I64" s="58">
        <f t="shared" si="42"/>
        <v>106743818.1708058</v>
      </c>
      <c r="J64" s="62">
        <f t="shared" si="42"/>
        <v>0</v>
      </c>
      <c r="K64" s="62">
        <f t="shared" si="42"/>
        <v>28611749.079391468</v>
      </c>
      <c r="L64" s="62">
        <f t="shared" si="42"/>
        <v>19514831.487807568</v>
      </c>
      <c r="M64" s="62">
        <f t="shared" si="42"/>
        <v>18740759.37114349</v>
      </c>
      <c r="N64" s="62">
        <f t="shared" si="42"/>
        <v>10745732.266089831</v>
      </c>
      <c r="O64" s="62">
        <f t="shared" si="42"/>
        <v>19170147.739918768</v>
      </c>
      <c r="P64" s="62">
        <f t="shared" si="42"/>
        <v>0</v>
      </c>
      <c r="Q64" s="62">
        <f t="shared" si="42"/>
        <v>0</v>
      </c>
      <c r="R64" s="62">
        <f t="shared" si="42"/>
        <v>0</v>
      </c>
      <c r="S64" s="16">
        <f t="shared" si="39"/>
        <v>91181177.510589659</v>
      </c>
      <c r="T64" s="16">
        <f>'Collections and ACP'!H50</f>
        <v>427782563.48452926</v>
      </c>
      <c r="U64" s="16">
        <f t="shared" si="35"/>
        <v>518963740.99511892</v>
      </c>
      <c r="V64" s="16">
        <f t="shared" si="36"/>
        <v>375585064.45576811</v>
      </c>
      <c r="W64" s="16">
        <f t="shared" si="37"/>
        <v>143378676.53935081</v>
      </c>
    </row>
    <row r="65" spans="1:23" x14ac:dyDescent="0.3">
      <c r="A65" s="46" t="s">
        <v>50</v>
      </c>
      <c r="B65" s="127">
        <f t="shared" si="33"/>
        <v>0</v>
      </c>
      <c r="C65" s="127">
        <f t="shared" si="33"/>
        <v>7578432.8581862841</v>
      </c>
      <c r="D65" s="127">
        <f t="shared" si="33"/>
        <v>40284778.874373131</v>
      </c>
      <c r="E65" s="58">
        <f t="shared" si="33"/>
        <v>8259767.1908406923</v>
      </c>
      <c r="F65" s="58">
        <f t="shared" si="33"/>
        <v>12716528.546262404</v>
      </c>
      <c r="G65" s="58"/>
      <c r="H65" s="58">
        <f t="shared" ref="H65:R65" si="43">$B$58*H8</f>
        <v>36222500</v>
      </c>
      <c r="I65" s="58">
        <f t="shared" si="43"/>
        <v>102474065.44397356</v>
      </c>
      <c r="J65" s="62">
        <f t="shared" si="43"/>
        <v>0</v>
      </c>
      <c r="K65" s="62">
        <f t="shared" si="43"/>
        <v>28611749.079391468</v>
      </c>
      <c r="L65" s="62">
        <f t="shared" si="43"/>
        <v>19417257.33036853</v>
      </c>
      <c r="M65" s="62">
        <f t="shared" si="43"/>
        <v>18647055.574287772</v>
      </c>
      <c r="N65" s="62">
        <f t="shared" si="43"/>
        <v>10485298.285225892</v>
      </c>
      <c r="O65" s="62">
        <f t="shared" si="43"/>
        <v>19170147.739918768</v>
      </c>
      <c r="P65" s="62">
        <f t="shared" si="43"/>
        <v>0</v>
      </c>
      <c r="Q65" s="62">
        <f t="shared" si="43"/>
        <v>7283315.1422157595</v>
      </c>
      <c r="R65" s="62">
        <f t="shared" si="43"/>
        <v>1471139.7784949716</v>
      </c>
      <c r="S65" s="16">
        <f t="shared" si="39"/>
        <v>143378676.53935081</v>
      </c>
      <c r="T65" s="16">
        <f>'Collections and ACP'!H51</f>
        <v>426644165.48655927</v>
      </c>
      <c r="U65" s="16">
        <f t="shared" si="35"/>
        <v>570022842.02591014</v>
      </c>
      <c r="V65" s="16">
        <f t="shared" si="36"/>
        <v>312622035.84353924</v>
      </c>
      <c r="W65" s="16">
        <f t="shared" si="37"/>
        <v>257400806.1823709</v>
      </c>
    </row>
    <row r="66" spans="1:23" x14ac:dyDescent="0.3">
      <c r="A66" s="46" t="s">
        <v>51</v>
      </c>
      <c r="B66" s="127">
        <f t="shared" si="33"/>
        <v>0</v>
      </c>
      <c r="C66" s="127">
        <f t="shared" si="33"/>
        <v>743226.83155522496</v>
      </c>
      <c r="D66" s="127">
        <f t="shared" si="33"/>
        <v>3287205.5207402003</v>
      </c>
      <c r="E66" s="58">
        <f t="shared" si="33"/>
        <v>5951669.5026545767</v>
      </c>
      <c r="F66" s="58">
        <f t="shared" si="33"/>
        <v>12730542.858567938</v>
      </c>
      <c r="G66" s="58"/>
      <c r="H66" s="58">
        <f t="shared" ref="H66:R66" si="44">$B$58*H9</f>
        <v>36222500</v>
      </c>
      <c r="I66" s="58">
        <f t="shared" si="44"/>
        <v>98375102.826214626</v>
      </c>
      <c r="J66" s="62">
        <f t="shared" si="44"/>
        <v>0</v>
      </c>
      <c r="K66" s="62">
        <f t="shared" si="44"/>
        <v>28611749.079391468</v>
      </c>
      <c r="L66" s="62">
        <f t="shared" si="44"/>
        <v>19320171.043716688</v>
      </c>
      <c r="M66" s="62">
        <f t="shared" si="44"/>
        <v>18553820.296416335</v>
      </c>
      <c r="N66" s="62">
        <f t="shared" si="44"/>
        <v>10485298.285225892</v>
      </c>
      <c r="O66" s="62">
        <f t="shared" si="44"/>
        <v>19170147.739918768</v>
      </c>
      <c r="P66" s="62">
        <f t="shared" si="44"/>
        <v>2137338.1990379933</v>
      </c>
      <c r="Q66" s="62">
        <f t="shared" si="44"/>
        <v>14866769.170213934</v>
      </c>
      <c r="R66" s="62">
        <f t="shared" si="44"/>
        <v>3877272.0532783349</v>
      </c>
      <c r="S66" s="16">
        <f t="shared" si="39"/>
        <v>257400806.1823709</v>
      </c>
      <c r="T66" s="16">
        <f>'Collections and ACP'!H52</f>
        <v>427288775.61238623</v>
      </c>
      <c r="U66" s="16">
        <f t="shared" si="35"/>
        <v>684689581.79475713</v>
      </c>
      <c r="V66" s="16">
        <f t="shared" si="36"/>
        <v>274332813.406932</v>
      </c>
      <c r="W66" s="16">
        <f t="shared" si="37"/>
        <v>410356768.38782513</v>
      </c>
    </row>
    <row r="67" spans="1:23" x14ac:dyDescent="0.3">
      <c r="A67" s="46" t="s">
        <v>52</v>
      </c>
      <c r="B67" s="127">
        <f t="shared" si="33"/>
        <v>0</v>
      </c>
      <c r="C67" s="127">
        <f t="shared" si="33"/>
        <v>0</v>
      </c>
      <c r="D67" s="127">
        <f t="shared" si="33"/>
        <v>0</v>
      </c>
      <c r="E67" s="58">
        <f t="shared" si="33"/>
        <v>3245885.7462808862</v>
      </c>
      <c r="F67" s="58">
        <f t="shared" si="33"/>
        <v>12768737.815644307</v>
      </c>
      <c r="G67" s="58">
        <v>10000000</v>
      </c>
      <c r="H67" s="58">
        <f t="shared" ref="H67:R67" si="45">$B$58*H10</f>
        <v>36222500</v>
      </c>
      <c r="I67" s="58">
        <f t="shared" si="45"/>
        <v>94440098.713166028</v>
      </c>
      <c r="J67" s="62">
        <f t="shared" si="45"/>
        <v>0</v>
      </c>
      <c r="K67" s="62">
        <f t="shared" si="45"/>
        <v>28611749.079391468</v>
      </c>
      <c r="L67" s="62">
        <f t="shared" si="45"/>
        <v>19223570.188498106</v>
      </c>
      <c r="M67" s="62">
        <f t="shared" si="45"/>
        <v>18461051.194934253</v>
      </c>
      <c r="N67" s="62">
        <f t="shared" si="45"/>
        <v>10485298.285225892</v>
      </c>
      <c r="O67" s="62">
        <f t="shared" si="45"/>
        <v>19170147.739918768</v>
      </c>
      <c r="P67" s="62">
        <f t="shared" si="45"/>
        <v>-524912.08733125508</v>
      </c>
      <c r="Q67" s="62">
        <f t="shared" si="45"/>
        <v>13282326.002332535</v>
      </c>
      <c r="R67" s="62">
        <f t="shared" si="45"/>
        <v>3759683.3812324516</v>
      </c>
      <c r="S67" s="16">
        <f t="shared" si="39"/>
        <v>410356768.38782513</v>
      </c>
      <c r="T67" s="16">
        <f>'Collections and ACP'!H53</f>
        <v>429045104.18550754</v>
      </c>
      <c r="U67" s="16">
        <f t="shared" si="35"/>
        <v>839401872.57333267</v>
      </c>
      <c r="V67" s="16">
        <f t="shared" si="36"/>
        <v>269146136.05929345</v>
      </c>
      <c r="W67" s="16">
        <f t="shared" si="37"/>
        <v>570255736.51403928</v>
      </c>
    </row>
    <row r="68" spans="1:23" x14ac:dyDescent="0.3">
      <c r="A68" s="46" t="s">
        <v>53</v>
      </c>
      <c r="B68" s="127">
        <f t="shared" si="33"/>
        <v>0</v>
      </c>
      <c r="C68" s="127">
        <f t="shared" si="33"/>
        <v>0</v>
      </c>
      <c r="D68" s="127">
        <f t="shared" si="33"/>
        <v>0</v>
      </c>
      <c r="E68" s="58">
        <f t="shared" si="33"/>
        <v>3244182.9151806645</v>
      </c>
      <c r="F68" s="58">
        <f t="shared" si="33"/>
        <v>12831251.812608905</v>
      </c>
      <c r="G68" s="58"/>
      <c r="H68" s="58">
        <f t="shared" ref="H68:R68" si="46">$B$58*H11</f>
        <v>36222500</v>
      </c>
      <c r="I68" s="58">
        <f t="shared" si="46"/>
        <v>90662494.764639392</v>
      </c>
      <c r="J68" s="62">
        <f t="shared" si="46"/>
        <v>0</v>
      </c>
      <c r="K68" s="62">
        <f t="shared" si="46"/>
        <v>28611749.079391468</v>
      </c>
      <c r="L68" s="62">
        <f t="shared" si="46"/>
        <v>19127452.337555613</v>
      </c>
      <c r="M68" s="62">
        <f t="shared" si="46"/>
        <v>18368745.938959584</v>
      </c>
      <c r="N68" s="62">
        <f t="shared" si="46"/>
        <v>10485298.285225892</v>
      </c>
      <c r="O68" s="62">
        <f t="shared" si="46"/>
        <v>19170147.739918768</v>
      </c>
      <c r="P68" s="62">
        <f t="shared" si="46"/>
        <v>-3240407.3794278773</v>
      </c>
      <c r="Q68" s="62">
        <f t="shared" si="46"/>
        <v>11683304.421392297</v>
      </c>
      <c r="R68" s="62">
        <f t="shared" si="46"/>
        <v>3641219.4381012837</v>
      </c>
      <c r="S68" s="16">
        <f t="shared" si="39"/>
        <v>570255736.51403928</v>
      </c>
      <c r="T68" s="16">
        <f>'Collections and ACP'!H54</f>
        <v>431920687.15558982</v>
      </c>
      <c r="U68" s="16">
        <f t="shared" si="35"/>
        <v>1002176423.6696291</v>
      </c>
      <c r="V68" s="16">
        <f t="shared" si="36"/>
        <v>250807939.35354599</v>
      </c>
      <c r="W68" s="16">
        <f t="shared" si="37"/>
        <v>751368484.31608307</v>
      </c>
    </row>
    <row r="69" spans="1:23" x14ac:dyDescent="0.3">
      <c r="A69" s="46" t="s">
        <v>54</v>
      </c>
      <c r="B69" s="127">
        <f t="shared" si="33"/>
        <v>0</v>
      </c>
      <c r="C69" s="127">
        <f t="shared" si="33"/>
        <v>0</v>
      </c>
      <c r="D69" s="127">
        <f t="shared" si="33"/>
        <v>0</v>
      </c>
      <c r="E69" s="58">
        <f t="shared" si="33"/>
        <v>3142670.3654409903</v>
      </c>
      <c r="F69" s="58">
        <f t="shared" si="33"/>
        <v>12847163.12373326</v>
      </c>
      <c r="G69" s="58"/>
      <c r="H69" s="58">
        <f t="shared" ref="H69:R69" si="47">$B$58*H12</f>
        <v>36222500</v>
      </c>
      <c r="I69" s="58">
        <f t="shared" si="47"/>
        <v>87035994.974053815</v>
      </c>
      <c r="J69" s="62">
        <f t="shared" si="47"/>
        <v>0</v>
      </c>
      <c r="K69" s="62">
        <f t="shared" si="47"/>
        <v>11268745.452295536</v>
      </c>
      <c r="L69" s="62">
        <f t="shared" si="47"/>
        <v>19031815.075867835</v>
      </c>
      <c r="M69" s="62">
        <f t="shared" si="47"/>
        <v>18276902.209264781</v>
      </c>
      <c r="N69" s="62">
        <f t="shared" si="47"/>
        <v>10485298.285225892</v>
      </c>
      <c r="O69" s="62">
        <f t="shared" si="47"/>
        <v>5634372.7261477681</v>
      </c>
      <c r="P69" s="62">
        <f t="shared" si="47"/>
        <v>-6010212.577366435</v>
      </c>
      <c r="Q69" s="62">
        <f t="shared" si="47"/>
        <v>10069442.060087925</v>
      </c>
      <c r="R69" s="62">
        <f t="shared" si="47"/>
        <v>3521862.7983450182</v>
      </c>
      <c r="S69" s="16">
        <f t="shared" si="39"/>
        <v>751368484.31608307</v>
      </c>
      <c r="T69" s="16">
        <f>'Collections and ACP'!H55</f>
        <v>432651888.83378154</v>
      </c>
      <c r="U69" s="16">
        <f t="shared" si="35"/>
        <v>1184020373.1498647</v>
      </c>
      <c r="V69" s="16">
        <f t="shared" si="36"/>
        <v>211526554.49309638</v>
      </c>
      <c r="W69" s="16">
        <f t="shared" si="37"/>
        <v>972493818.65676832</v>
      </c>
    </row>
    <row r="70" spans="1:23" x14ac:dyDescent="0.3">
      <c r="A70" s="46" t="s">
        <v>55</v>
      </c>
      <c r="B70" s="127">
        <f t="shared" si="33"/>
        <v>0</v>
      </c>
      <c r="C70" s="127">
        <f t="shared" si="33"/>
        <v>0</v>
      </c>
      <c r="D70" s="127">
        <f t="shared" si="33"/>
        <v>0</v>
      </c>
      <c r="E70" s="58">
        <f t="shared" si="33"/>
        <v>3117637.017490393</v>
      </c>
      <c r="F70" s="58">
        <f t="shared" si="33"/>
        <v>12887565.526464179</v>
      </c>
      <c r="G70" s="58">
        <v>10000000</v>
      </c>
      <c r="H70" s="58">
        <f t="shared" ref="H70:R70" si="48">$B$58*H13</f>
        <v>36222500</v>
      </c>
      <c r="I70" s="58">
        <f t="shared" si="48"/>
        <v>83554555.175091654</v>
      </c>
      <c r="J70" s="62">
        <f t="shared" si="48"/>
        <v>0</v>
      </c>
      <c r="K70" s="62">
        <f t="shared" si="48"/>
        <v>0</v>
      </c>
      <c r="L70" s="62">
        <f t="shared" si="48"/>
        <v>18936656.000488497</v>
      </c>
      <c r="M70" s="62">
        <f t="shared" si="48"/>
        <v>18185517.698218457</v>
      </c>
      <c r="N70" s="62">
        <f t="shared" si="48"/>
        <v>4427377.6746869162</v>
      </c>
      <c r="O70" s="62">
        <f t="shared" si="48"/>
        <v>0</v>
      </c>
      <c r="P70" s="62">
        <f t="shared" si="48"/>
        <v>-8835413.8792637642</v>
      </c>
      <c r="Q70" s="62">
        <f t="shared" si="48"/>
        <v>8440472.8675860316</v>
      </c>
      <c r="R70" s="62">
        <f t="shared" si="48"/>
        <v>3401595.7987033045</v>
      </c>
      <c r="S70" s="16">
        <f t="shared" si="39"/>
        <v>972493818.65676832</v>
      </c>
      <c r="T70" s="16">
        <f>'Collections and ACP'!H56</f>
        <v>434509872.83833295</v>
      </c>
      <c r="U70" s="16">
        <f t="shared" si="35"/>
        <v>1407003691.4951012</v>
      </c>
      <c r="V70" s="16">
        <f t="shared" si="36"/>
        <v>190338463.8794657</v>
      </c>
      <c r="W70" s="16">
        <f t="shared" si="37"/>
        <v>1216665227.6156354</v>
      </c>
    </row>
    <row r="71" spans="1:23" x14ac:dyDescent="0.3">
      <c r="A71" s="46" t="s">
        <v>56</v>
      </c>
      <c r="B71" s="127">
        <f t="shared" si="33"/>
        <v>0</v>
      </c>
      <c r="C71" s="127">
        <f t="shared" si="33"/>
        <v>0</v>
      </c>
      <c r="D71" s="127">
        <f t="shared" si="33"/>
        <v>0</v>
      </c>
      <c r="E71" s="58">
        <f t="shared" si="33"/>
        <v>3086939.1829652456</v>
      </c>
      <c r="F71" s="58">
        <f t="shared" si="33"/>
        <v>12935442.070384257</v>
      </c>
      <c r="G71" s="58"/>
      <c r="H71" s="58">
        <f t="shared" ref="H71:R71" si="49">$B$58*H14</f>
        <v>36222500</v>
      </c>
      <c r="I71" s="58">
        <f t="shared" si="49"/>
        <v>80212372.968087986</v>
      </c>
      <c r="J71" s="62">
        <f t="shared" si="49"/>
        <v>0</v>
      </c>
      <c r="K71" s="62">
        <f t="shared" si="49"/>
        <v>0</v>
      </c>
      <c r="L71" s="62">
        <f t="shared" si="49"/>
        <v>18841972.720486056</v>
      </c>
      <c r="M71" s="62">
        <f t="shared" si="49"/>
        <v>18094590.109727364</v>
      </c>
      <c r="N71" s="62">
        <f t="shared" si="49"/>
        <v>0</v>
      </c>
      <c r="O71" s="62">
        <f t="shared" si="49"/>
        <v>0</v>
      </c>
      <c r="P71" s="62">
        <f t="shared" si="49"/>
        <v>-11717119.207199046</v>
      </c>
      <c r="Q71" s="62">
        <f t="shared" si="49"/>
        <v>6796127.0535118449</v>
      </c>
      <c r="R71" s="62">
        <f t="shared" si="49"/>
        <v>3280400.5345436144</v>
      </c>
      <c r="S71" s="16">
        <f t="shared" si="39"/>
        <v>1216665227.6156354</v>
      </c>
      <c r="T71" s="16">
        <f>'Collections and ACP'!H57</f>
        <v>436711740.6575731</v>
      </c>
      <c r="U71" s="16">
        <f t="shared" si="35"/>
        <v>1653376968.2732086</v>
      </c>
      <c r="V71" s="16">
        <f t="shared" si="36"/>
        <v>167753225.43250731</v>
      </c>
      <c r="W71" s="16">
        <f t="shared" si="37"/>
        <v>1485623742.8407013</v>
      </c>
    </row>
    <row r="72" spans="1:23" x14ac:dyDescent="0.3">
      <c r="A72" s="46" t="s">
        <v>57</v>
      </c>
      <c r="B72" s="127">
        <f t="shared" ref="B72:E82" si="50">$B$58*B15</f>
        <v>0</v>
      </c>
      <c r="C72" s="127">
        <f t="shared" si="50"/>
        <v>0</v>
      </c>
      <c r="D72" s="127">
        <f t="shared" si="50"/>
        <v>0</v>
      </c>
      <c r="E72" s="58">
        <f t="shared" si="50"/>
        <v>0</v>
      </c>
      <c r="F72" s="58"/>
      <c r="G72" s="58"/>
      <c r="H72" s="58">
        <f t="shared" ref="H72:R72" si="51">$B$58*H15</f>
        <v>36222500</v>
      </c>
      <c r="I72" s="58">
        <f t="shared" si="51"/>
        <v>77003878.049364462</v>
      </c>
      <c r="J72" s="62">
        <f t="shared" si="51"/>
        <v>0</v>
      </c>
      <c r="K72" s="62">
        <f t="shared" si="51"/>
        <v>0</v>
      </c>
      <c r="L72" s="62">
        <f t="shared" si="51"/>
        <v>18747762.856883623</v>
      </c>
      <c r="M72" s="62">
        <f t="shared" si="51"/>
        <v>18004117.15917873</v>
      </c>
      <c r="N72" s="62">
        <f t="shared" si="51"/>
        <v>0</v>
      </c>
      <c r="O72" s="62">
        <f t="shared" si="51"/>
        <v>0</v>
      </c>
      <c r="P72" s="62">
        <f t="shared" si="51"/>
        <v>-14656458.641693028</v>
      </c>
      <c r="Q72" s="62">
        <f t="shared" si="51"/>
        <v>5136131.03110696</v>
      </c>
      <c r="R72" s="62">
        <f t="shared" si="51"/>
        <v>3158258.8561557475</v>
      </c>
      <c r="S72" s="16">
        <f t="shared" si="39"/>
        <v>1485623742.8407013</v>
      </c>
      <c r="T72" s="16">
        <f>'Collections and ACP'!H58</f>
        <v>440793222.53098226</v>
      </c>
      <c r="U72" s="16">
        <f t="shared" si="35"/>
        <v>1926416965.3716836</v>
      </c>
      <c r="V72" s="16">
        <f t="shared" si="36"/>
        <v>143616189.3109965</v>
      </c>
      <c r="W72" s="16">
        <f t="shared" si="37"/>
        <v>1782800776.0606871</v>
      </c>
    </row>
    <row r="73" spans="1:23" x14ac:dyDescent="0.3">
      <c r="A73" s="46" t="s">
        <v>58</v>
      </c>
      <c r="B73" s="127">
        <f t="shared" si="50"/>
        <v>0</v>
      </c>
      <c r="C73" s="127">
        <f t="shared" si="50"/>
        <v>0</v>
      </c>
      <c r="D73" s="127">
        <f t="shared" si="50"/>
        <v>0</v>
      </c>
      <c r="E73" s="58">
        <f t="shared" si="50"/>
        <v>0</v>
      </c>
      <c r="F73" s="58"/>
      <c r="G73" s="58"/>
      <c r="H73" s="58">
        <f t="shared" ref="H73:R73" si="52">$B$58*H16</f>
        <v>36222500</v>
      </c>
      <c r="I73" s="58">
        <f t="shared" si="52"/>
        <v>36961861.463694938</v>
      </c>
      <c r="J73" s="62">
        <f t="shared" si="52"/>
        <v>0</v>
      </c>
      <c r="K73" s="62">
        <f t="shared" si="52"/>
        <v>0</v>
      </c>
      <c r="L73" s="62">
        <f t="shared" si="52"/>
        <v>18654024.042599205</v>
      </c>
      <c r="M73" s="62">
        <f t="shared" si="52"/>
        <v>17914096.573382836</v>
      </c>
      <c r="N73" s="62">
        <f t="shared" si="52"/>
        <v>0</v>
      </c>
      <c r="O73" s="62">
        <f t="shared" si="52"/>
        <v>0</v>
      </c>
      <c r="P73" s="62">
        <f t="shared" si="52"/>
        <v>-17654584.864876885</v>
      </c>
      <c r="Q73" s="62">
        <f t="shared" si="52"/>
        <v>3460207.3595457566</v>
      </c>
      <c r="R73" s="62">
        <f t="shared" si="52"/>
        <v>3035152.364991664</v>
      </c>
      <c r="S73" s="16">
        <f t="shared" si="39"/>
        <v>1782800776.0606871</v>
      </c>
      <c r="T73" s="16">
        <f>'Collections and ACP'!H59</f>
        <v>441764820.37954783</v>
      </c>
      <c r="U73" s="16">
        <f t="shared" si="35"/>
        <v>2224565596.4402351</v>
      </c>
      <c r="V73" s="16">
        <f t="shared" si="36"/>
        <v>98593256.939337507</v>
      </c>
      <c r="W73" s="16">
        <f t="shared" si="37"/>
        <v>2125972339.5008976</v>
      </c>
    </row>
    <row r="74" spans="1:23" x14ac:dyDescent="0.3">
      <c r="A74" s="46" t="s">
        <v>59</v>
      </c>
      <c r="B74" s="127">
        <f t="shared" si="50"/>
        <v>0</v>
      </c>
      <c r="C74" s="127">
        <f t="shared" si="50"/>
        <v>0</v>
      </c>
      <c r="D74" s="127">
        <f t="shared" si="50"/>
        <v>0</v>
      </c>
      <c r="E74" s="58">
        <f t="shared" si="50"/>
        <v>0</v>
      </c>
      <c r="F74" s="58"/>
      <c r="G74" s="58"/>
      <c r="H74" s="58">
        <f t="shared" ref="H74:R74" si="53">$B$58*H17</f>
        <v>36222500</v>
      </c>
      <c r="I74" s="58">
        <f t="shared" si="53"/>
        <v>35483387.005147137</v>
      </c>
      <c r="J74" s="62">
        <f t="shared" si="53"/>
        <v>0</v>
      </c>
      <c r="K74" s="62">
        <f t="shared" si="53"/>
        <v>0</v>
      </c>
      <c r="L74" s="62">
        <f t="shared" si="53"/>
        <v>18560753.922386207</v>
      </c>
      <c r="M74" s="62">
        <f t="shared" si="53"/>
        <v>17824526.090515923</v>
      </c>
      <c r="N74" s="62">
        <f t="shared" si="53"/>
        <v>0</v>
      </c>
      <c r="O74" s="62">
        <f t="shared" si="53"/>
        <v>0</v>
      </c>
      <c r="P74" s="62">
        <f t="shared" si="53"/>
        <v>-20712673.612524416</v>
      </c>
      <c r="Q74" s="62">
        <f t="shared" si="53"/>
        <v>1768074.6853979148</v>
      </c>
      <c r="R74" s="62">
        <f t="shared" si="53"/>
        <v>2911062.4098498393</v>
      </c>
      <c r="S74" s="16">
        <f t="shared" si="39"/>
        <v>2125972339.5008976</v>
      </c>
      <c r="T74" s="16">
        <f>'Collections and ACP'!H60</f>
        <v>443449098.87589866</v>
      </c>
      <c r="U74" s="16">
        <f t="shared" si="35"/>
        <v>2569421438.3767962</v>
      </c>
      <c r="V74" s="16">
        <f t="shared" si="36"/>
        <v>92057630.500772581</v>
      </c>
      <c r="W74" s="16">
        <f t="shared" si="37"/>
        <v>2477363807.8760238</v>
      </c>
    </row>
    <row r="75" spans="1:23" x14ac:dyDescent="0.3">
      <c r="A75" s="46" t="s">
        <v>60</v>
      </c>
      <c r="B75" s="127">
        <f t="shared" si="50"/>
        <v>0</v>
      </c>
      <c r="C75" s="127">
        <f t="shared" si="50"/>
        <v>0</v>
      </c>
      <c r="D75" s="127">
        <f t="shared" si="50"/>
        <v>0</v>
      </c>
      <c r="E75" s="58">
        <f t="shared" si="50"/>
        <v>0</v>
      </c>
      <c r="F75" s="58"/>
      <c r="G75" s="58"/>
      <c r="H75" s="58"/>
      <c r="I75" s="58">
        <f t="shared" ref="I75:R75" si="54">$B$58*I18</f>
        <v>34064051.524941251</v>
      </c>
      <c r="J75" s="62">
        <f t="shared" si="54"/>
        <v>0</v>
      </c>
      <c r="K75" s="62">
        <f t="shared" si="54"/>
        <v>0</v>
      </c>
      <c r="L75" s="62">
        <f t="shared" si="54"/>
        <v>18467950.152774278</v>
      </c>
      <c r="M75" s="62">
        <f t="shared" si="54"/>
        <v>17735403.460063342</v>
      </c>
      <c r="N75" s="62">
        <f t="shared" si="54"/>
        <v>0</v>
      </c>
      <c r="O75" s="62">
        <f t="shared" si="54"/>
        <v>0</v>
      </c>
      <c r="P75" s="62">
        <f t="shared" si="54"/>
        <v>-23831924.135124907</v>
      </c>
      <c r="Q75" s="62">
        <f t="shared" si="54"/>
        <v>59447.683224292763</v>
      </c>
      <c r="R75" s="62">
        <f t="shared" si="54"/>
        <v>2785970.0830033021</v>
      </c>
      <c r="S75" s="16">
        <f t="shared" si="39"/>
        <v>2477363807.8760238</v>
      </c>
      <c r="T75" s="16">
        <f>'Collections and ACP'!H61</f>
        <v>445476724.40887928</v>
      </c>
      <c r="U75" s="16">
        <f t="shared" si="35"/>
        <v>2922840532.284903</v>
      </c>
      <c r="V75" s="16">
        <f t="shared" si="36"/>
        <v>49280898.768881552</v>
      </c>
      <c r="W75" s="16">
        <f t="shared" si="37"/>
        <v>2873559633.5160217</v>
      </c>
    </row>
    <row r="76" spans="1:23" x14ac:dyDescent="0.3">
      <c r="A76" s="46" t="s">
        <v>61</v>
      </c>
      <c r="B76" s="127">
        <f t="shared" si="50"/>
        <v>0</v>
      </c>
      <c r="C76" s="127">
        <f t="shared" si="50"/>
        <v>0</v>
      </c>
      <c r="D76" s="127">
        <f t="shared" si="50"/>
        <v>0</v>
      </c>
      <c r="E76" s="58">
        <f t="shared" si="50"/>
        <v>0</v>
      </c>
      <c r="F76" s="58"/>
      <c r="G76" s="58"/>
      <c r="H76" s="58"/>
      <c r="I76" s="58">
        <f t="shared" ref="I76:R76" si="55">$B$58*I19</f>
        <v>32701489.463943601</v>
      </c>
      <c r="J76" s="62">
        <f t="shared" si="55"/>
        <v>0</v>
      </c>
      <c r="K76" s="62">
        <f t="shared" si="55"/>
        <v>0</v>
      </c>
      <c r="L76" s="62">
        <f t="shared" si="55"/>
        <v>18375610.402010407</v>
      </c>
      <c r="M76" s="62">
        <f t="shared" si="55"/>
        <v>17646726.442763027</v>
      </c>
      <c r="N76" s="62">
        <f t="shared" si="55"/>
        <v>0</v>
      </c>
      <c r="O76" s="62">
        <f t="shared" si="55"/>
        <v>0</v>
      </c>
      <c r="P76" s="62">
        <f t="shared" si="55"/>
        <v>-27013559.6681774</v>
      </c>
      <c r="Q76" s="62">
        <f t="shared" si="55"/>
        <v>-1665963.0047067825</v>
      </c>
      <c r="R76" s="62">
        <f t="shared" si="55"/>
        <v>2659856.216270519</v>
      </c>
      <c r="S76" s="16">
        <f t="shared" si="39"/>
        <v>2873559633.5160217</v>
      </c>
      <c r="T76" s="16">
        <f>'Collections and ACP'!H62</f>
        <v>448129018.45769209</v>
      </c>
      <c r="U76" s="16">
        <f t="shared" si="35"/>
        <v>3321688651.9737139</v>
      </c>
      <c r="V76" s="16">
        <f t="shared" si="36"/>
        <v>42704159.852103382</v>
      </c>
      <c r="W76" s="16">
        <f t="shared" si="37"/>
        <v>3278984492.1216106</v>
      </c>
    </row>
    <row r="77" spans="1:23" x14ac:dyDescent="0.3">
      <c r="A77" s="46" t="s">
        <v>62</v>
      </c>
      <c r="B77" s="127">
        <f t="shared" si="50"/>
        <v>0</v>
      </c>
      <c r="C77" s="127">
        <f t="shared" si="50"/>
        <v>0</v>
      </c>
      <c r="D77" s="127">
        <f t="shared" si="50"/>
        <v>0</v>
      </c>
      <c r="E77" s="58">
        <f t="shared" si="50"/>
        <v>0</v>
      </c>
      <c r="F77" s="58"/>
      <c r="G77" s="58"/>
      <c r="H77" s="58"/>
      <c r="I77" s="58">
        <f t="shared" ref="I77:R77" si="56">$B$58*I20</f>
        <v>31393429.885385852</v>
      </c>
      <c r="J77" s="62">
        <f t="shared" si="56"/>
        <v>0</v>
      </c>
      <c r="K77" s="62">
        <f t="shared" si="56"/>
        <v>0</v>
      </c>
      <c r="L77" s="62">
        <f t="shared" si="56"/>
        <v>18283732.350000355</v>
      </c>
      <c r="M77" s="62">
        <f t="shared" si="56"/>
        <v>17558492.810549214</v>
      </c>
      <c r="N77" s="62">
        <f t="shared" si="56"/>
        <v>0</v>
      </c>
      <c r="O77" s="62">
        <f t="shared" si="56"/>
        <v>0</v>
      </c>
      <c r="P77" s="62">
        <f t="shared" si="56"/>
        <v>-30258827.911890954</v>
      </c>
      <c r="Q77" s="62">
        <f t="shared" si="56"/>
        <v>-3408450.8295959812</v>
      </c>
      <c r="R77" s="62">
        <f t="shared" si="56"/>
        <v>2532701.3770282641</v>
      </c>
      <c r="S77" s="16">
        <f t="shared" si="39"/>
        <v>3278984492.1216106</v>
      </c>
      <c r="T77" s="16">
        <f>'Collections and ACP'!H63</f>
        <v>448508030.18337369</v>
      </c>
      <c r="U77" s="16">
        <f t="shared" si="35"/>
        <v>3727492522.3049841</v>
      </c>
      <c r="V77" s="16">
        <f t="shared" si="36"/>
        <v>36101077.681476749</v>
      </c>
      <c r="W77" s="16">
        <f t="shared" si="37"/>
        <v>3691391444.6235075</v>
      </c>
    </row>
    <row r="78" spans="1:23" x14ac:dyDescent="0.3">
      <c r="A78" s="46" t="s">
        <v>63</v>
      </c>
      <c r="B78" s="127">
        <f t="shared" si="50"/>
        <v>0</v>
      </c>
      <c r="C78" s="127">
        <f t="shared" si="50"/>
        <v>0</v>
      </c>
      <c r="D78" s="127">
        <f t="shared" si="50"/>
        <v>0</v>
      </c>
      <c r="E78" s="58">
        <f t="shared" si="50"/>
        <v>0</v>
      </c>
      <c r="F78" s="58"/>
      <c r="G78" s="58"/>
      <c r="H78" s="58"/>
      <c r="I78" s="58">
        <f t="shared" ref="I78:R78" si="57">$B$58*I21</f>
        <v>30137692.689970415</v>
      </c>
      <c r="J78" s="62">
        <f t="shared" si="57"/>
        <v>0</v>
      </c>
      <c r="K78" s="62">
        <f t="shared" si="57"/>
        <v>0</v>
      </c>
      <c r="L78" s="62">
        <f t="shared" si="57"/>
        <v>18192313.688250355</v>
      </c>
      <c r="M78" s="62">
        <f t="shared" si="57"/>
        <v>17470700.346496467</v>
      </c>
      <c r="N78" s="62">
        <f t="shared" si="57"/>
        <v>0</v>
      </c>
      <c r="O78" s="62">
        <f t="shared" si="57"/>
        <v>0</v>
      </c>
      <c r="P78" s="62">
        <f t="shared" si="57"/>
        <v>-33569001.52047877</v>
      </c>
      <c r="Q78" s="62">
        <f t="shared" si="57"/>
        <v>-5168313.3981954306</v>
      </c>
      <c r="R78" s="62">
        <f t="shared" si="57"/>
        <v>2404485.8641656237</v>
      </c>
      <c r="S78" s="16">
        <f t="shared" si="39"/>
        <v>3691391444.6235075</v>
      </c>
      <c r="T78" s="16">
        <f>'Collections and ACP'!H64</f>
        <v>450327525.50177699</v>
      </c>
      <c r="U78" s="16">
        <f t="shared" si="35"/>
        <v>4141718970.1252847</v>
      </c>
      <c r="V78" s="16">
        <f t="shared" si="36"/>
        <v>29467877.670208652</v>
      </c>
      <c r="W78" s="16">
        <f t="shared" si="37"/>
        <v>4112251092.4550762</v>
      </c>
    </row>
    <row r="79" spans="1:23" x14ac:dyDescent="0.3">
      <c r="A79" s="46" t="s">
        <v>64</v>
      </c>
      <c r="B79" s="127">
        <f t="shared" si="50"/>
        <v>0</v>
      </c>
      <c r="C79" s="127">
        <f t="shared" si="50"/>
        <v>0</v>
      </c>
      <c r="D79" s="127">
        <f t="shared" si="50"/>
        <v>0</v>
      </c>
      <c r="E79" s="58">
        <f t="shared" si="50"/>
        <v>0</v>
      </c>
      <c r="F79" s="58"/>
      <c r="G79" s="58"/>
      <c r="H79" s="58"/>
      <c r="I79" s="58">
        <f t="shared" ref="I79:R79" si="58">$B$58*I22</f>
        <v>28932184.982371598</v>
      </c>
      <c r="J79" s="62">
        <f t="shared" si="58"/>
        <v>0</v>
      </c>
      <c r="K79" s="62">
        <f t="shared" si="58"/>
        <v>0</v>
      </c>
      <c r="L79" s="62">
        <f t="shared" si="58"/>
        <v>18101352.119809102</v>
      </c>
      <c r="M79" s="62">
        <f t="shared" si="58"/>
        <v>17383346.844763983</v>
      </c>
      <c r="N79" s="62">
        <f t="shared" si="58"/>
        <v>0</v>
      </c>
      <c r="O79" s="62">
        <f t="shared" si="58"/>
        <v>0</v>
      </c>
      <c r="P79" s="62">
        <f t="shared" si="58"/>
        <v>-36945378.601238348</v>
      </c>
      <c r="Q79" s="62">
        <f t="shared" si="58"/>
        <v>-6945852.535810817</v>
      </c>
      <c r="R79" s="62">
        <f t="shared" si="58"/>
        <v>2275189.7039782316</v>
      </c>
      <c r="S79" s="16"/>
      <c r="T79" s="16"/>
      <c r="U79" s="16"/>
      <c r="V79" s="16"/>
      <c r="W79" s="16"/>
    </row>
    <row r="80" spans="1:23" x14ac:dyDescent="0.3">
      <c r="A80" s="46" t="s">
        <v>65</v>
      </c>
      <c r="B80" s="127">
        <f t="shared" si="50"/>
        <v>0</v>
      </c>
      <c r="C80" s="127">
        <f t="shared" si="50"/>
        <v>0</v>
      </c>
      <c r="D80" s="127">
        <f t="shared" si="50"/>
        <v>0</v>
      </c>
      <c r="E80" s="58">
        <f t="shared" si="50"/>
        <v>0</v>
      </c>
      <c r="F80" s="58"/>
      <c r="G80" s="58"/>
      <c r="H80" s="58"/>
      <c r="I80" s="58">
        <f t="shared" ref="I80:R80" si="59">$B$58*I23</f>
        <v>27774897.583076734</v>
      </c>
      <c r="J80" s="62">
        <f t="shared" si="59"/>
        <v>0</v>
      </c>
      <c r="K80" s="62">
        <f t="shared" si="59"/>
        <v>0</v>
      </c>
      <c r="L80" s="62">
        <f t="shared" si="59"/>
        <v>18010845.359210059</v>
      </c>
      <c r="M80" s="62">
        <f t="shared" si="59"/>
        <v>17296430.110540163</v>
      </c>
      <c r="N80" s="62">
        <f t="shared" si="59"/>
        <v>0</v>
      </c>
      <c r="O80" s="62">
        <f t="shared" si="59"/>
        <v>0</v>
      </c>
      <c r="P80" s="62">
        <f t="shared" si="59"/>
        <v>-40389283.223613106</v>
      </c>
      <c r="Q80" s="62">
        <f t="shared" si="59"/>
        <v>-8741374.3502367567</v>
      </c>
      <c r="R80" s="62">
        <f t="shared" si="59"/>
        <v>2144792.6460018652</v>
      </c>
      <c r="S80" s="16"/>
      <c r="T80" s="16"/>
      <c r="U80" s="16"/>
      <c r="V80" s="16"/>
      <c r="W80" s="16"/>
    </row>
    <row r="81" spans="1:23" x14ac:dyDescent="0.3">
      <c r="A81" s="46" t="s">
        <v>66</v>
      </c>
      <c r="B81" s="127">
        <f t="shared" si="50"/>
        <v>0</v>
      </c>
      <c r="C81" s="127">
        <f t="shared" si="50"/>
        <v>0</v>
      </c>
      <c r="D81" s="127">
        <f t="shared" si="50"/>
        <v>0</v>
      </c>
      <c r="E81" s="58">
        <f t="shared" si="50"/>
        <v>0</v>
      </c>
      <c r="F81" s="58"/>
      <c r="G81" s="58"/>
      <c r="H81" s="57"/>
      <c r="I81" s="58">
        <f t="shared" ref="I81:R81" si="60">$B$58*I24</f>
        <v>0</v>
      </c>
      <c r="J81" s="62">
        <f t="shared" si="60"/>
        <v>0</v>
      </c>
      <c r="K81" s="62">
        <f t="shared" si="60"/>
        <v>0</v>
      </c>
      <c r="L81" s="62">
        <f t="shared" si="60"/>
        <v>17920791.132414009</v>
      </c>
      <c r="M81" s="62">
        <f t="shared" si="60"/>
        <v>17209947.959987465</v>
      </c>
      <c r="N81" s="62">
        <f t="shared" si="60"/>
        <v>0</v>
      </c>
      <c r="O81" s="62">
        <f t="shared" si="60"/>
        <v>0</v>
      </c>
      <c r="P81" s="62">
        <f t="shared" si="60"/>
        <v>-43902065.938435353</v>
      </c>
      <c r="Q81" s="62">
        <f t="shared" si="60"/>
        <v>-10555189.296639435</v>
      </c>
      <c r="R81" s="62">
        <f t="shared" si="60"/>
        <v>2013274.1587844787</v>
      </c>
      <c r="S81" s="16"/>
      <c r="T81" s="16"/>
      <c r="U81" s="16"/>
      <c r="V81" s="16"/>
      <c r="W81" s="16"/>
    </row>
    <row r="82" spans="1:23" x14ac:dyDescent="0.3">
      <c r="A82" s="46" t="s">
        <v>67</v>
      </c>
      <c r="B82" s="127">
        <f t="shared" si="50"/>
        <v>0</v>
      </c>
      <c r="C82" s="127">
        <f t="shared" si="50"/>
        <v>0</v>
      </c>
      <c r="D82" s="127">
        <f t="shared" si="50"/>
        <v>0</v>
      </c>
      <c r="E82" s="58">
        <f t="shared" si="50"/>
        <v>0</v>
      </c>
      <c r="F82" s="58"/>
      <c r="G82" s="58"/>
      <c r="H82" s="57"/>
      <c r="I82" s="58">
        <f t="shared" ref="I82:R82" si="61">$B$58*I25</f>
        <v>0</v>
      </c>
      <c r="J82" s="62">
        <f t="shared" si="61"/>
        <v>0</v>
      </c>
      <c r="K82" s="62">
        <f t="shared" si="61"/>
        <v>0</v>
      </c>
      <c r="L82" s="62">
        <f t="shared" si="61"/>
        <v>17831187.176751934</v>
      </c>
      <c r="M82" s="62">
        <f t="shared" si="61"/>
        <v>5265812.7995377975</v>
      </c>
      <c r="N82" s="62">
        <f t="shared" si="61"/>
        <v>0</v>
      </c>
      <c r="O82" s="62">
        <f t="shared" si="61"/>
        <v>0</v>
      </c>
      <c r="P82" s="62">
        <f t="shared" si="61"/>
        <v>-47485104.307554059</v>
      </c>
      <c r="Q82" s="62">
        <f t="shared" si="61"/>
        <v>-12387612.243400592</v>
      </c>
      <c r="R82" s="62">
        <f t="shared" si="61"/>
        <v>1880613.4255957673</v>
      </c>
      <c r="S82" s="16"/>
      <c r="T82" s="16"/>
      <c r="U82" s="16"/>
      <c r="V82" s="16"/>
      <c r="W82" s="16"/>
    </row>
    <row r="86" spans="1:23" x14ac:dyDescent="0.3">
      <c r="A86" s="35" t="s">
        <v>130</v>
      </c>
      <c r="B86" s="126">
        <v>2.3700000000000001E-3</v>
      </c>
    </row>
    <row r="87" spans="1:23" ht="57.6" x14ac:dyDescent="0.3">
      <c r="A87" s="53" t="s">
        <v>43</v>
      </c>
      <c r="B87" s="53" t="s">
        <v>125</v>
      </c>
      <c r="C87" s="53" t="s">
        <v>116</v>
      </c>
      <c r="D87" s="53" t="s">
        <v>117</v>
      </c>
      <c r="E87" s="53" t="s">
        <v>118</v>
      </c>
      <c r="F87" s="53" t="s">
        <v>275</v>
      </c>
      <c r="G87" s="53" t="s">
        <v>44</v>
      </c>
      <c r="H87" s="53" t="s">
        <v>119</v>
      </c>
      <c r="I87" s="53" t="s">
        <v>126</v>
      </c>
      <c r="J87" s="53" t="s">
        <v>6</v>
      </c>
      <c r="K87" s="53" t="s">
        <v>12</v>
      </c>
      <c r="L87" s="53" t="s">
        <v>21</v>
      </c>
      <c r="M87" s="53" t="s">
        <v>25</v>
      </c>
      <c r="N87" s="53" t="s">
        <v>29</v>
      </c>
      <c r="O87" s="53" t="s">
        <v>33</v>
      </c>
      <c r="P87" s="53" t="s">
        <v>40</v>
      </c>
      <c r="Q87" s="53" t="s">
        <v>41</v>
      </c>
      <c r="R87" s="53" t="s">
        <v>42</v>
      </c>
      <c r="S87" s="54" t="s">
        <v>131</v>
      </c>
      <c r="T87" s="54" t="s">
        <v>128</v>
      </c>
      <c r="U87" s="54" t="s">
        <v>122</v>
      </c>
      <c r="V87" s="53" t="s">
        <v>123</v>
      </c>
      <c r="W87" s="53" t="s">
        <v>124</v>
      </c>
    </row>
    <row r="88" spans="1:23" x14ac:dyDescent="0.3">
      <c r="A88" s="46" t="s">
        <v>45</v>
      </c>
      <c r="B88" s="58">
        <f t="shared" ref="B88:F97" si="62">$B$86*B3</f>
        <v>327433.32247109973</v>
      </c>
      <c r="C88" s="127">
        <f t="shared" si="62"/>
        <v>146035.89718384502</v>
      </c>
      <c r="D88" s="58">
        <f t="shared" si="62"/>
        <v>79384.805555205021</v>
      </c>
      <c r="E88" s="58">
        <f t="shared" si="62"/>
        <v>73110.612253686078</v>
      </c>
      <c r="F88" s="58">
        <f t="shared" si="62"/>
        <v>16014.279651907947</v>
      </c>
      <c r="G88" s="58"/>
      <c r="H88" s="58">
        <f t="shared" ref="H88:R88" si="63">$B$86*H3</f>
        <v>26690.466086513246</v>
      </c>
      <c r="I88" s="58">
        <f t="shared" si="63"/>
        <v>0</v>
      </c>
      <c r="J88" s="62">
        <f t="shared" si="63"/>
        <v>0</v>
      </c>
      <c r="K88" s="62">
        <f t="shared" si="63"/>
        <v>0</v>
      </c>
      <c r="L88" s="62">
        <f t="shared" si="63"/>
        <v>0</v>
      </c>
      <c r="M88" s="62">
        <f t="shared" si="63"/>
        <v>0</v>
      </c>
      <c r="N88" s="62">
        <f t="shared" si="63"/>
        <v>0</v>
      </c>
      <c r="O88" s="62">
        <f t="shared" si="63"/>
        <v>0</v>
      </c>
      <c r="P88" s="62">
        <f t="shared" si="63"/>
        <v>0</v>
      </c>
      <c r="Q88" s="62">
        <f t="shared" si="63"/>
        <v>0</v>
      </c>
      <c r="R88" s="62">
        <f t="shared" si="63"/>
        <v>0</v>
      </c>
      <c r="S88" s="16">
        <f>'Collections and ACP'!C158+'Collections and ACP'!C155</f>
        <v>296007918.98000002</v>
      </c>
      <c r="T88" s="16">
        <f>'Collections and ACP'!H79</f>
        <v>585306.97492689674</v>
      </c>
      <c r="U88" s="16">
        <f t="shared" ref="U88:U106" si="64">S88+T88</f>
        <v>296593225.95492691</v>
      </c>
      <c r="V88" s="16">
        <f t="shared" ref="V88:V106" si="65">SUM(B88:R88)</f>
        <v>668669.38320225698</v>
      </c>
      <c r="W88" s="16">
        <f t="shared" ref="W88:W106" si="66">U88-V88</f>
        <v>295924556.57172465</v>
      </c>
    </row>
    <row r="89" spans="1:23" x14ac:dyDescent="0.3">
      <c r="A89" s="46" t="s">
        <v>46</v>
      </c>
      <c r="B89" s="58">
        <f t="shared" si="62"/>
        <v>90183.20369160008</v>
      </c>
      <c r="C89" s="127">
        <f t="shared" si="62"/>
        <v>156722.43750712485</v>
      </c>
      <c r="D89" s="58">
        <f t="shared" si="62"/>
        <v>277918.18118305516</v>
      </c>
      <c r="E89" s="58">
        <f t="shared" si="62"/>
        <v>57217.145258879966</v>
      </c>
      <c r="F89" s="58">
        <f t="shared" si="62"/>
        <v>33042.860168997518</v>
      </c>
      <c r="G89" s="58"/>
      <c r="H89" s="58">
        <f t="shared" ref="H89:R89" si="67">$B$86*H4</f>
        <v>118500</v>
      </c>
      <c r="I89" s="58">
        <f t="shared" si="67"/>
        <v>0</v>
      </c>
      <c r="J89" s="62">
        <f t="shared" si="67"/>
        <v>0</v>
      </c>
      <c r="K89" s="62">
        <f t="shared" si="67"/>
        <v>0</v>
      </c>
      <c r="L89" s="62">
        <f t="shared" si="67"/>
        <v>0</v>
      </c>
      <c r="M89" s="62">
        <f t="shared" si="67"/>
        <v>0</v>
      </c>
      <c r="N89" s="62">
        <f t="shared" si="67"/>
        <v>0</v>
      </c>
      <c r="O89" s="62">
        <f t="shared" si="67"/>
        <v>0</v>
      </c>
      <c r="P89" s="62">
        <f t="shared" si="67"/>
        <v>0</v>
      </c>
      <c r="Q89" s="62">
        <f t="shared" si="67"/>
        <v>0</v>
      </c>
      <c r="R89" s="62">
        <f t="shared" si="67"/>
        <v>0</v>
      </c>
      <c r="S89" s="16">
        <f t="shared" ref="S89:S106" si="68">W88</f>
        <v>295924556.57172465</v>
      </c>
      <c r="T89" s="16">
        <f>'Collections and ACP'!H80</f>
        <v>1153433.5221666666</v>
      </c>
      <c r="U89" s="16">
        <f t="shared" si="64"/>
        <v>297077990.09389132</v>
      </c>
      <c r="V89" s="16">
        <f t="shared" si="65"/>
        <v>733583.82780965755</v>
      </c>
      <c r="W89" s="16">
        <f t="shared" si="66"/>
        <v>296344406.26608169</v>
      </c>
    </row>
    <row r="90" spans="1:23" x14ac:dyDescent="0.3">
      <c r="A90" s="46" t="s">
        <v>47</v>
      </c>
      <c r="B90" s="58">
        <f t="shared" si="62"/>
        <v>11530.742632499994</v>
      </c>
      <c r="C90" s="127">
        <f t="shared" si="62"/>
        <v>154547.70951673473</v>
      </c>
      <c r="D90" s="58">
        <f t="shared" si="62"/>
        <v>261062.53832171997</v>
      </c>
      <c r="E90" s="58">
        <f t="shared" si="62"/>
        <v>52287.756690537593</v>
      </c>
      <c r="F90" s="58">
        <f t="shared" si="62"/>
        <v>41768.618892188184</v>
      </c>
      <c r="G90" s="58"/>
      <c r="H90" s="58">
        <f t="shared" ref="H90:R90" si="69">$B$86*H5</f>
        <v>118500</v>
      </c>
      <c r="I90" s="58">
        <f t="shared" si="69"/>
        <v>795688.52568627114</v>
      </c>
      <c r="J90" s="62">
        <f t="shared" si="69"/>
        <v>466644.57111968816</v>
      </c>
      <c r="K90" s="62">
        <f t="shared" si="69"/>
        <v>60074.176737071321</v>
      </c>
      <c r="L90" s="62">
        <f t="shared" si="69"/>
        <v>0</v>
      </c>
      <c r="M90" s="62">
        <f t="shared" si="69"/>
        <v>42883.763162142663</v>
      </c>
      <c r="N90" s="62">
        <f t="shared" si="69"/>
        <v>0</v>
      </c>
      <c r="O90" s="62">
        <f t="shared" si="69"/>
        <v>46886.373198935573</v>
      </c>
      <c r="P90" s="62">
        <f t="shared" si="69"/>
        <v>0</v>
      </c>
      <c r="Q90" s="62">
        <f t="shared" si="69"/>
        <v>0</v>
      </c>
      <c r="R90" s="62">
        <f t="shared" si="69"/>
        <v>0</v>
      </c>
      <c r="S90" s="16">
        <f t="shared" si="68"/>
        <v>296344406.26608169</v>
      </c>
      <c r="T90" s="16">
        <f>'Collections and ACP'!H81</f>
        <v>1392649.125</v>
      </c>
      <c r="U90" s="16">
        <f t="shared" si="64"/>
        <v>297737055.39108169</v>
      </c>
      <c r="V90" s="16">
        <f t="shared" si="65"/>
        <v>2051874.775957789</v>
      </c>
      <c r="W90" s="16">
        <f t="shared" si="66"/>
        <v>295685180.61512393</v>
      </c>
    </row>
    <row r="91" spans="1:23" x14ac:dyDescent="0.3">
      <c r="A91" s="46" t="s">
        <v>48</v>
      </c>
      <c r="B91" s="58">
        <f t="shared" si="62"/>
        <v>0</v>
      </c>
      <c r="C91" s="127">
        <f t="shared" si="62"/>
        <v>139104.51557672987</v>
      </c>
      <c r="D91" s="58">
        <f t="shared" si="62"/>
        <v>250892.68032858003</v>
      </c>
      <c r="E91" s="58">
        <f t="shared" si="62"/>
        <v>41998.787575680122</v>
      </c>
      <c r="F91" s="58">
        <f t="shared" si="62"/>
        <v>41877.078880867128</v>
      </c>
      <c r="G91" s="58"/>
      <c r="H91" s="58">
        <f t="shared" ref="H91:R91" si="70">$B$86*H6</f>
        <v>118500</v>
      </c>
      <c r="I91" s="58">
        <f t="shared" si="70"/>
        <v>363757.05860884371</v>
      </c>
      <c r="J91" s="62">
        <f t="shared" si="70"/>
        <v>363757.05860884371</v>
      </c>
      <c r="K91" s="62">
        <f t="shared" si="70"/>
        <v>95770.365115168315</v>
      </c>
      <c r="L91" s="62">
        <f t="shared" si="70"/>
        <v>30465.387547626236</v>
      </c>
      <c r="M91" s="62">
        <f t="shared" si="70"/>
        <v>61617.494206639632</v>
      </c>
      <c r="N91" s="62">
        <f t="shared" si="70"/>
        <v>20983.942645787498</v>
      </c>
      <c r="O91" s="62">
        <f t="shared" si="70"/>
        <v>63798.396008517404</v>
      </c>
      <c r="P91" s="62">
        <f t="shared" si="70"/>
        <v>0</v>
      </c>
      <c r="Q91" s="62">
        <f t="shared" si="70"/>
        <v>0</v>
      </c>
      <c r="R91" s="62">
        <f t="shared" si="70"/>
        <v>0</v>
      </c>
      <c r="S91" s="16">
        <f t="shared" si="68"/>
        <v>295685180.61512393</v>
      </c>
      <c r="T91" s="16">
        <f>'Collections and ACP'!H82</f>
        <v>1393741.125</v>
      </c>
      <c r="U91" s="16">
        <f t="shared" si="64"/>
        <v>297078921.74012393</v>
      </c>
      <c r="V91" s="16">
        <f t="shared" si="65"/>
        <v>1592522.7651032836</v>
      </c>
      <c r="W91" s="16">
        <f t="shared" si="66"/>
        <v>295486398.97502065</v>
      </c>
    </row>
    <row r="92" spans="1:23" x14ac:dyDescent="0.3">
      <c r="A92" s="46" t="s">
        <v>49</v>
      </c>
      <c r="B92" s="58">
        <f t="shared" si="62"/>
        <v>0</v>
      </c>
      <c r="C92" s="127">
        <f t="shared" si="62"/>
        <v>86676.298877774898</v>
      </c>
      <c r="D92" s="58">
        <f t="shared" si="62"/>
        <v>241955.05208293497</v>
      </c>
      <c r="E92" s="58">
        <f t="shared" si="62"/>
        <v>41289.053794892818</v>
      </c>
      <c r="F92" s="58">
        <f t="shared" si="62"/>
        <v>41743.888746017234</v>
      </c>
      <c r="G92" s="58"/>
      <c r="H92" s="58">
        <f t="shared" ref="H92:R92" si="71">$B$86*H7</f>
        <v>118500</v>
      </c>
      <c r="I92" s="58">
        <f t="shared" si="71"/>
        <v>349206.77626448992</v>
      </c>
      <c r="J92" s="62">
        <f t="shared" si="71"/>
        <v>0</v>
      </c>
      <c r="K92" s="62">
        <f t="shared" si="71"/>
        <v>93601.829412875668</v>
      </c>
      <c r="L92" s="62">
        <f t="shared" si="71"/>
        <v>63841.742875428172</v>
      </c>
      <c r="M92" s="62">
        <f t="shared" si="71"/>
        <v>61309.406735606419</v>
      </c>
      <c r="N92" s="62">
        <f t="shared" si="71"/>
        <v>35154.096860560283</v>
      </c>
      <c r="O92" s="62">
        <f t="shared" si="71"/>
        <v>62714.12815737108</v>
      </c>
      <c r="P92" s="62">
        <f t="shared" si="71"/>
        <v>0</v>
      </c>
      <c r="Q92" s="62">
        <f t="shared" si="71"/>
        <v>0</v>
      </c>
      <c r="R92" s="62">
        <f t="shared" si="71"/>
        <v>0</v>
      </c>
      <c r="S92" s="16">
        <f t="shared" si="68"/>
        <v>295486398.97502065</v>
      </c>
      <c r="T92" s="16">
        <f>'Collections and ACP'!H83</f>
        <v>1392507.375</v>
      </c>
      <c r="U92" s="16">
        <f t="shared" si="64"/>
        <v>296878906.35002065</v>
      </c>
      <c r="V92" s="16">
        <f t="shared" si="65"/>
        <v>1195992.2738079517</v>
      </c>
      <c r="W92" s="16">
        <f t="shared" si="66"/>
        <v>295682914.0762127</v>
      </c>
    </row>
    <row r="93" spans="1:23" x14ac:dyDescent="0.3">
      <c r="A93" s="46" t="s">
        <v>50</v>
      </c>
      <c r="B93" s="58">
        <f t="shared" si="62"/>
        <v>0</v>
      </c>
      <c r="C93" s="127">
        <f t="shared" si="62"/>
        <v>24792.44374891503</v>
      </c>
      <c r="D93" s="58">
        <f t="shared" si="62"/>
        <v>131789.53127512502</v>
      </c>
      <c r="E93" s="58">
        <f t="shared" si="62"/>
        <v>27021.393115180399</v>
      </c>
      <c r="F93" s="58">
        <f t="shared" si="62"/>
        <v>41601.453039743115</v>
      </c>
      <c r="G93" s="58"/>
      <c r="H93" s="58">
        <f t="shared" ref="H93:R93" si="72">$B$86*H8</f>
        <v>118500</v>
      </c>
      <c r="I93" s="58">
        <f t="shared" si="72"/>
        <v>335238.50521391036</v>
      </c>
      <c r="J93" s="62">
        <f t="shared" si="72"/>
        <v>0</v>
      </c>
      <c r="K93" s="62">
        <f t="shared" si="72"/>
        <v>93601.829412875668</v>
      </c>
      <c r="L93" s="62">
        <f t="shared" si="72"/>
        <v>63522.534161051022</v>
      </c>
      <c r="M93" s="62">
        <f t="shared" si="72"/>
        <v>61002.859701928392</v>
      </c>
      <c r="N93" s="62">
        <f t="shared" si="72"/>
        <v>34302.100815771089</v>
      </c>
      <c r="O93" s="62">
        <f t="shared" si="72"/>
        <v>62714.12815737108</v>
      </c>
      <c r="P93" s="62">
        <f t="shared" si="72"/>
        <v>0</v>
      </c>
      <c r="Q93" s="62">
        <f t="shared" si="72"/>
        <v>23826.981692389192</v>
      </c>
      <c r="R93" s="62">
        <f t="shared" si="72"/>
        <v>4812.7562634178794</v>
      </c>
      <c r="S93" s="16">
        <f t="shared" si="68"/>
        <v>295682914.0762127</v>
      </c>
      <c r="T93" s="16">
        <f>'Collections and ACP'!H84</f>
        <v>1392034.875</v>
      </c>
      <c r="U93" s="16">
        <f t="shared" si="64"/>
        <v>297074948.9512127</v>
      </c>
      <c r="V93" s="16">
        <f t="shared" si="65"/>
        <v>1022726.5165976784</v>
      </c>
      <c r="W93" s="16">
        <f t="shared" si="66"/>
        <v>296052222.43461502</v>
      </c>
    </row>
    <row r="94" spans="1:23" x14ac:dyDescent="0.3">
      <c r="A94" s="46" t="s">
        <v>51</v>
      </c>
      <c r="B94" s="58">
        <f t="shared" si="62"/>
        <v>0</v>
      </c>
      <c r="C94" s="127">
        <f t="shared" si="62"/>
        <v>2431.4274149849998</v>
      </c>
      <c r="D94" s="58">
        <f t="shared" si="62"/>
        <v>10753.919641320001</v>
      </c>
      <c r="E94" s="58">
        <f t="shared" si="62"/>
        <v>19470.5731538289</v>
      </c>
      <c r="F94" s="58">
        <f t="shared" si="62"/>
        <v>41647.300123964407</v>
      </c>
      <c r="G94" s="58"/>
      <c r="H94" s="58">
        <f t="shared" ref="H94:R94" si="73">$B$86*H9</f>
        <v>118500</v>
      </c>
      <c r="I94" s="58">
        <f t="shared" si="73"/>
        <v>321828.96500535391</v>
      </c>
      <c r="J94" s="62">
        <f t="shared" si="73"/>
        <v>0</v>
      </c>
      <c r="K94" s="62">
        <f t="shared" si="73"/>
        <v>93601.829412875668</v>
      </c>
      <c r="L94" s="62">
        <f t="shared" si="73"/>
        <v>63204.921490245775</v>
      </c>
      <c r="M94" s="62">
        <f t="shared" si="73"/>
        <v>60697.845403418745</v>
      </c>
      <c r="N94" s="62">
        <f t="shared" si="73"/>
        <v>34302.100815771089</v>
      </c>
      <c r="O94" s="62">
        <f t="shared" si="73"/>
        <v>62714.12815737108</v>
      </c>
      <c r="P94" s="62">
        <f t="shared" si="73"/>
        <v>6992.1892907999782</v>
      </c>
      <c r="Q94" s="62">
        <f t="shared" si="73"/>
        <v>48635.851933752536</v>
      </c>
      <c r="R94" s="62">
        <f t="shared" si="73"/>
        <v>12684.291208875222</v>
      </c>
      <c r="S94" s="16">
        <f t="shared" si="68"/>
        <v>296052222.43461502</v>
      </c>
      <c r="T94" s="16">
        <f>'Collections and ACP'!H85</f>
        <v>1392250.125</v>
      </c>
      <c r="U94" s="16">
        <f t="shared" si="64"/>
        <v>297444472.55961502</v>
      </c>
      <c r="V94" s="16">
        <f t="shared" si="65"/>
        <v>897465.34305256233</v>
      </c>
      <c r="W94" s="16">
        <f t="shared" si="66"/>
        <v>296547007.21656245</v>
      </c>
    </row>
    <row r="95" spans="1:23" x14ac:dyDescent="0.3">
      <c r="A95" s="46" t="s">
        <v>52</v>
      </c>
      <c r="B95" s="58">
        <f t="shared" si="62"/>
        <v>0</v>
      </c>
      <c r="C95" s="127">
        <f t="shared" si="62"/>
        <v>0</v>
      </c>
      <c r="D95" s="58">
        <f t="shared" si="62"/>
        <v>0</v>
      </c>
      <c r="E95" s="58">
        <f t="shared" si="62"/>
        <v>10618.744176527987</v>
      </c>
      <c r="F95" s="58">
        <f t="shared" si="62"/>
        <v>41772.252913350829</v>
      </c>
      <c r="G95" s="58"/>
      <c r="H95" s="58">
        <f t="shared" ref="H95:R95" si="74">$B$86*H10</f>
        <v>118500</v>
      </c>
      <c r="I95" s="58">
        <f t="shared" si="74"/>
        <v>308955.80640513974</v>
      </c>
      <c r="J95" s="62">
        <f t="shared" si="74"/>
        <v>0</v>
      </c>
      <c r="K95" s="62">
        <f t="shared" si="74"/>
        <v>93601.829412875668</v>
      </c>
      <c r="L95" s="62">
        <f t="shared" si="74"/>
        <v>62888.89688279455</v>
      </c>
      <c r="M95" s="62">
        <f t="shared" si="74"/>
        <v>60394.356176401656</v>
      </c>
      <c r="N95" s="62">
        <f t="shared" si="74"/>
        <v>34302.100815771089</v>
      </c>
      <c r="O95" s="62">
        <f t="shared" si="74"/>
        <v>62714.12815737108</v>
      </c>
      <c r="P95" s="62">
        <f t="shared" si="74"/>
        <v>-1717.2222333840493</v>
      </c>
      <c r="Q95" s="62">
        <f t="shared" si="74"/>
        <v>43452.429602495838</v>
      </c>
      <c r="R95" s="62">
        <f t="shared" si="74"/>
        <v>12299.606064629595</v>
      </c>
      <c r="S95" s="16">
        <f t="shared" si="68"/>
        <v>296547007.21656245</v>
      </c>
      <c r="T95" s="16">
        <f>'Collections and ACP'!H86</f>
        <v>1393344.75</v>
      </c>
      <c r="U95" s="16">
        <f t="shared" si="64"/>
        <v>297940351.96656245</v>
      </c>
      <c r="V95" s="16">
        <f t="shared" si="65"/>
        <v>847782.92837397393</v>
      </c>
      <c r="W95" s="16">
        <f t="shared" si="66"/>
        <v>297092569.03818846</v>
      </c>
    </row>
    <row r="96" spans="1:23" x14ac:dyDescent="0.3">
      <c r="A96" s="46" t="s">
        <v>53</v>
      </c>
      <c r="B96" s="58">
        <f t="shared" si="62"/>
        <v>0</v>
      </c>
      <c r="C96" s="127">
        <f t="shared" si="62"/>
        <v>0</v>
      </c>
      <c r="D96" s="58">
        <f t="shared" si="62"/>
        <v>0</v>
      </c>
      <c r="E96" s="58">
        <f t="shared" si="62"/>
        <v>10613.17345431455</v>
      </c>
      <c r="F96" s="58">
        <f t="shared" si="62"/>
        <v>41976.764160236184</v>
      </c>
      <c r="G96" s="58"/>
      <c r="H96" s="58">
        <f t="shared" ref="H96:R96" si="75">$B$86*H11</f>
        <v>118500</v>
      </c>
      <c r="I96" s="58">
        <f t="shared" si="75"/>
        <v>296597.57414893416</v>
      </c>
      <c r="J96" s="62">
        <f t="shared" si="75"/>
        <v>0</v>
      </c>
      <c r="K96" s="62">
        <f t="shared" si="75"/>
        <v>93601.829412875668</v>
      </c>
      <c r="L96" s="62">
        <f t="shared" si="75"/>
        <v>62574.452398380578</v>
      </c>
      <c r="M96" s="62">
        <f t="shared" si="75"/>
        <v>60092.384395519657</v>
      </c>
      <c r="N96" s="62">
        <f t="shared" si="75"/>
        <v>34302.100815771089</v>
      </c>
      <c r="O96" s="62">
        <f t="shared" si="75"/>
        <v>62714.12815737108</v>
      </c>
      <c r="P96" s="62">
        <f t="shared" si="75"/>
        <v>-10600.821988051721</v>
      </c>
      <c r="Q96" s="62">
        <f t="shared" si="75"/>
        <v>38221.314761128779</v>
      </c>
      <c r="R96" s="62">
        <f t="shared" si="75"/>
        <v>11912.057517151001</v>
      </c>
      <c r="S96" s="16">
        <f t="shared" si="68"/>
        <v>297092569.03818846</v>
      </c>
      <c r="T96" s="16">
        <f>'Collections and ACP'!H87</f>
        <v>1394150.625</v>
      </c>
      <c r="U96" s="16">
        <f t="shared" si="64"/>
        <v>298486719.66318846</v>
      </c>
      <c r="V96" s="16">
        <f t="shared" si="65"/>
        <v>820504.95723363105</v>
      </c>
      <c r="W96" s="16">
        <f t="shared" si="66"/>
        <v>297666214.70595485</v>
      </c>
    </row>
    <row r="97" spans="1:23" x14ac:dyDescent="0.3">
      <c r="A97" s="46" t="s">
        <v>54</v>
      </c>
      <c r="B97" s="58">
        <f t="shared" si="62"/>
        <v>0</v>
      </c>
      <c r="C97" s="127">
        <f t="shared" si="62"/>
        <v>0</v>
      </c>
      <c r="D97" s="58">
        <f t="shared" si="62"/>
        <v>0</v>
      </c>
      <c r="E97" s="58">
        <f t="shared" si="62"/>
        <v>10281.080497060042</v>
      </c>
      <c r="F97" s="58">
        <f t="shared" si="62"/>
        <v>42028.817176130615</v>
      </c>
      <c r="G97" s="58"/>
      <c r="H97" s="58">
        <f t="shared" ref="H97:R97" si="76">$B$86*H12</f>
        <v>118500</v>
      </c>
      <c r="I97" s="58">
        <f t="shared" si="76"/>
        <v>284733.6711829768</v>
      </c>
      <c r="J97" s="62">
        <f t="shared" si="76"/>
        <v>0</v>
      </c>
      <c r="K97" s="62">
        <f t="shared" si="76"/>
        <v>36865.106938974975</v>
      </c>
      <c r="L97" s="62">
        <f t="shared" si="76"/>
        <v>62261.580136388671</v>
      </c>
      <c r="M97" s="62">
        <f t="shared" si="76"/>
        <v>59791.922473542036</v>
      </c>
      <c r="N97" s="62">
        <f t="shared" si="76"/>
        <v>34302.100815771089</v>
      </c>
      <c r="O97" s="62">
        <f t="shared" si="76"/>
        <v>18432.553469487488</v>
      </c>
      <c r="P97" s="62">
        <f t="shared" si="76"/>
        <v>-19662.093737812756</v>
      </c>
      <c r="Q97" s="62">
        <f t="shared" si="76"/>
        <v>32941.649088837577</v>
      </c>
      <c r="R97" s="62">
        <f t="shared" si="76"/>
        <v>11521.58855970418</v>
      </c>
      <c r="S97" s="16">
        <f t="shared" si="68"/>
        <v>297666214.70595485</v>
      </c>
      <c r="T97" s="16">
        <f>'Collections and ACP'!H88</f>
        <v>1395058.875</v>
      </c>
      <c r="U97" s="16">
        <f t="shared" si="64"/>
        <v>299061273.58095485</v>
      </c>
      <c r="V97" s="16">
        <f t="shared" si="65"/>
        <v>691997.97660106083</v>
      </c>
      <c r="W97" s="16">
        <f t="shared" si="66"/>
        <v>298369275.60435379</v>
      </c>
    </row>
    <row r="98" spans="1:23" x14ac:dyDescent="0.3">
      <c r="A98" s="46" t="s">
        <v>55</v>
      </c>
      <c r="B98" s="58">
        <f t="shared" ref="B98:F107" si="77">$B$86*B13</f>
        <v>0</v>
      </c>
      <c r="C98" s="127">
        <f t="shared" si="77"/>
        <v>0</v>
      </c>
      <c r="D98" s="58">
        <f t="shared" si="77"/>
        <v>0</v>
      </c>
      <c r="E98" s="58">
        <f t="shared" si="77"/>
        <v>10199.185218375638</v>
      </c>
      <c r="F98" s="58">
        <f t="shared" si="77"/>
        <v>42160.991507654231</v>
      </c>
      <c r="G98" s="58"/>
      <c r="H98" s="58">
        <f t="shared" ref="H98:R98" si="78">$B$86*H13</f>
        <v>118500</v>
      </c>
      <c r="I98" s="58">
        <f t="shared" si="78"/>
        <v>273344.3243356577</v>
      </c>
      <c r="J98" s="62">
        <f t="shared" si="78"/>
        <v>0</v>
      </c>
      <c r="K98" s="62">
        <f t="shared" si="78"/>
        <v>0</v>
      </c>
      <c r="L98" s="62">
        <f t="shared" si="78"/>
        <v>61950.272235706732</v>
      </c>
      <c r="M98" s="62">
        <f t="shared" si="78"/>
        <v>59492.962861174325</v>
      </c>
      <c r="N98" s="62">
        <f t="shared" si="78"/>
        <v>14483.932761416234</v>
      </c>
      <c r="O98" s="62">
        <f t="shared" si="78"/>
        <v>0</v>
      </c>
      <c r="P98" s="62">
        <f t="shared" si="78"/>
        <v>-28904.590922569012</v>
      </c>
      <c r="Q98" s="62">
        <f t="shared" si="78"/>
        <v>27612.562214340389</v>
      </c>
      <c r="R98" s="62">
        <f t="shared" si="78"/>
        <v>11128.141407863664</v>
      </c>
      <c r="S98" s="16">
        <f t="shared" si="68"/>
        <v>298369275.60435379</v>
      </c>
      <c r="T98" s="16">
        <f>'Collections and ACP'!H89</f>
        <v>1396066.875</v>
      </c>
      <c r="U98" s="16">
        <f t="shared" si="64"/>
        <v>299765342.47935379</v>
      </c>
      <c r="V98" s="16">
        <f t="shared" si="65"/>
        <v>589967.78161961993</v>
      </c>
      <c r="W98" s="16">
        <f t="shared" si="66"/>
        <v>299175374.69773418</v>
      </c>
    </row>
    <row r="99" spans="1:23" x14ac:dyDescent="0.3">
      <c r="A99" s="46" t="s">
        <v>56</v>
      </c>
      <c r="B99" s="58">
        <f t="shared" si="77"/>
        <v>0</v>
      </c>
      <c r="C99" s="127">
        <f t="shared" si="77"/>
        <v>0</v>
      </c>
      <c r="D99" s="58">
        <f t="shared" si="77"/>
        <v>0</v>
      </c>
      <c r="E99" s="58">
        <f t="shared" si="77"/>
        <v>10098.758870353553</v>
      </c>
      <c r="F99" s="58">
        <f t="shared" si="77"/>
        <v>42317.617098227194</v>
      </c>
      <c r="G99" s="58"/>
      <c r="H99" s="58">
        <f t="shared" ref="H99:R99" si="79">$B$86*H14</f>
        <v>118500</v>
      </c>
      <c r="I99" s="58">
        <f t="shared" si="79"/>
        <v>262410.55136223137</v>
      </c>
      <c r="J99" s="62">
        <f t="shared" si="79"/>
        <v>0</v>
      </c>
      <c r="K99" s="62">
        <f t="shared" si="79"/>
        <v>0</v>
      </c>
      <c r="L99" s="62">
        <f t="shared" si="79"/>
        <v>61640.5208745282</v>
      </c>
      <c r="M99" s="62">
        <f t="shared" si="79"/>
        <v>59195.498046868459</v>
      </c>
      <c r="N99" s="62">
        <f t="shared" si="79"/>
        <v>0</v>
      </c>
      <c r="O99" s="62">
        <f t="shared" si="79"/>
        <v>0</v>
      </c>
      <c r="P99" s="62">
        <f t="shared" si="79"/>
        <v>-38331.938051020414</v>
      </c>
      <c r="Q99" s="62">
        <f t="shared" si="79"/>
        <v>22233.171532642795</v>
      </c>
      <c r="R99" s="62">
        <f t="shared" si="79"/>
        <v>10731.657487567625</v>
      </c>
      <c r="S99" s="16">
        <f t="shared" si="68"/>
        <v>299175374.69773418</v>
      </c>
      <c r="T99" s="16">
        <f>'Collections and ACP'!H90</f>
        <v>1397090.625</v>
      </c>
      <c r="U99" s="16">
        <f t="shared" si="64"/>
        <v>300572465.32273418</v>
      </c>
      <c r="V99" s="16">
        <f t="shared" si="65"/>
        <v>548795.83722139883</v>
      </c>
      <c r="W99" s="16">
        <f t="shared" si="66"/>
        <v>300023669.48551279</v>
      </c>
    </row>
    <row r="100" spans="1:23" x14ac:dyDescent="0.3">
      <c r="A100" s="46" t="s">
        <v>57</v>
      </c>
      <c r="B100" s="58">
        <f t="shared" si="77"/>
        <v>0</v>
      </c>
      <c r="C100" s="127">
        <f t="shared" si="77"/>
        <v>0</v>
      </c>
      <c r="D100" s="58">
        <f t="shared" si="77"/>
        <v>0</v>
      </c>
      <c r="E100" s="58">
        <f t="shared" si="77"/>
        <v>0</v>
      </c>
      <c r="F100" s="58">
        <f t="shared" si="77"/>
        <v>42607.853945964082</v>
      </c>
      <c r="G100" s="58"/>
      <c r="H100" s="58">
        <f t="shared" ref="H100:R100" si="80">$B$86*H15</f>
        <v>118500</v>
      </c>
      <c r="I100" s="58">
        <f t="shared" si="80"/>
        <v>251914.12930774211</v>
      </c>
      <c r="J100" s="62">
        <f t="shared" si="80"/>
        <v>0</v>
      </c>
      <c r="K100" s="62">
        <f t="shared" si="80"/>
        <v>0</v>
      </c>
      <c r="L100" s="62">
        <f t="shared" si="80"/>
        <v>61332.318270155549</v>
      </c>
      <c r="M100" s="62">
        <f t="shared" si="80"/>
        <v>58899.520556634125</v>
      </c>
      <c r="N100" s="62">
        <f t="shared" si="80"/>
        <v>0</v>
      </c>
      <c r="O100" s="62">
        <f t="shared" si="80"/>
        <v>0</v>
      </c>
      <c r="P100" s="62">
        <f t="shared" si="80"/>
        <v>-47947.832122040825</v>
      </c>
      <c r="Q100" s="62">
        <f t="shared" si="80"/>
        <v>16802.582019081365</v>
      </c>
      <c r="R100" s="62">
        <f t="shared" si="80"/>
        <v>10332.077422995544</v>
      </c>
      <c r="S100" s="16">
        <f t="shared" si="68"/>
        <v>300023669.48551279</v>
      </c>
      <c r="T100" s="16">
        <f>'Collections and ACP'!H91</f>
        <v>1397702.25</v>
      </c>
      <c r="U100" s="16">
        <f t="shared" si="64"/>
        <v>301421371.73551279</v>
      </c>
      <c r="V100" s="16">
        <f t="shared" si="65"/>
        <v>512440.64940053195</v>
      </c>
      <c r="W100" s="16">
        <f t="shared" si="66"/>
        <v>300908931.08611226</v>
      </c>
    </row>
    <row r="101" spans="1:23" x14ac:dyDescent="0.3">
      <c r="A101" s="46" t="s">
        <v>58</v>
      </c>
      <c r="B101" s="58">
        <f t="shared" si="77"/>
        <v>0</v>
      </c>
      <c r="C101" s="127">
        <f t="shared" si="77"/>
        <v>0</v>
      </c>
      <c r="D101" s="58">
        <f t="shared" si="77"/>
        <v>0</v>
      </c>
      <c r="E101" s="58">
        <f t="shared" si="77"/>
        <v>0</v>
      </c>
      <c r="F101" s="58">
        <f t="shared" si="77"/>
        <v>42676.980465822096</v>
      </c>
      <c r="G101" s="58"/>
      <c r="H101" s="58">
        <f t="shared" ref="H101:R101" si="81">$B$86*H16</f>
        <v>118500</v>
      </c>
      <c r="I101" s="58">
        <f t="shared" si="81"/>
        <v>120918.78206771621</v>
      </c>
      <c r="J101" s="62">
        <f t="shared" si="81"/>
        <v>0</v>
      </c>
      <c r="K101" s="62">
        <f t="shared" si="81"/>
        <v>0</v>
      </c>
      <c r="L101" s="62">
        <f t="shared" si="81"/>
        <v>61025.656678804771</v>
      </c>
      <c r="M101" s="62">
        <f t="shared" si="81"/>
        <v>58605.022953850952</v>
      </c>
      <c r="N101" s="62">
        <f t="shared" si="81"/>
        <v>0</v>
      </c>
      <c r="O101" s="62">
        <f t="shared" si="81"/>
        <v>0</v>
      </c>
      <c r="P101" s="62">
        <f t="shared" si="81"/>
        <v>-57756.044074481622</v>
      </c>
      <c r="Q101" s="62">
        <f t="shared" si="81"/>
        <v>11319.886040614871</v>
      </c>
      <c r="R101" s="62">
        <f t="shared" si="81"/>
        <v>9929.3410242670216</v>
      </c>
      <c r="S101" s="16">
        <f t="shared" si="68"/>
        <v>300908931.08611226</v>
      </c>
      <c r="T101" s="16">
        <f>'Collections and ACP'!H92</f>
        <v>1398348</v>
      </c>
      <c r="U101" s="16">
        <f t="shared" si="64"/>
        <v>302307279.08611226</v>
      </c>
      <c r="V101" s="16">
        <f t="shared" si="65"/>
        <v>365219.62515659427</v>
      </c>
      <c r="W101" s="16">
        <f t="shared" si="66"/>
        <v>301942059.46095568</v>
      </c>
    </row>
    <row r="102" spans="1:23" x14ac:dyDescent="0.3">
      <c r="A102" s="46" t="s">
        <v>59</v>
      </c>
      <c r="B102" s="58">
        <f t="shared" si="77"/>
        <v>0</v>
      </c>
      <c r="C102" s="127">
        <f t="shared" si="77"/>
        <v>0</v>
      </c>
      <c r="D102" s="58">
        <f t="shared" si="77"/>
        <v>0</v>
      </c>
      <c r="E102" s="58">
        <f t="shared" si="77"/>
        <v>0</v>
      </c>
      <c r="F102" s="58">
        <f t="shared" si="77"/>
        <v>42796.756929787647</v>
      </c>
      <c r="G102" s="58"/>
      <c r="H102" s="58">
        <f t="shared" ref="H102:R102" si="82">$B$86*H17</f>
        <v>118500</v>
      </c>
      <c r="I102" s="58">
        <f t="shared" si="82"/>
        <v>116082.03078500755</v>
      </c>
      <c r="J102" s="62">
        <f t="shared" si="82"/>
        <v>0</v>
      </c>
      <c r="K102" s="62">
        <f t="shared" si="82"/>
        <v>0</v>
      </c>
      <c r="L102" s="62">
        <f t="shared" si="82"/>
        <v>60720.528395410744</v>
      </c>
      <c r="M102" s="62">
        <f t="shared" si="82"/>
        <v>58311.997839081705</v>
      </c>
      <c r="N102" s="62">
        <f t="shared" si="82"/>
        <v>0</v>
      </c>
      <c r="O102" s="62">
        <f t="shared" si="82"/>
        <v>0</v>
      </c>
      <c r="P102" s="62">
        <f t="shared" si="82"/>
        <v>-67760.420265971246</v>
      </c>
      <c r="Q102" s="62">
        <f t="shared" si="82"/>
        <v>5784.1631643219798</v>
      </c>
      <c r="R102" s="62">
        <f t="shared" si="82"/>
        <v>9523.3872749590973</v>
      </c>
      <c r="S102" s="16">
        <f t="shared" si="68"/>
        <v>301942059.46095568</v>
      </c>
      <c r="T102" s="16">
        <f>'Collections and ACP'!H93</f>
        <v>1398689.25</v>
      </c>
      <c r="U102" s="16">
        <f t="shared" si="64"/>
        <v>303340748.71095568</v>
      </c>
      <c r="V102" s="16">
        <f t="shared" si="65"/>
        <v>343958.44412259752</v>
      </c>
      <c r="W102" s="16">
        <f t="shared" si="66"/>
        <v>302996790.26683307</v>
      </c>
    </row>
    <row r="103" spans="1:23" x14ac:dyDescent="0.3">
      <c r="A103" s="46" t="s">
        <v>60</v>
      </c>
      <c r="B103" s="58">
        <f t="shared" si="77"/>
        <v>0</v>
      </c>
      <c r="C103" s="127">
        <f t="shared" si="77"/>
        <v>0</v>
      </c>
      <c r="D103" s="58">
        <f t="shared" si="77"/>
        <v>0</v>
      </c>
      <c r="E103" s="58">
        <f t="shared" si="77"/>
        <v>0</v>
      </c>
      <c r="F103" s="58">
        <f t="shared" si="77"/>
        <v>42940.972430495065</v>
      </c>
      <c r="G103" s="58"/>
      <c r="H103" s="58">
        <f t="shared" ref="H103:R103" si="83">$B$86*H18</f>
        <v>118500</v>
      </c>
      <c r="I103" s="58">
        <f t="shared" si="83"/>
        <v>111438.74955360725</v>
      </c>
      <c r="J103" s="62">
        <f t="shared" si="83"/>
        <v>0</v>
      </c>
      <c r="K103" s="62">
        <f t="shared" si="83"/>
        <v>0</v>
      </c>
      <c r="L103" s="62">
        <f t="shared" si="83"/>
        <v>60416.925753433694</v>
      </c>
      <c r="M103" s="62">
        <f t="shared" si="83"/>
        <v>58020.437849886293</v>
      </c>
      <c r="N103" s="62">
        <f t="shared" si="83"/>
        <v>0</v>
      </c>
      <c r="O103" s="62">
        <f t="shared" si="83"/>
        <v>0</v>
      </c>
      <c r="P103" s="62">
        <f t="shared" si="83"/>
        <v>-77964.883981290681</v>
      </c>
      <c r="Q103" s="62">
        <f t="shared" si="83"/>
        <v>194.47996306380543</v>
      </c>
      <c r="R103" s="62">
        <f t="shared" si="83"/>
        <v>9114.1543194393344</v>
      </c>
      <c r="S103" s="16">
        <f t="shared" si="68"/>
        <v>302996790.26683307</v>
      </c>
      <c r="T103" s="16">
        <f>'Collections and ACP'!H94</f>
        <v>1399411.125</v>
      </c>
      <c r="U103" s="16">
        <f t="shared" si="64"/>
        <v>304396201.39183307</v>
      </c>
      <c r="V103" s="16">
        <f t="shared" si="65"/>
        <v>322660.83588863473</v>
      </c>
      <c r="W103" s="16">
        <f t="shared" si="66"/>
        <v>304073540.55594444</v>
      </c>
    </row>
    <row r="104" spans="1:23" x14ac:dyDescent="0.3">
      <c r="A104" s="46" t="s">
        <v>61</v>
      </c>
      <c r="B104" s="58">
        <f t="shared" si="77"/>
        <v>0</v>
      </c>
      <c r="C104" s="127">
        <f t="shared" si="77"/>
        <v>0</v>
      </c>
      <c r="D104" s="58">
        <f t="shared" si="77"/>
        <v>0</v>
      </c>
      <c r="E104" s="58">
        <f t="shared" si="77"/>
        <v>0</v>
      </c>
      <c r="F104" s="58">
        <f t="shared" si="77"/>
        <v>43129.577973078158</v>
      </c>
      <c r="G104" s="58"/>
      <c r="H104" s="58">
        <f t="shared" ref="H104:R104" si="84">$B$86*H19</f>
        <v>118500</v>
      </c>
      <c r="I104" s="58">
        <f t="shared" si="84"/>
        <v>106981.19957146294</v>
      </c>
      <c r="J104" s="62">
        <f t="shared" si="84"/>
        <v>0</v>
      </c>
      <c r="K104" s="62">
        <f t="shared" si="84"/>
        <v>0</v>
      </c>
      <c r="L104" s="62">
        <f t="shared" si="84"/>
        <v>60114.841124666527</v>
      </c>
      <c r="M104" s="62">
        <f t="shared" si="84"/>
        <v>57730.335660636854</v>
      </c>
      <c r="N104" s="62">
        <f t="shared" si="84"/>
        <v>0</v>
      </c>
      <c r="O104" s="62">
        <f t="shared" si="84"/>
        <v>0</v>
      </c>
      <c r="P104" s="62">
        <f t="shared" si="84"/>
        <v>-88373.436970916475</v>
      </c>
      <c r="Q104" s="62">
        <f t="shared" si="84"/>
        <v>-5450.110181731071</v>
      </c>
      <c r="R104" s="62">
        <f t="shared" si="84"/>
        <v>8701.5794500119118</v>
      </c>
      <c r="S104" s="16">
        <f t="shared" si="68"/>
        <v>304073540.55594444</v>
      </c>
      <c r="T104" s="16">
        <f>'Collections and ACP'!H95</f>
        <v>1399797</v>
      </c>
      <c r="U104" s="16">
        <f t="shared" si="64"/>
        <v>305473337.55594444</v>
      </c>
      <c r="V104" s="16">
        <f t="shared" si="65"/>
        <v>301333.98662720883</v>
      </c>
      <c r="W104" s="16">
        <f t="shared" si="66"/>
        <v>305172003.56931722</v>
      </c>
    </row>
    <row r="105" spans="1:23" x14ac:dyDescent="0.3">
      <c r="A105" s="46" t="s">
        <v>62</v>
      </c>
      <c r="B105" s="58">
        <f t="shared" si="77"/>
        <v>0</v>
      </c>
      <c r="C105" s="127">
        <f t="shared" si="77"/>
        <v>0</v>
      </c>
      <c r="D105" s="58">
        <f t="shared" si="77"/>
        <v>0</v>
      </c>
      <c r="E105" s="58">
        <f t="shared" si="77"/>
        <v>0</v>
      </c>
      <c r="F105" s="58">
        <f t="shared" si="77"/>
        <v>43156.549783011615</v>
      </c>
      <c r="G105" s="58"/>
      <c r="H105" s="58">
        <f t="shared" ref="H105:R105" si="85">$B$86*H20</f>
        <v>118500</v>
      </c>
      <c r="I105" s="58">
        <f t="shared" si="85"/>
        <v>102701.95158860442</v>
      </c>
      <c r="J105" s="62">
        <f t="shared" si="85"/>
        <v>0</v>
      </c>
      <c r="K105" s="62">
        <f t="shared" si="85"/>
        <v>0</v>
      </c>
      <c r="L105" s="62">
        <f t="shared" si="85"/>
        <v>59814.266919043192</v>
      </c>
      <c r="M105" s="62">
        <f t="shared" si="85"/>
        <v>57441.683982333685</v>
      </c>
      <c r="N105" s="62">
        <f t="shared" si="85"/>
        <v>0</v>
      </c>
      <c r="O105" s="62">
        <f t="shared" si="85"/>
        <v>0</v>
      </c>
      <c r="P105" s="62">
        <f t="shared" si="85"/>
        <v>-98990.161020334825</v>
      </c>
      <c r="Q105" s="62">
        <f t="shared" si="85"/>
        <v>-11150.567280202187</v>
      </c>
      <c r="R105" s="62">
        <f t="shared" si="85"/>
        <v>8285.5990938739542</v>
      </c>
      <c r="S105" s="16">
        <f t="shared" si="68"/>
        <v>305172003.56931722</v>
      </c>
      <c r="T105" s="16">
        <f>'Collections and ACP'!H96</f>
        <v>1400135.625</v>
      </c>
      <c r="U105" s="16">
        <f t="shared" si="64"/>
        <v>306572139.19431722</v>
      </c>
      <c r="V105" s="16">
        <f t="shared" si="65"/>
        <v>279759.32306632987</v>
      </c>
      <c r="W105" s="16">
        <f t="shared" si="66"/>
        <v>306292379.87125087</v>
      </c>
    </row>
    <row r="106" spans="1:23" x14ac:dyDescent="0.3">
      <c r="A106" s="46" t="s">
        <v>63</v>
      </c>
      <c r="B106" s="58">
        <f t="shared" si="77"/>
        <v>0</v>
      </c>
      <c r="C106" s="127">
        <f t="shared" si="77"/>
        <v>0</v>
      </c>
      <c r="D106" s="58">
        <f t="shared" si="77"/>
        <v>0</v>
      </c>
      <c r="E106" s="58">
        <f t="shared" si="77"/>
        <v>0</v>
      </c>
      <c r="F106" s="58">
        <f t="shared" si="77"/>
        <v>43285.932697525102</v>
      </c>
      <c r="G106" s="58"/>
      <c r="H106" s="58">
        <f t="shared" ref="H106:R106" si="86">$B$86*H21</f>
        <v>118500</v>
      </c>
      <c r="I106" s="58">
        <f t="shared" si="86"/>
        <v>98593.873525060233</v>
      </c>
      <c r="J106" s="62">
        <f t="shared" si="86"/>
        <v>0</v>
      </c>
      <c r="K106" s="62">
        <f t="shared" si="86"/>
        <v>0</v>
      </c>
      <c r="L106" s="62">
        <f t="shared" si="86"/>
        <v>59515.195584447982</v>
      </c>
      <c r="M106" s="62">
        <f t="shared" si="86"/>
        <v>57154.475562422012</v>
      </c>
      <c r="N106" s="62">
        <f t="shared" si="86"/>
        <v>0</v>
      </c>
      <c r="O106" s="62">
        <f t="shared" si="86"/>
        <v>0</v>
      </c>
      <c r="P106" s="62">
        <f t="shared" si="86"/>
        <v>-109819.21955074152</v>
      </c>
      <c r="Q106" s="62">
        <f t="shared" si="86"/>
        <v>-16907.864937156701</v>
      </c>
      <c r="R106" s="62">
        <f t="shared" si="86"/>
        <v>7866.1487998792572</v>
      </c>
      <c r="S106" s="16">
        <f t="shared" si="68"/>
        <v>306292379.87125087</v>
      </c>
      <c r="T106" s="16">
        <f>'Collections and ACP'!H97</f>
        <v>1400371.875</v>
      </c>
      <c r="U106" s="16">
        <f t="shared" si="64"/>
        <v>307692751.74625087</v>
      </c>
      <c r="V106" s="16">
        <f t="shared" si="65"/>
        <v>258188.54168143633</v>
      </c>
      <c r="W106" s="16">
        <f t="shared" si="66"/>
        <v>307434563.20456946</v>
      </c>
    </row>
    <row r="107" spans="1:23" x14ac:dyDescent="0.3">
      <c r="A107" s="46" t="s">
        <v>64</v>
      </c>
      <c r="B107" s="58">
        <f t="shared" si="77"/>
        <v>0</v>
      </c>
      <c r="C107" s="127">
        <f t="shared" si="77"/>
        <v>0</v>
      </c>
      <c r="D107" s="58">
        <f t="shared" si="77"/>
        <v>0</v>
      </c>
      <c r="E107" s="58">
        <f t="shared" si="77"/>
        <v>0</v>
      </c>
      <c r="F107" s="58">
        <f t="shared" si="77"/>
        <v>43285.932697525102</v>
      </c>
      <c r="G107" s="58"/>
      <c r="H107" s="58">
        <f t="shared" ref="H107:R107" si="87">$B$86*H22</f>
        <v>118500</v>
      </c>
      <c r="I107" s="58">
        <f t="shared" si="87"/>
        <v>94650.118584057826</v>
      </c>
      <c r="J107" s="62">
        <f t="shared" si="87"/>
        <v>0</v>
      </c>
      <c r="K107" s="62">
        <f t="shared" si="87"/>
        <v>0</v>
      </c>
      <c r="L107" s="62">
        <f t="shared" si="87"/>
        <v>59217.619606525746</v>
      </c>
      <c r="M107" s="62">
        <f t="shared" si="87"/>
        <v>56868.703184609898</v>
      </c>
      <c r="N107" s="62">
        <f t="shared" si="87"/>
        <v>0</v>
      </c>
      <c r="O107" s="62">
        <f t="shared" si="87"/>
        <v>0</v>
      </c>
      <c r="P107" s="62">
        <f t="shared" si="87"/>
        <v>-120864.85925175634</v>
      </c>
      <c r="Q107" s="62">
        <f t="shared" si="87"/>
        <v>-22722.990558177426</v>
      </c>
      <c r="R107" s="62">
        <f t="shared" si="87"/>
        <v>7443.1632251065075</v>
      </c>
      <c r="S107" s="16"/>
      <c r="T107" s="16"/>
      <c r="U107" s="16"/>
      <c r="V107" s="16"/>
      <c r="W107" s="16"/>
    </row>
    <row r="108" spans="1:23" x14ac:dyDescent="0.3">
      <c r="A108" s="46" t="s">
        <v>65</v>
      </c>
      <c r="B108" s="58">
        <f t="shared" ref="B108:F110" si="88">$B$86*B23</f>
        <v>0</v>
      </c>
      <c r="C108" s="127">
        <f t="shared" si="88"/>
        <v>0</v>
      </c>
      <c r="D108" s="58">
        <f t="shared" si="88"/>
        <v>0</v>
      </c>
      <c r="E108" s="58">
        <f t="shared" si="88"/>
        <v>0</v>
      </c>
      <c r="F108" s="58">
        <f t="shared" si="88"/>
        <v>43285.932697525102</v>
      </c>
      <c r="G108" s="58"/>
      <c r="H108" s="58">
        <f t="shared" ref="H108:R108" si="89">$B$86*H23</f>
        <v>118500</v>
      </c>
      <c r="I108" s="58">
        <f t="shared" si="89"/>
        <v>90864.1138406955</v>
      </c>
      <c r="J108" s="62">
        <f t="shared" si="89"/>
        <v>0</v>
      </c>
      <c r="K108" s="62">
        <f t="shared" si="89"/>
        <v>0</v>
      </c>
      <c r="L108" s="62">
        <f t="shared" si="89"/>
        <v>58921.531508493114</v>
      </c>
      <c r="M108" s="62">
        <f t="shared" si="89"/>
        <v>56584.359668686848</v>
      </c>
      <c r="N108" s="62">
        <f t="shared" si="89"/>
        <v>0</v>
      </c>
      <c r="O108" s="62">
        <f t="shared" si="89"/>
        <v>0</v>
      </c>
      <c r="P108" s="62">
        <f t="shared" si="89"/>
        <v>-132131.41174679142</v>
      </c>
      <c r="Q108" s="62">
        <f t="shared" si="89"/>
        <v>-28596.945558784064</v>
      </c>
      <c r="R108" s="62">
        <f t="shared" si="89"/>
        <v>7016.5761212290981</v>
      </c>
      <c r="S108" s="16"/>
      <c r="T108" s="16"/>
      <c r="U108" s="16"/>
      <c r="V108" s="16"/>
      <c r="W108" s="16"/>
    </row>
    <row r="109" spans="1:23" x14ac:dyDescent="0.3">
      <c r="A109" s="46" t="s">
        <v>66</v>
      </c>
      <c r="B109" s="58">
        <f t="shared" si="88"/>
        <v>0</v>
      </c>
      <c r="C109" s="127">
        <f t="shared" si="88"/>
        <v>0</v>
      </c>
      <c r="D109" s="58">
        <f t="shared" si="88"/>
        <v>0</v>
      </c>
      <c r="E109" s="58">
        <f t="shared" si="88"/>
        <v>0</v>
      </c>
      <c r="F109" s="58">
        <f t="shared" si="88"/>
        <v>43285.932697525102</v>
      </c>
      <c r="G109" s="58"/>
      <c r="H109" s="58">
        <f t="shared" ref="H109:R109" si="90">$B$86*H24</f>
        <v>118500</v>
      </c>
      <c r="I109" s="58">
        <f t="shared" si="90"/>
        <v>0</v>
      </c>
      <c r="J109" s="62">
        <f t="shared" si="90"/>
        <v>0</v>
      </c>
      <c r="K109" s="62">
        <f t="shared" si="90"/>
        <v>0</v>
      </c>
      <c r="L109" s="62">
        <f t="shared" si="90"/>
        <v>58626.923850950654</v>
      </c>
      <c r="M109" s="62">
        <f t="shared" si="90"/>
        <v>56301.437870343419</v>
      </c>
      <c r="N109" s="62">
        <f t="shared" si="90"/>
        <v>0</v>
      </c>
      <c r="O109" s="62">
        <f t="shared" si="90"/>
        <v>0</v>
      </c>
      <c r="P109" s="62">
        <f t="shared" si="90"/>
        <v>-143623.29529172723</v>
      </c>
      <c r="Q109" s="62">
        <f t="shared" si="90"/>
        <v>-34530.745576693298</v>
      </c>
      <c r="R109" s="62">
        <f t="shared" si="90"/>
        <v>6586.3203206835724</v>
      </c>
      <c r="S109" s="16"/>
      <c r="T109" s="16"/>
      <c r="U109" s="16"/>
      <c r="V109" s="16"/>
      <c r="W109" s="16"/>
    </row>
    <row r="110" spans="1:23" x14ac:dyDescent="0.3">
      <c r="A110" s="46" t="s">
        <v>67</v>
      </c>
      <c r="B110" s="58">
        <f t="shared" si="88"/>
        <v>0</v>
      </c>
      <c r="C110" s="127">
        <f t="shared" si="88"/>
        <v>0</v>
      </c>
      <c r="D110" s="58">
        <f t="shared" si="88"/>
        <v>0</v>
      </c>
      <c r="E110" s="58">
        <f t="shared" si="88"/>
        <v>0</v>
      </c>
      <c r="F110" s="58">
        <f t="shared" si="88"/>
        <v>43285.932697525102</v>
      </c>
      <c r="G110" s="58"/>
      <c r="H110" s="58">
        <f t="shared" ref="H110:R110" si="91">$B$86*H25</f>
        <v>118500</v>
      </c>
      <c r="I110" s="58">
        <f t="shared" si="91"/>
        <v>0</v>
      </c>
      <c r="J110" s="62">
        <f t="shared" si="91"/>
        <v>0</v>
      </c>
      <c r="K110" s="62">
        <f t="shared" si="91"/>
        <v>0</v>
      </c>
      <c r="L110" s="62">
        <f t="shared" si="91"/>
        <v>58333.78923169589</v>
      </c>
      <c r="M110" s="62">
        <f t="shared" si="91"/>
        <v>17226.829090902862</v>
      </c>
      <c r="N110" s="62">
        <f t="shared" si="91"/>
        <v>0</v>
      </c>
      <c r="O110" s="62">
        <f t="shared" si="91"/>
        <v>0</v>
      </c>
      <c r="P110" s="62">
        <f t="shared" si="91"/>
        <v>-155345.01650756176</v>
      </c>
      <c r="Q110" s="62">
        <f t="shared" si="91"/>
        <v>-40525.420687223974</v>
      </c>
      <c r="R110" s="62">
        <f t="shared" si="91"/>
        <v>6152.3277226336786</v>
      </c>
      <c r="S110" s="16"/>
      <c r="T110" s="16"/>
      <c r="U110" s="16"/>
      <c r="V110" s="16"/>
      <c r="W110" s="16"/>
    </row>
  </sheetData>
  <printOptions horizontalCentered="1" verticalCentered="1"/>
  <pageMargins left="0.25" right="0.25" top="0.75" bottom="0.75" header="0.3" footer="0.3"/>
  <pageSetup scale="19" orientation="landscape" r:id="rId1"/>
  <headerFooter>
    <oddHeader>&amp;A</oddHeader>
  </headerFooter>
  <rowBreaks count="3" manualBreakCount="3">
    <brk id="27" max="16383" man="1"/>
    <brk id="56" max="16383" man="1"/>
    <brk id="84"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233EB-9DBC-4695-9D0C-3BB29D8C66BB}">
  <dimension ref="A1:W110"/>
  <sheetViews>
    <sheetView zoomScaleNormal="100" workbookViewId="0"/>
  </sheetViews>
  <sheetFormatPr defaultRowHeight="14.4" x14ac:dyDescent="0.3"/>
  <cols>
    <col min="1" max="1" width="17.44140625" bestFit="1" customWidth="1"/>
    <col min="2" max="2" width="16.88671875" bestFit="1" customWidth="1"/>
    <col min="3" max="3" width="16.77734375" bestFit="1" customWidth="1"/>
    <col min="4" max="4" width="16.44140625" bestFit="1" customWidth="1"/>
    <col min="5" max="5" width="12.77734375" bestFit="1" customWidth="1"/>
    <col min="6" max="6" width="14.77734375" bestFit="1" customWidth="1"/>
    <col min="7" max="7" width="16.44140625" bestFit="1" customWidth="1"/>
    <col min="8" max="8" width="12.77734375" bestFit="1" customWidth="1"/>
    <col min="9" max="9" width="29" bestFit="1" customWidth="1"/>
    <col min="10" max="10" width="17.5546875" bestFit="1" customWidth="1"/>
    <col min="11" max="11" width="24" bestFit="1" customWidth="1"/>
    <col min="12" max="12" width="36" bestFit="1" customWidth="1"/>
    <col min="13" max="13" width="19.6640625" bestFit="1" customWidth="1"/>
    <col min="14" max="14" width="45.109375" bestFit="1" customWidth="1"/>
    <col min="15" max="15" width="32.44140625" bestFit="1" customWidth="1"/>
    <col min="16" max="16" width="14.77734375" bestFit="1" customWidth="1"/>
    <col min="17" max="17" width="15.5546875" bestFit="1" customWidth="1"/>
    <col min="18" max="18" width="14.21875" bestFit="1" customWidth="1"/>
    <col min="19" max="19" width="19.44140625" bestFit="1" customWidth="1"/>
    <col min="20" max="20" width="14" bestFit="1" customWidth="1"/>
    <col min="21" max="21" width="15.77734375" bestFit="1" customWidth="1"/>
    <col min="22" max="22" width="16.109375" bestFit="1" customWidth="1"/>
    <col min="23" max="23" width="17.21875" bestFit="1" customWidth="1"/>
    <col min="24" max="24" width="11.77734375" bestFit="1" customWidth="1"/>
    <col min="25" max="26" width="13.21875" bestFit="1" customWidth="1"/>
    <col min="27" max="28" width="11.77734375" bestFit="1" customWidth="1"/>
  </cols>
  <sheetData>
    <row r="1" spans="1:23" x14ac:dyDescent="0.3">
      <c r="A1" s="125" t="s">
        <v>132</v>
      </c>
    </row>
    <row r="2" spans="1:23" ht="57.6" x14ac:dyDescent="0.3">
      <c r="A2" s="53" t="s">
        <v>43</v>
      </c>
      <c r="B2" s="53" t="s">
        <v>125</v>
      </c>
      <c r="C2" s="53" t="s">
        <v>116</v>
      </c>
      <c r="D2" s="53" t="s">
        <v>117</v>
      </c>
      <c r="E2" s="53" t="s">
        <v>118</v>
      </c>
      <c r="F2" s="53" t="s">
        <v>275</v>
      </c>
      <c r="G2" s="53" t="s">
        <v>44</v>
      </c>
      <c r="H2" s="53" t="s">
        <v>119</v>
      </c>
      <c r="I2" s="53" t="s">
        <v>126</v>
      </c>
      <c r="J2" s="53" t="s">
        <v>6</v>
      </c>
      <c r="K2" s="53" t="s">
        <v>12</v>
      </c>
      <c r="L2" s="53" t="s">
        <v>21</v>
      </c>
      <c r="M2" s="53" t="s">
        <v>25</v>
      </c>
      <c r="N2" s="53" t="s">
        <v>29</v>
      </c>
      <c r="O2" s="53" t="s">
        <v>33</v>
      </c>
      <c r="P2" s="53" t="s">
        <v>40</v>
      </c>
      <c r="Q2" s="53" t="s">
        <v>41</v>
      </c>
      <c r="R2" s="53" t="s">
        <v>42</v>
      </c>
      <c r="S2" s="54" t="s">
        <v>131</v>
      </c>
      <c r="T2" s="54" t="s">
        <v>128</v>
      </c>
      <c r="U2" s="54" t="s">
        <v>122</v>
      </c>
      <c r="V2" s="53" t="s">
        <v>123</v>
      </c>
      <c r="W2" s="53" t="s">
        <v>124</v>
      </c>
    </row>
    <row r="3" spans="1:23" x14ac:dyDescent="0.3">
      <c r="A3" s="46" t="s">
        <v>45</v>
      </c>
      <c r="B3" s="127">
        <f>'RPS Spend Model'!B3</f>
        <v>138157520.02999988</v>
      </c>
      <c r="C3" s="127">
        <f>'RPS Spend Model'!C3</f>
        <v>61618522.018500008</v>
      </c>
      <c r="D3" s="127">
        <f>'RPS Spend Model'!D3</f>
        <v>33495698.546500009</v>
      </c>
      <c r="E3" s="58">
        <f>'RPS Spend Model'!E3</f>
        <v>30848359.600711424</v>
      </c>
      <c r="F3" s="58">
        <f>'RPS Spend Model'!F3</f>
        <v>6757080.0219020871</v>
      </c>
      <c r="G3" s="58">
        <f>'RPS Spend Model'!G3</f>
        <v>0</v>
      </c>
      <c r="H3" s="58">
        <f>'RPS Spend Model'!H3</f>
        <v>11261800.036503479</v>
      </c>
      <c r="I3" s="58">
        <f>'RPS Spend Model'!J3</f>
        <v>0</v>
      </c>
      <c r="J3" s="62"/>
      <c r="K3" s="62"/>
      <c r="L3" s="62"/>
      <c r="M3" s="62"/>
      <c r="N3" s="62"/>
      <c r="O3" s="62"/>
      <c r="P3" s="62"/>
      <c r="Q3" s="62"/>
      <c r="R3" s="62"/>
      <c r="S3" s="16">
        <f>'Collections and ACP'!E158+'Collections and ACP'!E155</f>
        <v>460710682.26743871</v>
      </c>
      <c r="T3" s="16">
        <f>'Collections and ACP'!H111</f>
        <v>225236000.73006958</v>
      </c>
      <c r="U3" s="16">
        <f t="shared" ref="U3:U21" si="0">S3+T3</f>
        <v>685946682.99750829</v>
      </c>
      <c r="V3" s="16">
        <f t="shared" ref="V3:V21" si="1">SUM(B3:R3)</f>
        <v>282138980.25411689</v>
      </c>
      <c r="W3" s="16">
        <f t="shared" ref="W3:W21" si="2">U3-V3</f>
        <v>403807702.74339139</v>
      </c>
    </row>
    <row r="4" spans="1:23" x14ac:dyDescent="0.3">
      <c r="A4" s="46" t="s">
        <v>46</v>
      </c>
      <c r="B4" s="127">
        <f>'RPS Spend Model'!B4</f>
        <v>38051984.68000003</v>
      </c>
      <c r="C4" s="127">
        <f>'RPS Spend Model'!C4</f>
        <v>66127610.762499928</v>
      </c>
      <c r="D4" s="127">
        <f>'RPS Spend Model'!D4</f>
        <v>117265055.35150005</v>
      </c>
      <c r="E4" s="58">
        <f>'RPS Spend Model'!E4</f>
        <v>24142255.383493654</v>
      </c>
      <c r="F4" s="58">
        <f>'RPS Spend Model'!F4</f>
        <v>13942135.092404015</v>
      </c>
      <c r="G4" s="58">
        <f>'RPS Spend Model'!G4</f>
        <v>10000000</v>
      </c>
      <c r="H4" s="58">
        <f>'RPS Spend Model'!H4</f>
        <v>50000000</v>
      </c>
      <c r="I4" s="58">
        <f>'RPS Spend Model'!J4</f>
        <v>0</v>
      </c>
      <c r="J4" s="62"/>
      <c r="K4" s="62"/>
      <c r="L4" s="62"/>
      <c r="M4" s="62"/>
      <c r="N4" s="62"/>
      <c r="O4" s="62"/>
      <c r="P4" s="62"/>
      <c r="Q4" s="62"/>
      <c r="R4" s="62"/>
      <c r="S4" s="16">
        <f t="shared" ref="S4:S21" si="3">W3</f>
        <v>403807702.74339139</v>
      </c>
      <c r="T4" s="16">
        <f>'Collections and ACP'!H112</f>
        <v>464737836.41346717</v>
      </c>
      <c r="U4" s="16">
        <f t="shared" si="0"/>
        <v>868545539.15685856</v>
      </c>
      <c r="V4" s="16">
        <f t="shared" si="1"/>
        <v>319529041.2698977</v>
      </c>
      <c r="W4" s="16">
        <f t="shared" si="2"/>
        <v>549016497.88696086</v>
      </c>
    </row>
    <row r="5" spans="1:23" x14ac:dyDescent="0.3">
      <c r="A5" s="46" t="s">
        <v>47</v>
      </c>
      <c r="B5" s="127">
        <f>'RPS Spend Model'!B5</f>
        <v>4865292.2499999972</v>
      </c>
      <c r="C5" s="127">
        <f>'RPS Spend Model'!C5</f>
        <v>65210004.015499882</v>
      </c>
      <c r="D5" s="127">
        <f>'RPS Spend Model'!D5</f>
        <v>110152969.75599998</v>
      </c>
      <c r="E5" s="58">
        <f>'RPS Spend Model'!E5</f>
        <v>22062344.595163539</v>
      </c>
      <c r="F5" s="58">
        <f>'RPS Spend Model'!F5</f>
        <v>17623889.827927504</v>
      </c>
      <c r="G5" s="58">
        <f>'RPS Spend Model'!G5</f>
        <v>0</v>
      </c>
      <c r="H5" s="58">
        <f>'RPS Spend Model'!H5</f>
        <v>50000000</v>
      </c>
      <c r="I5" s="58">
        <f>'RPS Spend Model'!J5</f>
        <v>335733555.14188653</v>
      </c>
      <c r="J5" s="62">
        <f>'Total REC Spend Activities'!B300</f>
        <v>0</v>
      </c>
      <c r="K5" s="62">
        <f>'Total REC Spend Activities'!B301</f>
        <v>0</v>
      </c>
      <c r="L5" s="62">
        <f>'Total REC Spend Activities'!B302</f>
        <v>0</v>
      </c>
      <c r="M5" s="62">
        <f>'Total REC Spend Activities'!B303</f>
        <v>0</v>
      </c>
      <c r="N5" s="62">
        <f>'Total REC Spend Activities'!B304</f>
        <v>0</v>
      </c>
      <c r="O5" s="62">
        <f>'Total REC Spend Activities'!B305</f>
        <v>0</v>
      </c>
      <c r="P5" s="62">
        <f>'Total REC Spend Activities'!B306</f>
        <v>0</v>
      </c>
      <c r="Q5" s="62">
        <f>'Total REC Spend Activities'!B307</f>
        <v>0</v>
      </c>
      <c r="R5" s="62">
        <f>'Total REC Spend Activities'!B308</f>
        <v>0</v>
      </c>
      <c r="S5" s="16">
        <f t="shared" si="3"/>
        <v>549016497.88696086</v>
      </c>
      <c r="T5" s="16">
        <f>'Collections and ACP'!H113</f>
        <v>587462994.26425016</v>
      </c>
      <c r="U5" s="16">
        <f t="shared" si="0"/>
        <v>1136479492.151211</v>
      </c>
      <c r="V5" s="16">
        <f t="shared" si="1"/>
        <v>605648055.58647752</v>
      </c>
      <c r="W5" s="16">
        <f t="shared" si="2"/>
        <v>530831436.56473351</v>
      </c>
    </row>
    <row r="6" spans="1:23" x14ac:dyDescent="0.3">
      <c r="A6" s="46" t="s">
        <v>48</v>
      </c>
      <c r="B6" s="127">
        <f>'RPS Spend Model'!B6</f>
        <v>0</v>
      </c>
      <c r="C6" s="127">
        <f>'RPS Spend Model'!C6</f>
        <v>58693888.428999938</v>
      </c>
      <c r="D6" s="127">
        <f>'RPS Spend Model'!D6</f>
        <v>105861890.434</v>
      </c>
      <c r="E6" s="58">
        <f>'RPS Spend Model'!E6</f>
        <v>17721007.415898785</v>
      </c>
      <c r="F6" s="58">
        <f>'RPS Spend Model'!F6</f>
        <v>17669653.536230855</v>
      </c>
      <c r="G6" s="58">
        <f>'RPS Spend Model'!G6</f>
        <v>0</v>
      </c>
      <c r="H6" s="58">
        <f>'RPS Spend Model'!H6</f>
        <v>50000000</v>
      </c>
      <c r="I6" s="58">
        <f>'RPS Spend Model'!J6</f>
        <v>153483990.97419566</v>
      </c>
      <c r="J6" s="62">
        <f>'Total REC Spend Activities'!C300</f>
        <v>0</v>
      </c>
      <c r="K6" s="62">
        <f>'Total REC Spend Activities'!C301</f>
        <v>0</v>
      </c>
      <c r="L6" s="62">
        <f>'Total REC Spend Activities'!C302</f>
        <v>0</v>
      </c>
      <c r="M6" s="62">
        <f>'Total REC Spend Activities'!C303</f>
        <v>0</v>
      </c>
      <c r="N6" s="62">
        <f>'Total REC Spend Activities'!C304</f>
        <v>0</v>
      </c>
      <c r="O6" s="62">
        <f>'Total REC Spend Activities'!C305</f>
        <v>0</v>
      </c>
      <c r="P6" s="62">
        <f>'Total REC Spend Activities'!C306</f>
        <v>0</v>
      </c>
      <c r="Q6" s="62">
        <f>'Total REC Spend Activities'!C307</f>
        <v>0</v>
      </c>
      <c r="R6" s="62">
        <f>'Total REC Spend Activities'!C308</f>
        <v>0</v>
      </c>
      <c r="S6" s="16">
        <f t="shared" si="3"/>
        <v>530831436.56473351</v>
      </c>
      <c r="T6" s="16">
        <f>'Collections and ACP'!H114</f>
        <v>588988451.20769513</v>
      </c>
      <c r="U6" s="16">
        <f t="shared" si="0"/>
        <v>1119819887.7724285</v>
      </c>
      <c r="V6" s="16">
        <f t="shared" si="1"/>
        <v>403430430.78932524</v>
      </c>
      <c r="W6" s="16">
        <f t="shared" si="2"/>
        <v>716389456.98310328</v>
      </c>
    </row>
    <row r="7" spans="1:23" x14ac:dyDescent="0.3">
      <c r="A7" s="46" t="s">
        <v>49</v>
      </c>
      <c r="B7" s="127">
        <f>'RPS Spend Model'!B7</f>
        <v>0</v>
      </c>
      <c r="C7" s="127">
        <f>'RPS Spend Model'!C7</f>
        <v>36572278.007499956</v>
      </c>
      <c r="D7" s="127">
        <f>'RPS Spend Model'!D7</f>
        <v>102090739.27549998</v>
      </c>
      <c r="E7" s="58">
        <f>'RPS Spend Model'!E7</f>
        <v>17421541.685608782</v>
      </c>
      <c r="F7" s="58">
        <f>'RPS Spend Model'!F7</f>
        <v>17613455.167095877</v>
      </c>
      <c r="G7" s="58">
        <f>'RPS Spend Model'!G7</f>
        <v>10000000</v>
      </c>
      <c r="H7" s="58">
        <f>'RPS Spend Model'!H7</f>
        <v>50000000</v>
      </c>
      <c r="I7" s="58">
        <f>'RPS Spend Model'!J7</f>
        <v>147344631.33522782</v>
      </c>
      <c r="J7" s="62">
        <f>'Total REC Spend Activities'!D300</f>
        <v>147344631.33522782</v>
      </c>
      <c r="K7" s="62">
        <f>'Total REC Spend Activities'!D301</f>
        <v>15811095.753424857</v>
      </c>
      <c r="L7" s="62">
        <f>'Total REC Spend Activities'!D302</f>
        <v>0</v>
      </c>
      <c r="M7" s="62">
        <f>'Total REC Spend Activities'!D303</f>
        <v>7675199.9434157629</v>
      </c>
      <c r="N7" s="62">
        <f>'Total REC Spend Activities'!D304</f>
        <v>0</v>
      </c>
      <c r="O7" s="62">
        <f>'Total REC Spend Activities'!D305</f>
        <v>7905547.8767124284</v>
      </c>
      <c r="P7" s="62">
        <f>'Total REC Spend Activities'!D306</f>
        <v>0</v>
      </c>
      <c r="Q7" s="62">
        <f>'Total REC Spend Activities'!D307</f>
        <v>0</v>
      </c>
      <c r="R7" s="62">
        <f>'Total REC Spend Activities'!D308</f>
        <v>0</v>
      </c>
      <c r="S7" s="16">
        <f t="shared" si="3"/>
        <v>716389456.98310328</v>
      </c>
      <c r="T7" s="16">
        <f>'Collections and ACP'!H115</f>
        <v>587115172.23652923</v>
      </c>
      <c r="U7" s="16">
        <f t="shared" si="0"/>
        <v>1303504629.2196326</v>
      </c>
      <c r="V7" s="16">
        <f t="shared" si="1"/>
        <v>559779120.3797133</v>
      </c>
      <c r="W7" s="16">
        <f t="shared" si="2"/>
        <v>743725508.83991933</v>
      </c>
    </row>
    <row r="8" spans="1:23" x14ac:dyDescent="0.3">
      <c r="A8" s="46" t="s">
        <v>50</v>
      </c>
      <c r="B8" s="127">
        <f>'RPS Spend Model'!B8</f>
        <v>0</v>
      </c>
      <c r="C8" s="127">
        <f>'RPS Spend Model'!C8</f>
        <v>10460946.729500012</v>
      </c>
      <c r="D8" s="127">
        <f>'RPS Spend Model'!D8</f>
        <v>55607397.162500009</v>
      </c>
      <c r="E8" s="58">
        <f>'RPS Spend Model'!E8</f>
        <v>11401431.694168944</v>
      </c>
      <c r="F8" s="58">
        <f>'RPS Spend Model'!F8</f>
        <v>17553355.712971777</v>
      </c>
      <c r="G8" s="58">
        <f>'RPS Spend Model'!G8</f>
        <v>0</v>
      </c>
      <c r="H8" s="58">
        <f>'RPS Spend Model'!H8</f>
        <v>50000000</v>
      </c>
      <c r="I8" s="58">
        <f>'RPS Spend Model'!J8</f>
        <v>141450846.0818187</v>
      </c>
      <c r="J8" s="62">
        <f>'Total REC Spend Activities'!E300</f>
        <v>141450846.0818187</v>
      </c>
      <c r="K8" s="62">
        <f>'Total REC Spend Activities'!E301</f>
        <v>30111353.468189117</v>
      </c>
      <c r="L8" s="62">
        <f>'Total REC Spend Activities'!E302</f>
        <v>13581238.386041543</v>
      </c>
      <c r="M8" s="62">
        <f>'Total REC Spend Activities'!E303</f>
        <v>15005015.889377816</v>
      </c>
      <c r="N8" s="62">
        <f>'Total REC Spend Activities'!E304</f>
        <v>6212021.7949186526</v>
      </c>
      <c r="O8" s="62">
        <f>'Total REC Spend Activities'!E305</f>
        <v>15055676.734094558</v>
      </c>
      <c r="P8" s="62">
        <f>'Total REC Spend Activities'!E306</f>
        <v>0</v>
      </c>
      <c r="Q8" s="62">
        <f>'Total REC Spend Activities'!E307</f>
        <v>0</v>
      </c>
      <c r="R8" s="62">
        <f>'Total REC Spend Activities'!E308</f>
        <v>0</v>
      </c>
      <c r="S8" s="16">
        <f t="shared" si="3"/>
        <v>743725508.83991933</v>
      </c>
      <c r="T8" s="16">
        <f>'Collections and ACP'!H116</f>
        <v>585111857.09905922</v>
      </c>
      <c r="U8" s="16">
        <f t="shared" si="0"/>
        <v>1328837365.9389787</v>
      </c>
      <c r="V8" s="16">
        <f t="shared" si="1"/>
        <v>507890129.73539984</v>
      </c>
      <c r="W8" s="16">
        <f t="shared" si="2"/>
        <v>820947236.20357883</v>
      </c>
    </row>
    <row r="9" spans="1:23" x14ac:dyDescent="0.3">
      <c r="A9" s="46" t="s">
        <v>51</v>
      </c>
      <c r="B9" s="127">
        <f>'RPS Spend Model'!B9</f>
        <v>0</v>
      </c>
      <c r="C9" s="127">
        <f>'RPS Spend Model'!C9</f>
        <v>1025918.7404999998</v>
      </c>
      <c r="D9" s="127">
        <f>'RPS Spend Model'!D9</f>
        <v>4537518.8360000001</v>
      </c>
      <c r="E9" s="58">
        <f>'RPS Spend Model'!E9</f>
        <v>8215431.7104763286</v>
      </c>
      <c r="F9" s="58">
        <f>'RPS Spend Model'!F9</f>
        <v>17572700.474246584</v>
      </c>
      <c r="G9" s="58">
        <f>'RPS Spend Model'!G9</f>
        <v>0</v>
      </c>
      <c r="H9" s="58">
        <f>'RPS Spend Model'!H9</f>
        <v>50000000</v>
      </c>
      <c r="I9" s="58">
        <f>'RPS Spend Model'!J9</f>
        <v>135792812.23854595</v>
      </c>
      <c r="J9" s="62">
        <f>'Total REC Spend Activities'!F300</f>
        <v>135792812.23854595</v>
      </c>
      <c r="K9" s="62">
        <f>'Total REC Spend Activities'!F301</f>
        <v>43839600.874362804</v>
      </c>
      <c r="L9" s="62">
        <f>'Total REC Spend Activities'!F302</f>
        <v>26551321.044711217</v>
      </c>
      <c r="M9" s="62">
        <f>'Total REC Spend Activities'!F303</f>
        <v>22003455.077782892</v>
      </c>
      <c r="N9" s="62">
        <f>'Total REC Spend Activities'!F304</f>
        <v>11830450.396100633</v>
      </c>
      <c r="O9" s="62">
        <f>'Total REC Spend Activities'!F305</f>
        <v>21919800.437181402</v>
      </c>
      <c r="P9" s="62">
        <f>'Total REC Spend Activities'!F306</f>
        <v>0</v>
      </c>
      <c r="Q9" s="62">
        <f>'Total REC Spend Activities'!F307</f>
        <v>0</v>
      </c>
      <c r="R9" s="62">
        <f>'Total REC Spend Activities'!F308</f>
        <v>0</v>
      </c>
      <c r="S9" s="16">
        <f t="shared" si="3"/>
        <v>820947236.20357883</v>
      </c>
      <c r="T9" s="16">
        <f>'Collections and ACP'!H117</f>
        <v>585756682.47488618</v>
      </c>
      <c r="U9" s="16">
        <f t="shared" si="0"/>
        <v>1406703918.6784649</v>
      </c>
      <c r="V9" s="16">
        <f t="shared" si="1"/>
        <v>479081822.06845379</v>
      </c>
      <c r="W9" s="16">
        <f t="shared" si="2"/>
        <v>927622096.6100111</v>
      </c>
    </row>
    <row r="10" spans="1:23" x14ac:dyDescent="0.3">
      <c r="A10" s="46" t="s">
        <v>52</v>
      </c>
      <c r="B10" s="127">
        <f>'RPS Spend Model'!B10</f>
        <v>0</v>
      </c>
      <c r="C10" s="127">
        <f>'RPS Spend Model'!C10</f>
        <v>0</v>
      </c>
      <c r="D10" s="127">
        <f>'RPS Spend Model'!D10</f>
        <v>0</v>
      </c>
      <c r="E10" s="58">
        <f>'RPS Spend Model'!E10</f>
        <v>4480482.7749063233</v>
      </c>
      <c r="F10" s="58">
        <f>'RPS Spend Model'!F10</f>
        <v>17625423.170190223</v>
      </c>
      <c r="G10" s="58">
        <f>'RPS Spend Model'!G10</f>
        <v>10000000</v>
      </c>
      <c r="H10" s="58">
        <f>'RPS Spend Model'!H10</f>
        <v>50000000</v>
      </c>
      <c r="I10" s="58">
        <f>'RPS Spend Model'!J10</f>
        <v>130361099.74900411</v>
      </c>
      <c r="J10" s="62">
        <f>'Total REC Spend Activities'!G300</f>
        <v>130361099.74900411</v>
      </c>
      <c r="K10" s="62">
        <f>'Total REC Spend Activities'!G301</f>
        <v>57018718.384289548</v>
      </c>
      <c r="L10" s="62">
        <f>'Total REC Spend Activities'!G302</f>
        <v>38935033.73606354</v>
      </c>
      <c r="M10" s="62">
        <f>'Total REC Spend Activities'!G303</f>
        <v>28683963.499531869</v>
      </c>
      <c r="N10" s="62">
        <f>'Total REC Spend Activities'!G304</f>
        <v>17224141.853235334</v>
      </c>
      <c r="O10" s="62">
        <f>'Total REC Spend Activities'!G305</f>
        <v>28509359.192144774</v>
      </c>
      <c r="P10" s="62">
        <f>'Total REC Spend Activities'!G306</f>
        <v>1468041.8283999828</v>
      </c>
      <c r="Q10" s="62">
        <f>'Total REC Spend Activities'!G307</f>
        <v>11062081.044799989</v>
      </c>
      <c r="R10" s="62">
        <f>'Total REC Spend Activities'!G308</f>
        <v>2778807.2679119995</v>
      </c>
      <c r="S10" s="16">
        <f t="shared" si="3"/>
        <v>927622096.6100111</v>
      </c>
      <c r="T10" s="16">
        <f>'Collections and ACP'!H118</f>
        <v>587514105.67300749</v>
      </c>
      <c r="U10" s="16">
        <f t="shared" si="0"/>
        <v>1515136202.2830186</v>
      </c>
      <c r="V10" s="16">
        <f t="shared" si="1"/>
        <v>528508252.24948174</v>
      </c>
      <c r="W10" s="16">
        <f t="shared" si="2"/>
        <v>986627950.03353691</v>
      </c>
    </row>
    <row r="11" spans="1:23" x14ac:dyDescent="0.3">
      <c r="A11" s="46" t="s">
        <v>53</v>
      </c>
      <c r="B11" s="127">
        <f>'RPS Spend Model'!B11</f>
        <v>0</v>
      </c>
      <c r="C11" s="127">
        <f>'RPS Spend Model'!C11</f>
        <v>0</v>
      </c>
      <c r="D11" s="127">
        <f>'RPS Spend Model'!D11</f>
        <v>0</v>
      </c>
      <c r="E11" s="58">
        <f>'RPS Spend Model'!E11</f>
        <v>4478132.259204451</v>
      </c>
      <c r="F11" s="58">
        <f>'RPS Spend Model'!F11</f>
        <v>17711714.835542694</v>
      </c>
      <c r="G11" s="58">
        <f>'RPS Spend Model'!G11</f>
        <v>0</v>
      </c>
      <c r="H11" s="58">
        <f>'RPS Spend Model'!H11</f>
        <v>50000000</v>
      </c>
      <c r="I11" s="58">
        <f>'RPS Spend Model'!J11</f>
        <v>125146655.75904395</v>
      </c>
      <c r="J11" s="62">
        <f>'Total REC Spend Activities'!H300</f>
        <v>125146655.75904395</v>
      </c>
      <c r="K11" s="62">
        <f>'Total REC Spend Activities'!H301</f>
        <v>69670671.193819225</v>
      </c>
      <c r="L11" s="62">
        <f>'Total REC Spend Activities'!H302</f>
        <v>50756169.092096075</v>
      </c>
      <c r="M11" s="62">
        <f>'Total REC Spend Activities'!H303</f>
        <v>35059448.351286575</v>
      </c>
      <c r="N11" s="62">
        <f>'Total REC Spend Activities'!H304</f>
        <v>22402085.652084645</v>
      </c>
      <c r="O11" s="62">
        <f>'Total REC Spend Activities'!H305</f>
        <v>34835335.596909612</v>
      </c>
      <c r="P11" s="62">
        <f>'Total REC Spend Activities'!H306</f>
        <v>1628421.3292079705</v>
      </c>
      <c r="Q11" s="62">
        <f>'Total REC Spend Activities'!H307</f>
        <v>32408412.383759506</v>
      </c>
      <c r="R11" s="62">
        <f>'Total REC Spend Activities'!H308</f>
        <v>8137126.8316158867</v>
      </c>
      <c r="S11" s="16">
        <f t="shared" si="3"/>
        <v>986627950.03353691</v>
      </c>
      <c r="T11" s="16">
        <f>'Collections and ACP'!H119</f>
        <v>590390494.51808977</v>
      </c>
      <c r="U11" s="16">
        <f t="shared" si="0"/>
        <v>1577018444.5516267</v>
      </c>
      <c r="V11" s="16">
        <f t="shared" si="1"/>
        <v>577380829.04361463</v>
      </c>
      <c r="W11" s="16">
        <f t="shared" si="2"/>
        <v>999637615.50801206</v>
      </c>
    </row>
    <row r="12" spans="1:23" x14ac:dyDescent="0.3">
      <c r="A12" s="46" t="s">
        <v>54</v>
      </c>
      <c r="B12" s="127">
        <f>'RPS Spend Model'!B12</f>
        <v>0</v>
      </c>
      <c r="C12" s="127">
        <f>'RPS Spend Model'!C12</f>
        <v>0</v>
      </c>
      <c r="D12" s="127">
        <f>'RPS Spend Model'!D12</f>
        <v>0</v>
      </c>
      <c r="E12" s="58">
        <f>'RPS Spend Model'!E12</f>
        <v>4338008.6485485407</v>
      </c>
      <c r="F12" s="58">
        <f>'RPS Spend Model'!F12</f>
        <v>17733678.133388445</v>
      </c>
      <c r="G12" s="58">
        <f>'RPS Spend Model'!G12</f>
        <v>0</v>
      </c>
      <c r="H12" s="58">
        <f>'RPS Spend Model'!H12</f>
        <v>50000000</v>
      </c>
      <c r="I12" s="58">
        <f>'RPS Spend Model'!J12</f>
        <v>120140789.52868219</v>
      </c>
      <c r="J12" s="62">
        <f>'Total REC Spend Activities'!I300</f>
        <v>120140789.52868219</v>
      </c>
      <c r="K12" s="62">
        <f>'Total REC Spend Activities'!I301</f>
        <v>81816545.890967697</v>
      </c>
      <c r="L12" s="62">
        <f>'Total REC Spend Activities'!I302</f>
        <v>62037566.350359932</v>
      </c>
      <c r="M12" s="62">
        <f>'Total REC Spend Activities'!I303</f>
        <v>41142299.592012428</v>
      </c>
      <c r="N12" s="62">
        <f>'Total REC Spend Activities'!I304</f>
        <v>27372911.698979985</v>
      </c>
      <c r="O12" s="62">
        <f>'Total REC Spend Activities'!I305</f>
        <v>40908272.945483848</v>
      </c>
      <c r="P12" s="62">
        <f>'Total REC Spend Activities'!I306</f>
        <v>-1095820.4466830776</v>
      </c>
      <c r="Q12" s="62">
        <f>'Total REC Spend Activities'!I307</f>
        <v>51859960.612487435</v>
      </c>
      <c r="R12" s="62">
        <f>'Total REC Spend Activities'!I308</f>
        <v>13453223.262921585</v>
      </c>
      <c r="S12" s="16">
        <f t="shared" si="3"/>
        <v>999637615.50801206</v>
      </c>
      <c r="T12" s="16">
        <f>'Collections and ACP'!H120</f>
        <v>591122604.44628155</v>
      </c>
      <c r="U12" s="16">
        <f t="shared" si="0"/>
        <v>1590760219.9542937</v>
      </c>
      <c r="V12" s="16">
        <f t="shared" si="1"/>
        <v>629848225.74583113</v>
      </c>
      <c r="W12" s="16">
        <f t="shared" si="2"/>
        <v>960911994.2084626</v>
      </c>
    </row>
    <row r="13" spans="1:23" x14ac:dyDescent="0.3">
      <c r="A13" s="46" t="s">
        <v>55</v>
      </c>
      <c r="B13" s="127">
        <f>'RPS Spend Model'!B13</f>
        <v>0</v>
      </c>
      <c r="C13" s="127">
        <f>'RPS Spend Model'!C13</f>
        <v>0</v>
      </c>
      <c r="D13" s="127">
        <f>'RPS Spend Model'!D13</f>
        <v>0</v>
      </c>
      <c r="E13" s="58">
        <f>'RPS Spend Model'!E13</f>
        <v>4303453.6786395097</v>
      </c>
      <c r="F13" s="58">
        <f>'RPS Spend Model'!F13</f>
        <v>17789447.893524989</v>
      </c>
      <c r="G13" s="58">
        <f>'RPS Spend Model'!G13</f>
        <v>10000000</v>
      </c>
      <c r="H13" s="58">
        <f>'RPS Spend Model'!H13</f>
        <v>50000000</v>
      </c>
      <c r="I13" s="58">
        <f>'RPS Spend Model'!J13</f>
        <v>115335157.94753489</v>
      </c>
      <c r="J13" s="62">
        <f>'Total REC Spend Activities'!J300</f>
        <v>115335157.94753489</v>
      </c>
      <c r="K13" s="62">
        <f>'Total REC Spend Activities'!J301</f>
        <v>93476585.600230247</v>
      </c>
      <c r="L13" s="62">
        <f>'Total REC Spend Activities'!J302</f>
        <v>72801149.498183504</v>
      </c>
      <c r="M13" s="62">
        <f>'Total REC Spend Activities'!J303</f>
        <v>46944410.637235343</v>
      </c>
      <c r="N13" s="62">
        <f>'Total REC Spend Activities'!J304</f>
        <v>32144904.703999512</v>
      </c>
      <c r="O13" s="62">
        <f>'Total REC Spend Activities'!J305</f>
        <v>46738292.800115123</v>
      </c>
      <c r="P13" s="62">
        <f>'Total REC Spend Activities'!J306</f>
        <v>-6869289.8021414578</v>
      </c>
      <c r="Q13" s="62">
        <f>'Total REC Spend Activities'!J307</f>
        <v>69285455.215346515</v>
      </c>
      <c r="R13" s="62">
        <f>'Total REC Spend Activities'!J308</f>
        <v>18718891.434105173</v>
      </c>
      <c r="S13" s="16">
        <f t="shared" si="3"/>
        <v>960911994.2084626</v>
      </c>
      <c r="T13" s="16">
        <f>'Collections and ACP'!H121</f>
        <v>592981596.45083296</v>
      </c>
      <c r="U13" s="16">
        <f t="shared" si="0"/>
        <v>1553893590.6592956</v>
      </c>
      <c r="V13" s="16">
        <f t="shared" si="1"/>
        <v>686003617.55430818</v>
      </c>
      <c r="W13" s="16">
        <f t="shared" si="2"/>
        <v>867889973.10498738</v>
      </c>
    </row>
    <row r="14" spans="1:23" x14ac:dyDescent="0.3">
      <c r="A14" s="46" t="s">
        <v>56</v>
      </c>
      <c r="B14" s="127">
        <f>'RPS Spend Model'!B14</f>
        <v>0</v>
      </c>
      <c r="C14" s="127">
        <f>'RPS Spend Model'!C14</f>
        <v>0</v>
      </c>
      <c r="D14" s="127">
        <f>'RPS Spend Model'!D14</f>
        <v>0</v>
      </c>
      <c r="E14" s="58">
        <f>'RPS Spend Model'!E14</f>
        <v>4261079.6921323007</v>
      </c>
      <c r="F14" s="58">
        <f>'RPS Spend Model'!F14</f>
        <v>17855534.64060219</v>
      </c>
      <c r="G14" s="58">
        <f>'RPS Spend Model'!G14</f>
        <v>0</v>
      </c>
      <c r="H14" s="58">
        <f>'RPS Spend Model'!H14</f>
        <v>50000000</v>
      </c>
      <c r="I14" s="58">
        <f>'RPS Spend Model'!J14</f>
        <v>110721751.62963349</v>
      </c>
      <c r="J14" s="62">
        <f>'Total REC Spend Activities'!K300</f>
        <v>0</v>
      </c>
      <c r="K14" s="62">
        <f>'Total REC Spend Activities'!K301</f>
        <v>77856314.146183297</v>
      </c>
      <c r="L14" s="62">
        <f>'Total REC Spend Activities'!K302</f>
        <v>83067963.891084924</v>
      </c>
      <c r="M14" s="62">
        <f>'Total REC Spend Activities'!K303</f>
        <v>46709688.584049173</v>
      </c>
      <c r="N14" s="62">
        <f>'Total REC Spend Activities'!K304</f>
        <v>36726017.988818258</v>
      </c>
      <c r="O14" s="62">
        <f>'Total REC Spend Activities'!K305</f>
        <v>38928157.073091649</v>
      </c>
      <c r="P14" s="62">
        <f>'Total REC Spend Activities'!K306</f>
        <v>-15860977.543639522</v>
      </c>
      <c r="Q14" s="62">
        <f>'Total REC Spend Activities'!K307</f>
        <v>84550127.46963793</v>
      </c>
      <c r="R14" s="62">
        <f>'Total REC Spend Activities'!K308</f>
        <v>23925707.57429146</v>
      </c>
      <c r="S14" s="16">
        <f t="shared" si="3"/>
        <v>867889973.10498738</v>
      </c>
      <c r="T14" s="16">
        <f>'Collections and ACP'!H122</f>
        <v>595184488.02007306</v>
      </c>
      <c r="U14" s="16">
        <f t="shared" si="0"/>
        <v>1463074461.1250606</v>
      </c>
      <c r="V14" s="16">
        <f t="shared" si="1"/>
        <v>558741365.14588499</v>
      </c>
      <c r="W14" s="16">
        <f t="shared" si="2"/>
        <v>904333095.97917557</v>
      </c>
    </row>
    <row r="15" spans="1:23" x14ac:dyDescent="0.3">
      <c r="A15" s="46" t="s">
        <v>57</v>
      </c>
      <c r="B15" s="127">
        <f>'RPS Spend Model'!B15</f>
        <v>0</v>
      </c>
      <c r="C15" s="127">
        <f>'RPS Spend Model'!C15</f>
        <v>0</v>
      </c>
      <c r="D15" s="127">
        <f>'RPS Spend Model'!D15</f>
        <v>0</v>
      </c>
      <c r="E15" s="58">
        <f>'RPS Spend Model'!E15</f>
        <v>0</v>
      </c>
      <c r="F15" s="58">
        <f>'RPS Spend Model'!F15</f>
        <v>17977997.445554465</v>
      </c>
      <c r="G15" s="58">
        <f>'RPS Spend Model'!G15</f>
        <v>0</v>
      </c>
      <c r="H15" s="58">
        <f>'RPS Spend Model'!H15</f>
        <v>50000000</v>
      </c>
      <c r="I15" s="58">
        <f>'RPS Spend Model'!J15</f>
        <v>106292881.56444815</v>
      </c>
      <c r="J15" s="62">
        <f>'Total REC Spend Activities'!L300</f>
        <v>0</v>
      </c>
      <c r="K15" s="62">
        <f>'Total REC Spend Activities'!L301</f>
        <v>63520920.663078085</v>
      </c>
      <c r="L15" s="62">
        <f>'Total REC Spend Activities'!L302</f>
        <v>82652624.071629494</v>
      </c>
      <c r="M15" s="62">
        <f>'Total REC Spend Activities'!L303</f>
        <v>46476140.141128927</v>
      </c>
      <c r="N15" s="62">
        <f>'Total REC Spend Activities'!L304</f>
        <v>30588969.15752098</v>
      </c>
      <c r="O15" s="62">
        <f>'Total REC Spend Activities'!L305</f>
        <v>31760460.331539042</v>
      </c>
      <c r="P15" s="62">
        <f>'Total REC Spend Activities'!L306</f>
        <v>-28244368.518876631</v>
      </c>
      <c r="Q15" s="62">
        <f>'Total REC Spend Activities'!L307</f>
        <v>97515623.015870154</v>
      </c>
      <c r="R15" s="62">
        <f>'Total REC Spend Activities'!L308</f>
        <v>29065023.804990552</v>
      </c>
      <c r="S15" s="16">
        <f t="shared" si="3"/>
        <v>904333095.97917557</v>
      </c>
      <c r="T15" s="16">
        <f>'Collections and ACP'!H123</f>
        <v>599266581.51848221</v>
      </c>
      <c r="U15" s="16">
        <f t="shared" si="0"/>
        <v>1503599677.4976578</v>
      </c>
      <c r="V15" s="16">
        <f t="shared" si="1"/>
        <v>527606271.67688322</v>
      </c>
      <c r="W15" s="16">
        <f t="shared" si="2"/>
        <v>975993405.82077456</v>
      </c>
    </row>
    <row r="16" spans="1:23" x14ac:dyDescent="0.3">
      <c r="A16" s="46" t="s">
        <v>58</v>
      </c>
      <c r="B16" s="127">
        <f>'RPS Spend Model'!B16</f>
        <v>0</v>
      </c>
      <c r="C16" s="127">
        <f>'RPS Spend Model'!C16</f>
        <v>0</v>
      </c>
      <c r="D16" s="127">
        <f>'RPS Spend Model'!D16</f>
        <v>0</v>
      </c>
      <c r="E16" s="58">
        <f>'RPS Spend Model'!E16</f>
        <v>0</v>
      </c>
      <c r="F16" s="58">
        <f>'RPS Spend Model'!F16</f>
        <v>18007164.753511433</v>
      </c>
      <c r="G16" s="58">
        <f>'RPS Spend Model'!G16</f>
        <v>0</v>
      </c>
      <c r="H16" s="58">
        <f>'RPS Spend Model'!H16</f>
        <v>50000000</v>
      </c>
      <c r="I16" s="58">
        <f>'RPS Spend Model'!J16</f>
        <v>51020583.150935106</v>
      </c>
      <c r="J16" s="62">
        <f>'Total REC Spend Activities'!M300</f>
        <v>0</v>
      </c>
      <c r="K16" s="62">
        <f>'Total REC Spend Activities'!M301</f>
        <v>49758942.919297084</v>
      </c>
      <c r="L16" s="62">
        <f>'Total REC Spend Activities'!M302</f>
        <v>82239360.951271355</v>
      </c>
      <c r="M16" s="62">
        <f>'Total REC Spend Activities'!M303</f>
        <v>46243759.44042328</v>
      </c>
      <c r="N16" s="62">
        <f>'Total REC Spend Activities'!M304</f>
        <v>24956736.063461401</v>
      </c>
      <c r="O16" s="62">
        <f>'Total REC Spend Activities'!M305</f>
        <v>24879471.459648542</v>
      </c>
      <c r="P16" s="62">
        <f>'Total REC Spend Activities'!M306</f>
        <v>-44197553.782105751</v>
      </c>
      <c r="Q16" s="62">
        <f>'Total REC Spend Activities'!M307</f>
        <v>108039912.33007815</v>
      </c>
      <c r="R16" s="62">
        <f>'Total REC Spend Activities'!M308</f>
        <v>34127962.544511065</v>
      </c>
      <c r="S16" s="16">
        <f t="shared" si="3"/>
        <v>975993405.82077456</v>
      </c>
      <c r="T16" s="16">
        <f>'Collections and ACP'!H124</f>
        <v>600238825.11704779</v>
      </c>
      <c r="U16" s="16">
        <f t="shared" si="0"/>
        <v>1576232230.9378223</v>
      </c>
      <c r="V16" s="16">
        <f t="shared" si="1"/>
        <v>445076339.83103168</v>
      </c>
      <c r="W16" s="16">
        <f t="shared" si="2"/>
        <v>1131155891.1067905</v>
      </c>
    </row>
    <row r="17" spans="1:23" x14ac:dyDescent="0.3">
      <c r="A17" s="46" t="s">
        <v>59</v>
      </c>
      <c r="B17" s="127">
        <f>'RPS Spend Model'!B17</f>
        <v>0</v>
      </c>
      <c r="C17" s="127">
        <f>'RPS Spend Model'!C17</f>
        <v>0</v>
      </c>
      <c r="D17" s="127">
        <f>'RPS Spend Model'!D17</f>
        <v>0</v>
      </c>
      <c r="E17" s="58">
        <f>'RPS Spend Model'!E17</f>
        <v>0</v>
      </c>
      <c r="F17" s="58">
        <f>'RPS Spend Model'!F17</f>
        <v>18057703.345901959</v>
      </c>
      <c r="G17" s="58">
        <f>'RPS Spend Model'!G17</f>
        <v>0</v>
      </c>
      <c r="H17" s="58">
        <f>'RPS Spend Model'!H17</f>
        <v>50000000</v>
      </c>
      <c r="I17" s="58">
        <f>'RPS Spend Model'!J17</f>
        <v>48979759.824897699</v>
      </c>
      <c r="J17" s="62">
        <f>'Total REC Spend Activities'!N300</f>
        <v>0</v>
      </c>
      <c r="K17" s="62">
        <f>'Total REC Spend Activities'!N301</f>
        <v>36547444.285267331</v>
      </c>
      <c r="L17" s="62">
        <f>'Total REC Spend Activities'!N302</f>
        <v>81828164.146514997</v>
      </c>
      <c r="M17" s="62">
        <f>'Total REC Spend Activities'!N303</f>
        <v>46012540.643221162</v>
      </c>
      <c r="N17" s="62">
        <f>'Total REC Spend Activities'!N304</f>
        <v>19549792.293164209</v>
      </c>
      <c r="O17" s="62">
        <f>'Total REC Spend Activities'!N305</f>
        <v>18273722.142633665</v>
      </c>
      <c r="P17" s="62">
        <f>'Total REC Spend Activities'!N306</f>
        <v>-64399277.857747845</v>
      </c>
      <c r="Q17" s="62">
        <f>'Total REC Spend Activities'!N307</f>
        <v>92381653.121812105</v>
      </c>
      <c r="R17" s="62">
        <f>'Total REC Spend Activities'!N308</f>
        <v>33136364.157726355</v>
      </c>
      <c r="S17" s="16">
        <f t="shared" si="3"/>
        <v>1131155891.1067905</v>
      </c>
      <c r="T17" s="16">
        <f>'Collections and ACP'!H125</f>
        <v>601923444.86339867</v>
      </c>
      <c r="U17" s="16">
        <f t="shared" si="0"/>
        <v>1733079335.9701891</v>
      </c>
      <c r="V17" s="16">
        <f t="shared" si="1"/>
        <v>380367866.10339159</v>
      </c>
      <c r="W17" s="16">
        <f t="shared" si="2"/>
        <v>1352711469.8667974</v>
      </c>
    </row>
    <row r="18" spans="1:23" x14ac:dyDescent="0.3">
      <c r="A18" s="46" t="s">
        <v>60</v>
      </c>
      <c r="B18" s="127">
        <f>'RPS Spend Model'!B18</f>
        <v>0</v>
      </c>
      <c r="C18" s="127">
        <f>'RPS Spend Model'!C18</f>
        <v>0</v>
      </c>
      <c r="D18" s="127">
        <f>'RPS Spend Model'!D18</f>
        <v>0</v>
      </c>
      <c r="E18" s="58">
        <f>'RPS Spend Model'!E18</f>
        <v>0</v>
      </c>
      <c r="F18" s="58">
        <f>'RPS Spend Model'!F18</f>
        <v>18118553.768141378</v>
      </c>
      <c r="G18" s="58">
        <f>'RPS Spend Model'!G18</f>
        <v>0</v>
      </c>
      <c r="H18" s="58">
        <f>'RPS Spend Model'!H18</f>
        <v>50000000</v>
      </c>
      <c r="I18" s="58">
        <f>'RPS Spend Model'!J18</f>
        <v>47020569.43190179</v>
      </c>
      <c r="J18" s="62">
        <f>'Total REC Spend Activities'!O300</f>
        <v>0</v>
      </c>
      <c r="K18" s="62">
        <f>'Total REC Spend Activities'!O301</f>
        <v>23864405.59659877</v>
      </c>
      <c r="L18" s="62">
        <f>'Total REC Spend Activities'!O302</f>
        <v>81419023.325782418</v>
      </c>
      <c r="M18" s="62">
        <f>'Total REC Spend Activities'!O303</f>
        <v>45782477.940005057</v>
      </c>
      <c r="N18" s="62">
        <f>'Total REC Spend Activities'!O304</f>
        <v>14359126.273678903</v>
      </c>
      <c r="O18" s="62">
        <f>'Total REC Spend Activities'!O305</f>
        <v>11932202.798299385</v>
      </c>
      <c r="P18" s="62">
        <f>'Total REC Spend Activities'!O306</f>
        <v>-85005036.414902806</v>
      </c>
      <c r="Q18" s="62">
        <f>'Total REC Spend Activities'!O307</f>
        <v>76422512.40779838</v>
      </c>
      <c r="R18" s="62">
        <f>'Total REC Spend Activities'!O308</f>
        <v>32125982.085568629</v>
      </c>
      <c r="S18" s="16">
        <f t="shared" si="3"/>
        <v>1352711469.8667974</v>
      </c>
      <c r="T18" s="16">
        <f>'Collections and ACP'!H126</f>
        <v>603951792.27137923</v>
      </c>
      <c r="U18" s="16">
        <f t="shared" si="0"/>
        <v>1956663262.1381767</v>
      </c>
      <c r="V18" s="16">
        <f t="shared" si="1"/>
        <v>316039817.21287185</v>
      </c>
      <c r="W18" s="16">
        <f t="shared" si="2"/>
        <v>1640623444.9253049</v>
      </c>
    </row>
    <row r="19" spans="1:23" x14ac:dyDescent="0.3">
      <c r="A19" s="46" t="s">
        <v>61</v>
      </c>
      <c r="B19" s="127">
        <f>'RPS Spend Model'!B19</f>
        <v>0</v>
      </c>
      <c r="C19" s="127">
        <f>'RPS Spend Model'!C19</f>
        <v>0</v>
      </c>
      <c r="D19" s="127">
        <f>'RPS Spend Model'!D19</f>
        <v>0</v>
      </c>
      <c r="E19" s="58">
        <f>'RPS Spend Model'!E19</f>
        <v>0</v>
      </c>
      <c r="F19" s="58">
        <f>'RPS Spend Model'!F19</f>
        <v>18198134.165855762</v>
      </c>
      <c r="G19" s="58">
        <f>'RPS Spend Model'!G19</f>
        <v>0</v>
      </c>
      <c r="H19" s="58">
        <f>'RPS Spend Model'!H19</f>
        <v>50000000</v>
      </c>
      <c r="I19" s="58">
        <f>'RPS Spend Model'!J19</f>
        <v>45139746.654625714</v>
      </c>
      <c r="J19" s="62">
        <f>'Total REC Spend Activities'!P300</f>
        <v>0</v>
      </c>
      <c r="K19" s="62">
        <f>'Total REC Spend Activities'!P301</f>
        <v>11688688.455476949</v>
      </c>
      <c r="L19" s="62">
        <f>'Total REC Spend Activities'!P302</f>
        <v>81011928.209153503</v>
      </c>
      <c r="M19" s="62">
        <f>'Total REC Spend Activities'!P303</f>
        <v>45553565.550305031</v>
      </c>
      <c r="N19" s="62">
        <f>'Total REC Spend Activities'!P304</f>
        <v>9376086.8949730098</v>
      </c>
      <c r="O19" s="62">
        <f>'Total REC Spend Activities'!P305</f>
        <v>5844344.2277384745</v>
      </c>
      <c r="P19" s="62">
        <f>'Total REC Spend Activities'!P306</f>
        <v>-106022910.14320083</v>
      </c>
      <c r="Q19" s="62">
        <f>'Total REC Spend Activities'!P307</f>
        <v>60156499.629008003</v>
      </c>
      <c r="R19" s="62">
        <f>'Total REC Spend Activities'!P308</f>
        <v>31096441.164734706</v>
      </c>
      <c r="S19" s="16">
        <f t="shared" si="3"/>
        <v>1640623444.9253049</v>
      </c>
      <c r="T19" s="16">
        <f>'Collections and ACP'!H127</f>
        <v>606604472.1951921</v>
      </c>
      <c r="U19" s="16">
        <f t="shared" si="0"/>
        <v>2247227917.1204967</v>
      </c>
      <c r="V19" s="16">
        <f t="shared" si="1"/>
        <v>252042524.80867034</v>
      </c>
      <c r="W19" s="16">
        <f t="shared" si="2"/>
        <v>1995185392.3118265</v>
      </c>
    </row>
    <row r="20" spans="1:23" x14ac:dyDescent="0.3">
      <c r="A20" s="46" t="s">
        <v>62</v>
      </c>
      <c r="B20" s="127">
        <f>'RPS Spend Model'!B20</f>
        <v>0</v>
      </c>
      <c r="C20" s="127">
        <f>'RPS Spend Model'!C20</f>
        <v>0</v>
      </c>
      <c r="D20" s="127">
        <f>'RPS Spend Model'!D20</f>
        <v>0</v>
      </c>
      <c r="E20" s="58">
        <f>'RPS Spend Model'!E20</f>
        <v>0</v>
      </c>
      <c r="F20" s="58">
        <f>'RPS Spend Model'!F20</f>
        <v>18209514.676376209</v>
      </c>
      <c r="G20" s="58">
        <f>'RPS Spend Model'!G20</f>
        <v>0</v>
      </c>
      <c r="H20" s="58">
        <f>'RPS Spend Model'!H20</f>
        <v>50000000</v>
      </c>
      <c r="I20" s="58">
        <f>'RPS Spend Model'!J20</f>
        <v>43334156.788440682</v>
      </c>
      <c r="J20" s="62">
        <f>'Total REC Spend Activities'!Q300</f>
        <v>0</v>
      </c>
      <c r="K20" s="62">
        <f>'Total REC Spend Activities'!Q301</f>
        <v>0</v>
      </c>
      <c r="L20" s="62">
        <f>'Total REC Spend Activities'!Q302</f>
        <v>80606868.568107739</v>
      </c>
      <c r="M20" s="62">
        <f>'Total REC Spend Activities'!Q303</f>
        <v>45325797.722553506</v>
      </c>
      <c r="N20" s="62">
        <f>'Total REC Spend Activities'!Q304</f>
        <v>4592369.0914153513</v>
      </c>
      <c r="O20" s="62">
        <f>'Total REC Spend Activities'!Q305</f>
        <v>0</v>
      </c>
      <c r="P20" s="62">
        <f>'Total REC Spend Activities'!Q306</f>
        <v>-127461141.3460649</v>
      </c>
      <c r="Q20" s="62">
        <f>'Total REC Spend Activities'!Q307</f>
        <v>43577505.598369099</v>
      </c>
      <c r="R20" s="62">
        <f>'Total REC Spend Activities'!Q308</f>
        <v>30047358.811805345</v>
      </c>
      <c r="S20" s="16">
        <f t="shared" si="3"/>
        <v>1995185392.3118265</v>
      </c>
      <c r="T20" s="16">
        <f>'Collections and ACP'!H128</f>
        <v>606983822.54587364</v>
      </c>
      <c r="U20" s="16">
        <f t="shared" si="0"/>
        <v>2602169214.8577003</v>
      </c>
      <c r="V20" s="16">
        <f t="shared" si="1"/>
        <v>188232429.91100302</v>
      </c>
      <c r="W20" s="16">
        <f t="shared" si="2"/>
        <v>2413936784.9466972</v>
      </c>
    </row>
    <row r="21" spans="1:23" x14ac:dyDescent="0.3">
      <c r="A21" s="46" t="s">
        <v>63</v>
      </c>
      <c r="B21" s="127">
        <f>'RPS Spend Model'!B21</f>
        <v>0</v>
      </c>
      <c r="C21" s="127">
        <f>'RPS Spend Model'!C21</f>
        <v>0</v>
      </c>
      <c r="D21" s="127">
        <f>'RPS Spend Model'!D21</f>
        <v>0</v>
      </c>
      <c r="E21" s="58">
        <f>'RPS Spend Model'!E21</f>
        <v>0</v>
      </c>
      <c r="F21" s="58">
        <f>'RPS Spend Model'!F21</f>
        <v>18264106.623428311</v>
      </c>
      <c r="G21" s="58">
        <f>'RPS Spend Model'!G21</f>
        <v>0</v>
      </c>
      <c r="H21" s="58">
        <f>'RPS Spend Model'!H21</f>
        <v>50000000</v>
      </c>
      <c r="I21" s="58">
        <f>'RPS Spend Model'!J21</f>
        <v>41600790.51690305</v>
      </c>
      <c r="J21" s="62">
        <f>'Total REC Spend Activities'!R300</f>
        <v>0</v>
      </c>
      <c r="K21" s="62">
        <f>'Total REC Spend Activities'!R301</f>
        <v>0</v>
      </c>
      <c r="L21" s="62">
        <f>'Total REC Spend Activities'!R302</f>
        <v>80203834.225267187</v>
      </c>
      <c r="M21" s="62">
        <f>'Total REC Spend Activities'!R303</f>
        <v>45099168.733940735</v>
      </c>
      <c r="N21" s="62">
        <f>'Total REC Spend Activities'!R304</f>
        <v>0</v>
      </c>
      <c r="O21" s="62">
        <f>'Total REC Spend Activities'!R305</f>
        <v>0</v>
      </c>
      <c r="P21" s="62">
        <f>'Total REC Spend Activities'!R306</f>
        <v>-149328137.17298618</v>
      </c>
      <c r="Q21" s="62">
        <f>'Total REC Spend Activities'!R307</f>
        <v>26679300.141936183</v>
      </c>
      <c r="R21" s="62">
        <f>'Total REC Spend Activities'!R308</f>
        <v>28978344.875704188</v>
      </c>
      <c r="S21" s="16">
        <f t="shared" si="3"/>
        <v>2413936784.9466972</v>
      </c>
      <c r="T21" s="16">
        <f>'Collections and ACP'!H129</f>
        <v>608803554.11427701</v>
      </c>
      <c r="U21" s="16">
        <f t="shared" si="0"/>
        <v>3022740339.0609741</v>
      </c>
      <c r="V21" s="16">
        <f t="shared" si="1"/>
        <v>141497407.94419348</v>
      </c>
      <c r="W21" s="16">
        <f t="shared" si="2"/>
        <v>2881242931.1167808</v>
      </c>
    </row>
    <row r="22" spans="1:23" x14ac:dyDescent="0.3">
      <c r="A22" s="46" t="s">
        <v>64</v>
      </c>
      <c r="B22" s="127">
        <f>'RPS Spend Model'!B22</f>
        <v>0</v>
      </c>
      <c r="C22" s="127">
        <f>'RPS Spend Model'!C22</f>
        <v>0</v>
      </c>
      <c r="D22" s="127">
        <f>'RPS Spend Model'!D22</f>
        <v>0</v>
      </c>
      <c r="E22" s="58">
        <f>'RPS Spend Model'!E22</f>
        <v>0</v>
      </c>
      <c r="F22" s="58">
        <f>'RPS Spend Model'!F22</f>
        <v>18264106.623428311</v>
      </c>
      <c r="G22" s="58">
        <f>'RPS Spend Model'!G22</f>
        <v>0</v>
      </c>
      <c r="H22" s="58">
        <f>'RPS Spend Model'!H22</f>
        <v>50000000</v>
      </c>
      <c r="I22" s="58">
        <f>'RPS Spend Model'!J22</f>
        <v>39936758.896226928</v>
      </c>
      <c r="J22" s="62">
        <f>'Total REC Spend Activities'!S300</f>
        <v>0</v>
      </c>
      <c r="K22" s="62">
        <f>'Total REC Spend Activities'!S301</f>
        <v>0</v>
      </c>
      <c r="L22" s="62">
        <f>'Total REC Spend Activities'!S302</f>
        <v>79802815.054140866</v>
      </c>
      <c r="M22" s="62">
        <f>'Total REC Spend Activities'!S303</f>
        <v>44873672.890271038</v>
      </c>
      <c r="N22" s="62">
        <f>'Total REC Spend Activities'!S304</f>
        <v>0</v>
      </c>
      <c r="O22" s="62">
        <f>'Total REC Spend Activities'!S305</f>
        <v>0</v>
      </c>
      <c r="P22" s="62">
        <f>'Total REC Spend Activities'!S306</f>
        <v>-171632472.91644591</v>
      </c>
      <c r="Q22" s="62">
        <f>'Total REC Spend Activities'!S307</f>
        <v>9455529.6931063458</v>
      </c>
      <c r="R22" s="62">
        <f>'Total REC Spend Activities'!S308</f>
        <v>27889001.487220526</v>
      </c>
      <c r="S22" s="16"/>
      <c r="T22" s="16"/>
      <c r="U22" s="16"/>
      <c r="V22" s="16"/>
      <c r="W22" s="16"/>
    </row>
    <row r="23" spans="1:23" x14ac:dyDescent="0.3">
      <c r="A23" s="46" t="s">
        <v>65</v>
      </c>
      <c r="B23" s="127">
        <f>'RPS Spend Model'!B23</f>
        <v>0</v>
      </c>
      <c r="C23" s="127">
        <f>'RPS Spend Model'!C23</f>
        <v>0</v>
      </c>
      <c r="D23" s="127">
        <f>'RPS Spend Model'!D23</f>
        <v>0</v>
      </c>
      <c r="E23" s="58">
        <f>'RPS Spend Model'!E23</f>
        <v>0</v>
      </c>
      <c r="F23" s="58">
        <f>'RPS Spend Model'!F23</f>
        <v>18264106.623428311</v>
      </c>
      <c r="G23" s="58">
        <f>'RPS Spend Model'!G23</f>
        <v>0</v>
      </c>
      <c r="H23" s="58">
        <f>'RPS Spend Model'!H23</f>
        <v>50000000</v>
      </c>
      <c r="I23" s="58">
        <f>'RPS Spend Model'!J23</f>
        <v>38339288.540377848</v>
      </c>
      <c r="J23" s="62">
        <f>'Total REC Spend Activities'!T300</f>
        <v>0</v>
      </c>
      <c r="K23" s="62">
        <f>'Total REC Spend Activities'!T301</f>
        <v>0</v>
      </c>
      <c r="L23" s="62">
        <f>'Total REC Spend Activities'!T302</f>
        <v>79403800.978870153</v>
      </c>
      <c r="M23" s="62">
        <f>'Total REC Spend Activities'!T303</f>
        <v>44649304.525819674</v>
      </c>
      <c r="N23" s="62">
        <f>'Total REC Spend Activities'!T304</f>
        <v>0</v>
      </c>
      <c r="O23" s="62">
        <f>'Total REC Spend Activities'!T305</f>
        <v>0</v>
      </c>
      <c r="P23" s="62">
        <f>'Total REC Spend Activities'!T306</f>
        <v>-194382895.37477475</v>
      </c>
      <c r="Q23" s="62">
        <f>'Total REC Spend Activities'!T307</f>
        <v>-8100285.1610525586</v>
      </c>
      <c r="R23" s="62">
        <f>'Total REC Spend Activities'!T308</f>
        <v>26778922.905537479</v>
      </c>
      <c r="S23" s="16"/>
      <c r="T23" s="16"/>
      <c r="U23" s="16"/>
      <c r="V23" s="16"/>
      <c r="W23" s="16"/>
    </row>
    <row r="24" spans="1:23" x14ac:dyDescent="0.3">
      <c r="A24" s="46" t="s">
        <v>66</v>
      </c>
      <c r="B24" s="127">
        <f>'RPS Spend Model'!B24</f>
        <v>0</v>
      </c>
      <c r="C24" s="127">
        <f>'RPS Spend Model'!C24</f>
        <v>0</v>
      </c>
      <c r="D24" s="127">
        <f>'RPS Spend Model'!D24</f>
        <v>0</v>
      </c>
      <c r="E24" s="58">
        <f>'RPS Spend Model'!E24</f>
        <v>0</v>
      </c>
      <c r="F24" s="58">
        <f>'RPS Spend Model'!F24</f>
        <v>18264106.623428311</v>
      </c>
      <c r="G24" s="58">
        <f>'RPS Spend Model'!G24</f>
        <v>0</v>
      </c>
      <c r="H24" s="58">
        <f>'RPS Spend Model'!H24</f>
        <v>50000000</v>
      </c>
      <c r="I24" s="58">
        <f>'RPS Spend Model'!J24</f>
        <v>0</v>
      </c>
      <c r="J24" s="62">
        <f>'Total REC Spend Activities'!U300</f>
        <v>0</v>
      </c>
      <c r="K24" s="62">
        <f>'Total REC Spend Activities'!U301</f>
        <v>0</v>
      </c>
      <c r="L24" s="62">
        <f>'Total REC Spend Activities'!U302</f>
        <v>79006781.973975807</v>
      </c>
      <c r="M24" s="62">
        <f>'Total REC Spend Activities'!U303</f>
        <v>44426058.003190584</v>
      </c>
      <c r="N24" s="62">
        <f>'Total REC Spend Activities'!U304</f>
        <v>0</v>
      </c>
      <c r="O24" s="62">
        <f>'Total REC Spend Activities'!U305</f>
        <v>0</v>
      </c>
      <c r="P24" s="62">
        <f>'Total REC Spend Activities'!U306</f>
        <v>-217588326.28227016</v>
      </c>
      <c r="Q24" s="62">
        <f>'Total REC Spend Activities'!U307</f>
        <v>-25994752.182316676</v>
      </c>
      <c r="R24" s="62">
        <f>'Total REC Spend Activities'!U308</f>
        <v>25647695.361705869</v>
      </c>
      <c r="S24" s="16"/>
      <c r="T24" s="16"/>
      <c r="U24" s="16"/>
      <c r="V24" s="16"/>
      <c r="W24" s="16"/>
    </row>
    <row r="25" spans="1:23" x14ac:dyDescent="0.3">
      <c r="A25" s="46" t="s">
        <v>67</v>
      </c>
      <c r="B25" s="127">
        <f>'RPS Spend Model'!B25</f>
        <v>0</v>
      </c>
      <c r="C25" s="127">
        <f>'RPS Spend Model'!C25</f>
        <v>0</v>
      </c>
      <c r="D25" s="127">
        <f>'RPS Spend Model'!D25</f>
        <v>0</v>
      </c>
      <c r="E25" s="58">
        <f>'RPS Spend Model'!E25</f>
        <v>0</v>
      </c>
      <c r="F25" s="58">
        <f>'RPS Spend Model'!F25</f>
        <v>18264106.623428311</v>
      </c>
      <c r="G25" s="58">
        <f>'RPS Spend Model'!G25</f>
        <v>0</v>
      </c>
      <c r="H25" s="58">
        <f>'RPS Spend Model'!H25</f>
        <v>50000000</v>
      </c>
      <c r="I25" s="58">
        <f>'RPS Spend Model'!J25</f>
        <v>0</v>
      </c>
      <c r="J25" s="62">
        <f>'Total REC Spend Activities'!V300</f>
        <v>0</v>
      </c>
      <c r="K25" s="62">
        <f>'Total REC Spend Activities'!V301</f>
        <v>0</v>
      </c>
      <c r="L25" s="62">
        <f>'Total REC Spend Activities'!V302</f>
        <v>78611748.064105913</v>
      </c>
      <c r="M25" s="62">
        <f>'Total REC Spend Activities'!V303</f>
        <v>44203927.713174634</v>
      </c>
      <c r="N25" s="62">
        <f>'Total REC Spend Activities'!V304</f>
        <v>0</v>
      </c>
      <c r="O25" s="62">
        <f>'Total REC Spend Activities'!V305</f>
        <v>0</v>
      </c>
      <c r="P25" s="62">
        <f>'Total REC Spend Activities'!V306</f>
        <v>-241257865.80791554</v>
      </c>
      <c r="Q25" s="62">
        <f>'Total REC Spend Activities'!V307</f>
        <v>-44234610.033637211</v>
      </c>
      <c r="R25" s="62">
        <f>'Total REC Spend Activities'!V308</f>
        <v>24494896.899002947</v>
      </c>
      <c r="S25" s="16"/>
      <c r="T25" s="16"/>
      <c r="U25" s="16"/>
      <c r="V25" s="16"/>
      <c r="W25" s="16"/>
    </row>
    <row r="29" spans="1:23" x14ac:dyDescent="0.3">
      <c r="S29" s="116"/>
      <c r="T29" s="117"/>
    </row>
    <row r="30" spans="1:23" x14ac:dyDescent="0.3">
      <c r="A30" s="35" t="s">
        <v>94</v>
      </c>
      <c r="B30" s="126">
        <v>0.27317999999999998</v>
      </c>
    </row>
    <row r="31" spans="1:23" ht="57.6" x14ac:dyDescent="0.3">
      <c r="A31" s="53" t="s">
        <v>43</v>
      </c>
      <c r="B31" s="53" t="s">
        <v>125</v>
      </c>
      <c r="C31" s="53" t="s">
        <v>116</v>
      </c>
      <c r="D31" s="53" t="s">
        <v>117</v>
      </c>
      <c r="E31" s="53" t="s">
        <v>118</v>
      </c>
      <c r="F31" s="53" t="s">
        <v>275</v>
      </c>
      <c r="G31" s="53" t="s">
        <v>44</v>
      </c>
      <c r="H31" s="53" t="s">
        <v>119</v>
      </c>
      <c r="I31" s="53" t="s">
        <v>126</v>
      </c>
      <c r="J31" s="53" t="s">
        <v>6</v>
      </c>
      <c r="K31" s="53" t="s">
        <v>12</v>
      </c>
      <c r="L31" s="53" t="s">
        <v>21</v>
      </c>
      <c r="M31" s="53" t="s">
        <v>25</v>
      </c>
      <c r="N31" s="53" t="s">
        <v>29</v>
      </c>
      <c r="O31" s="53" t="s">
        <v>33</v>
      </c>
      <c r="P31" s="53" t="s">
        <v>40</v>
      </c>
      <c r="Q31" s="53" t="s">
        <v>41</v>
      </c>
      <c r="R31" s="53" t="s">
        <v>42</v>
      </c>
      <c r="S31" s="54" t="s">
        <v>131</v>
      </c>
      <c r="T31" s="54" t="s">
        <v>128</v>
      </c>
      <c r="U31" s="54" t="s">
        <v>122</v>
      </c>
      <c r="V31" s="53" t="s">
        <v>123</v>
      </c>
      <c r="W31" s="53" t="s">
        <v>124</v>
      </c>
    </row>
    <row r="32" spans="1:23" x14ac:dyDescent="0.3">
      <c r="A32" s="46" t="s">
        <v>45</v>
      </c>
      <c r="B32" s="127">
        <v>27108240.269999959</v>
      </c>
      <c r="C32" s="127">
        <v>22095450.392500013</v>
      </c>
      <c r="D32" s="127">
        <v>12848215.606999999</v>
      </c>
      <c r="E32" s="58">
        <v>7753000</v>
      </c>
      <c r="F32" s="58">
        <f t="shared" ref="F32:F42" si="4">$B$30*F3</f>
        <v>1845899.1203832121</v>
      </c>
      <c r="G32" s="58"/>
      <c r="H32" s="58">
        <f t="shared" ref="H32:H49" si="5">$B$30*H3</f>
        <v>3076498.5339720203</v>
      </c>
      <c r="I32" s="58">
        <v>836256.96</v>
      </c>
      <c r="J32" s="62">
        <f t="shared" ref="J32:R32" si="6">$B$30*J3</f>
        <v>0</v>
      </c>
      <c r="K32" s="62">
        <f t="shared" si="6"/>
        <v>0</v>
      </c>
      <c r="L32" s="62">
        <f t="shared" si="6"/>
        <v>0</v>
      </c>
      <c r="M32" s="62">
        <f t="shared" si="6"/>
        <v>0</v>
      </c>
      <c r="N32" s="62">
        <f t="shared" si="6"/>
        <v>0</v>
      </c>
      <c r="O32" s="62">
        <f t="shared" si="6"/>
        <v>0</v>
      </c>
      <c r="P32" s="62">
        <f t="shared" si="6"/>
        <v>0</v>
      </c>
      <c r="Q32" s="62">
        <f t="shared" si="6"/>
        <v>0</v>
      </c>
      <c r="R32" s="62">
        <f t="shared" si="6"/>
        <v>0</v>
      </c>
      <c r="S32" s="16">
        <f>'Collections and ACP'!B158+'Collections and ACP'!B155</f>
        <v>164214831.63</v>
      </c>
      <c r="T32" s="16">
        <f>'Collections and ACP'!H7</f>
        <v>64309855.295962796</v>
      </c>
      <c r="U32" s="16">
        <f t="shared" ref="U32:U50" si="7">S32+T32</f>
        <v>228524686.92596281</v>
      </c>
      <c r="V32" s="16">
        <f t="shared" ref="V32:V50" si="8">SUM(B32:R32)</f>
        <v>75563560.883855209</v>
      </c>
      <c r="W32" s="16">
        <f t="shared" ref="W32:W50" si="9">U32-V32</f>
        <v>152961126.04210758</v>
      </c>
    </row>
    <row r="33" spans="1:23" x14ac:dyDescent="0.3">
      <c r="A33" s="46" t="s">
        <v>46</v>
      </c>
      <c r="B33" s="127">
        <v>11296784.090000002</v>
      </c>
      <c r="C33" s="127">
        <v>24273459.346000012</v>
      </c>
      <c r="D33" s="127">
        <v>30356604.479000002</v>
      </c>
      <c r="E33" s="58">
        <v>5554000</v>
      </c>
      <c r="F33" s="58">
        <f t="shared" si="4"/>
        <v>3808712.4645429286</v>
      </c>
      <c r="G33" s="58"/>
      <c r="H33" s="58">
        <f t="shared" si="5"/>
        <v>13658999.999999998</v>
      </c>
      <c r="I33" s="58">
        <v>4902346.6171698067</v>
      </c>
      <c r="J33" s="62">
        <f t="shared" ref="J33:R33" si="10">$B$30*J4</f>
        <v>0</v>
      </c>
      <c r="K33" s="62">
        <f t="shared" si="10"/>
        <v>0</v>
      </c>
      <c r="L33" s="62">
        <f t="shared" si="10"/>
        <v>0</v>
      </c>
      <c r="M33" s="62">
        <f t="shared" si="10"/>
        <v>0</v>
      </c>
      <c r="N33" s="62">
        <f t="shared" si="10"/>
        <v>0</v>
      </c>
      <c r="O33" s="62">
        <f t="shared" si="10"/>
        <v>0</v>
      </c>
      <c r="P33" s="62">
        <f t="shared" si="10"/>
        <v>0</v>
      </c>
      <c r="Q33" s="62">
        <f t="shared" si="10"/>
        <v>0</v>
      </c>
      <c r="R33" s="62">
        <f t="shared" si="10"/>
        <v>0</v>
      </c>
      <c r="S33" s="16">
        <f t="shared" ref="S33:S50" si="11">W32</f>
        <v>152961126.04210758</v>
      </c>
      <c r="T33" s="16">
        <f>'Collections and ACP'!H8</f>
        <v>129499575.18679999</v>
      </c>
      <c r="U33" s="16">
        <f t="shared" si="7"/>
        <v>282460701.22890759</v>
      </c>
      <c r="V33" s="16">
        <f t="shared" si="8"/>
        <v>93850906.996712759</v>
      </c>
      <c r="W33" s="16">
        <f t="shared" si="9"/>
        <v>188609794.23219484</v>
      </c>
    </row>
    <row r="34" spans="1:23" x14ac:dyDescent="0.3">
      <c r="A34" s="46" t="s">
        <v>47</v>
      </c>
      <c r="B34" s="127">
        <v>1430256.5000000002</v>
      </c>
      <c r="C34" s="127">
        <v>24734260.369500004</v>
      </c>
      <c r="D34" s="127">
        <v>27635399.063500006</v>
      </c>
      <c r="E34" s="58">
        <v>4842000</v>
      </c>
      <c r="F34" s="58">
        <f t="shared" si="4"/>
        <v>4814494.2231932348</v>
      </c>
      <c r="G34" s="58"/>
      <c r="H34" s="58">
        <f t="shared" si="5"/>
        <v>13658999.999999998</v>
      </c>
      <c r="I34" s="58">
        <v>7242384.4471698068</v>
      </c>
      <c r="J34" s="62">
        <f t="shared" ref="J34:R34" si="12">$B$30*J5</f>
        <v>0</v>
      </c>
      <c r="K34" s="62">
        <f t="shared" si="12"/>
        <v>0</v>
      </c>
      <c r="L34" s="62">
        <f t="shared" si="12"/>
        <v>0</v>
      </c>
      <c r="M34" s="62">
        <f t="shared" si="12"/>
        <v>0</v>
      </c>
      <c r="N34" s="62">
        <f t="shared" si="12"/>
        <v>0</v>
      </c>
      <c r="O34" s="62">
        <f t="shared" si="12"/>
        <v>0</v>
      </c>
      <c r="P34" s="62">
        <f t="shared" si="12"/>
        <v>0</v>
      </c>
      <c r="Q34" s="62">
        <f t="shared" si="12"/>
        <v>0</v>
      </c>
      <c r="R34" s="62">
        <f t="shared" si="12"/>
        <v>0</v>
      </c>
      <c r="S34" s="16">
        <f t="shared" si="11"/>
        <v>188609794.23219484</v>
      </c>
      <c r="T34" s="16">
        <f>'Collections and ACP'!H9</f>
        <v>160483342.72150001</v>
      </c>
      <c r="U34" s="16">
        <f t="shared" si="7"/>
        <v>349093136.95369482</v>
      </c>
      <c r="V34" s="16">
        <f t="shared" si="8"/>
        <v>84357794.603363052</v>
      </c>
      <c r="W34" s="16">
        <f t="shared" si="9"/>
        <v>264735342.35033178</v>
      </c>
    </row>
    <row r="35" spans="1:23" x14ac:dyDescent="0.3">
      <c r="A35" s="46" t="s">
        <v>48</v>
      </c>
      <c r="B35" s="127">
        <v>0</v>
      </c>
      <c r="C35" s="127">
        <v>21302729.981499989</v>
      </c>
      <c r="D35" s="127">
        <v>26972164.550000004</v>
      </c>
      <c r="E35" s="58">
        <v>3400999.9999999995</v>
      </c>
      <c r="F35" s="58">
        <f t="shared" si="4"/>
        <v>4826995.9530275445</v>
      </c>
      <c r="G35" s="58"/>
      <c r="H35" s="58">
        <f t="shared" si="5"/>
        <v>13658999.999999998</v>
      </c>
      <c r="I35" s="58">
        <v>7242386.2325620223</v>
      </c>
      <c r="J35" s="62">
        <f t="shared" ref="J35:R35" si="13">$B$30*J6</f>
        <v>0</v>
      </c>
      <c r="K35" s="62">
        <f t="shared" si="13"/>
        <v>0</v>
      </c>
      <c r="L35" s="62">
        <f t="shared" si="13"/>
        <v>0</v>
      </c>
      <c r="M35" s="62">
        <f t="shared" si="13"/>
        <v>0</v>
      </c>
      <c r="N35" s="62">
        <f t="shared" si="13"/>
        <v>0</v>
      </c>
      <c r="O35" s="62">
        <f t="shared" si="13"/>
        <v>0</v>
      </c>
      <c r="P35" s="62">
        <f t="shared" si="13"/>
        <v>0</v>
      </c>
      <c r="Q35" s="62">
        <f t="shared" si="13"/>
        <v>0</v>
      </c>
      <c r="R35" s="62">
        <f t="shared" si="13"/>
        <v>0</v>
      </c>
      <c r="S35" s="16">
        <f t="shared" si="11"/>
        <v>264735342.35033178</v>
      </c>
      <c r="T35" s="16">
        <f>'Collections and ACP'!H10</f>
        <v>159798619.14649999</v>
      </c>
      <c r="U35" s="16">
        <f t="shared" si="7"/>
        <v>424533961.49683177</v>
      </c>
      <c r="V35" s="16">
        <f t="shared" si="8"/>
        <v>77404276.717089564</v>
      </c>
      <c r="W35" s="16">
        <f t="shared" si="9"/>
        <v>347129684.77974224</v>
      </c>
    </row>
    <row r="36" spans="1:23" x14ac:dyDescent="0.3">
      <c r="A36" s="46" t="s">
        <v>49</v>
      </c>
      <c r="B36" s="127">
        <v>0</v>
      </c>
      <c r="C36" s="127">
        <v>13216611.133500015</v>
      </c>
      <c r="D36" s="127">
        <v>25463984.837000005</v>
      </c>
      <c r="E36" s="58">
        <v>3259000</v>
      </c>
      <c r="F36" s="58">
        <f t="shared" si="4"/>
        <v>4811643.6825472517</v>
      </c>
      <c r="G36" s="58"/>
      <c r="H36" s="58">
        <f t="shared" si="5"/>
        <v>13658999.999999998</v>
      </c>
      <c r="I36" s="58">
        <v>7242386.2325620223</v>
      </c>
      <c r="J36" s="62">
        <f t="shared" ref="J36:R36" si="14">$B$30*J7</f>
        <v>40251606.388157532</v>
      </c>
      <c r="K36" s="62">
        <f t="shared" si="14"/>
        <v>4319275.1379206022</v>
      </c>
      <c r="L36" s="62">
        <f t="shared" si="14"/>
        <v>0</v>
      </c>
      <c r="M36" s="62">
        <f t="shared" si="14"/>
        <v>2096711.1205423179</v>
      </c>
      <c r="N36" s="62">
        <f t="shared" si="14"/>
        <v>0</v>
      </c>
      <c r="O36" s="62">
        <f t="shared" si="14"/>
        <v>2159637.5689603011</v>
      </c>
      <c r="P36" s="62">
        <f t="shared" si="14"/>
        <v>0</v>
      </c>
      <c r="Q36" s="62">
        <f t="shared" si="14"/>
        <v>0</v>
      </c>
      <c r="R36" s="62">
        <f t="shared" si="14"/>
        <v>0</v>
      </c>
      <c r="S36" s="16">
        <f t="shared" si="11"/>
        <v>347129684.77974224</v>
      </c>
      <c r="T36" s="16">
        <f>'Collections and ACP'!H11</f>
        <v>157940101.377</v>
      </c>
      <c r="U36" s="16">
        <f t="shared" si="7"/>
        <v>505069786.15674222</v>
      </c>
      <c r="V36" s="16">
        <f t="shared" si="8"/>
        <v>116479856.10119005</v>
      </c>
      <c r="W36" s="16">
        <f t="shared" si="9"/>
        <v>388589930.05555218</v>
      </c>
    </row>
    <row r="37" spans="1:23" x14ac:dyDescent="0.3">
      <c r="A37" s="46" t="s">
        <v>50</v>
      </c>
      <c r="B37" s="127">
        <v>0</v>
      </c>
      <c r="C37" s="127">
        <v>4056634.3719999981</v>
      </c>
      <c r="D37" s="127">
        <v>11324988.452999998</v>
      </c>
      <c r="E37" s="58">
        <v>1276000</v>
      </c>
      <c r="F37" s="58">
        <f t="shared" si="4"/>
        <v>4795225.7136696298</v>
      </c>
      <c r="G37" s="58"/>
      <c r="H37" s="58">
        <f t="shared" si="5"/>
        <v>13658999.999999998</v>
      </c>
      <c r="I37" s="58">
        <v>7242386.2325620223</v>
      </c>
      <c r="J37" s="62">
        <f t="shared" ref="J37:R37" si="15">$B$30*J8</f>
        <v>38641542.132631227</v>
      </c>
      <c r="K37" s="62">
        <f t="shared" si="15"/>
        <v>8225819.5404399019</v>
      </c>
      <c r="L37" s="62">
        <f t="shared" si="15"/>
        <v>3710122.7022988284</v>
      </c>
      <c r="M37" s="62">
        <f t="shared" si="15"/>
        <v>4099070.2406602316</v>
      </c>
      <c r="N37" s="62">
        <f t="shared" si="15"/>
        <v>1697000.1139358773</v>
      </c>
      <c r="O37" s="62">
        <f t="shared" si="15"/>
        <v>4112909.7702199509</v>
      </c>
      <c r="P37" s="62">
        <f t="shared" si="15"/>
        <v>0</v>
      </c>
      <c r="Q37" s="62">
        <f t="shared" si="15"/>
        <v>0</v>
      </c>
      <c r="R37" s="62">
        <f t="shared" si="15"/>
        <v>0</v>
      </c>
      <c r="S37" s="16">
        <f t="shared" si="11"/>
        <v>388589930.05555218</v>
      </c>
      <c r="T37" s="16">
        <f>'Collections and ACP'!H12</f>
        <v>157075656.73749998</v>
      </c>
      <c r="U37" s="16">
        <f t="shared" si="7"/>
        <v>545665586.7930522</v>
      </c>
      <c r="V37" s="16">
        <f t="shared" si="8"/>
        <v>102840699.27141766</v>
      </c>
      <c r="W37" s="16">
        <f t="shared" si="9"/>
        <v>442824887.52163452</v>
      </c>
    </row>
    <row r="38" spans="1:23" x14ac:dyDescent="0.3">
      <c r="A38" s="46" t="s">
        <v>51</v>
      </c>
      <c r="B38" s="127">
        <v>0</v>
      </c>
      <c r="C38" s="127">
        <v>525867.26650000003</v>
      </c>
      <c r="D38" s="127">
        <v>259465.76049999997</v>
      </c>
      <c r="E38" s="58">
        <v>202999.99999999997</v>
      </c>
      <c r="F38" s="58">
        <f t="shared" si="4"/>
        <v>4800510.3155546812</v>
      </c>
      <c r="G38" s="58"/>
      <c r="H38" s="58">
        <f t="shared" si="5"/>
        <v>13658999.999999998</v>
      </c>
      <c r="I38" s="58">
        <v>7242386.2325620223</v>
      </c>
      <c r="J38" s="62">
        <f t="shared" ref="J38:R38" si="16">$B$30*J9</f>
        <v>37095880.447325982</v>
      </c>
      <c r="K38" s="62">
        <f t="shared" si="16"/>
        <v>11976102.166858429</v>
      </c>
      <c r="L38" s="62">
        <f t="shared" si="16"/>
        <v>7253289.8829942094</v>
      </c>
      <c r="M38" s="62">
        <f t="shared" si="16"/>
        <v>6010903.8581487294</v>
      </c>
      <c r="N38" s="62">
        <f t="shared" si="16"/>
        <v>3231842.4392067706</v>
      </c>
      <c r="O38" s="62">
        <f t="shared" si="16"/>
        <v>5988051.0834292145</v>
      </c>
      <c r="P38" s="62">
        <f t="shared" si="16"/>
        <v>0</v>
      </c>
      <c r="Q38" s="62">
        <f t="shared" si="16"/>
        <v>0</v>
      </c>
      <c r="R38" s="62">
        <f t="shared" si="16"/>
        <v>0</v>
      </c>
      <c r="S38" s="16">
        <f t="shared" si="11"/>
        <v>442824887.52163452</v>
      </c>
      <c r="T38" s="16">
        <f>'Collections and ACP'!H13</f>
        <v>157075656.73749998</v>
      </c>
      <c r="U38" s="16">
        <f t="shared" si="7"/>
        <v>599900544.25913453</v>
      </c>
      <c r="V38" s="16">
        <f t="shared" si="8"/>
        <v>98246299.453080028</v>
      </c>
      <c r="W38" s="16">
        <f t="shared" si="9"/>
        <v>501654244.80605447</v>
      </c>
    </row>
    <row r="39" spans="1:23" x14ac:dyDescent="0.3">
      <c r="A39" s="46" t="s">
        <v>52</v>
      </c>
      <c r="B39" s="58"/>
      <c r="C39" s="58"/>
      <c r="D39" s="58"/>
      <c r="E39" s="58"/>
      <c r="F39" s="58">
        <f t="shared" si="4"/>
        <v>4814913.1016325643</v>
      </c>
      <c r="G39" s="58"/>
      <c r="H39" s="58">
        <f t="shared" si="5"/>
        <v>13658999.999999998</v>
      </c>
      <c r="I39" s="58">
        <v>7242386.2325620223</v>
      </c>
      <c r="J39" s="62">
        <f t="shared" ref="J39:R39" si="17">$B$30*J10</f>
        <v>35612045.22943294</v>
      </c>
      <c r="K39" s="62">
        <f t="shared" si="17"/>
        <v>15576373.488220217</v>
      </c>
      <c r="L39" s="62">
        <f t="shared" si="17"/>
        <v>10636272.516017837</v>
      </c>
      <c r="M39" s="62">
        <f t="shared" si="17"/>
        <v>7835885.1488021156</v>
      </c>
      <c r="N39" s="62">
        <f t="shared" si="17"/>
        <v>4705291.0714668278</v>
      </c>
      <c r="O39" s="62">
        <f t="shared" si="17"/>
        <v>7788186.7441101084</v>
      </c>
      <c r="P39" s="62">
        <f t="shared" si="17"/>
        <v>401039.66668230726</v>
      </c>
      <c r="Q39" s="62">
        <f t="shared" si="17"/>
        <v>3021939.2998184608</v>
      </c>
      <c r="R39" s="62">
        <f t="shared" si="17"/>
        <v>759114.56944819994</v>
      </c>
      <c r="S39" s="16">
        <f t="shared" si="11"/>
        <v>501654244.80605447</v>
      </c>
      <c r="T39" s="16">
        <f>'Collections and ACP'!H14</f>
        <v>157075656.73749998</v>
      </c>
      <c r="U39" s="16">
        <f t="shared" si="7"/>
        <v>658729901.54355443</v>
      </c>
      <c r="V39" s="16">
        <f t="shared" si="8"/>
        <v>112052447.0681936</v>
      </c>
      <c r="W39" s="16">
        <f t="shared" si="9"/>
        <v>546677454.47536087</v>
      </c>
    </row>
    <row r="40" spans="1:23" x14ac:dyDescent="0.3">
      <c r="A40" s="46" t="s">
        <v>53</v>
      </c>
      <c r="B40" s="58"/>
      <c r="C40" s="58"/>
      <c r="D40" s="58"/>
      <c r="E40" s="58"/>
      <c r="F40" s="58">
        <f t="shared" si="4"/>
        <v>4838486.2587735523</v>
      </c>
      <c r="G40" s="58"/>
      <c r="H40" s="58">
        <f t="shared" si="5"/>
        <v>13658999.999999998</v>
      </c>
      <c r="I40" s="58">
        <v>7242386.2325620223</v>
      </c>
      <c r="J40" s="62">
        <f t="shared" ref="J40:R40" si="18">$B$30*J11</f>
        <v>34187563.420255624</v>
      </c>
      <c r="K40" s="62">
        <f t="shared" si="18"/>
        <v>19032633.956727535</v>
      </c>
      <c r="L40" s="62">
        <f t="shared" si="18"/>
        <v>13865570.272578806</v>
      </c>
      <c r="M40" s="62">
        <f t="shared" si="18"/>
        <v>9577540.1006044652</v>
      </c>
      <c r="N40" s="62">
        <f t="shared" si="18"/>
        <v>6119801.7584364824</v>
      </c>
      <c r="O40" s="62">
        <f t="shared" si="18"/>
        <v>9516316.9783637673</v>
      </c>
      <c r="P40" s="62">
        <f t="shared" si="18"/>
        <v>444852.13871303335</v>
      </c>
      <c r="Q40" s="62">
        <f t="shared" si="18"/>
        <v>8853330.0949954204</v>
      </c>
      <c r="R40" s="62">
        <f t="shared" si="18"/>
        <v>2222900.3078608275</v>
      </c>
      <c r="S40" s="16">
        <f t="shared" si="11"/>
        <v>546677454.47536087</v>
      </c>
      <c r="T40" s="16">
        <f>'Collections and ACP'!H15</f>
        <v>157075656.73749998</v>
      </c>
      <c r="U40" s="16">
        <f t="shared" si="7"/>
        <v>703753111.21286082</v>
      </c>
      <c r="V40" s="16">
        <f t="shared" si="8"/>
        <v>129560381.51987153</v>
      </c>
      <c r="W40" s="16">
        <f t="shared" si="9"/>
        <v>574192729.69298935</v>
      </c>
    </row>
    <row r="41" spans="1:23" x14ac:dyDescent="0.3">
      <c r="A41" s="46" t="s">
        <v>54</v>
      </c>
      <c r="B41" s="58"/>
      <c r="C41" s="58"/>
      <c r="D41" s="58"/>
      <c r="E41" s="58"/>
      <c r="F41" s="58">
        <f t="shared" si="4"/>
        <v>4844486.1924790554</v>
      </c>
      <c r="G41" s="58"/>
      <c r="H41" s="58">
        <f t="shared" si="5"/>
        <v>13658999.999999998</v>
      </c>
      <c r="I41" s="58">
        <v>7242386.2325620223</v>
      </c>
      <c r="J41" s="62">
        <f t="shared" ref="J41:R41" si="19">$B$30*J12</f>
        <v>32820060.883445397</v>
      </c>
      <c r="K41" s="62">
        <f t="shared" si="19"/>
        <v>22350644.006494552</v>
      </c>
      <c r="L41" s="62">
        <f t="shared" si="19"/>
        <v>16947422.375591327</v>
      </c>
      <c r="M41" s="62">
        <f t="shared" si="19"/>
        <v>11239253.402545955</v>
      </c>
      <c r="N41" s="62">
        <f t="shared" si="19"/>
        <v>7477732.0179273514</v>
      </c>
      <c r="O41" s="62">
        <f t="shared" si="19"/>
        <v>11175322.003247276</v>
      </c>
      <c r="P41" s="62">
        <f t="shared" si="19"/>
        <v>-299356.2296248831</v>
      </c>
      <c r="Q41" s="62">
        <f t="shared" si="19"/>
        <v>14167104.040119316</v>
      </c>
      <c r="R41" s="62">
        <f t="shared" si="19"/>
        <v>3675151.5309649184</v>
      </c>
      <c r="S41" s="16">
        <f t="shared" si="11"/>
        <v>574192729.69298935</v>
      </c>
      <c r="T41" s="16">
        <f>'Collections and ACP'!H16</f>
        <v>157075656.73749998</v>
      </c>
      <c r="U41" s="16">
        <f t="shared" si="7"/>
        <v>731268386.4304893</v>
      </c>
      <c r="V41" s="16">
        <f t="shared" si="8"/>
        <v>145299206.45575225</v>
      </c>
      <c r="W41" s="16">
        <f t="shared" si="9"/>
        <v>585969179.97473705</v>
      </c>
    </row>
    <row r="42" spans="1:23" x14ac:dyDescent="0.3">
      <c r="A42" s="46" t="s">
        <v>55</v>
      </c>
      <c r="B42" s="58"/>
      <c r="C42" s="58"/>
      <c r="D42" s="58"/>
      <c r="E42" s="58"/>
      <c r="F42" s="58">
        <f t="shared" si="4"/>
        <v>4859721.3755531562</v>
      </c>
      <c r="G42" s="58"/>
      <c r="H42" s="58">
        <f t="shared" si="5"/>
        <v>13658999.999999998</v>
      </c>
      <c r="I42" s="58">
        <v>7242386.2325620223</v>
      </c>
      <c r="J42" s="62">
        <f t="shared" ref="J42:R42" si="20">$B$30*J13</f>
        <v>31507258.448107578</v>
      </c>
      <c r="K42" s="62">
        <f t="shared" si="20"/>
        <v>25535933.654270899</v>
      </c>
      <c r="L42" s="62">
        <f t="shared" si="20"/>
        <v>19887818.019913767</v>
      </c>
      <c r="M42" s="62">
        <f t="shared" si="20"/>
        <v>12824274.09787995</v>
      </c>
      <c r="N42" s="62">
        <f t="shared" si="20"/>
        <v>8781345.0670385864</v>
      </c>
      <c r="O42" s="62">
        <f t="shared" si="20"/>
        <v>12767966.827135449</v>
      </c>
      <c r="P42" s="62">
        <f t="shared" si="20"/>
        <v>-1876552.5881490032</v>
      </c>
      <c r="Q42" s="62">
        <f t="shared" si="20"/>
        <v>18927400.655728359</v>
      </c>
      <c r="R42" s="62">
        <f t="shared" si="20"/>
        <v>5113626.7619688511</v>
      </c>
      <c r="S42" s="16">
        <f t="shared" si="11"/>
        <v>585969179.97473705</v>
      </c>
      <c r="T42" s="16">
        <f>'Collections and ACP'!H17</f>
        <v>157075656.73749998</v>
      </c>
      <c r="U42" s="16">
        <f t="shared" si="7"/>
        <v>743044836.712237</v>
      </c>
      <c r="V42" s="16">
        <f t="shared" si="8"/>
        <v>159230178.55200961</v>
      </c>
      <c r="W42" s="16">
        <f t="shared" si="9"/>
        <v>583814658.16022742</v>
      </c>
    </row>
    <row r="43" spans="1:23" x14ac:dyDescent="0.3">
      <c r="A43" s="46" t="s">
        <v>56</v>
      </c>
      <c r="B43" s="58"/>
      <c r="C43" s="58"/>
      <c r="D43" s="58"/>
      <c r="E43" s="58"/>
      <c r="F43" s="58"/>
      <c r="G43" s="58"/>
      <c r="H43" s="58">
        <f t="shared" si="5"/>
        <v>13658999.999999998</v>
      </c>
      <c r="I43" s="58">
        <v>7242386.2325620223</v>
      </c>
      <c r="J43" s="62">
        <f t="shared" ref="J43:R43" si="21">$B$30*J14</f>
        <v>0</v>
      </c>
      <c r="K43" s="62">
        <f t="shared" si="21"/>
        <v>21268787.898454353</v>
      </c>
      <c r="L43" s="62">
        <f t="shared" si="21"/>
        <v>22692506.375766579</v>
      </c>
      <c r="M43" s="62">
        <f t="shared" si="21"/>
        <v>12760152.727390552</v>
      </c>
      <c r="N43" s="62">
        <f t="shared" si="21"/>
        <v>10032813.594185371</v>
      </c>
      <c r="O43" s="62">
        <f t="shared" si="21"/>
        <v>10634393.949227177</v>
      </c>
      <c r="P43" s="62">
        <f t="shared" si="21"/>
        <v>-4332901.8453714447</v>
      </c>
      <c r="Q43" s="62">
        <f t="shared" si="21"/>
        <v>23097403.822155688</v>
      </c>
      <c r="R43" s="62">
        <f t="shared" si="21"/>
        <v>6536024.7951449407</v>
      </c>
      <c r="S43" s="16">
        <f t="shared" si="11"/>
        <v>583814658.16022742</v>
      </c>
      <c r="T43" s="16">
        <f>'Collections and ACP'!H18</f>
        <v>157075656.73749998</v>
      </c>
      <c r="U43" s="16">
        <f t="shared" si="7"/>
        <v>740890314.89772737</v>
      </c>
      <c r="V43" s="16">
        <f t="shared" si="8"/>
        <v>123590567.54951523</v>
      </c>
      <c r="W43" s="16">
        <f t="shared" si="9"/>
        <v>617299747.34821212</v>
      </c>
    </row>
    <row r="44" spans="1:23" x14ac:dyDescent="0.3">
      <c r="A44" s="46" t="s">
        <v>57</v>
      </c>
      <c r="B44" s="58"/>
      <c r="C44" s="58"/>
      <c r="D44" s="58"/>
      <c r="E44" s="58"/>
      <c r="F44" s="58"/>
      <c r="G44" s="58"/>
      <c r="H44" s="58">
        <f t="shared" si="5"/>
        <v>13658999.999999998</v>
      </c>
      <c r="I44" s="58">
        <v>7242386.2325620223</v>
      </c>
      <c r="J44" s="62">
        <f t="shared" ref="J44:R44" si="22">$B$30*J15</f>
        <v>0</v>
      </c>
      <c r="K44" s="62">
        <f t="shared" si="22"/>
        <v>17352645.10673967</v>
      </c>
      <c r="L44" s="62">
        <f t="shared" si="22"/>
        <v>22579043.843887743</v>
      </c>
      <c r="M44" s="62">
        <f t="shared" si="22"/>
        <v>12696351.9637536</v>
      </c>
      <c r="N44" s="62">
        <f t="shared" si="22"/>
        <v>8356294.5944515802</v>
      </c>
      <c r="O44" s="62">
        <f t="shared" si="22"/>
        <v>8676322.553369835</v>
      </c>
      <c r="P44" s="62">
        <f t="shared" si="22"/>
        <v>-7715796.5919867177</v>
      </c>
      <c r="Q44" s="62">
        <f t="shared" si="22"/>
        <v>26639317.895475406</v>
      </c>
      <c r="R44" s="62">
        <f t="shared" si="22"/>
        <v>7939983.2030473184</v>
      </c>
      <c r="S44" s="16">
        <f t="shared" si="11"/>
        <v>617299747.34821212</v>
      </c>
      <c r="T44" s="16">
        <f>'Collections and ACP'!H19</f>
        <v>157075656.73749998</v>
      </c>
      <c r="U44" s="16">
        <f t="shared" si="7"/>
        <v>774375404.08571208</v>
      </c>
      <c r="V44" s="16">
        <f t="shared" si="8"/>
        <v>117425548.80130045</v>
      </c>
      <c r="W44" s="16">
        <f t="shared" si="9"/>
        <v>656949855.28441167</v>
      </c>
    </row>
    <row r="45" spans="1:23" x14ac:dyDescent="0.3">
      <c r="A45" s="46" t="s">
        <v>58</v>
      </c>
      <c r="B45" s="58"/>
      <c r="C45" s="58"/>
      <c r="D45" s="58"/>
      <c r="E45" s="58"/>
      <c r="F45" s="58"/>
      <c r="G45" s="58"/>
      <c r="H45" s="58">
        <f t="shared" si="5"/>
        <v>13658999.999999998</v>
      </c>
      <c r="I45" s="58">
        <v>6757320.8606967032</v>
      </c>
      <c r="J45" s="62">
        <f t="shared" ref="J45:R45" si="23">$B$30*J16</f>
        <v>0</v>
      </c>
      <c r="K45" s="62">
        <f t="shared" si="23"/>
        <v>13593148.026693577</v>
      </c>
      <c r="L45" s="62">
        <f t="shared" si="23"/>
        <v>22466148.624668308</v>
      </c>
      <c r="M45" s="62">
        <f t="shared" si="23"/>
        <v>12632870.203934832</v>
      </c>
      <c r="N45" s="62">
        <f t="shared" si="23"/>
        <v>6817681.1578163849</v>
      </c>
      <c r="O45" s="62">
        <f t="shared" si="23"/>
        <v>6796574.0133467885</v>
      </c>
      <c r="P45" s="62">
        <f t="shared" si="23"/>
        <v>-12073887.742195649</v>
      </c>
      <c r="Q45" s="62">
        <f t="shared" si="23"/>
        <v>29514343.250330746</v>
      </c>
      <c r="R45" s="62">
        <f t="shared" si="23"/>
        <v>9323076.8079095315</v>
      </c>
      <c r="S45" s="16">
        <f t="shared" si="11"/>
        <v>656949855.28441167</v>
      </c>
      <c r="T45" s="16">
        <f>'Collections and ACP'!H20</f>
        <v>157075656.73749998</v>
      </c>
      <c r="U45" s="16">
        <f t="shared" si="7"/>
        <v>814025512.02191162</v>
      </c>
      <c r="V45" s="16">
        <f t="shared" si="8"/>
        <v>109486275.20320122</v>
      </c>
      <c r="W45" s="16">
        <f t="shared" si="9"/>
        <v>704539236.81871045</v>
      </c>
    </row>
    <row r="46" spans="1:23" x14ac:dyDescent="0.3">
      <c r="A46" s="46" t="s">
        <v>59</v>
      </c>
      <c r="B46" s="58"/>
      <c r="C46" s="58"/>
      <c r="D46" s="58"/>
      <c r="E46" s="58"/>
      <c r="F46" s="58"/>
      <c r="G46" s="58"/>
      <c r="H46" s="58">
        <f t="shared" si="5"/>
        <v>13658999.999999998</v>
      </c>
      <c r="I46" s="58">
        <v>6757320.8606967032</v>
      </c>
      <c r="J46" s="62">
        <f t="shared" ref="J46:R46" si="24">$B$30*J17</f>
        <v>0</v>
      </c>
      <c r="K46" s="62">
        <f t="shared" si="24"/>
        <v>9984030.8298493288</v>
      </c>
      <c r="L46" s="62">
        <f t="shared" si="24"/>
        <v>22353817.881544966</v>
      </c>
      <c r="M46" s="62">
        <f t="shared" si="24"/>
        <v>12569705.852915157</v>
      </c>
      <c r="N46" s="62">
        <f t="shared" si="24"/>
        <v>5340612.2586465981</v>
      </c>
      <c r="O46" s="62">
        <f t="shared" si="24"/>
        <v>4992015.4149246644</v>
      </c>
      <c r="P46" s="62">
        <f t="shared" si="24"/>
        <v>-17592594.725179557</v>
      </c>
      <c r="Q46" s="62">
        <f t="shared" si="24"/>
        <v>25236819.99981663</v>
      </c>
      <c r="R46" s="62">
        <f t="shared" si="24"/>
        <v>9052191.9606076851</v>
      </c>
      <c r="S46" s="16">
        <f t="shared" si="11"/>
        <v>704539236.81871045</v>
      </c>
      <c r="T46" s="16">
        <f>'Collections and ACP'!H21</f>
        <v>157075656.73749998</v>
      </c>
      <c r="U46" s="16">
        <f t="shared" si="7"/>
        <v>861614893.5562104</v>
      </c>
      <c r="V46" s="16">
        <f t="shared" si="8"/>
        <v>92352920.333822161</v>
      </c>
      <c r="W46" s="16">
        <f t="shared" si="9"/>
        <v>769261973.22238827</v>
      </c>
    </row>
    <row r="47" spans="1:23" x14ac:dyDescent="0.3">
      <c r="A47" s="46" t="s">
        <v>60</v>
      </c>
      <c r="B47" s="58"/>
      <c r="C47" s="58"/>
      <c r="D47" s="58"/>
      <c r="E47" s="58"/>
      <c r="F47" s="58"/>
      <c r="G47" s="58"/>
      <c r="H47" s="58">
        <f t="shared" si="5"/>
        <v>13658999.999999998</v>
      </c>
      <c r="I47" s="58">
        <v>5746156.2319920398</v>
      </c>
      <c r="J47" s="62">
        <f t="shared" ref="J47:R47" si="25">$B$30*J18</f>
        <v>0</v>
      </c>
      <c r="K47" s="62">
        <f t="shared" si="25"/>
        <v>6519278.3208788512</v>
      </c>
      <c r="L47" s="62">
        <f t="shared" si="25"/>
        <v>22242048.792137239</v>
      </c>
      <c r="M47" s="62">
        <f t="shared" si="25"/>
        <v>12506857.32365058</v>
      </c>
      <c r="N47" s="62">
        <f t="shared" si="25"/>
        <v>3922626.1154436022</v>
      </c>
      <c r="O47" s="62">
        <f t="shared" si="25"/>
        <v>3259639.1604394256</v>
      </c>
      <c r="P47" s="62">
        <f t="shared" si="25"/>
        <v>-23221675.847823147</v>
      </c>
      <c r="Q47" s="62">
        <f t="shared" si="25"/>
        <v>20877101.939562358</v>
      </c>
      <c r="R47" s="62">
        <f t="shared" si="25"/>
        <v>8776175.7861356381</v>
      </c>
      <c r="S47" s="16">
        <f t="shared" si="11"/>
        <v>769261973.22238827</v>
      </c>
      <c r="T47" s="16">
        <f>'Collections and ACP'!H22</f>
        <v>157075656.73749998</v>
      </c>
      <c r="U47" s="16">
        <f t="shared" si="7"/>
        <v>926337629.95988822</v>
      </c>
      <c r="V47" s="16">
        <f t="shared" si="8"/>
        <v>74287207.822416589</v>
      </c>
      <c r="W47" s="16">
        <f t="shared" si="9"/>
        <v>852050422.13747168</v>
      </c>
    </row>
    <row r="48" spans="1:23" x14ac:dyDescent="0.3">
      <c r="A48" s="46" t="s">
        <v>61</v>
      </c>
      <c r="B48" s="58"/>
      <c r="C48" s="58"/>
      <c r="D48" s="58"/>
      <c r="E48" s="58"/>
      <c r="F48" s="58"/>
      <c r="G48" s="58"/>
      <c r="H48" s="58">
        <f t="shared" si="5"/>
        <v>13658999.999999998</v>
      </c>
      <c r="I48" s="58"/>
      <c r="J48" s="62">
        <f t="shared" ref="J48:R48" si="26">$B$30*J19</f>
        <v>0</v>
      </c>
      <c r="K48" s="62">
        <f t="shared" si="26"/>
        <v>3193115.9122671927</v>
      </c>
      <c r="L48" s="62">
        <f t="shared" si="26"/>
        <v>22130838.548176553</v>
      </c>
      <c r="M48" s="62">
        <f t="shared" si="26"/>
        <v>12444323.037032327</v>
      </c>
      <c r="N48" s="62">
        <f t="shared" si="26"/>
        <v>2561359.4179687267</v>
      </c>
      <c r="O48" s="62">
        <f t="shared" si="26"/>
        <v>1596557.9561335964</v>
      </c>
      <c r="P48" s="62">
        <f t="shared" si="26"/>
        <v>-28963338.592919599</v>
      </c>
      <c r="Q48" s="62">
        <f t="shared" si="26"/>
        <v>16433552.568652404</v>
      </c>
      <c r="R48" s="62">
        <f t="shared" si="26"/>
        <v>8494925.7973822262</v>
      </c>
      <c r="S48" s="16">
        <f t="shared" si="11"/>
        <v>852050422.13747168</v>
      </c>
      <c r="T48" s="16">
        <f>'Collections and ACP'!H23</f>
        <v>157075656.73749998</v>
      </c>
      <c r="U48" s="16">
        <f t="shared" si="7"/>
        <v>1009126078.8749716</v>
      </c>
      <c r="V48" s="16">
        <f t="shared" si="8"/>
        <v>51550334.644693427</v>
      </c>
      <c r="W48" s="16">
        <f t="shared" si="9"/>
        <v>957575744.23027825</v>
      </c>
    </row>
    <row r="49" spans="1:23" x14ac:dyDescent="0.3">
      <c r="A49" s="46" t="s">
        <v>62</v>
      </c>
      <c r="B49" s="58"/>
      <c r="C49" s="58"/>
      <c r="D49" s="58"/>
      <c r="E49" s="58"/>
      <c r="F49" s="58"/>
      <c r="G49" s="58"/>
      <c r="H49" s="58">
        <f t="shared" si="5"/>
        <v>13658999.999999998</v>
      </c>
      <c r="I49" s="58"/>
      <c r="J49" s="62">
        <f t="shared" ref="J49:R49" si="27">$B$30*J20</f>
        <v>0</v>
      </c>
      <c r="K49" s="62">
        <f t="shared" si="27"/>
        <v>0</v>
      </c>
      <c r="L49" s="62">
        <f t="shared" si="27"/>
        <v>22020184.355435669</v>
      </c>
      <c r="M49" s="62">
        <f t="shared" si="27"/>
        <v>12382101.421847166</v>
      </c>
      <c r="N49" s="62">
        <f t="shared" si="27"/>
        <v>1254543.3883928456</v>
      </c>
      <c r="O49" s="62">
        <f t="shared" si="27"/>
        <v>0</v>
      </c>
      <c r="P49" s="62">
        <f t="shared" si="27"/>
        <v>-34819834.592918009</v>
      </c>
      <c r="Q49" s="62">
        <f t="shared" si="27"/>
        <v>11904502.979362469</v>
      </c>
      <c r="R49" s="62">
        <f t="shared" si="27"/>
        <v>8208337.4802089836</v>
      </c>
      <c r="S49" s="16">
        <f t="shared" si="11"/>
        <v>957575744.23027825</v>
      </c>
      <c r="T49" s="16">
        <f>'Collections and ACP'!H24</f>
        <v>157075656.73749998</v>
      </c>
      <c r="U49" s="16">
        <f t="shared" si="7"/>
        <v>1114651400.9677782</v>
      </c>
      <c r="V49" s="16">
        <f t="shared" si="8"/>
        <v>34608835.03232912</v>
      </c>
      <c r="W49" s="16">
        <f t="shared" si="9"/>
        <v>1080042565.9354491</v>
      </c>
    </row>
    <row r="50" spans="1:23" x14ac:dyDescent="0.3">
      <c r="A50" s="46" t="s">
        <v>63</v>
      </c>
      <c r="B50" s="58"/>
      <c r="C50" s="58"/>
      <c r="D50" s="58"/>
      <c r="E50" s="58"/>
      <c r="F50" s="58"/>
      <c r="G50" s="58"/>
      <c r="H50" s="58"/>
      <c r="I50" s="58"/>
      <c r="J50" s="62">
        <f t="shared" ref="J50:R50" si="28">$B$30*J21</f>
        <v>0</v>
      </c>
      <c r="K50" s="62">
        <f t="shared" si="28"/>
        <v>0</v>
      </c>
      <c r="L50" s="62">
        <f t="shared" si="28"/>
        <v>21910083.433658488</v>
      </c>
      <c r="M50" s="62">
        <f t="shared" si="28"/>
        <v>12320190.914737929</v>
      </c>
      <c r="N50" s="62">
        <f t="shared" si="28"/>
        <v>0</v>
      </c>
      <c r="O50" s="62">
        <f t="shared" si="28"/>
        <v>0</v>
      </c>
      <c r="P50" s="62">
        <f t="shared" si="28"/>
        <v>-40793460.512916364</v>
      </c>
      <c r="Q50" s="62">
        <f t="shared" si="28"/>
        <v>7288251.2127741259</v>
      </c>
      <c r="R50" s="62">
        <f t="shared" si="28"/>
        <v>7916304.2531448696</v>
      </c>
      <c r="S50" s="16">
        <f t="shared" si="11"/>
        <v>1080042565.9354491</v>
      </c>
      <c r="T50" s="16">
        <f>'Collections and ACP'!H25</f>
        <v>157075656.73749998</v>
      </c>
      <c r="U50" s="16">
        <f t="shared" si="7"/>
        <v>1237118222.6729491</v>
      </c>
      <c r="V50" s="16">
        <f t="shared" si="8"/>
        <v>8641369.3013990521</v>
      </c>
      <c r="W50" s="16">
        <f t="shared" si="9"/>
        <v>1228476853.3715501</v>
      </c>
    </row>
    <row r="51" spans="1:23" x14ac:dyDescent="0.3">
      <c r="A51" s="46" t="s">
        <v>64</v>
      </c>
      <c r="B51" s="58"/>
      <c r="C51" s="58"/>
      <c r="D51" s="58"/>
      <c r="E51" s="58"/>
      <c r="F51" s="58"/>
      <c r="G51" s="58"/>
      <c r="H51" s="58"/>
      <c r="I51" s="58"/>
      <c r="J51" s="62">
        <f t="shared" ref="J51:R51" si="29">$B$30*J22</f>
        <v>0</v>
      </c>
      <c r="K51" s="62">
        <f t="shared" si="29"/>
        <v>0</v>
      </c>
      <c r="L51" s="62">
        <f t="shared" si="29"/>
        <v>21800533.016490199</v>
      </c>
      <c r="M51" s="62">
        <f t="shared" si="29"/>
        <v>12258589.960164241</v>
      </c>
      <c r="N51" s="62">
        <f t="shared" si="29"/>
        <v>0</v>
      </c>
      <c r="O51" s="62">
        <f t="shared" si="29"/>
        <v>0</v>
      </c>
      <c r="P51" s="62">
        <f t="shared" si="29"/>
        <v>-46886558.951314688</v>
      </c>
      <c r="Q51" s="62">
        <f t="shared" si="29"/>
        <v>2583061.6015627915</v>
      </c>
      <c r="R51" s="62">
        <f t="shared" si="29"/>
        <v>7618717.4262789022</v>
      </c>
      <c r="S51" s="16"/>
      <c r="T51" s="16"/>
      <c r="U51" s="16"/>
      <c r="V51" s="16"/>
      <c r="W51" s="16"/>
    </row>
    <row r="52" spans="1:23" x14ac:dyDescent="0.3">
      <c r="A52" s="46" t="s">
        <v>65</v>
      </c>
      <c r="B52" s="58"/>
      <c r="C52" s="58"/>
      <c r="D52" s="58"/>
      <c r="E52" s="58"/>
      <c r="F52" s="58"/>
      <c r="G52" s="58"/>
      <c r="H52" s="58"/>
      <c r="I52" s="58"/>
      <c r="J52" s="62">
        <f t="shared" ref="J52:R52" si="30">$B$30*J23</f>
        <v>0</v>
      </c>
      <c r="K52" s="62">
        <f t="shared" si="30"/>
        <v>0</v>
      </c>
      <c r="L52" s="62">
        <f t="shared" si="30"/>
        <v>21691530.351407748</v>
      </c>
      <c r="M52" s="62">
        <f t="shared" si="30"/>
        <v>12197297.010363417</v>
      </c>
      <c r="N52" s="62">
        <f t="shared" si="30"/>
        <v>0</v>
      </c>
      <c r="O52" s="62">
        <f t="shared" si="30"/>
        <v>0</v>
      </c>
      <c r="P52" s="62">
        <f t="shared" si="30"/>
        <v>-53101519.35848096</v>
      </c>
      <c r="Q52" s="62">
        <f t="shared" si="30"/>
        <v>-2212835.9002963379</v>
      </c>
      <c r="R52" s="62">
        <f t="shared" si="30"/>
        <v>7315466.1593347276</v>
      </c>
      <c r="S52" s="16"/>
      <c r="T52" s="16"/>
      <c r="U52" s="16"/>
      <c r="V52" s="16"/>
      <c r="W52" s="16"/>
    </row>
    <row r="53" spans="1:23" x14ac:dyDescent="0.3">
      <c r="A53" s="46" t="s">
        <v>66</v>
      </c>
      <c r="B53" s="57"/>
      <c r="C53" s="57"/>
      <c r="D53" s="58"/>
      <c r="E53" s="58"/>
      <c r="F53" s="58"/>
      <c r="G53" s="58"/>
      <c r="H53" s="57"/>
      <c r="I53" s="57"/>
      <c r="J53" s="62">
        <f t="shared" ref="J53:R53" si="31">$B$30*J24</f>
        <v>0</v>
      </c>
      <c r="K53" s="62">
        <f t="shared" si="31"/>
        <v>0</v>
      </c>
      <c r="L53" s="62">
        <f t="shared" si="31"/>
        <v>21583072.699650709</v>
      </c>
      <c r="M53" s="62">
        <f t="shared" si="31"/>
        <v>12136310.525311602</v>
      </c>
      <c r="N53" s="62">
        <f t="shared" si="31"/>
        <v>0</v>
      </c>
      <c r="O53" s="62">
        <f t="shared" si="31"/>
        <v>0</v>
      </c>
      <c r="P53" s="62">
        <f t="shared" si="31"/>
        <v>-59440778.973790556</v>
      </c>
      <c r="Q53" s="62">
        <f t="shared" si="31"/>
        <v>-7101246.4011652693</v>
      </c>
      <c r="R53" s="62">
        <f t="shared" si="31"/>
        <v>7006437.4189108089</v>
      </c>
      <c r="S53" s="16"/>
      <c r="T53" s="16"/>
      <c r="U53" s="16"/>
      <c r="V53" s="16"/>
      <c r="W53" s="16"/>
    </row>
    <row r="54" spans="1:23" x14ac:dyDescent="0.3">
      <c r="A54" s="46" t="s">
        <v>67</v>
      </c>
      <c r="B54" s="57"/>
      <c r="C54" s="57"/>
      <c r="D54" s="58"/>
      <c r="E54" s="58"/>
      <c r="F54" s="58"/>
      <c r="G54" s="58"/>
      <c r="H54" s="57"/>
      <c r="I54" s="57"/>
      <c r="J54" s="62">
        <f t="shared" ref="J54:R54" si="32">$B$30*J25</f>
        <v>0</v>
      </c>
      <c r="K54" s="62">
        <f t="shared" si="32"/>
        <v>0</v>
      </c>
      <c r="L54" s="62">
        <f t="shared" si="32"/>
        <v>21475157.336152453</v>
      </c>
      <c r="M54" s="62">
        <f t="shared" si="32"/>
        <v>12075628.972685045</v>
      </c>
      <c r="N54" s="62">
        <f t="shared" si="32"/>
        <v>0</v>
      </c>
      <c r="O54" s="62">
        <f t="shared" si="32"/>
        <v>0</v>
      </c>
      <c r="P54" s="62">
        <f t="shared" si="32"/>
        <v>-65906823.781406358</v>
      </c>
      <c r="Q54" s="62">
        <f t="shared" si="32"/>
        <v>-12084010.768989012</v>
      </c>
      <c r="R54" s="62">
        <f t="shared" si="32"/>
        <v>6691515.9348696247</v>
      </c>
      <c r="S54" s="16"/>
      <c r="T54" s="16"/>
      <c r="U54" s="16"/>
      <c r="V54" s="16"/>
      <c r="W54" s="16"/>
    </row>
    <row r="58" spans="1:23" x14ac:dyDescent="0.3">
      <c r="A58" s="35" t="s">
        <v>106</v>
      </c>
      <c r="B58" s="126">
        <v>0.72445000000000004</v>
      </c>
    </row>
    <row r="59" spans="1:23" ht="57.6" x14ac:dyDescent="0.3">
      <c r="A59" s="53" t="s">
        <v>43</v>
      </c>
      <c r="B59" s="53" t="s">
        <v>125</v>
      </c>
      <c r="C59" s="53" t="s">
        <v>116</v>
      </c>
      <c r="D59" s="53" t="s">
        <v>117</v>
      </c>
      <c r="E59" s="53" t="s">
        <v>118</v>
      </c>
      <c r="F59" s="53" t="s">
        <v>275</v>
      </c>
      <c r="G59" s="53" t="s">
        <v>44</v>
      </c>
      <c r="H59" s="53" t="s">
        <v>119</v>
      </c>
      <c r="I59" s="53" t="s">
        <v>126</v>
      </c>
      <c r="J59" s="53" t="s">
        <v>6</v>
      </c>
      <c r="K59" s="53" t="s">
        <v>12</v>
      </c>
      <c r="L59" s="53" t="s">
        <v>21</v>
      </c>
      <c r="M59" s="53" t="s">
        <v>25</v>
      </c>
      <c r="N59" s="53" t="s">
        <v>29</v>
      </c>
      <c r="O59" s="53" t="s">
        <v>33</v>
      </c>
      <c r="P59" s="53" t="s">
        <v>40</v>
      </c>
      <c r="Q59" s="53" t="s">
        <v>41</v>
      </c>
      <c r="R59" s="53" t="s">
        <v>42</v>
      </c>
      <c r="S59" s="54" t="s">
        <v>131</v>
      </c>
      <c r="T59" s="54" t="s">
        <v>128</v>
      </c>
      <c r="U59" s="54" t="s">
        <v>122</v>
      </c>
      <c r="V59" s="53" t="s">
        <v>123</v>
      </c>
      <c r="W59" s="53" t="s">
        <v>124</v>
      </c>
    </row>
    <row r="60" spans="1:23" x14ac:dyDescent="0.3">
      <c r="A60" s="46" t="s">
        <v>45</v>
      </c>
      <c r="B60" s="127">
        <v>111082596.30999993</v>
      </c>
      <c r="C60" s="127">
        <v>39472919.706000037</v>
      </c>
      <c r="D60" s="127">
        <v>20647482.9395</v>
      </c>
      <c r="E60" s="58">
        <v>23095359.600711424</v>
      </c>
      <c r="F60" s="58">
        <f t="shared" ref="F60:F71" si="33">$B$58*F3</f>
        <v>4895166.6218669675</v>
      </c>
      <c r="G60" s="58"/>
      <c r="H60" s="58">
        <f t="shared" ref="H60:H74" si="34">$B$58*H3</f>
        <v>8158611.0364449453</v>
      </c>
      <c r="I60" s="58">
        <v>2005534.0799999998</v>
      </c>
      <c r="J60" s="62">
        <f t="shared" ref="J60:R60" si="35">$B$58*J3</f>
        <v>0</v>
      </c>
      <c r="K60" s="62">
        <f t="shared" si="35"/>
        <v>0</v>
      </c>
      <c r="L60" s="62">
        <f t="shared" si="35"/>
        <v>0</v>
      </c>
      <c r="M60" s="62">
        <f t="shared" si="35"/>
        <v>0</v>
      </c>
      <c r="N60" s="62">
        <f t="shared" si="35"/>
        <v>0</v>
      </c>
      <c r="O60" s="62">
        <f t="shared" si="35"/>
        <v>0</v>
      </c>
      <c r="P60" s="62">
        <f t="shared" si="35"/>
        <v>0</v>
      </c>
      <c r="Q60" s="62">
        <f t="shared" si="35"/>
        <v>0</v>
      </c>
      <c r="R60" s="62">
        <f t="shared" si="35"/>
        <v>0</v>
      </c>
      <c r="S60" s="16">
        <f>'Collections and ACP'!C158+'Collections and ACP'!C155</f>
        <v>296007918.98000002</v>
      </c>
      <c r="T60" s="16">
        <f>'Collections and ACP'!H46</f>
        <v>160340838.45917991</v>
      </c>
      <c r="U60" s="16">
        <f t="shared" ref="U60:U78" si="36">S60+T60</f>
        <v>456348757.4391799</v>
      </c>
      <c r="V60" s="16">
        <f t="shared" ref="V60:V78" si="37">SUM(B60:R60)</f>
        <v>209357670.29452333</v>
      </c>
      <c r="W60" s="16">
        <f t="shared" ref="W60:W78" si="38">U60-V60</f>
        <v>246991087.14465657</v>
      </c>
    </row>
    <row r="61" spans="1:23" x14ac:dyDescent="0.3">
      <c r="A61" s="46" t="s">
        <v>46</v>
      </c>
      <c r="B61" s="127">
        <v>28507869.160000019</v>
      </c>
      <c r="C61" s="127">
        <v>41490964.049499996</v>
      </c>
      <c r="D61" s="127">
        <v>86255990.32600005</v>
      </c>
      <c r="E61" s="58">
        <v>18588255.383493654</v>
      </c>
      <c r="F61" s="58">
        <f t="shared" si="33"/>
        <v>10100379.767692089</v>
      </c>
      <c r="G61" s="58">
        <v>10000000</v>
      </c>
      <c r="H61" s="58">
        <f t="shared" si="34"/>
        <v>36222500</v>
      </c>
      <c r="I61" s="58">
        <v>11756993.128173925</v>
      </c>
      <c r="J61" s="62">
        <f t="shared" ref="J61:R61" si="39">$B$58*J4</f>
        <v>0</v>
      </c>
      <c r="K61" s="62">
        <f t="shared" si="39"/>
        <v>0</v>
      </c>
      <c r="L61" s="62">
        <f t="shared" si="39"/>
        <v>0</v>
      </c>
      <c r="M61" s="62">
        <f t="shared" si="39"/>
        <v>0</v>
      </c>
      <c r="N61" s="62">
        <f t="shared" si="39"/>
        <v>0</v>
      </c>
      <c r="O61" s="62">
        <f t="shared" si="39"/>
        <v>0</v>
      </c>
      <c r="P61" s="62">
        <f t="shared" si="39"/>
        <v>0</v>
      </c>
      <c r="Q61" s="62">
        <f t="shared" si="39"/>
        <v>0</v>
      </c>
      <c r="R61" s="62">
        <f t="shared" si="39"/>
        <v>0</v>
      </c>
      <c r="S61" s="16">
        <f t="shared" ref="S61:S78" si="40">W60</f>
        <v>246991087.14465657</v>
      </c>
      <c r="T61" s="16">
        <f>'Collections and ACP'!H47</f>
        <v>334084827.7045005</v>
      </c>
      <c r="U61" s="16">
        <f t="shared" si="36"/>
        <v>581075914.84915709</v>
      </c>
      <c r="V61" s="16">
        <f t="shared" si="37"/>
        <v>242922951.81485972</v>
      </c>
      <c r="W61" s="16">
        <f t="shared" si="38"/>
        <v>338152963.03429735</v>
      </c>
    </row>
    <row r="62" spans="1:23" x14ac:dyDescent="0.3">
      <c r="A62" s="46" t="s">
        <v>47</v>
      </c>
      <c r="B62" s="127">
        <v>1988838.6700000002</v>
      </c>
      <c r="C62" s="127">
        <v>40685521.75600002</v>
      </c>
      <c r="D62" s="127">
        <v>81631450.734999999</v>
      </c>
      <c r="E62" s="58">
        <v>17220344.595163539</v>
      </c>
      <c r="F62" s="58">
        <f t="shared" si="33"/>
        <v>12767626.985842081</v>
      </c>
      <c r="G62" s="58"/>
      <c r="H62" s="58">
        <f t="shared" si="34"/>
        <v>36222500</v>
      </c>
      <c r="I62" s="58">
        <v>17368938.635403711</v>
      </c>
      <c r="J62" s="62">
        <f t="shared" ref="J62:R62" si="41">$B$58*J5</f>
        <v>0</v>
      </c>
      <c r="K62" s="62">
        <f t="shared" si="41"/>
        <v>0</v>
      </c>
      <c r="L62" s="62">
        <f t="shared" si="41"/>
        <v>0</v>
      </c>
      <c r="M62" s="62">
        <f t="shared" si="41"/>
        <v>0</v>
      </c>
      <c r="N62" s="62">
        <f t="shared" si="41"/>
        <v>0</v>
      </c>
      <c r="O62" s="62">
        <f t="shared" si="41"/>
        <v>0</v>
      </c>
      <c r="P62" s="62">
        <f t="shared" si="41"/>
        <v>0</v>
      </c>
      <c r="Q62" s="62">
        <f t="shared" si="41"/>
        <v>0</v>
      </c>
      <c r="R62" s="62">
        <f t="shared" si="41"/>
        <v>0</v>
      </c>
      <c r="S62" s="16">
        <f t="shared" si="40"/>
        <v>338152963.03429735</v>
      </c>
      <c r="T62" s="16">
        <f>'Collections and ACP'!H48</f>
        <v>425587002.41775018</v>
      </c>
      <c r="U62" s="16">
        <f t="shared" si="36"/>
        <v>763739965.45204759</v>
      </c>
      <c r="V62" s="16">
        <f t="shared" si="37"/>
        <v>207885221.37740934</v>
      </c>
      <c r="W62" s="16">
        <f t="shared" si="38"/>
        <v>555854744.07463825</v>
      </c>
    </row>
    <row r="63" spans="1:23" x14ac:dyDescent="0.3">
      <c r="A63" s="46" t="s">
        <v>48</v>
      </c>
      <c r="B63" s="127">
        <v>0</v>
      </c>
      <c r="C63" s="127">
        <v>37280525.443499997</v>
      </c>
      <c r="D63" s="127">
        <v>78353025.482000008</v>
      </c>
      <c r="E63" s="58">
        <v>14320007.415898787</v>
      </c>
      <c r="F63" s="58">
        <f t="shared" si="33"/>
        <v>12800780.504322443</v>
      </c>
      <c r="G63" s="58"/>
      <c r="H63" s="58">
        <f t="shared" si="34"/>
        <v>36222500</v>
      </c>
      <c r="I63" s="58">
        <v>17368938.635403711</v>
      </c>
      <c r="J63" s="62">
        <f t="shared" ref="J63:R63" si="42">$B$58*J6</f>
        <v>0</v>
      </c>
      <c r="K63" s="62">
        <f t="shared" si="42"/>
        <v>0</v>
      </c>
      <c r="L63" s="62">
        <f t="shared" si="42"/>
        <v>0</v>
      </c>
      <c r="M63" s="62">
        <f t="shared" si="42"/>
        <v>0</v>
      </c>
      <c r="N63" s="62">
        <f t="shared" si="42"/>
        <v>0</v>
      </c>
      <c r="O63" s="62">
        <f t="shared" si="42"/>
        <v>0</v>
      </c>
      <c r="P63" s="62">
        <f t="shared" si="42"/>
        <v>0</v>
      </c>
      <c r="Q63" s="62">
        <f t="shared" si="42"/>
        <v>0</v>
      </c>
      <c r="R63" s="62">
        <f t="shared" si="42"/>
        <v>0</v>
      </c>
      <c r="S63" s="16">
        <f t="shared" si="40"/>
        <v>555854744.07463825</v>
      </c>
      <c r="T63" s="16">
        <f>'Collections and ACP'!H49</f>
        <v>427796090.93619514</v>
      </c>
      <c r="U63" s="16">
        <f t="shared" si="36"/>
        <v>983650835.01083338</v>
      </c>
      <c r="V63" s="16">
        <f t="shared" si="37"/>
        <v>196345777.48112497</v>
      </c>
      <c r="W63" s="16">
        <f t="shared" si="38"/>
        <v>787305057.52970839</v>
      </c>
    </row>
    <row r="64" spans="1:23" x14ac:dyDescent="0.3">
      <c r="A64" s="46" t="s">
        <v>49</v>
      </c>
      <c r="B64" s="127">
        <v>0</v>
      </c>
      <c r="C64" s="127">
        <v>23255064.254000016</v>
      </c>
      <c r="D64" s="127">
        <v>76090054.036500007</v>
      </c>
      <c r="E64" s="58">
        <v>14162541.685608782</v>
      </c>
      <c r="F64" s="58">
        <f t="shared" si="33"/>
        <v>12760067.595802609</v>
      </c>
      <c r="G64" s="58">
        <v>10000000</v>
      </c>
      <c r="H64" s="58">
        <f t="shared" si="34"/>
        <v>36222500</v>
      </c>
      <c r="I64" s="58">
        <v>17368938.635403711</v>
      </c>
      <c r="J64" s="62">
        <f t="shared" ref="J64:R64" si="43">$B$58*J7</f>
        <v>106743818.1708058</v>
      </c>
      <c r="K64" s="62">
        <f t="shared" si="43"/>
        <v>11454348.318568638</v>
      </c>
      <c r="L64" s="62">
        <f t="shared" si="43"/>
        <v>0</v>
      </c>
      <c r="M64" s="62">
        <f t="shared" si="43"/>
        <v>5560298.5990075497</v>
      </c>
      <c r="N64" s="62">
        <f t="shared" si="43"/>
        <v>0</v>
      </c>
      <c r="O64" s="62">
        <f t="shared" si="43"/>
        <v>5727174.1592843188</v>
      </c>
      <c r="P64" s="62">
        <f t="shared" si="43"/>
        <v>0</v>
      </c>
      <c r="Q64" s="62">
        <f t="shared" si="43"/>
        <v>0</v>
      </c>
      <c r="R64" s="62">
        <f t="shared" si="43"/>
        <v>0</v>
      </c>
      <c r="S64" s="16">
        <f t="shared" si="40"/>
        <v>787305057.52970839</v>
      </c>
      <c r="T64" s="16">
        <f>'Collections and ACP'!H50</f>
        <v>427782563.48452926</v>
      </c>
      <c r="U64" s="16">
        <f t="shared" si="36"/>
        <v>1215087621.0142376</v>
      </c>
      <c r="V64" s="16">
        <f t="shared" si="37"/>
        <v>319344805.45498139</v>
      </c>
      <c r="W64" s="16">
        <f t="shared" si="38"/>
        <v>895742815.55925632</v>
      </c>
    </row>
    <row r="65" spans="1:23" x14ac:dyDescent="0.3">
      <c r="A65" s="46" t="s">
        <v>50</v>
      </c>
      <c r="B65" s="127">
        <v>0</v>
      </c>
      <c r="C65" s="127">
        <v>6340841.614500002</v>
      </c>
      <c r="D65" s="127">
        <v>44868330.975999996</v>
      </c>
      <c r="E65" s="58">
        <v>10125431.694168944</v>
      </c>
      <c r="F65" s="58">
        <f t="shared" si="33"/>
        <v>12716528.546262404</v>
      </c>
      <c r="G65" s="58"/>
      <c r="H65" s="58">
        <f t="shared" si="34"/>
        <v>36222500</v>
      </c>
      <c r="I65" s="58">
        <v>17368938.635403711</v>
      </c>
      <c r="J65" s="62">
        <f t="shared" ref="J65:R65" si="44">$B$58*J8</f>
        <v>102474065.44397356</v>
      </c>
      <c r="K65" s="62">
        <f t="shared" si="44"/>
        <v>21814170.020029608</v>
      </c>
      <c r="L65" s="62">
        <f t="shared" si="44"/>
        <v>9838928.1487677954</v>
      </c>
      <c r="M65" s="62">
        <f t="shared" si="44"/>
        <v>10870383.761059759</v>
      </c>
      <c r="N65" s="62">
        <f t="shared" si="44"/>
        <v>4500299.1893288186</v>
      </c>
      <c r="O65" s="62">
        <f t="shared" si="44"/>
        <v>10907085.010014804</v>
      </c>
      <c r="P65" s="62">
        <f t="shared" si="44"/>
        <v>0</v>
      </c>
      <c r="Q65" s="62">
        <f t="shared" si="44"/>
        <v>0</v>
      </c>
      <c r="R65" s="62">
        <f t="shared" si="44"/>
        <v>0</v>
      </c>
      <c r="S65" s="16">
        <f t="shared" si="40"/>
        <v>895742815.55925632</v>
      </c>
      <c r="T65" s="16">
        <f>'Collections and ACP'!H51</f>
        <v>426644165.48655927</v>
      </c>
      <c r="U65" s="16">
        <f t="shared" si="36"/>
        <v>1322386981.0458155</v>
      </c>
      <c r="V65" s="16">
        <f t="shared" si="37"/>
        <v>288047503.03950936</v>
      </c>
      <c r="W65" s="16">
        <f t="shared" si="38"/>
        <v>1034339478.0063062</v>
      </c>
    </row>
    <row r="66" spans="1:23" x14ac:dyDescent="0.3">
      <c r="A66" s="46" t="s">
        <v>51</v>
      </c>
      <c r="B66" s="127">
        <v>0</v>
      </c>
      <c r="C66" s="127">
        <v>425153.99800000002</v>
      </c>
      <c r="D66" s="127">
        <v>3620610.1070000003</v>
      </c>
      <c r="E66" s="58">
        <v>8012431.7104763286</v>
      </c>
      <c r="F66" s="58">
        <f t="shared" si="33"/>
        <v>12730542.858567938</v>
      </c>
      <c r="G66" s="58"/>
      <c r="H66" s="58">
        <f t="shared" si="34"/>
        <v>36222500</v>
      </c>
      <c r="I66" s="58">
        <v>17368938.635403711</v>
      </c>
      <c r="J66" s="62">
        <f t="shared" ref="J66:R66" si="45">$B$58*J9</f>
        <v>98375102.826214626</v>
      </c>
      <c r="K66" s="62">
        <f t="shared" si="45"/>
        <v>31759598.853432134</v>
      </c>
      <c r="L66" s="62">
        <f t="shared" si="45"/>
        <v>19235104.530841041</v>
      </c>
      <c r="M66" s="62">
        <f t="shared" si="45"/>
        <v>15940403.031099817</v>
      </c>
      <c r="N66" s="62">
        <f t="shared" si="45"/>
        <v>8570569.7894551046</v>
      </c>
      <c r="O66" s="62">
        <f t="shared" si="45"/>
        <v>15879799.426716067</v>
      </c>
      <c r="P66" s="62">
        <f t="shared" si="45"/>
        <v>0</v>
      </c>
      <c r="Q66" s="62">
        <f t="shared" si="45"/>
        <v>0</v>
      </c>
      <c r="R66" s="62">
        <f t="shared" si="45"/>
        <v>0</v>
      </c>
      <c r="S66" s="16">
        <f t="shared" si="40"/>
        <v>1034339478.0063062</v>
      </c>
      <c r="T66" s="16">
        <f>'Collections and ACP'!H52</f>
        <v>427288775.61238623</v>
      </c>
      <c r="U66" s="16">
        <f t="shared" si="36"/>
        <v>1461628253.6186924</v>
      </c>
      <c r="V66" s="16">
        <f t="shared" si="37"/>
        <v>268140755.76720679</v>
      </c>
      <c r="W66" s="16">
        <f t="shared" si="38"/>
        <v>1193487497.8514857</v>
      </c>
    </row>
    <row r="67" spans="1:23" x14ac:dyDescent="0.3">
      <c r="A67" s="46" t="s">
        <v>52</v>
      </c>
      <c r="B67" s="58"/>
      <c r="C67" s="58"/>
      <c r="D67" s="58"/>
      <c r="E67" s="58">
        <v>4480482.7749063233</v>
      </c>
      <c r="F67" s="58">
        <f t="shared" si="33"/>
        <v>12768737.815644307</v>
      </c>
      <c r="G67" s="58">
        <v>10000000</v>
      </c>
      <c r="H67" s="58">
        <f t="shared" si="34"/>
        <v>36222500</v>
      </c>
      <c r="I67" s="58">
        <v>17368938.635403711</v>
      </c>
      <c r="J67" s="62">
        <f t="shared" ref="J67:R67" si="46">$B$58*J10</f>
        <v>94440098.713166028</v>
      </c>
      <c r="K67" s="62">
        <f t="shared" si="46"/>
        <v>41307210.533498563</v>
      </c>
      <c r="L67" s="62">
        <f t="shared" si="46"/>
        <v>28206485.190091234</v>
      </c>
      <c r="M67" s="62">
        <f t="shared" si="46"/>
        <v>20780097.357235864</v>
      </c>
      <c r="N67" s="62">
        <f t="shared" si="46"/>
        <v>12478029.565576339</v>
      </c>
      <c r="O67" s="62">
        <f t="shared" si="46"/>
        <v>20653605.266749281</v>
      </c>
      <c r="P67" s="62">
        <f t="shared" si="46"/>
        <v>1063522.9025843677</v>
      </c>
      <c r="Q67" s="62">
        <f t="shared" si="46"/>
        <v>8013924.6129053524</v>
      </c>
      <c r="R67" s="62">
        <f t="shared" si="46"/>
        <v>2013106.9252388482</v>
      </c>
      <c r="S67" s="16">
        <f t="shared" si="40"/>
        <v>1193487497.8514857</v>
      </c>
      <c r="T67" s="16">
        <f>'Collections and ACP'!H53</f>
        <v>429045104.18550754</v>
      </c>
      <c r="U67" s="16">
        <f t="shared" si="36"/>
        <v>1622532602.0369933</v>
      </c>
      <c r="V67" s="16">
        <f t="shared" si="37"/>
        <v>309796740.2930001</v>
      </c>
      <c r="W67" s="16">
        <f t="shared" si="38"/>
        <v>1312735861.7439933</v>
      </c>
    </row>
    <row r="68" spans="1:23" x14ac:dyDescent="0.3">
      <c r="A68" s="46" t="s">
        <v>53</v>
      </c>
      <c r="B68" s="58"/>
      <c r="C68" s="58"/>
      <c r="D68" s="58"/>
      <c r="E68" s="58">
        <v>4478132.259204451</v>
      </c>
      <c r="F68" s="58">
        <f t="shared" si="33"/>
        <v>12831251.812608905</v>
      </c>
      <c r="G68" s="58"/>
      <c r="H68" s="58">
        <f t="shared" si="34"/>
        <v>36222500</v>
      </c>
      <c r="I68" s="58">
        <v>17368938.635403711</v>
      </c>
      <c r="J68" s="62">
        <f t="shared" ref="J68:R68" si="47">$B$58*J11</f>
        <v>90662494.764639392</v>
      </c>
      <c r="K68" s="62">
        <f t="shared" si="47"/>
        <v>50472917.746362343</v>
      </c>
      <c r="L68" s="62">
        <f t="shared" si="47"/>
        <v>36770306.698769003</v>
      </c>
      <c r="M68" s="62">
        <f t="shared" si="47"/>
        <v>25398817.358089563</v>
      </c>
      <c r="N68" s="62">
        <f t="shared" si="47"/>
        <v>16229190.950652722</v>
      </c>
      <c r="O68" s="62">
        <f t="shared" si="47"/>
        <v>25236458.873181172</v>
      </c>
      <c r="P68" s="62">
        <f t="shared" si="47"/>
        <v>1179709.8319447143</v>
      </c>
      <c r="Q68" s="62">
        <f t="shared" si="47"/>
        <v>23478274.351414576</v>
      </c>
      <c r="R68" s="62">
        <f t="shared" si="47"/>
        <v>5894941.5331641296</v>
      </c>
      <c r="S68" s="16">
        <f t="shared" si="40"/>
        <v>1312735861.7439933</v>
      </c>
      <c r="T68" s="16">
        <f>'Collections and ACP'!H54</f>
        <v>431920687.15558982</v>
      </c>
      <c r="U68" s="16">
        <f t="shared" si="36"/>
        <v>1744656548.8995831</v>
      </c>
      <c r="V68" s="16">
        <f t="shared" si="37"/>
        <v>346223934.81543463</v>
      </c>
      <c r="W68" s="16">
        <f t="shared" si="38"/>
        <v>1398432614.0841484</v>
      </c>
    </row>
    <row r="69" spans="1:23" x14ac:dyDescent="0.3">
      <c r="A69" s="46" t="s">
        <v>54</v>
      </c>
      <c r="B69" s="58"/>
      <c r="C69" s="58"/>
      <c r="D69" s="58"/>
      <c r="E69" s="58">
        <v>4338008.6485485407</v>
      </c>
      <c r="F69" s="58">
        <f t="shared" si="33"/>
        <v>12847163.12373326</v>
      </c>
      <c r="G69" s="58"/>
      <c r="H69" s="58">
        <f t="shared" si="34"/>
        <v>36222500</v>
      </c>
      <c r="I69" s="58">
        <v>17368938.635403711</v>
      </c>
      <c r="J69" s="62">
        <f t="shared" ref="J69:R69" si="48">$B$58*J12</f>
        <v>87035994.974053815</v>
      </c>
      <c r="K69" s="62">
        <f t="shared" si="48"/>
        <v>59271996.670711555</v>
      </c>
      <c r="L69" s="62">
        <f t="shared" si="48"/>
        <v>44943114.942518257</v>
      </c>
      <c r="M69" s="62">
        <f t="shared" si="48"/>
        <v>29805538.939433403</v>
      </c>
      <c r="N69" s="62">
        <f t="shared" si="48"/>
        <v>19830305.880326051</v>
      </c>
      <c r="O69" s="62">
        <f t="shared" si="48"/>
        <v>29635998.335355777</v>
      </c>
      <c r="P69" s="62">
        <f t="shared" si="48"/>
        <v>-793867.12259955565</v>
      </c>
      <c r="Q69" s="62">
        <f t="shared" si="48"/>
        <v>37569948.465716526</v>
      </c>
      <c r="R69" s="62">
        <f t="shared" si="48"/>
        <v>9746187.5928235427</v>
      </c>
      <c r="S69" s="16">
        <f t="shared" si="40"/>
        <v>1398432614.0841484</v>
      </c>
      <c r="T69" s="16">
        <f>'Collections and ACP'!H55</f>
        <v>432651888.83378154</v>
      </c>
      <c r="U69" s="16">
        <f t="shared" si="36"/>
        <v>1831084502.9179299</v>
      </c>
      <c r="V69" s="16">
        <f t="shared" si="37"/>
        <v>387821829.08602488</v>
      </c>
      <c r="W69" s="16">
        <f t="shared" si="38"/>
        <v>1443262673.8319049</v>
      </c>
    </row>
    <row r="70" spans="1:23" x14ac:dyDescent="0.3">
      <c r="A70" s="46" t="s">
        <v>55</v>
      </c>
      <c r="B70" s="58"/>
      <c r="C70" s="58"/>
      <c r="D70" s="58"/>
      <c r="E70" s="58">
        <v>4303453.6786395097</v>
      </c>
      <c r="F70" s="58">
        <f t="shared" si="33"/>
        <v>12887565.526464179</v>
      </c>
      <c r="G70" s="58">
        <v>10000000</v>
      </c>
      <c r="H70" s="58">
        <f t="shared" si="34"/>
        <v>36222500</v>
      </c>
      <c r="I70" s="58">
        <v>17368938.635403711</v>
      </c>
      <c r="J70" s="62">
        <f t="shared" ref="J70:R70" si="49">$B$58*J13</f>
        <v>83554555.175091654</v>
      </c>
      <c r="K70" s="62">
        <f t="shared" si="49"/>
        <v>67719112.438086808</v>
      </c>
      <c r="L70" s="62">
        <f t="shared" si="49"/>
        <v>52740792.753959045</v>
      </c>
      <c r="M70" s="62">
        <f t="shared" si="49"/>
        <v>34008878.286145143</v>
      </c>
      <c r="N70" s="62">
        <f t="shared" si="49"/>
        <v>23287376.212812446</v>
      </c>
      <c r="O70" s="62">
        <f t="shared" si="49"/>
        <v>33859556.219043404</v>
      </c>
      <c r="P70" s="62">
        <f t="shared" si="49"/>
        <v>-4976456.9971613791</v>
      </c>
      <c r="Q70" s="62">
        <f t="shared" si="49"/>
        <v>50193848.030757785</v>
      </c>
      <c r="R70" s="62">
        <f t="shared" si="49"/>
        <v>13560900.899437493</v>
      </c>
      <c r="S70" s="16">
        <f t="shared" si="40"/>
        <v>1443262673.8319049</v>
      </c>
      <c r="T70" s="16">
        <f>'Collections and ACP'!H56</f>
        <v>434509872.83833295</v>
      </c>
      <c r="U70" s="16">
        <f t="shared" si="36"/>
        <v>1877772546.6702378</v>
      </c>
      <c r="V70" s="16">
        <f t="shared" si="37"/>
        <v>434731020.85867983</v>
      </c>
      <c r="W70" s="16">
        <f t="shared" si="38"/>
        <v>1443041525.811558</v>
      </c>
    </row>
    <row r="71" spans="1:23" x14ac:dyDescent="0.3">
      <c r="A71" s="46" t="s">
        <v>56</v>
      </c>
      <c r="B71" s="58"/>
      <c r="C71" s="58"/>
      <c r="D71" s="58"/>
      <c r="E71" s="58">
        <v>4261079.6921323007</v>
      </c>
      <c r="F71" s="58">
        <f t="shared" si="33"/>
        <v>12935442.070384257</v>
      </c>
      <c r="G71" s="58"/>
      <c r="H71" s="58">
        <f t="shared" si="34"/>
        <v>36222500</v>
      </c>
      <c r="I71" s="58">
        <v>17368938.635403711</v>
      </c>
      <c r="J71" s="62">
        <f t="shared" ref="J71:R71" si="50">$B$58*J14</f>
        <v>0</v>
      </c>
      <c r="K71" s="62">
        <f t="shared" si="50"/>
        <v>56403006.783202492</v>
      </c>
      <c r="L71" s="62">
        <f t="shared" si="50"/>
        <v>60178586.440896474</v>
      </c>
      <c r="M71" s="62">
        <f t="shared" si="50"/>
        <v>33838833.894714423</v>
      </c>
      <c r="N71" s="62">
        <f t="shared" si="50"/>
        <v>26606163.73199939</v>
      </c>
      <c r="O71" s="62">
        <f t="shared" si="50"/>
        <v>28201503.391601246</v>
      </c>
      <c r="P71" s="62">
        <f t="shared" si="50"/>
        <v>-11490485.181489652</v>
      </c>
      <c r="Q71" s="62">
        <f t="shared" si="50"/>
        <v>61252339.845379204</v>
      </c>
      <c r="R71" s="62">
        <f t="shared" si="50"/>
        <v>17332978.852195449</v>
      </c>
      <c r="S71" s="16">
        <f t="shared" si="40"/>
        <v>1443041525.811558</v>
      </c>
      <c r="T71" s="16">
        <f>'Collections and ACP'!H57</f>
        <v>436711740.6575731</v>
      </c>
      <c r="U71" s="16">
        <f t="shared" si="36"/>
        <v>1879753266.469131</v>
      </c>
      <c r="V71" s="16">
        <f t="shared" si="37"/>
        <v>343110888.15641934</v>
      </c>
      <c r="W71" s="16">
        <f t="shared" si="38"/>
        <v>1536642378.3127117</v>
      </c>
    </row>
    <row r="72" spans="1:23" x14ac:dyDescent="0.3">
      <c r="A72" s="46" t="s">
        <v>57</v>
      </c>
      <c r="B72" s="58"/>
      <c r="C72" s="58"/>
      <c r="D72" s="58"/>
      <c r="E72" s="58"/>
      <c r="F72" s="58"/>
      <c r="G72" s="58"/>
      <c r="H72" s="58">
        <f t="shared" si="34"/>
        <v>36222500</v>
      </c>
      <c r="I72" s="58">
        <v>17368938.635403711</v>
      </c>
      <c r="J72" s="62">
        <f t="shared" ref="J72:R72" si="51">$B$58*J15</f>
        <v>0</v>
      </c>
      <c r="K72" s="62">
        <f t="shared" si="51"/>
        <v>46017730.974366918</v>
      </c>
      <c r="L72" s="62">
        <f t="shared" si="51"/>
        <v>59877693.508691989</v>
      </c>
      <c r="M72" s="62">
        <f t="shared" si="51"/>
        <v>33669639.725240856</v>
      </c>
      <c r="N72" s="62">
        <f t="shared" si="51"/>
        <v>22160178.706166074</v>
      </c>
      <c r="O72" s="62">
        <f t="shared" si="51"/>
        <v>23008865.487183459</v>
      </c>
      <c r="P72" s="62">
        <f t="shared" si="51"/>
        <v>-20461632.773500178</v>
      </c>
      <c r="Q72" s="62">
        <f t="shared" si="51"/>
        <v>70645193.093847141</v>
      </c>
      <c r="R72" s="62">
        <f t="shared" si="51"/>
        <v>21056156.495525409</v>
      </c>
      <c r="S72" s="16">
        <f t="shared" si="40"/>
        <v>1536642378.3127117</v>
      </c>
      <c r="T72" s="16">
        <f>'Collections and ACP'!H58</f>
        <v>440793222.53098226</v>
      </c>
      <c r="U72" s="16">
        <f t="shared" si="36"/>
        <v>1977435600.843694</v>
      </c>
      <c r="V72" s="16">
        <f t="shared" si="37"/>
        <v>309565263.85292536</v>
      </c>
      <c r="W72" s="16">
        <f t="shared" si="38"/>
        <v>1667870336.9907687</v>
      </c>
    </row>
    <row r="73" spans="1:23" x14ac:dyDescent="0.3">
      <c r="A73" s="46" t="s">
        <v>58</v>
      </c>
      <c r="B73" s="58"/>
      <c r="C73" s="58"/>
      <c r="D73" s="58"/>
      <c r="E73" s="58"/>
      <c r="F73" s="58"/>
      <c r="G73" s="58"/>
      <c r="H73" s="58">
        <f t="shared" si="34"/>
        <v>36222500</v>
      </c>
      <c r="I73" s="58">
        <v>16205641.729266424</v>
      </c>
      <c r="J73" s="62">
        <f t="shared" ref="J73:R73" si="52">$B$58*J16</f>
        <v>0</v>
      </c>
      <c r="K73" s="62">
        <f t="shared" si="52"/>
        <v>36047866.197884776</v>
      </c>
      <c r="L73" s="62">
        <f t="shared" si="52"/>
        <v>59578305.041148536</v>
      </c>
      <c r="M73" s="62">
        <f t="shared" si="52"/>
        <v>33501291.526614647</v>
      </c>
      <c r="N73" s="62">
        <f t="shared" si="52"/>
        <v>18079907.441174611</v>
      </c>
      <c r="O73" s="62">
        <f t="shared" si="52"/>
        <v>18023933.098942388</v>
      </c>
      <c r="P73" s="62">
        <f t="shared" si="52"/>
        <v>-32018917.837446515</v>
      </c>
      <c r="Q73" s="62">
        <f t="shared" si="52"/>
        <v>78269514.48752512</v>
      </c>
      <c r="R73" s="62">
        <f t="shared" si="52"/>
        <v>24724002.465371042</v>
      </c>
      <c r="S73" s="16">
        <f t="shared" si="40"/>
        <v>1667870336.9907687</v>
      </c>
      <c r="T73" s="16">
        <f>'Collections and ACP'!H59</f>
        <v>441764820.37954783</v>
      </c>
      <c r="U73" s="16">
        <f t="shared" si="36"/>
        <v>2109635157.3703165</v>
      </c>
      <c r="V73" s="16">
        <f t="shared" si="37"/>
        <v>288634044.15048099</v>
      </c>
      <c r="W73" s="16">
        <f t="shared" si="38"/>
        <v>1821001113.2198355</v>
      </c>
    </row>
    <row r="74" spans="1:23" x14ac:dyDescent="0.3">
      <c r="A74" s="46" t="s">
        <v>59</v>
      </c>
      <c r="B74" s="58"/>
      <c r="C74" s="58"/>
      <c r="D74" s="58"/>
      <c r="E74" s="58"/>
      <c r="F74" s="58"/>
      <c r="G74" s="58"/>
      <c r="H74" s="58">
        <f t="shared" si="34"/>
        <v>36222500</v>
      </c>
      <c r="I74" s="58">
        <v>16205641.729266424</v>
      </c>
      <c r="J74" s="62">
        <f t="shared" ref="J74:R74" si="53">$B$58*J17</f>
        <v>0</v>
      </c>
      <c r="K74" s="62">
        <f t="shared" si="53"/>
        <v>26476796.012461919</v>
      </c>
      <c r="L74" s="62">
        <f t="shared" si="53"/>
        <v>59280413.51594279</v>
      </c>
      <c r="M74" s="62">
        <f t="shared" si="53"/>
        <v>33333785.068981573</v>
      </c>
      <c r="N74" s="62">
        <f t="shared" si="53"/>
        <v>14162847.026782813</v>
      </c>
      <c r="O74" s="62">
        <f t="shared" si="53"/>
        <v>13238398.00623096</v>
      </c>
      <c r="P74" s="62">
        <f t="shared" si="53"/>
        <v>-46654056.84404543</v>
      </c>
      <c r="Q74" s="62">
        <f t="shared" si="53"/>
        <v>66925888.604096785</v>
      </c>
      <c r="R74" s="62">
        <f t="shared" si="53"/>
        <v>24005639.01406486</v>
      </c>
      <c r="S74" s="16">
        <f t="shared" si="40"/>
        <v>1821001113.2198355</v>
      </c>
      <c r="T74" s="16">
        <f>'Collections and ACP'!H60</f>
        <v>443449098.87589866</v>
      </c>
      <c r="U74" s="16">
        <f t="shared" si="36"/>
        <v>2264450212.0957341</v>
      </c>
      <c r="V74" s="16">
        <f t="shared" si="37"/>
        <v>243197852.13378268</v>
      </c>
      <c r="W74" s="16">
        <f t="shared" si="38"/>
        <v>2021252359.9619515</v>
      </c>
    </row>
    <row r="75" spans="1:23" x14ac:dyDescent="0.3">
      <c r="A75" s="46" t="s">
        <v>60</v>
      </c>
      <c r="B75" s="58"/>
      <c r="C75" s="58"/>
      <c r="D75" s="58"/>
      <c r="E75" s="58"/>
      <c r="F75" s="58"/>
      <c r="G75" s="58"/>
      <c r="H75" s="58"/>
      <c r="I75" s="58">
        <v>13780631.48667575</v>
      </c>
      <c r="J75" s="62">
        <f t="shared" ref="J75:R75" si="54">$B$58*J18</f>
        <v>0</v>
      </c>
      <c r="K75" s="62">
        <f t="shared" si="54"/>
        <v>17288568.634455979</v>
      </c>
      <c r="L75" s="62">
        <f t="shared" si="54"/>
        <v>58984011.448363073</v>
      </c>
      <c r="M75" s="62">
        <f t="shared" si="54"/>
        <v>33167116.143636666</v>
      </c>
      <c r="N75" s="62">
        <f t="shared" si="54"/>
        <v>10402469.028966682</v>
      </c>
      <c r="O75" s="62">
        <f t="shared" si="54"/>
        <v>8644284.3172279894</v>
      </c>
      <c r="P75" s="62">
        <f t="shared" si="54"/>
        <v>-61581898.630776338</v>
      </c>
      <c r="Q75" s="62">
        <f t="shared" si="54"/>
        <v>55364289.113829538</v>
      </c>
      <c r="R75" s="62">
        <f t="shared" si="54"/>
        <v>23273667.721890196</v>
      </c>
      <c r="S75" s="16">
        <f t="shared" si="40"/>
        <v>2021252359.9619515</v>
      </c>
      <c r="T75" s="16">
        <f>'Collections and ACP'!H61</f>
        <v>445476724.40887928</v>
      </c>
      <c r="U75" s="16">
        <f t="shared" si="36"/>
        <v>2466729084.3708305</v>
      </c>
      <c r="V75" s="16">
        <f t="shared" si="37"/>
        <v>159323139.26426953</v>
      </c>
      <c r="W75" s="16">
        <f t="shared" si="38"/>
        <v>2307405945.1065612</v>
      </c>
    </row>
    <row r="76" spans="1:23" x14ac:dyDescent="0.3">
      <c r="A76" s="46" t="s">
        <v>61</v>
      </c>
      <c r="B76" s="58"/>
      <c r="C76" s="58"/>
      <c r="D76" s="58"/>
      <c r="E76" s="58"/>
      <c r="F76" s="58"/>
      <c r="G76" s="58"/>
      <c r="H76" s="58"/>
      <c r="I76" s="58"/>
      <c r="J76" s="62">
        <f t="shared" ref="J76:R76" si="55">$B$58*J19</f>
        <v>0</v>
      </c>
      <c r="K76" s="62">
        <f t="shared" si="55"/>
        <v>8467870.3515702765</v>
      </c>
      <c r="L76" s="62">
        <f t="shared" si="55"/>
        <v>58689091.391121261</v>
      </c>
      <c r="M76" s="62">
        <f t="shared" si="55"/>
        <v>33001280.56291848</v>
      </c>
      <c r="N76" s="62">
        <f t="shared" si="55"/>
        <v>6792506.1510631973</v>
      </c>
      <c r="O76" s="62">
        <f t="shared" si="55"/>
        <v>4233935.1757851383</v>
      </c>
      <c r="P76" s="62">
        <f t="shared" si="55"/>
        <v>-76808297.253241852</v>
      </c>
      <c r="Q76" s="62">
        <f t="shared" si="55"/>
        <v>43580376.156234853</v>
      </c>
      <c r="R76" s="62">
        <f t="shared" si="55"/>
        <v>22527816.801792059</v>
      </c>
      <c r="S76" s="16">
        <f t="shared" si="40"/>
        <v>2307405945.1065612</v>
      </c>
      <c r="T76" s="16">
        <f>'Collections and ACP'!H62</f>
        <v>448129018.45769209</v>
      </c>
      <c r="U76" s="16">
        <f t="shared" si="36"/>
        <v>2755534963.5642533</v>
      </c>
      <c r="V76" s="16">
        <f t="shared" si="37"/>
        <v>100484579.33724341</v>
      </c>
      <c r="W76" s="16">
        <f t="shared" si="38"/>
        <v>2655050384.2270098</v>
      </c>
    </row>
    <row r="77" spans="1:23" x14ac:dyDescent="0.3">
      <c r="A77" s="46" t="s">
        <v>62</v>
      </c>
      <c r="B77" s="58"/>
      <c r="C77" s="58"/>
      <c r="D77" s="58"/>
      <c r="E77" s="58"/>
      <c r="F77" s="58"/>
      <c r="G77" s="58"/>
      <c r="H77" s="58"/>
      <c r="I77" s="58"/>
      <c r="J77" s="62">
        <f t="shared" ref="J77:R77" si="56">$B$58*J20</f>
        <v>0</v>
      </c>
      <c r="K77" s="62">
        <f t="shared" si="56"/>
        <v>0</v>
      </c>
      <c r="L77" s="62">
        <f t="shared" si="56"/>
        <v>58395645.934165657</v>
      </c>
      <c r="M77" s="62">
        <f t="shared" si="56"/>
        <v>32836274.160103891</v>
      </c>
      <c r="N77" s="62">
        <f t="shared" si="56"/>
        <v>3326941.7882758514</v>
      </c>
      <c r="O77" s="62">
        <f t="shared" si="56"/>
        <v>0</v>
      </c>
      <c r="P77" s="62">
        <f t="shared" si="56"/>
        <v>-92339223.84815672</v>
      </c>
      <c r="Q77" s="62">
        <f t="shared" si="56"/>
        <v>31569723.930738494</v>
      </c>
      <c r="R77" s="62">
        <f t="shared" si="56"/>
        <v>21767809.091212384</v>
      </c>
      <c r="S77" s="16">
        <f t="shared" si="40"/>
        <v>2655050384.2270098</v>
      </c>
      <c r="T77" s="16">
        <f>'Collections and ACP'!H63</f>
        <v>448508030.18337369</v>
      </c>
      <c r="U77" s="16">
        <f t="shared" si="36"/>
        <v>3103558414.4103832</v>
      </c>
      <c r="V77" s="16">
        <f t="shared" si="37"/>
        <v>55557171.056339554</v>
      </c>
      <c r="W77" s="16">
        <f t="shared" si="38"/>
        <v>3048001243.3540435</v>
      </c>
    </row>
    <row r="78" spans="1:23" x14ac:dyDescent="0.3">
      <c r="A78" s="46" t="s">
        <v>63</v>
      </c>
      <c r="B78" s="58"/>
      <c r="C78" s="58"/>
      <c r="D78" s="58"/>
      <c r="E78" s="58"/>
      <c r="F78" s="58"/>
      <c r="G78" s="58"/>
      <c r="H78" s="58"/>
      <c r="I78" s="58"/>
      <c r="J78" s="62">
        <f t="shared" ref="J78:R78" si="57">$B$58*J21</f>
        <v>0</v>
      </c>
      <c r="K78" s="62">
        <f t="shared" si="57"/>
        <v>0</v>
      </c>
      <c r="L78" s="62">
        <f t="shared" si="57"/>
        <v>58103667.704494819</v>
      </c>
      <c r="M78" s="62">
        <f t="shared" si="57"/>
        <v>32672092.789303366</v>
      </c>
      <c r="N78" s="62">
        <f t="shared" si="57"/>
        <v>0</v>
      </c>
      <c r="O78" s="62">
        <f t="shared" si="57"/>
        <v>0</v>
      </c>
      <c r="P78" s="62">
        <f t="shared" si="57"/>
        <v>-108180768.97496985</v>
      </c>
      <c r="Q78" s="62">
        <f t="shared" si="57"/>
        <v>19327818.987825669</v>
      </c>
      <c r="R78" s="62">
        <f t="shared" si="57"/>
        <v>20993361.9452039</v>
      </c>
      <c r="S78" s="16">
        <f t="shared" si="40"/>
        <v>3048001243.3540435</v>
      </c>
      <c r="T78" s="16">
        <f>'Collections and ACP'!H64</f>
        <v>450327525.50177699</v>
      </c>
      <c r="U78" s="16">
        <f t="shared" si="36"/>
        <v>3498328768.8558207</v>
      </c>
      <c r="V78" s="16">
        <f t="shared" si="37"/>
        <v>22916172.451857902</v>
      </c>
      <c r="W78" s="16">
        <f t="shared" si="38"/>
        <v>3475412596.4039626</v>
      </c>
    </row>
    <row r="79" spans="1:23" x14ac:dyDescent="0.3">
      <c r="A79" s="46" t="s">
        <v>64</v>
      </c>
      <c r="B79" s="58"/>
      <c r="C79" s="58"/>
      <c r="D79" s="58"/>
      <c r="E79" s="58"/>
      <c r="F79" s="58"/>
      <c r="G79" s="58"/>
      <c r="H79" s="58"/>
      <c r="I79" s="58"/>
      <c r="J79" s="62">
        <f t="shared" ref="J79:R79" si="58">$B$58*J22</f>
        <v>0</v>
      </c>
      <c r="K79" s="62">
        <f t="shared" si="58"/>
        <v>0</v>
      </c>
      <c r="L79" s="62">
        <f t="shared" si="58"/>
        <v>57813149.365972355</v>
      </c>
      <c r="M79" s="62">
        <f t="shared" si="58"/>
        <v>32508732.325356856</v>
      </c>
      <c r="N79" s="62">
        <f t="shared" si="58"/>
        <v>0</v>
      </c>
      <c r="O79" s="62">
        <f t="shared" si="58"/>
        <v>0</v>
      </c>
      <c r="P79" s="62">
        <f t="shared" si="58"/>
        <v>-124339145.00431925</v>
      </c>
      <c r="Q79" s="62">
        <f t="shared" si="58"/>
        <v>6850058.4861708926</v>
      </c>
      <c r="R79" s="62">
        <f t="shared" si="58"/>
        <v>20204187.127416912</v>
      </c>
      <c r="S79" s="16"/>
      <c r="T79" s="16"/>
      <c r="U79" s="16"/>
      <c r="V79" s="16"/>
      <c r="W79" s="16"/>
    </row>
    <row r="80" spans="1:23" x14ac:dyDescent="0.3">
      <c r="A80" s="46" t="s">
        <v>65</v>
      </c>
      <c r="B80" s="58"/>
      <c r="C80" s="58"/>
      <c r="D80" s="58"/>
      <c r="E80" s="58"/>
      <c r="F80" s="58"/>
      <c r="G80" s="58"/>
      <c r="H80" s="58"/>
      <c r="I80" s="58"/>
      <c r="J80" s="62">
        <f t="shared" ref="J80:R80" si="59">$B$58*J23</f>
        <v>0</v>
      </c>
      <c r="K80" s="62">
        <f t="shared" si="59"/>
        <v>0</v>
      </c>
      <c r="L80" s="62">
        <f t="shared" si="59"/>
        <v>57524083.619142488</v>
      </c>
      <c r="M80" s="62">
        <f t="shared" si="59"/>
        <v>32346188.663730066</v>
      </c>
      <c r="N80" s="62">
        <f t="shared" si="59"/>
        <v>0</v>
      </c>
      <c r="O80" s="62">
        <f t="shared" si="59"/>
        <v>0</v>
      </c>
      <c r="P80" s="62">
        <f t="shared" si="59"/>
        <v>-140820688.55425557</v>
      </c>
      <c r="Q80" s="62">
        <f t="shared" si="59"/>
        <v>-5868251.5849245265</v>
      </c>
      <c r="R80" s="62">
        <f t="shared" si="59"/>
        <v>19399990.698916629</v>
      </c>
      <c r="S80" s="16"/>
      <c r="T80" s="16"/>
      <c r="U80" s="16"/>
      <c r="V80" s="16"/>
      <c r="W80" s="16"/>
    </row>
    <row r="81" spans="1:23" x14ac:dyDescent="0.3">
      <c r="A81" s="46" t="s">
        <v>66</v>
      </c>
      <c r="B81" s="57"/>
      <c r="C81" s="57"/>
      <c r="D81" s="58"/>
      <c r="E81" s="58"/>
      <c r="F81" s="58"/>
      <c r="G81" s="58"/>
      <c r="H81" s="57"/>
      <c r="I81" s="57"/>
      <c r="J81" s="62">
        <f t="shared" ref="J81:R81" si="60">$B$58*J24</f>
        <v>0</v>
      </c>
      <c r="K81" s="62">
        <f t="shared" si="60"/>
        <v>0</v>
      </c>
      <c r="L81" s="62">
        <f t="shared" si="60"/>
        <v>57236463.20104678</v>
      </c>
      <c r="M81" s="62">
        <f t="shared" si="60"/>
        <v>32184457.72041142</v>
      </c>
      <c r="N81" s="62">
        <f t="shared" si="60"/>
        <v>0</v>
      </c>
      <c r="O81" s="62">
        <f t="shared" si="60"/>
        <v>0</v>
      </c>
      <c r="P81" s="62">
        <f t="shared" si="60"/>
        <v>-157631862.97519064</v>
      </c>
      <c r="Q81" s="62">
        <f t="shared" si="60"/>
        <v>-18831898.218479317</v>
      </c>
      <c r="R81" s="62">
        <f t="shared" si="60"/>
        <v>18580472.90478782</v>
      </c>
      <c r="S81" s="16"/>
      <c r="T81" s="16"/>
      <c r="U81" s="16"/>
      <c r="V81" s="16"/>
      <c r="W81" s="16"/>
    </row>
    <row r="82" spans="1:23" x14ac:dyDescent="0.3">
      <c r="A82" s="46" t="s">
        <v>67</v>
      </c>
      <c r="B82" s="57"/>
      <c r="C82" s="57"/>
      <c r="D82" s="58"/>
      <c r="E82" s="58"/>
      <c r="F82" s="58"/>
      <c r="G82" s="58"/>
      <c r="H82" s="57"/>
      <c r="I82" s="57"/>
      <c r="J82" s="62">
        <f t="shared" ref="J82:R82" si="61">$B$58*J25</f>
        <v>0</v>
      </c>
      <c r="K82" s="62">
        <f t="shared" si="61"/>
        <v>0</v>
      </c>
      <c r="L82" s="62">
        <f t="shared" si="61"/>
        <v>56950280.885041535</v>
      </c>
      <c r="M82" s="62">
        <f t="shared" si="61"/>
        <v>32023535.431809366</v>
      </c>
      <c r="N82" s="62">
        <f t="shared" si="61"/>
        <v>0</v>
      </c>
      <c r="O82" s="62">
        <f t="shared" si="61"/>
        <v>0</v>
      </c>
      <c r="P82" s="62">
        <f t="shared" si="61"/>
        <v>-174779260.88454443</v>
      </c>
      <c r="Q82" s="62">
        <f t="shared" si="61"/>
        <v>-32045763.238868479</v>
      </c>
      <c r="R82" s="62">
        <f t="shared" si="61"/>
        <v>17745328.058482684</v>
      </c>
      <c r="S82" s="16"/>
      <c r="T82" s="16"/>
      <c r="U82" s="16"/>
      <c r="V82" s="16"/>
      <c r="W82" s="16"/>
    </row>
    <row r="86" spans="1:23" x14ac:dyDescent="0.3">
      <c r="A86" s="35" t="s">
        <v>130</v>
      </c>
      <c r="B86" s="126">
        <v>2.3700000000000001E-3</v>
      </c>
    </row>
    <row r="87" spans="1:23" ht="57.6" x14ac:dyDescent="0.3">
      <c r="A87" s="53" t="s">
        <v>43</v>
      </c>
      <c r="B87" s="53" t="s">
        <v>125</v>
      </c>
      <c r="C87" s="53" t="s">
        <v>116</v>
      </c>
      <c r="D87" s="53" t="s">
        <v>117</v>
      </c>
      <c r="E87" s="53" t="s">
        <v>118</v>
      </c>
      <c r="F87" s="53" t="s">
        <v>275</v>
      </c>
      <c r="G87" s="53" t="s">
        <v>44</v>
      </c>
      <c r="H87" s="53" t="s">
        <v>119</v>
      </c>
      <c r="I87" s="53" t="s">
        <v>126</v>
      </c>
      <c r="J87" s="53" t="s">
        <v>6</v>
      </c>
      <c r="K87" s="53" t="s">
        <v>12</v>
      </c>
      <c r="L87" s="53" t="s">
        <v>21</v>
      </c>
      <c r="M87" s="53" t="s">
        <v>25</v>
      </c>
      <c r="N87" s="53" t="s">
        <v>29</v>
      </c>
      <c r="O87" s="53" t="s">
        <v>33</v>
      </c>
      <c r="P87" s="53" t="s">
        <v>40</v>
      </c>
      <c r="Q87" s="53" t="s">
        <v>41</v>
      </c>
      <c r="R87" s="53" t="s">
        <v>42</v>
      </c>
      <c r="S87" s="54" t="s">
        <v>131</v>
      </c>
      <c r="T87" s="54" t="s">
        <v>128</v>
      </c>
      <c r="U87" s="54" t="s">
        <v>122</v>
      </c>
      <c r="V87" s="53" t="s">
        <v>123</v>
      </c>
      <c r="W87" s="53" t="s">
        <v>124</v>
      </c>
    </row>
    <row r="88" spans="1:23" x14ac:dyDescent="0.3">
      <c r="A88" s="46" t="s">
        <v>45</v>
      </c>
      <c r="B88" s="58">
        <f t="shared" ref="B88:F97" si="62">$B$86*B3</f>
        <v>327433.32247109973</v>
      </c>
      <c r="C88" s="127">
        <f t="shared" si="62"/>
        <v>146035.89718384502</v>
      </c>
      <c r="D88" s="58">
        <f t="shared" si="62"/>
        <v>79384.805555205021</v>
      </c>
      <c r="E88" s="58">
        <f t="shared" si="62"/>
        <v>73110.612253686078</v>
      </c>
      <c r="F88" s="58">
        <f t="shared" si="62"/>
        <v>16014.279651907947</v>
      </c>
      <c r="G88" s="58"/>
      <c r="H88" s="58">
        <f t="shared" ref="H88:R88" si="63">$B$86*H3</f>
        <v>26690.466086513246</v>
      </c>
      <c r="I88" s="58">
        <f t="shared" si="63"/>
        <v>0</v>
      </c>
      <c r="J88" s="62">
        <f t="shared" si="63"/>
        <v>0</v>
      </c>
      <c r="K88" s="62">
        <f t="shared" si="63"/>
        <v>0</v>
      </c>
      <c r="L88" s="62">
        <f t="shared" si="63"/>
        <v>0</v>
      </c>
      <c r="M88" s="62">
        <f t="shared" si="63"/>
        <v>0</v>
      </c>
      <c r="N88" s="62">
        <f t="shared" si="63"/>
        <v>0</v>
      </c>
      <c r="O88" s="62">
        <f t="shared" si="63"/>
        <v>0</v>
      </c>
      <c r="P88" s="62">
        <f t="shared" si="63"/>
        <v>0</v>
      </c>
      <c r="Q88" s="62">
        <f t="shared" si="63"/>
        <v>0</v>
      </c>
      <c r="R88" s="62">
        <f t="shared" si="63"/>
        <v>0</v>
      </c>
      <c r="S88" s="16">
        <f>'Collections and ACP'!C158+'Collections and ACP'!C155</f>
        <v>296007918.98000002</v>
      </c>
      <c r="T88" s="16">
        <f>'Collections and ACP'!H79</f>
        <v>585306.97492689674</v>
      </c>
      <c r="U88" s="16">
        <f t="shared" ref="U88:U106" si="64">S88+T88</f>
        <v>296593225.95492691</v>
      </c>
      <c r="V88" s="16">
        <f t="shared" ref="V88:V106" si="65">SUM(B88:R88)</f>
        <v>668669.38320225698</v>
      </c>
      <c r="W88" s="16">
        <f t="shared" ref="W88:W106" si="66">U88-V88</f>
        <v>295924556.57172465</v>
      </c>
    </row>
    <row r="89" spans="1:23" x14ac:dyDescent="0.3">
      <c r="A89" s="46" t="s">
        <v>46</v>
      </c>
      <c r="B89" s="58">
        <f t="shared" si="62"/>
        <v>90183.20369160008</v>
      </c>
      <c r="C89" s="127">
        <f t="shared" si="62"/>
        <v>156722.43750712485</v>
      </c>
      <c r="D89" s="58">
        <f t="shared" si="62"/>
        <v>277918.18118305516</v>
      </c>
      <c r="E89" s="58">
        <f t="shared" si="62"/>
        <v>57217.145258879966</v>
      </c>
      <c r="F89" s="58">
        <f t="shared" si="62"/>
        <v>33042.860168997518</v>
      </c>
      <c r="G89" s="58"/>
      <c r="H89" s="58">
        <f t="shared" ref="H89:R89" si="67">$B$86*H4</f>
        <v>118500</v>
      </c>
      <c r="I89" s="58">
        <f t="shared" si="67"/>
        <v>0</v>
      </c>
      <c r="J89" s="62">
        <f t="shared" si="67"/>
        <v>0</v>
      </c>
      <c r="K89" s="62">
        <f t="shared" si="67"/>
        <v>0</v>
      </c>
      <c r="L89" s="62">
        <f t="shared" si="67"/>
        <v>0</v>
      </c>
      <c r="M89" s="62">
        <f t="shared" si="67"/>
        <v>0</v>
      </c>
      <c r="N89" s="62">
        <f t="shared" si="67"/>
        <v>0</v>
      </c>
      <c r="O89" s="62">
        <f t="shared" si="67"/>
        <v>0</v>
      </c>
      <c r="P89" s="62">
        <f t="shared" si="67"/>
        <v>0</v>
      </c>
      <c r="Q89" s="62">
        <f t="shared" si="67"/>
        <v>0</v>
      </c>
      <c r="R89" s="62">
        <f t="shared" si="67"/>
        <v>0</v>
      </c>
      <c r="S89" s="16">
        <f t="shared" ref="S89:S106" si="68">W88</f>
        <v>295924556.57172465</v>
      </c>
      <c r="T89" s="16">
        <f>'Collections and ACP'!H80</f>
        <v>1153433.5221666666</v>
      </c>
      <c r="U89" s="16">
        <f t="shared" si="64"/>
        <v>297077990.09389132</v>
      </c>
      <c r="V89" s="16">
        <f t="shared" si="65"/>
        <v>733583.82780965755</v>
      </c>
      <c r="W89" s="16">
        <f t="shared" si="66"/>
        <v>296344406.26608169</v>
      </c>
    </row>
    <row r="90" spans="1:23" x14ac:dyDescent="0.3">
      <c r="A90" s="46" t="s">
        <v>47</v>
      </c>
      <c r="B90" s="58">
        <f t="shared" si="62"/>
        <v>11530.742632499994</v>
      </c>
      <c r="C90" s="127">
        <f t="shared" si="62"/>
        <v>154547.70951673473</v>
      </c>
      <c r="D90" s="58">
        <f t="shared" si="62"/>
        <v>261062.53832171997</v>
      </c>
      <c r="E90" s="58">
        <f t="shared" si="62"/>
        <v>52287.756690537593</v>
      </c>
      <c r="F90" s="58">
        <f t="shared" si="62"/>
        <v>41768.618892188184</v>
      </c>
      <c r="G90" s="58"/>
      <c r="H90" s="58">
        <f t="shared" ref="H90:R90" si="69">$B$86*H5</f>
        <v>118500</v>
      </c>
      <c r="I90" s="58">
        <f t="shared" si="69"/>
        <v>795688.52568627114</v>
      </c>
      <c r="J90" s="62">
        <f t="shared" si="69"/>
        <v>0</v>
      </c>
      <c r="K90" s="62">
        <f t="shared" si="69"/>
        <v>0</v>
      </c>
      <c r="L90" s="62">
        <f t="shared" si="69"/>
        <v>0</v>
      </c>
      <c r="M90" s="62">
        <f t="shared" si="69"/>
        <v>0</v>
      </c>
      <c r="N90" s="62">
        <f t="shared" si="69"/>
        <v>0</v>
      </c>
      <c r="O90" s="62">
        <f t="shared" si="69"/>
        <v>0</v>
      </c>
      <c r="P90" s="62">
        <f t="shared" si="69"/>
        <v>0</v>
      </c>
      <c r="Q90" s="62">
        <f t="shared" si="69"/>
        <v>0</v>
      </c>
      <c r="R90" s="62">
        <f t="shared" si="69"/>
        <v>0</v>
      </c>
      <c r="S90" s="16">
        <f t="shared" si="68"/>
        <v>296344406.26608169</v>
      </c>
      <c r="T90" s="16">
        <f>'Collections and ACP'!H81</f>
        <v>1392649.125</v>
      </c>
      <c r="U90" s="16">
        <f t="shared" si="64"/>
        <v>297737055.39108169</v>
      </c>
      <c r="V90" s="16">
        <f t="shared" si="65"/>
        <v>1435385.8917399514</v>
      </c>
      <c r="W90" s="16">
        <f t="shared" si="66"/>
        <v>296301669.49934173</v>
      </c>
    </row>
    <row r="91" spans="1:23" x14ac:dyDescent="0.3">
      <c r="A91" s="46" t="s">
        <v>48</v>
      </c>
      <c r="B91" s="58">
        <f t="shared" si="62"/>
        <v>0</v>
      </c>
      <c r="C91" s="127">
        <f t="shared" si="62"/>
        <v>139104.51557672987</v>
      </c>
      <c r="D91" s="58">
        <f t="shared" si="62"/>
        <v>250892.68032858003</v>
      </c>
      <c r="E91" s="58">
        <f t="shared" si="62"/>
        <v>41998.787575680122</v>
      </c>
      <c r="F91" s="58">
        <f t="shared" si="62"/>
        <v>41877.078880867128</v>
      </c>
      <c r="G91" s="58"/>
      <c r="H91" s="58">
        <f t="shared" ref="H91:R91" si="70">$B$86*H6</f>
        <v>118500</v>
      </c>
      <c r="I91" s="58">
        <f t="shared" si="70"/>
        <v>363757.05860884371</v>
      </c>
      <c r="J91" s="62">
        <f t="shared" si="70"/>
        <v>0</v>
      </c>
      <c r="K91" s="62">
        <f t="shared" si="70"/>
        <v>0</v>
      </c>
      <c r="L91" s="62">
        <f t="shared" si="70"/>
        <v>0</v>
      </c>
      <c r="M91" s="62">
        <f t="shared" si="70"/>
        <v>0</v>
      </c>
      <c r="N91" s="62">
        <f t="shared" si="70"/>
        <v>0</v>
      </c>
      <c r="O91" s="62">
        <f t="shared" si="70"/>
        <v>0</v>
      </c>
      <c r="P91" s="62">
        <f t="shared" si="70"/>
        <v>0</v>
      </c>
      <c r="Q91" s="62">
        <f t="shared" si="70"/>
        <v>0</v>
      </c>
      <c r="R91" s="62">
        <f t="shared" si="70"/>
        <v>0</v>
      </c>
      <c r="S91" s="16">
        <f t="shared" si="68"/>
        <v>296301669.49934173</v>
      </c>
      <c r="T91" s="16">
        <f>'Collections and ACP'!H82</f>
        <v>1393741.125</v>
      </c>
      <c r="U91" s="16">
        <f t="shared" si="64"/>
        <v>297695410.62434173</v>
      </c>
      <c r="V91" s="16">
        <f t="shared" si="65"/>
        <v>956130.12097070087</v>
      </c>
      <c r="W91" s="16">
        <f t="shared" si="66"/>
        <v>296739280.503371</v>
      </c>
    </row>
    <row r="92" spans="1:23" x14ac:dyDescent="0.3">
      <c r="A92" s="46" t="s">
        <v>49</v>
      </c>
      <c r="B92" s="58">
        <f t="shared" si="62"/>
        <v>0</v>
      </c>
      <c r="C92" s="127">
        <f t="shared" si="62"/>
        <v>86676.298877774898</v>
      </c>
      <c r="D92" s="58">
        <f t="shared" si="62"/>
        <v>241955.05208293497</v>
      </c>
      <c r="E92" s="58">
        <f t="shared" si="62"/>
        <v>41289.053794892818</v>
      </c>
      <c r="F92" s="58">
        <f t="shared" si="62"/>
        <v>41743.888746017234</v>
      </c>
      <c r="G92" s="58"/>
      <c r="H92" s="58">
        <f t="shared" ref="H92:R92" si="71">$B$86*H7</f>
        <v>118500</v>
      </c>
      <c r="I92" s="58">
        <f t="shared" si="71"/>
        <v>349206.77626448992</v>
      </c>
      <c r="J92" s="62">
        <f t="shared" si="71"/>
        <v>349206.77626448992</v>
      </c>
      <c r="K92" s="62">
        <f t="shared" si="71"/>
        <v>37472.296935616912</v>
      </c>
      <c r="L92" s="62">
        <f t="shared" si="71"/>
        <v>0</v>
      </c>
      <c r="M92" s="62">
        <f t="shared" si="71"/>
        <v>18190.223865895357</v>
      </c>
      <c r="N92" s="62">
        <f t="shared" si="71"/>
        <v>0</v>
      </c>
      <c r="O92" s="62">
        <f t="shared" si="71"/>
        <v>18736.148467808456</v>
      </c>
      <c r="P92" s="62">
        <f t="shared" si="71"/>
        <v>0</v>
      </c>
      <c r="Q92" s="62">
        <f t="shared" si="71"/>
        <v>0</v>
      </c>
      <c r="R92" s="62">
        <f t="shared" si="71"/>
        <v>0</v>
      </c>
      <c r="S92" s="16">
        <f t="shared" si="68"/>
        <v>296739280.503371</v>
      </c>
      <c r="T92" s="16">
        <f>'Collections and ACP'!H83</f>
        <v>1392507.375</v>
      </c>
      <c r="U92" s="16">
        <f t="shared" si="64"/>
        <v>298131787.878371</v>
      </c>
      <c r="V92" s="16">
        <f t="shared" si="65"/>
        <v>1302976.5152999205</v>
      </c>
      <c r="W92" s="16">
        <f t="shared" si="66"/>
        <v>296828811.36307108</v>
      </c>
    </row>
    <row r="93" spans="1:23" x14ac:dyDescent="0.3">
      <c r="A93" s="46" t="s">
        <v>50</v>
      </c>
      <c r="B93" s="58">
        <f t="shared" si="62"/>
        <v>0</v>
      </c>
      <c r="C93" s="127">
        <f t="shared" si="62"/>
        <v>24792.44374891503</v>
      </c>
      <c r="D93" s="58">
        <f t="shared" si="62"/>
        <v>131789.53127512502</v>
      </c>
      <c r="E93" s="58">
        <f t="shared" si="62"/>
        <v>27021.393115180399</v>
      </c>
      <c r="F93" s="58">
        <f t="shared" si="62"/>
        <v>41601.453039743115</v>
      </c>
      <c r="G93" s="58"/>
      <c r="H93" s="58">
        <f t="shared" ref="H93:R93" si="72">$B$86*H8</f>
        <v>118500</v>
      </c>
      <c r="I93" s="58">
        <f t="shared" si="72"/>
        <v>335238.50521391036</v>
      </c>
      <c r="J93" s="62">
        <f t="shared" si="72"/>
        <v>335238.50521391036</v>
      </c>
      <c r="K93" s="62">
        <f t="shared" si="72"/>
        <v>71363.907719608207</v>
      </c>
      <c r="L93" s="62">
        <f t="shared" si="72"/>
        <v>32187.534974918457</v>
      </c>
      <c r="M93" s="62">
        <f t="shared" si="72"/>
        <v>35561.887657825428</v>
      </c>
      <c r="N93" s="62">
        <f t="shared" si="72"/>
        <v>14722.491653957208</v>
      </c>
      <c r="O93" s="62">
        <f t="shared" si="72"/>
        <v>35681.953859804104</v>
      </c>
      <c r="P93" s="62">
        <f t="shared" si="72"/>
        <v>0</v>
      </c>
      <c r="Q93" s="62">
        <f t="shared" si="72"/>
        <v>0</v>
      </c>
      <c r="R93" s="62">
        <f t="shared" si="72"/>
        <v>0</v>
      </c>
      <c r="S93" s="16">
        <f t="shared" si="68"/>
        <v>296828811.36307108</v>
      </c>
      <c r="T93" s="16">
        <f>'Collections and ACP'!H84</f>
        <v>1392034.875</v>
      </c>
      <c r="U93" s="16">
        <f t="shared" si="64"/>
        <v>298220846.23807108</v>
      </c>
      <c r="V93" s="16">
        <f t="shared" si="65"/>
        <v>1203699.6074728977</v>
      </c>
      <c r="W93" s="16">
        <f t="shared" si="66"/>
        <v>297017146.63059819</v>
      </c>
    </row>
    <row r="94" spans="1:23" x14ac:dyDescent="0.3">
      <c r="A94" s="46" t="s">
        <v>51</v>
      </c>
      <c r="B94" s="58">
        <f t="shared" si="62"/>
        <v>0</v>
      </c>
      <c r="C94" s="127">
        <f t="shared" si="62"/>
        <v>2431.4274149849998</v>
      </c>
      <c r="D94" s="58">
        <f t="shared" si="62"/>
        <v>10753.919641320001</v>
      </c>
      <c r="E94" s="58">
        <f t="shared" si="62"/>
        <v>19470.5731538289</v>
      </c>
      <c r="F94" s="58">
        <f t="shared" si="62"/>
        <v>41647.300123964407</v>
      </c>
      <c r="G94" s="58"/>
      <c r="H94" s="58">
        <f t="shared" ref="H94:R94" si="73">$B$86*H9</f>
        <v>118500</v>
      </c>
      <c r="I94" s="58">
        <f t="shared" si="73"/>
        <v>321828.96500535391</v>
      </c>
      <c r="J94" s="62">
        <f t="shared" si="73"/>
        <v>321828.96500535391</v>
      </c>
      <c r="K94" s="62">
        <f t="shared" si="73"/>
        <v>103899.85407223985</v>
      </c>
      <c r="L94" s="62">
        <f t="shared" si="73"/>
        <v>62926.630875965588</v>
      </c>
      <c r="M94" s="62">
        <f t="shared" si="73"/>
        <v>52148.188534345456</v>
      </c>
      <c r="N94" s="62">
        <f t="shared" si="73"/>
        <v>28038.167438758501</v>
      </c>
      <c r="O94" s="62">
        <f t="shared" si="73"/>
        <v>51949.927036119923</v>
      </c>
      <c r="P94" s="62">
        <f t="shared" si="73"/>
        <v>0</v>
      </c>
      <c r="Q94" s="62">
        <f t="shared" si="73"/>
        <v>0</v>
      </c>
      <c r="R94" s="62">
        <f t="shared" si="73"/>
        <v>0</v>
      </c>
      <c r="S94" s="16">
        <f t="shared" si="68"/>
        <v>297017146.63059819</v>
      </c>
      <c r="T94" s="16">
        <f>'Collections and ACP'!H85</f>
        <v>1392250.125</v>
      </c>
      <c r="U94" s="16">
        <f t="shared" si="64"/>
        <v>298409396.75559819</v>
      </c>
      <c r="V94" s="16">
        <f t="shared" si="65"/>
        <v>1135423.9183022354</v>
      </c>
      <c r="W94" s="16">
        <f t="shared" si="66"/>
        <v>297273972.83729595</v>
      </c>
    </row>
    <row r="95" spans="1:23" x14ac:dyDescent="0.3">
      <c r="A95" s="46" t="s">
        <v>52</v>
      </c>
      <c r="B95" s="58">
        <f t="shared" si="62"/>
        <v>0</v>
      </c>
      <c r="C95" s="127">
        <f t="shared" si="62"/>
        <v>0</v>
      </c>
      <c r="D95" s="58">
        <f t="shared" si="62"/>
        <v>0</v>
      </c>
      <c r="E95" s="58">
        <f t="shared" si="62"/>
        <v>10618.744176527987</v>
      </c>
      <c r="F95" s="58">
        <f t="shared" si="62"/>
        <v>41772.252913350829</v>
      </c>
      <c r="G95" s="58"/>
      <c r="H95" s="58">
        <f t="shared" ref="H95:R95" si="74">$B$86*H10</f>
        <v>118500</v>
      </c>
      <c r="I95" s="58">
        <f t="shared" si="74"/>
        <v>308955.80640513974</v>
      </c>
      <c r="J95" s="62">
        <f t="shared" si="74"/>
        <v>308955.80640513974</v>
      </c>
      <c r="K95" s="62">
        <f t="shared" si="74"/>
        <v>135134.36257076624</v>
      </c>
      <c r="L95" s="62">
        <f t="shared" si="74"/>
        <v>92276.029954470592</v>
      </c>
      <c r="M95" s="62">
        <f t="shared" si="74"/>
        <v>67980.993493890535</v>
      </c>
      <c r="N95" s="62">
        <f t="shared" si="74"/>
        <v>40821.216192167747</v>
      </c>
      <c r="O95" s="62">
        <f t="shared" si="74"/>
        <v>67567.181285383122</v>
      </c>
      <c r="P95" s="62">
        <f t="shared" si="74"/>
        <v>3479.2591333079595</v>
      </c>
      <c r="Q95" s="62">
        <f t="shared" si="74"/>
        <v>26217.132076175974</v>
      </c>
      <c r="R95" s="62">
        <f t="shared" si="74"/>
        <v>6585.7732249514393</v>
      </c>
      <c r="S95" s="16">
        <f t="shared" si="68"/>
        <v>297273972.83729595</v>
      </c>
      <c r="T95" s="16">
        <f>'Collections and ACP'!H86</f>
        <v>1393344.75</v>
      </c>
      <c r="U95" s="16">
        <f t="shared" si="64"/>
        <v>298667317.58729595</v>
      </c>
      <c r="V95" s="16">
        <f t="shared" si="65"/>
        <v>1228864.557831272</v>
      </c>
      <c r="W95" s="16">
        <f t="shared" si="66"/>
        <v>297438453.02946466</v>
      </c>
    </row>
    <row r="96" spans="1:23" x14ac:dyDescent="0.3">
      <c r="A96" s="46" t="s">
        <v>53</v>
      </c>
      <c r="B96" s="58">
        <f t="shared" si="62"/>
        <v>0</v>
      </c>
      <c r="C96" s="127">
        <f t="shared" si="62"/>
        <v>0</v>
      </c>
      <c r="D96" s="58">
        <f t="shared" si="62"/>
        <v>0</v>
      </c>
      <c r="E96" s="58">
        <f t="shared" si="62"/>
        <v>10613.17345431455</v>
      </c>
      <c r="F96" s="58">
        <f t="shared" si="62"/>
        <v>41976.764160236184</v>
      </c>
      <c r="G96" s="58"/>
      <c r="H96" s="58">
        <f t="shared" ref="H96:R96" si="75">$B$86*H11</f>
        <v>118500</v>
      </c>
      <c r="I96" s="58">
        <f t="shared" si="75"/>
        <v>296597.57414893416</v>
      </c>
      <c r="J96" s="62">
        <f t="shared" si="75"/>
        <v>296597.57414893416</v>
      </c>
      <c r="K96" s="62">
        <f t="shared" si="75"/>
        <v>165119.49072935159</v>
      </c>
      <c r="L96" s="62">
        <f t="shared" si="75"/>
        <v>120292.12074826771</v>
      </c>
      <c r="M96" s="62">
        <f t="shared" si="75"/>
        <v>83090.892592549193</v>
      </c>
      <c r="N96" s="62">
        <f t="shared" si="75"/>
        <v>53092.942995440615</v>
      </c>
      <c r="O96" s="62">
        <f t="shared" si="75"/>
        <v>82559.745364675793</v>
      </c>
      <c r="P96" s="62">
        <f t="shared" si="75"/>
        <v>3859.3585502228902</v>
      </c>
      <c r="Q96" s="62">
        <f t="shared" si="75"/>
        <v>76807.93734951003</v>
      </c>
      <c r="R96" s="62">
        <f t="shared" si="75"/>
        <v>19284.990590929654</v>
      </c>
      <c r="S96" s="16">
        <f t="shared" si="68"/>
        <v>297438453.02946466</v>
      </c>
      <c r="T96" s="16">
        <f>'Collections and ACP'!H87</f>
        <v>1394150.625</v>
      </c>
      <c r="U96" s="16">
        <f t="shared" si="64"/>
        <v>298832603.65446466</v>
      </c>
      <c r="V96" s="16">
        <f t="shared" si="65"/>
        <v>1368392.5648333665</v>
      </c>
      <c r="W96" s="16">
        <f t="shared" si="66"/>
        <v>297464211.08963132</v>
      </c>
    </row>
    <row r="97" spans="1:23" x14ac:dyDescent="0.3">
      <c r="A97" s="46" t="s">
        <v>54</v>
      </c>
      <c r="B97" s="58">
        <f t="shared" si="62"/>
        <v>0</v>
      </c>
      <c r="C97" s="127">
        <f t="shared" si="62"/>
        <v>0</v>
      </c>
      <c r="D97" s="58">
        <f t="shared" si="62"/>
        <v>0</v>
      </c>
      <c r="E97" s="58">
        <f t="shared" si="62"/>
        <v>10281.080497060042</v>
      </c>
      <c r="F97" s="58">
        <f t="shared" si="62"/>
        <v>42028.817176130615</v>
      </c>
      <c r="G97" s="58"/>
      <c r="H97" s="58">
        <f t="shared" ref="H97:R97" si="76">$B$86*H12</f>
        <v>118500</v>
      </c>
      <c r="I97" s="58">
        <f t="shared" si="76"/>
        <v>284733.6711829768</v>
      </c>
      <c r="J97" s="62">
        <f t="shared" si="76"/>
        <v>284733.6711829768</v>
      </c>
      <c r="K97" s="62">
        <f t="shared" si="76"/>
        <v>193905.21376159345</v>
      </c>
      <c r="L97" s="62">
        <f t="shared" si="76"/>
        <v>147029.03225035305</v>
      </c>
      <c r="M97" s="62">
        <f t="shared" si="76"/>
        <v>97507.25003306946</v>
      </c>
      <c r="N97" s="62">
        <f t="shared" si="76"/>
        <v>64873.800726582565</v>
      </c>
      <c r="O97" s="62">
        <f t="shared" si="76"/>
        <v>96952.606880796724</v>
      </c>
      <c r="P97" s="62">
        <f t="shared" si="76"/>
        <v>-2597.0944586388941</v>
      </c>
      <c r="Q97" s="62">
        <f t="shared" si="76"/>
        <v>122908.10665159523</v>
      </c>
      <c r="R97" s="62">
        <f t="shared" si="76"/>
        <v>31884.139133124158</v>
      </c>
      <c r="S97" s="16">
        <f t="shared" si="68"/>
        <v>297464211.08963132</v>
      </c>
      <c r="T97" s="16">
        <f>'Collections and ACP'!H88</f>
        <v>1395058.875</v>
      </c>
      <c r="U97" s="16">
        <f t="shared" si="64"/>
        <v>298859269.96463132</v>
      </c>
      <c r="V97" s="16">
        <f t="shared" si="65"/>
        <v>1492740.2950176199</v>
      </c>
      <c r="W97" s="16">
        <f t="shared" si="66"/>
        <v>297366529.66961372</v>
      </c>
    </row>
    <row r="98" spans="1:23" x14ac:dyDescent="0.3">
      <c r="A98" s="46" t="s">
        <v>55</v>
      </c>
      <c r="B98" s="58">
        <f t="shared" ref="B98:F107" si="77">$B$86*B13</f>
        <v>0</v>
      </c>
      <c r="C98" s="127">
        <f t="shared" si="77"/>
        <v>0</v>
      </c>
      <c r="D98" s="58">
        <f t="shared" si="77"/>
        <v>0</v>
      </c>
      <c r="E98" s="58">
        <f t="shared" si="77"/>
        <v>10199.185218375638</v>
      </c>
      <c r="F98" s="58">
        <f t="shared" si="77"/>
        <v>42160.991507654231</v>
      </c>
      <c r="G98" s="58"/>
      <c r="H98" s="58">
        <f t="shared" ref="H98:R98" si="78">$B$86*H13</f>
        <v>118500</v>
      </c>
      <c r="I98" s="58">
        <f t="shared" si="78"/>
        <v>273344.3243356577</v>
      </c>
      <c r="J98" s="62">
        <f t="shared" si="78"/>
        <v>273344.3243356577</v>
      </c>
      <c r="K98" s="62">
        <f t="shared" si="78"/>
        <v>221539.50787254568</v>
      </c>
      <c r="L98" s="62">
        <f t="shared" si="78"/>
        <v>172538.7243106949</v>
      </c>
      <c r="M98" s="62">
        <f t="shared" si="78"/>
        <v>111258.25321024777</v>
      </c>
      <c r="N98" s="62">
        <f t="shared" si="78"/>
        <v>76183.424148478851</v>
      </c>
      <c r="O98" s="62">
        <f t="shared" si="78"/>
        <v>110769.75393627284</v>
      </c>
      <c r="P98" s="62">
        <f t="shared" si="78"/>
        <v>-16280.216831075257</v>
      </c>
      <c r="Q98" s="62">
        <f t="shared" si="78"/>
        <v>164206.52886037124</v>
      </c>
      <c r="R98" s="62">
        <f t="shared" si="78"/>
        <v>44363.772698829263</v>
      </c>
      <c r="S98" s="16">
        <f t="shared" si="68"/>
        <v>297366529.66961372</v>
      </c>
      <c r="T98" s="16">
        <f>'Collections and ACP'!H89</f>
        <v>1396066.875</v>
      </c>
      <c r="U98" s="16">
        <f t="shared" si="64"/>
        <v>298762596.54461372</v>
      </c>
      <c r="V98" s="16">
        <f t="shared" si="65"/>
        <v>1602128.5736037104</v>
      </c>
      <c r="W98" s="16">
        <f t="shared" si="66"/>
        <v>297160467.97101003</v>
      </c>
    </row>
    <row r="99" spans="1:23" x14ac:dyDescent="0.3">
      <c r="A99" s="46" t="s">
        <v>56</v>
      </c>
      <c r="B99" s="58">
        <f t="shared" si="77"/>
        <v>0</v>
      </c>
      <c r="C99" s="127">
        <f t="shared" si="77"/>
        <v>0</v>
      </c>
      <c r="D99" s="58">
        <f t="shared" si="77"/>
        <v>0</v>
      </c>
      <c r="E99" s="58">
        <f t="shared" si="77"/>
        <v>10098.758870353553</v>
      </c>
      <c r="F99" s="58">
        <f t="shared" si="77"/>
        <v>42317.617098227194</v>
      </c>
      <c r="G99" s="58"/>
      <c r="H99" s="58">
        <f t="shared" ref="H99:R99" si="79">$B$86*H14</f>
        <v>118500</v>
      </c>
      <c r="I99" s="58">
        <f t="shared" si="79"/>
        <v>262410.55136223137</v>
      </c>
      <c r="J99" s="62">
        <f t="shared" si="79"/>
        <v>0</v>
      </c>
      <c r="K99" s="62">
        <f t="shared" si="79"/>
        <v>184519.46452645442</v>
      </c>
      <c r="L99" s="62">
        <f t="shared" si="79"/>
        <v>196871.07442187128</v>
      </c>
      <c r="M99" s="62">
        <f t="shared" si="79"/>
        <v>110701.96194419655</v>
      </c>
      <c r="N99" s="62">
        <f t="shared" si="79"/>
        <v>87040.662633499276</v>
      </c>
      <c r="O99" s="62">
        <f t="shared" si="79"/>
        <v>92259.732263227212</v>
      </c>
      <c r="P99" s="62">
        <f t="shared" si="79"/>
        <v>-37590.51677842567</v>
      </c>
      <c r="Q99" s="62">
        <f t="shared" si="79"/>
        <v>200383.8021030419</v>
      </c>
      <c r="R99" s="62">
        <f t="shared" si="79"/>
        <v>56703.926951070767</v>
      </c>
      <c r="S99" s="16">
        <f t="shared" si="68"/>
        <v>297160467.97101003</v>
      </c>
      <c r="T99" s="16">
        <f>'Collections and ACP'!H90</f>
        <v>1397090.625</v>
      </c>
      <c r="U99" s="16">
        <f t="shared" si="64"/>
        <v>298557558.59601003</v>
      </c>
      <c r="V99" s="16">
        <f t="shared" si="65"/>
        <v>1324217.0353957477</v>
      </c>
      <c r="W99" s="16">
        <f t="shared" si="66"/>
        <v>297233341.56061429</v>
      </c>
    </row>
    <row r="100" spans="1:23" x14ac:dyDescent="0.3">
      <c r="A100" s="46" t="s">
        <v>57</v>
      </c>
      <c r="B100" s="58">
        <f t="shared" si="77"/>
        <v>0</v>
      </c>
      <c r="C100" s="127">
        <f t="shared" si="77"/>
        <v>0</v>
      </c>
      <c r="D100" s="58">
        <f t="shared" si="77"/>
        <v>0</v>
      </c>
      <c r="E100" s="58">
        <f t="shared" si="77"/>
        <v>0</v>
      </c>
      <c r="F100" s="58">
        <f t="shared" si="77"/>
        <v>42607.853945964082</v>
      </c>
      <c r="G100" s="58"/>
      <c r="H100" s="58">
        <f t="shared" ref="H100:R100" si="80">$B$86*H15</f>
        <v>118500</v>
      </c>
      <c r="I100" s="58">
        <f t="shared" si="80"/>
        <v>251914.12930774211</v>
      </c>
      <c r="J100" s="62">
        <f t="shared" si="80"/>
        <v>0</v>
      </c>
      <c r="K100" s="62">
        <f t="shared" si="80"/>
        <v>150544.58197149506</v>
      </c>
      <c r="L100" s="62">
        <f t="shared" si="80"/>
        <v>195886.71904976192</v>
      </c>
      <c r="M100" s="62">
        <f t="shared" si="80"/>
        <v>110148.45213447556</v>
      </c>
      <c r="N100" s="62">
        <f t="shared" si="80"/>
        <v>72495.856903324733</v>
      </c>
      <c r="O100" s="62">
        <f t="shared" si="80"/>
        <v>75272.290985747532</v>
      </c>
      <c r="P100" s="62">
        <f t="shared" si="80"/>
        <v>-66939.153389737621</v>
      </c>
      <c r="Q100" s="62">
        <f t="shared" si="80"/>
        <v>231112.02654761227</v>
      </c>
      <c r="R100" s="62">
        <f t="shared" si="80"/>
        <v>68884.106417827614</v>
      </c>
      <c r="S100" s="16">
        <f t="shared" si="68"/>
        <v>297233341.56061429</v>
      </c>
      <c r="T100" s="16">
        <f>'Collections and ACP'!H91</f>
        <v>1397702.25</v>
      </c>
      <c r="U100" s="16">
        <f t="shared" si="64"/>
        <v>298631043.81061429</v>
      </c>
      <c r="V100" s="16">
        <f t="shared" si="65"/>
        <v>1250426.8638742131</v>
      </c>
      <c r="W100" s="16">
        <f t="shared" si="66"/>
        <v>297380616.94674009</v>
      </c>
    </row>
    <row r="101" spans="1:23" x14ac:dyDescent="0.3">
      <c r="A101" s="46" t="s">
        <v>58</v>
      </c>
      <c r="B101" s="58">
        <f t="shared" si="77"/>
        <v>0</v>
      </c>
      <c r="C101" s="127">
        <f t="shared" si="77"/>
        <v>0</v>
      </c>
      <c r="D101" s="58">
        <f t="shared" si="77"/>
        <v>0</v>
      </c>
      <c r="E101" s="58">
        <f t="shared" si="77"/>
        <v>0</v>
      </c>
      <c r="F101" s="58">
        <f t="shared" si="77"/>
        <v>42676.980465822096</v>
      </c>
      <c r="G101" s="58"/>
      <c r="H101" s="58">
        <f t="shared" ref="H101:R101" si="81">$B$86*H16</f>
        <v>118500</v>
      </c>
      <c r="I101" s="58">
        <f t="shared" si="81"/>
        <v>120918.78206771621</v>
      </c>
      <c r="J101" s="62">
        <f t="shared" si="81"/>
        <v>0</v>
      </c>
      <c r="K101" s="62">
        <f t="shared" si="81"/>
        <v>117928.6947187341</v>
      </c>
      <c r="L101" s="62">
        <f t="shared" si="81"/>
        <v>194907.28545451313</v>
      </c>
      <c r="M101" s="62">
        <f t="shared" si="81"/>
        <v>109597.70987380318</v>
      </c>
      <c r="N101" s="62">
        <f t="shared" si="81"/>
        <v>59147.464470403524</v>
      </c>
      <c r="O101" s="62">
        <f t="shared" si="81"/>
        <v>58964.34735936705</v>
      </c>
      <c r="P101" s="62">
        <f t="shared" si="81"/>
        <v>-104748.20246359064</v>
      </c>
      <c r="Q101" s="62">
        <f t="shared" si="81"/>
        <v>256054.59222228525</v>
      </c>
      <c r="R101" s="62">
        <f t="shared" si="81"/>
        <v>80883.271230491227</v>
      </c>
      <c r="S101" s="16">
        <f t="shared" si="68"/>
        <v>297380616.94674009</v>
      </c>
      <c r="T101" s="16">
        <f>'Collections and ACP'!H92</f>
        <v>1398348</v>
      </c>
      <c r="U101" s="16">
        <f t="shared" si="64"/>
        <v>298778964.94674009</v>
      </c>
      <c r="V101" s="16">
        <f t="shared" si="65"/>
        <v>1054830.9253995451</v>
      </c>
      <c r="W101" s="16">
        <f t="shared" si="66"/>
        <v>297724134.02134055</v>
      </c>
    </row>
    <row r="102" spans="1:23" x14ac:dyDescent="0.3">
      <c r="A102" s="46" t="s">
        <v>59</v>
      </c>
      <c r="B102" s="58">
        <f t="shared" si="77"/>
        <v>0</v>
      </c>
      <c r="C102" s="127">
        <f t="shared" si="77"/>
        <v>0</v>
      </c>
      <c r="D102" s="58">
        <f t="shared" si="77"/>
        <v>0</v>
      </c>
      <c r="E102" s="58">
        <f t="shared" si="77"/>
        <v>0</v>
      </c>
      <c r="F102" s="58">
        <f t="shared" si="77"/>
        <v>42796.756929787647</v>
      </c>
      <c r="G102" s="58"/>
      <c r="H102" s="58">
        <f t="shared" ref="H102:R102" si="82">$B$86*H17</f>
        <v>118500</v>
      </c>
      <c r="I102" s="58">
        <f t="shared" si="82"/>
        <v>116082.03078500755</v>
      </c>
      <c r="J102" s="62">
        <f t="shared" si="82"/>
        <v>0</v>
      </c>
      <c r="K102" s="62">
        <f t="shared" si="82"/>
        <v>86617.442956083585</v>
      </c>
      <c r="L102" s="62">
        <f t="shared" si="82"/>
        <v>193932.74902724056</v>
      </c>
      <c r="M102" s="62">
        <f t="shared" si="82"/>
        <v>109049.72132443415</v>
      </c>
      <c r="N102" s="62">
        <f t="shared" si="82"/>
        <v>46333.007734799176</v>
      </c>
      <c r="O102" s="62">
        <f t="shared" si="82"/>
        <v>43308.721478041793</v>
      </c>
      <c r="P102" s="62">
        <f t="shared" si="82"/>
        <v>-152626.28852286239</v>
      </c>
      <c r="Q102" s="62">
        <f t="shared" si="82"/>
        <v>218944.5178986947</v>
      </c>
      <c r="R102" s="62">
        <f t="shared" si="82"/>
        <v>78533.183053811459</v>
      </c>
      <c r="S102" s="16">
        <f t="shared" si="68"/>
        <v>297724134.02134055</v>
      </c>
      <c r="T102" s="16">
        <f>'Collections and ACP'!H93</f>
        <v>1398689.25</v>
      </c>
      <c r="U102" s="16">
        <f t="shared" si="64"/>
        <v>299122823.27134055</v>
      </c>
      <c r="V102" s="16">
        <f t="shared" si="65"/>
        <v>901471.8426650383</v>
      </c>
      <c r="W102" s="16">
        <f t="shared" si="66"/>
        <v>298221351.42867553</v>
      </c>
    </row>
    <row r="103" spans="1:23" x14ac:dyDescent="0.3">
      <c r="A103" s="46" t="s">
        <v>60</v>
      </c>
      <c r="B103" s="58">
        <f t="shared" si="77"/>
        <v>0</v>
      </c>
      <c r="C103" s="127">
        <f t="shared" si="77"/>
        <v>0</v>
      </c>
      <c r="D103" s="58">
        <f t="shared" si="77"/>
        <v>0</v>
      </c>
      <c r="E103" s="58">
        <f t="shared" si="77"/>
        <v>0</v>
      </c>
      <c r="F103" s="58">
        <f t="shared" si="77"/>
        <v>42940.972430495065</v>
      </c>
      <c r="G103" s="58"/>
      <c r="H103" s="58">
        <f t="shared" ref="H103:R103" si="83">$B$86*H18</f>
        <v>118500</v>
      </c>
      <c r="I103" s="58">
        <f t="shared" si="83"/>
        <v>111438.74955360725</v>
      </c>
      <c r="J103" s="62">
        <f t="shared" si="83"/>
        <v>0</v>
      </c>
      <c r="K103" s="62">
        <f t="shared" si="83"/>
        <v>56558.641263939091</v>
      </c>
      <c r="L103" s="62">
        <f t="shared" si="83"/>
        <v>192963.08528210435</v>
      </c>
      <c r="M103" s="62">
        <f t="shared" si="83"/>
        <v>108504.47271781199</v>
      </c>
      <c r="N103" s="62">
        <f t="shared" si="83"/>
        <v>34031.129268618999</v>
      </c>
      <c r="O103" s="62">
        <f t="shared" si="83"/>
        <v>28279.320631969546</v>
      </c>
      <c r="P103" s="62">
        <f t="shared" si="83"/>
        <v>-201461.93630331967</v>
      </c>
      <c r="Q103" s="62">
        <f t="shared" si="83"/>
        <v>181121.35440648216</v>
      </c>
      <c r="R103" s="62">
        <f t="shared" si="83"/>
        <v>76138.577542797662</v>
      </c>
      <c r="S103" s="16">
        <f t="shared" si="68"/>
        <v>298221351.42867553</v>
      </c>
      <c r="T103" s="16">
        <f>'Collections and ACP'!H94</f>
        <v>1399411.125</v>
      </c>
      <c r="U103" s="16">
        <f t="shared" si="64"/>
        <v>299620762.55367553</v>
      </c>
      <c r="V103" s="16">
        <f t="shared" si="65"/>
        <v>749014.36679450644</v>
      </c>
      <c r="W103" s="16">
        <f t="shared" si="66"/>
        <v>298871748.18688101</v>
      </c>
    </row>
    <row r="104" spans="1:23" x14ac:dyDescent="0.3">
      <c r="A104" s="46" t="s">
        <v>61</v>
      </c>
      <c r="B104" s="58">
        <f t="shared" si="77"/>
        <v>0</v>
      </c>
      <c r="C104" s="127">
        <f t="shared" si="77"/>
        <v>0</v>
      </c>
      <c r="D104" s="58">
        <f t="shared" si="77"/>
        <v>0</v>
      </c>
      <c r="E104" s="58">
        <f t="shared" si="77"/>
        <v>0</v>
      </c>
      <c r="F104" s="58">
        <f t="shared" si="77"/>
        <v>43129.577973078158</v>
      </c>
      <c r="G104" s="58"/>
      <c r="H104" s="58">
        <f t="shared" ref="H104:R104" si="84">$B$86*H19</f>
        <v>118500</v>
      </c>
      <c r="I104" s="58">
        <f t="shared" si="84"/>
        <v>106981.19957146294</v>
      </c>
      <c r="J104" s="62">
        <f t="shared" si="84"/>
        <v>0</v>
      </c>
      <c r="K104" s="62">
        <f t="shared" si="84"/>
        <v>27702.19163948037</v>
      </c>
      <c r="L104" s="62">
        <f t="shared" si="84"/>
        <v>191998.26985569383</v>
      </c>
      <c r="M104" s="62">
        <f t="shared" si="84"/>
        <v>107961.95035422294</v>
      </c>
      <c r="N104" s="62">
        <f t="shared" si="84"/>
        <v>22221.325941086034</v>
      </c>
      <c r="O104" s="62">
        <f t="shared" si="84"/>
        <v>13851.095819740185</v>
      </c>
      <c r="P104" s="62">
        <f t="shared" si="84"/>
        <v>-251274.29703938597</v>
      </c>
      <c r="Q104" s="62">
        <f t="shared" si="84"/>
        <v>142570.90412074898</v>
      </c>
      <c r="R104" s="62">
        <f t="shared" si="84"/>
        <v>73698.565560421252</v>
      </c>
      <c r="S104" s="16">
        <f t="shared" si="68"/>
        <v>298871748.18688101</v>
      </c>
      <c r="T104" s="16">
        <f>'Collections and ACP'!H95</f>
        <v>1399797</v>
      </c>
      <c r="U104" s="16">
        <f t="shared" si="64"/>
        <v>300271545.18688101</v>
      </c>
      <c r="V104" s="16">
        <f t="shared" si="65"/>
        <v>597340.78379654861</v>
      </c>
      <c r="W104" s="16">
        <f t="shared" si="66"/>
        <v>299674204.40308446</v>
      </c>
    </row>
    <row r="105" spans="1:23" x14ac:dyDescent="0.3">
      <c r="A105" s="46" t="s">
        <v>62</v>
      </c>
      <c r="B105" s="58">
        <f t="shared" si="77"/>
        <v>0</v>
      </c>
      <c r="C105" s="127">
        <f t="shared" si="77"/>
        <v>0</v>
      </c>
      <c r="D105" s="58">
        <f t="shared" si="77"/>
        <v>0</v>
      </c>
      <c r="E105" s="58">
        <f t="shared" si="77"/>
        <v>0</v>
      </c>
      <c r="F105" s="58">
        <f t="shared" si="77"/>
        <v>43156.549783011615</v>
      </c>
      <c r="G105" s="58"/>
      <c r="H105" s="58">
        <f t="shared" ref="H105:R105" si="85">$B$86*H20</f>
        <v>118500</v>
      </c>
      <c r="I105" s="58">
        <f t="shared" si="85"/>
        <v>102701.95158860442</v>
      </c>
      <c r="J105" s="62">
        <f t="shared" si="85"/>
        <v>0</v>
      </c>
      <c r="K105" s="62">
        <f t="shared" si="85"/>
        <v>0</v>
      </c>
      <c r="L105" s="62">
        <f t="shared" si="85"/>
        <v>191038.27850641534</v>
      </c>
      <c r="M105" s="62">
        <f t="shared" si="85"/>
        <v>107422.14060245182</v>
      </c>
      <c r="N105" s="62">
        <f t="shared" si="85"/>
        <v>10883.914746654384</v>
      </c>
      <c r="O105" s="62">
        <f t="shared" si="85"/>
        <v>0</v>
      </c>
      <c r="P105" s="62">
        <f t="shared" si="85"/>
        <v>-302082.90499017382</v>
      </c>
      <c r="Q105" s="62">
        <f t="shared" si="85"/>
        <v>103278.68826813478</v>
      </c>
      <c r="R105" s="62">
        <f t="shared" si="85"/>
        <v>71212.240383978671</v>
      </c>
      <c r="S105" s="16">
        <f t="shared" si="68"/>
        <v>299674204.40308446</v>
      </c>
      <c r="T105" s="16">
        <f>'Collections and ACP'!H96</f>
        <v>1400135.625</v>
      </c>
      <c r="U105" s="16">
        <f t="shared" si="64"/>
        <v>301074340.02808446</v>
      </c>
      <c r="V105" s="16">
        <f t="shared" si="65"/>
        <v>446110.85888907721</v>
      </c>
      <c r="W105" s="16">
        <f t="shared" si="66"/>
        <v>300628229.16919535</v>
      </c>
    </row>
    <row r="106" spans="1:23" x14ac:dyDescent="0.3">
      <c r="A106" s="46" t="s">
        <v>63</v>
      </c>
      <c r="B106" s="58">
        <f t="shared" si="77"/>
        <v>0</v>
      </c>
      <c r="C106" s="127">
        <f t="shared" si="77"/>
        <v>0</v>
      </c>
      <c r="D106" s="58">
        <f t="shared" si="77"/>
        <v>0</v>
      </c>
      <c r="E106" s="58">
        <f t="shared" si="77"/>
        <v>0</v>
      </c>
      <c r="F106" s="58">
        <f t="shared" si="77"/>
        <v>43285.932697525102</v>
      </c>
      <c r="G106" s="58"/>
      <c r="H106" s="58">
        <f t="shared" ref="H106:R106" si="86">$B$86*H21</f>
        <v>118500</v>
      </c>
      <c r="I106" s="58">
        <f t="shared" si="86"/>
        <v>98593.873525060233</v>
      </c>
      <c r="J106" s="62">
        <f t="shared" si="86"/>
        <v>0</v>
      </c>
      <c r="K106" s="62">
        <f t="shared" si="86"/>
        <v>0</v>
      </c>
      <c r="L106" s="62">
        <f t="shared" si="86"/>
        <v>190083.08711388323</v>
      </c>
      <c r="M106" s="62">
        <f t="shared" si="86"/>
        <v>106885.02989943956</v>
      </c>
      <c r="N106" s="62">
        <f t="shared" si="86"/>
        <v>0</v>
      </c>
      <c r="O106" s="62">
        <f t="shared" si="86"/>
        <v>0</v>
      </c>
      <c r="P106" s="62">
        <f t="shared" si="86"/>
        <v>-353907.68509997724</v>
      </c>
      <c r="Q106" s="62">
        <f t="shared" si="86"/>
        <v>63229.941336388758</v>
      </c>
      <c r="R106" s="62">
        <f t="shared" si="86"/>
        <v>68678.677355418928</v>
      </c>
      <c r="S106" s="16">
        <f t="shared" si="68"/>
        <v>300628229.16919535</v>
      </c>
      <c r="T106" s="16">
        <f>'Collections and ACP'!H97</f>
        <v>1400371.875</v>
      </c>
      <c r="U106" s="16">
        <f t="shared" si="64"/>
        <v>302028601.04419535</v>
      </c>
      <c r="V106" s="16">
        <f t="shared" si="65"/>
        <v>335348.85682773858</v>
      </c>
      <c r="W106" s="16">
        <f t="shared" si="66"/>
        <v>301693252.18736762</v>
      </c>
    </row>
    <row r="107" spans="1:23" x14ac:dyDescent="0.3">
      <c r="A107" s="46" t="s">
        <v>64</v>
      </c>
      <c r="B107" s="58">
        <f t="shared" si="77"/>
        <v>0</v>
      </c>
      <c r="C107" s="127">
        <f t="shared" si="77"/>
        <v>0</v>
      </c>
      <c r="D107" s="58">
        <f t="shared" si="77"/>
        <v>0</v>
      </c>
      <c r="E107" s="58">
        <f t="shared" si="77"/>
        <v>0</v>
      </c>
      <c r="F107" s="58">
        <f t="shared" si="77"/>
        <v>43285.932697525102</v>
      </c>
      <c r="G107" s="58"/>
      <c r="H107" s="58">
        <f t="shared" ref="H107:R107" si="87">$B$86*H22</f>
        <v>118500</v>
      </c>
      <c r="I107" s="58">
        <f t="shared" si="87"/>
        <v>94650.118584057826</v>
      </c>
      <c r="J107" s="62">
        <f t="shared" si="87"/>
        <v>0</v>
      </c>
      <c r="K107" s="62">
        <f t="shared" si="87"/>
        <v>0</v>
      </c>
      <c r="L107" s="62">
        <f t="shared" si="87"/>
        <v>189132.67167831387</v>
      </c>
      <c r="M107" s="62">
        <f t="shared" si="87"/>
        <v>106350.60474994237</v>
      </c>
      <c r="N107" s="62">
        <f t="shared" si="87"/>
        <v>0</v>
      </c>
      <c r="O107" s="62">
        <f t="shared" si="87"/>
        <v>0</v>
      </c>
      <c r="P107" s="62">
        <f t="shared" si="87"/>
        <v>-406768.96081197681</v>
      </c>
      <c r="Q107" s="62">
        <f t="shared" si="87"/>
        <v>22409.605372662041</v>
      </c>
      <c r="R107" s="62">
        <f t="shared" si="87"/>
        <v>66096.933524712644</v>
      </c>
      <c r="S107" s="16"/>
      <c r="T107" s="16"/>
      <c r="U107" s="16"/>
      <c r="V107" s="16"/>
      <c r="W107" s="16"/>
    </row>
    <row r="108" spans="1:23" x14ac:dyDescent="0.3">
      <c r="A108" s="46" t="s">
        <v>65</v>
      </c>
      <c r="B108" s="58">
        <f t="shared" ref="B108:F110" si="88">$B$86*B23</f>
        <v>0</v>
      </c>
      <c r="C108" s="127">
        <f t="shared" si="88"/>
        <v>0</v>
      </c>
      <c r="D108" s="58">
        <f t="shared" si="88"/>
        <v>0</v>
      </c>
      <c r="E108" s="58">
        <f t="shared" si="88"/>
        <v>0</v>
      </c>
      <c r="F108" s="58">
        <f t="shared" si="88"/>
        <v>43285.932697525102</v>
      </c>
      <c r="G108" s="58"/>
      <c r="H108" s="58">
        <f t="shared" ref="H108:R108" si="89">$B$86*H23</f>
        <v>118500</v>
      </c>
      <c r="I108" s="58">
        <f t="shared" si="89"/>
        <v>90864.1138406955</v>
      </c>
      <c r="J108" s="62">
        <f t="shared" si="89"/>
        <v>0</v>
      </c>
      <c r="K108" s="62">
        <f t="shared" si="89"/>
        <v>0</v>
      </c>
      <c r="L108" s="62">
        <f t="shared" si="89"/>
        <v>188187.00831992229</v>
      </c>
      <c r="M108" s="62">
        <f t="shared" si="89"/>
        <v>105818.85172619263</v>
      </c>
      <c r="N108" s="62">
        <f t="shared" si="89"/>
        <v>0</v>
      </c>
      <c r="O108" s="62">
        <f t="shared" si="89"/>
        <v>0</v>
      </c>
      <c r="P108" s="62">
        <f t="shared" si="89"/>
        <v>-460687.46203821618</v>
      </c>
      <c r="Q108" s="62">
        <f t="shared" si="89"/>
        <v>-19197.675831694563</v>
      </c>
      <c r="R108" s="62">
        <f t="shared" si="89"/>
        <v>63466.04728612383</v>
      </c>
      <c r="S108" s="16"/>
      <c r="T108" s="16"/>
      <c r="U108" s="16"/>
      <c r="V108" s="16"/>
      <c r="W108" s="16"/>
    </row>
    <row r="109" spans="1:23" x14ac:dyDescent="0.3">
      <c r="A109" s="46" t="s">
        <v>66</v>
      </c>
      <c r="B109" s="58">
        <f t="shared" si="88"/>
        <v>0</v>
      </c>
      <c r="C109" s="127">
        <f t="shared" si="88"/>
        <v>0</v>
      </c>
      <c r="D109" s="58">
        <f t="shared" si="88"/>
        <v>0</v>
      </c>
      <c r="E109" s="58">
        <f t="shared" si="88"/>
        <v>0</v>
      </c>
      <c r="F109" s="58">
        <f t="shared" si="88"/>
        <v>43285.932697525102</v>
      </c>
      <c r="G109" s="58"/>
      <c r="H109" s="58">
        <f t="shared" ref="H109:R109" si="90">$B$86*H24</f>
        <v>118500</v>
      </c>
      <c r="I109" s="58">
        <f t="shared" si="90"/>
        <v>0</v>
      </c>
      <c r="J109" s="62">
        <f t="shared" si="90"/>
        <v>0</v>
      </c>
      <c r="K109" s="62">
        <f t="shared" si="90"/>
        <v>0</v>
      </c>
      <c r="L109" s="62">
        <f t="shared" si="90"/>
        <v>187246.07327832267</v>
      </c>
      <c r="M109" s="62">
        <f t="shared" si="90"/>
        <v>105289.75746756169</v>
      </c>
      <c r="N109" s="62">
        <f t="shared" si="90"/>
        <v>0</v>
      </c>
      <c r="O109" s="62">
        <f t="shared" si="90"/>
        <v>0</v>
      </c>
      <c r="P109" s="62">
        <f t="shared" si="90"/>
        <v>-515684.3332889803</v>
      </c>
      <c r="Q109" s="62">
        <f t="shared" si="90"/>
        <v>-61607.562672090527</v>
      </c>
      <c r="R109" s="62">
        <f t="shared" si="90"/>
        <v>60785.038007242911</v>
      </c>
      <c r="S109" s="16"/>
      <c r="T109" s="16"/>
      <c r="U109" s="16"/>
      <c r="V109" s="16"/>
      <c r="W109" s="16"/>
    </row>
    <row r="110" spans="1:23" x14ac:dyDescent="0.3">
      <c r="A110" s="46" t="s">
        <v>67</v>
      </c>
      <c r="B110" s="58">
        <f t="shared" si="88"/>
        <v>0</v>
      </c>
      <c r="C110" s="127">
        <f t="shared" si="88"/>
        <v>0</v>
      </c>
      <c r="D110" s="58">
        <f t="shared" si="88"/>
        <v>0</v>
      </c>
      <c r="E110" s="58">
        <f t="shared" si="88"/>
        <v>0</v>
      </c>
      <c r="F110" s="58">
        <f t="shared" si="88"/>
        <v>43285.932697525102</v>
      </c>
      <c r="G110" s="58"/>
      <c r="H110" s="58">
        <f t="shared" ref="H110:R110" si="91">$B$86*H25</f>
        <v>118500</v>
      </c>
      <c r="I110" s="58">
        <f t="shared" si="91"/>
        <v>0</v>
      </c>
      <c r="J110" s="62">
        <f t="shared" si="91"/>
        <v>0</v>
      </c>
      <c r="K110" s="62">
        <f t="shared" si="91"/>
        <v>0</v>
      </c>
      <c r="L110" s="62">
        <f t="shared" si="91"/>
        <v>186309.84291193102</v>
      </c>
      <c r="M110" s="62">
        <f t="shared" si="91"/>
        <v>104763.30868022388</v>
      </c>
      <c r="N110" s="62">
        <f t="shared" si="91"/>
        <v>0</v>
      </c>
      <c r="O110" s="62">
        <f t="shared" si="91"/>
        <v>0</v>
      </c>
      <c r="P110" s="62">
        <f t="shared" si="91"/>
        <v>-571781.14196475991</v>
      </c>
      <c r="Q110" s="62">
        <f t="shared" si="91"/>
        <v>-104836.02577972019</v>
      </c>
      <c r="R110" s="62">
        <f t="shared" si="91"/>
        <v>58052.905650636989</v>
      </c>
      <c r="S110" s="16"/>
      <c r="T110" s="16"/>
      <c r="U110" s="16"/>
      <c r="V110" s="16"/>
      <c r="W110" s="16"/>
    </row>
  </sheetData>
  <printOptions horizontalCentered="1" verticalCentered="1"/>
  <pageMargins left="0.25" right="0.25" top="0.75" bottom="0.75" header="0.3" footer="0.3"/>
  <pageSetup scale="29" orientation="landscape" r:id="rId1"/>
  <headerFooter>
    <oddHeader>&amp;A</oddHeader>
  </headerFooter>
  <rowBreaks count="3" manualBreakCount="3">
    <brk id="27" max="16383" man="1"/>
    <brk id="56" max="16383" man="1"/>
    <brk id="83"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1E3F0-0710-4B22-98B9-5F16139145AA}">
  <sheetPr>
    <pageSetUpPr fitToPage="1"/>
  </sheetPr>
  <dimension ref="A1:Z146"/>
  <sheetViews>
    <sheetView zoomScaleNormal="100" workbookViewId="0"/>
  </sheetViews>
  <sheetFormatPr defaultRowHeight="14.4" x14ac:dyDescent="0.3"/>
  <cols>
    <col min="1" max="1" width="17.44140625" bestFit="1" customWidth="1"/>
    <col min="2" max="2" width="14.44140625" bestFit="1" customWidth="1"/>
    <col min="3" max="3" width="14.21875" bestFit="1" customWidth="1"/>
    <col min="4" max="4" width="12.6640625" bestFit="1" customWidth="1"/>
    <col min="5" max="5" width="33.77734375" bestFit="1" customWidth="1"/>
    <col min="6" max="6" width="10.77734375" bestFit="1" customWidth="1"/>
    <col min="7" max="7" width="14.21875" bestFit="1" customWidth="1"/>
    <col min="8" max="8" width="27.6640625" bestFit="1" customWidth="1"/>
    <col min="9" max="9" width="25.109375" bestFit="1" customWidth="1"/>
    <col min="10" max="10" width="39.88671875" bestFit="1" customWidth="1"/>
    <col min="11" max="11" width="17.5546875" bestFit="1" customWidth="1"/>
    <col min="12" max="12" width="24" bestFit="1" customWidth="1"/>
    <col min="13" max="13" width="22.21875" bestFit="1" customWidth="1"/>
    <col min="14" max="14" width="19.6640625" bestFit="1" customWidth="1"/>
    <col min="15" max="15" width="23.5546875" bestFit="1" customWidth="1"/>
    <col min="16" max="16" width="18.21875" bestFit="1" customWidth="1"/>
    <col min="17" max="17" width="15.33203125" bestFit="1" customWidth="1"/>
    <col min="18" max="18" width="15.5546875" bestFit="1" customWidth="1"/>
    <col min="19" max="19" width="14.21875" bestFit="1" customWidth="1"/>
    <col min="20" max="20" width="21" bestFit="1" customWidth="1"/>
    <col min="21" max="21" width="20.77734375" bestFit="1" customWidth="1"/>
    <col min="22" max="22" width="14.77734375" bestFit="1" customWidth="1"/>
    <col min="23" max="23" width="9.77734375" bestFit="1" customWidth="1"/>
    <col min="24" max="24" width="13.6640625" bestFit="1" customWidth="1"/>
    <col min="26" max="26" width="13.6640625" bestFit="1" customWidth="1"/>
  </cols>
  <sheetData>
    <row r="1" spans="1:22" x14ac:dyDescent="0.3">
      <c r="A1" t="s">
        <v>132</v>
      </c>
    </row>
    <row r="2" spans="1:22" ht="28.8" x14ac:dyDescent="0.3">
      <c r="A2" s="29" t="s">
        <v>43</v>
      </c>
      <c r="B2" s="29" t="s">
        <v>133</v>
      </c>
      <c r="C2" s="29" t="s">
        <v>134</v>
      </c>
      <c r="D2" s="29" t="s">
        <v>135</v>
      </c>
      <c r="E2" s="61" t="s">
        <v>136</v>
      </c>
      <c r="F2" s="29" t="s">
        <v>118</v>
      </c>
      <c r="G2" s="29" t="s">
        <v>137</v>
      </c>
      <c r="H2" s="29" t="s">
        <v>138</v>
      </c>
      <c r="I2" s="208" t="s">
        <v>204</v>
      </c>
      <c r="J2" s="61" t="s">
        <v>139</v>
      </c>
      <c r="K2" s="29" t="s">
        <v>6</v>
      </c>
      <c r="L2" s="29" t="s">
        <v>12</v>
      </c>
      <c r="M2" s="181" t="s">
        <v>21</v>
      </c>
      <c r="N2" s="29" t="s">
        <v>25</v>
      </c>
      <c r="O2" s="181" t="s">
        <v>29</v>
      </c>
      <c r="P2" s="181" t="s">
        <v>33</v>
      </c>
      <c r="Q2" s="29" t="s">
        <v>40</v>
      </c>
      <c r="R2" s="29" t="s">
        <v>41</v>
      </c>
      <c r="S2" s="29" t="s">
        <v>42</v>
      </c>
      <c r="T2" s="181" t="s">
        <v>119</v>
      </c>
      <c r="U2" s="61" t="s">
        <v>140</v>
      </c>
      <c r="V2" s="61" t="s">
        <v>141</v>
      </c>
    </row>
    <row r="3" spans="1:22" x14ac:dyDescent="0.3">
      <c r="A3" s="29"/>
      <c r="B3" s="29"/>
      <c r="C3" s="29"/>
      <c r="D3" s="29"/>
      <c r="E3" s="61" t="s">
        <v>142</v>
      </c>
      <c r="F3" s="29"/>
      <c r="G3" s="29"/>
      <c r="H3" s="29"/>
      <c r="I3" s="29"/>
      <c r="J3" s="61" t="s">
        <v>143</v>
      </c>
      <c r="K3" s="29"/>
      <c r="L3" s="29"/>
      <c r="M3" s="29"/>
      <c r="N3" s="29"/>
      <c r="O3" s="29"/>
      <c r="P3" s="29"/>
      <c r="Q3" s="29"/>
      <c r="R3" s="29"/>
      <c r="S3" s="29"/>
      <c r="T3" s="29"/>
      <c r="U3" s="61"/>
      <c r="V3" s="61"/>
    </row>
    <row r="4" spans="1:22" x14ac:dyDescent="0.3">
      <c r="A4" s="35" t="s">
        <v>144</v>
      </c>
      <c r="B4" s="8">
        <f t="shared" ref="B4:D26" si="0">B32+B60+B88</f>
        <v>169319.74700666824</v>
      </c>
      <c r="C4" s="8">
        <f t="shared" si="0"/>
        <v>332608.3312500001</v>
      </c>
      <c r="D4" s="8">
        <f t="shared" si="0"/>
        <v>150679.82421599873</v>
      </c>
      <c r="E4" s="46">
        <f t="shared" ref="E4:E26" si="1">SUM(B4:D4)</f>
        <v>652607.90247266705</v>
      </c>
      <c r="F4" s="8">
        <v>1861725</v>
      </c>
      <c r="G4" s="8">
        <v>3273</v>
      </c>
      <c r="H4" s="8">
        <v>730000</v>
      </c>
      <c r="I4" s="8">
        <v>58271.600000000006</v>
      </c>
      <c r="J4" s="46">
        <f t="shared" ref="J4:J26" si="2">SUM(F4:I4)</f>
        <v>2653269.6</v>
      </c>
      <c r="K4" s="56"/>
      <c r="L4" s="56"/>
      <c r="M4" s="56"/>
      <c r="N4" s="56"/>
      <c r="O4" s="56"/>
      <c r="P4" s="56"/>
      <c r="Q4" s="56"/>
      <c r="R4" s="56"/>
      <c r="S4" s="56"/>
      <c r="T4" s="56"/>
      <c r="U4" s="46">
        <f t="shared" ref="U4:U26" si="3">SUM(K4:T4)</f>
        <v>0</v>
      </c>
      <c r="V4" s="46">
        <f t="shared" ref="V4:V26" si="4">E4+J4+U4</f>
        <v>3305877.502472667</v>
      </c>
    </row>
    <row r="5" spans="1:22" x14ac:dyDescent="0.3">
      <c r="A5" s="35" t="s">
        <v>145</v>
      </c>
      <c r="B5" s="8">
        <f t="shared" si="0"/>
        <v>189970.99067999862</v>
      </c>
      <c r="C5" s="8">
        <f t="shared" si="0"/>
        <v>425962.73687066673</v>
      </c>
      <c r="D5" s="8">
        <f t="shared" si="0"/>
        <v>412123.88203066861</v>
      </c>
      <c r="E5" s="46">
        <f t="shared" si="1"/>
        <v>1028057.6095813341</v>
      </c>
      <c r="F5" s="8">
        <v>1861725</v>
      </c>
      <c r="G5" s="8">
        <v>21732</v>
      </c>
      <c r="H5" s="8">
        <v>2983670.5745999999</v>
      </c>
      <c r="I5" s="8">
        <v>65181.53333333334</v>
      </c>
      <c r="J5" s="46">
        <f t="shared" si="2"/>
        <v>4932309.1079333331</v>
      </c>
      <c r="K5" s="46"/>
      <c r="L5" s="46"/>
      <c r="M5" s="46"/>
      <c r="N5" s="46"/>
      <c r="O5" s="46"/>
      <c r="P5" s="46"/>
      <c r="Q5" s="46"/>
      <c r="R5" s="46"/>
      <c r="S5" s="46"/>
      <c r="T5" s="59"/>
      <c r="U5" s="46">
        <f t="shared" si="3"/>
        <v>0</v>
      </c>
      <c r="V5" s="46">
        <f t="shared" si="4"/>
        <v>5960366.7175146677</v>
      </c>
    </row>
    <row r="6" spans="1:22" x14ac:dyDescent="0.3">
      <c r="A6" s="35" t="s">
        <v>146</v>
      </c>
      <c r="B6" s="8">
        <f t="shared" si="0"/>
        <v>247868.06866665601</v>
      </c>
      <c r="C6" s="8">
        <f t="shared" si="0"/>
        <v>445976.34417918167</v>
      </c>
      <c r="D6" s="8">
        <f t="shared" si="0"/>
        <v>418357.61492576054</v>
      </c>
      <c r="E6" s="46">
        <f t="shared" si="1"/>
        <v>1112202.0277715982</v>
      </c>
      <c r="F6" s="8">
        <v>1861725</v>
      </c>
      <c r="G6" s="8">
        <v>5613</v>
      </c>
      <c r="H6" s="8">
        <v>4571148.5745999999</v>
      </c>
      <c r="I6" s="8">
        <v>64855.625666666674</v>
      </c>
      <c r="J6" s="46">
        <f t="shared" si="2"/>
        <v>6503342.2002666667</v>
      </c>
      <c r="K6" s="241">
        <f>'Total REC Delivery Activities'!B4</f>
        <v>141374.73563951999</v>
      </c>
      <c r="L6" s="241">
        <f>'Total REC Delivery Activities'!B5</f>
        <v>128595.79450038407</v>
      </c>
      <c r="M6" s="241">
        <f>'Total REC Delivery Activities'!B6</f>
        <v>0</v>
      </c>
      <c r="N6" s="241">
        <f>'Total REC Delivery Activities'!B7</f>
        <v>962.68457999999987</v>
      </c>
      <c r="O6" s="241">
        <f>'Total REC Delivery Activities'!B8</f>
        <v>0</v>
      </c>
      <c r="P6" s="241">
        <f>'Total REC Delivery Activities'!B9</f>
        <v>0</v>
      </c>
      <c r="Q6" s="241">
        <f>'Total REC Delivery Activities'!B10</f>
        <v>0</v>
      </c>
      <c r="R6" s="241">
        <f>'Total REC Delivery Activities'!B11</f>
        <v>0</v>
      </c>
      <c r="S6" s="241">
        <f>'Total REC Delivery Activities'!B12</f>
        <v>0</v>
      </c>
      <c r="T6" s="209"/>
      <c r="U6" s="46">
        <f t="shared" si="3"/>
        <v>270933.21471990406</v>
      </c>
      <c r="V6" s="46">
        <f t="shared" si="4"/>
        <v>7886477.4427581681</v>
      </c>
    </row>
    <row r="7" spans="1:22" x14ac:dyDescent="0.3">
      <c r="A7" s="35" t="s">
        <v>147</v>
      </c>
      <c r="B7" s="8">
        <f t="shared" si="0"/>
        <v>273855.57747992757</v>
      </c>
      <c r="C7" s="8">
        <f t="shared" si="0"/>
        <v>535408.98300473462</v>
      </c>
      <c r="D7" s="8">
        <f t="shared" si="0"/>
        <v>441111.42633333331</v>
      </c>
      <c r="E7" s="46">
        <f t="shared" si="1"/>
        <v>1250375.9868179956</v>
      </c>
      <c r="F7" s="8">
        <v>1861725</v>
      </c>
      <c r="G7" s="55"/>
      <c r="H7" s="8">
        <v>4571148.5745999999</v>
      </c>
      <c r="I7" s="8">
        <v>64531.347538333343</v>
      </c>
      <c r="J7" s="46">
        <f t="shared" si="2"/>
        <v>6497404.9221383333</v>
      </c>
      <c r="K7" s="241">
        <f>'Total REC Delivery Activities'!C4</f>
        <v>140667.8619613224</v>
      </c>
      <c r="L7" s="241">
        <f>'Total REC Delivery Activities'!C5</f>
        <v>127952.81552788217</v>
      </c>
      <c r="M7" s="241">
        <f>'Total REC Delivery Activities'!C6</f>
        <v>370263.3</v>
      </c>
      <c r="N7" s="241">
        <f>'Total REC Delivery Activities'!C7</f>
        <v>957.87115709999989</v>
      </c>
      <c r="O7" s="241">
        <f>'Total REC Delivery Activities'!C8</f>
        <v>4443.1596</v>
      </c>
      <c r="P7" s="241">
        <f>'Total REC Delivery Activities'!C9</f>
        <v>0</v>
      </c>
      <c r="Q7" s="241">
        <f>'Total REC Delivery Activities'!C10</f>
        <v>0</v>
      </c>
      <c r="R7" s="241">
        <f>'Total REC Delivery Activities'!C11</f>
        <v>0</v>
      </c>
      <c r="S7" s="241">
        <f>'Total REC Delivery Activities'!C12</f>
        <v>0</v>
      </c>
      <c r="T7" s="209">
        <v>47000</v>
      </c>
      <c r="U7" s="46">
        <f t="shared" si="3"/>
        <v>691285.00824630458</v>
      </c>
      <c r="V7" s="46">
        <f t="shared" si="4"/>
        <v>8439065.9172026329</v>
      </c>
    </row>
    <row r="8" spans="1:22" x14ac:dyDescent="0.3">
      <c r="A8" s="35" t="s">
        <v>148</v>
      </c>
      <c r="B8" s="8">
        <f t="shared" si="0"/>
        <v>270963.85393586126</v>
      </c>
      <c r="C8" s="8">
        <f t="shared" si="0"/>
        <v>534691.60164686351</v>
      </c>
      <c r="D8" s="8">
        <f t="shared" si="0"/>
        <v>438905.86920166656</v>
      </c>
      <c r="E8" s="46">
        <f t="shared" si="1"/>
        <v>1244561.3247843913</v>
      </c>
      <c r="F8" s="8">
        <v>1861725</v>
      </c>
      <c r="G8" s="55"/>
      <c r="H8" s="8">
        <v>4571148.5745999999</v>
      </c>
      <c r="I8" s="8">
        <v>64208.690800641678</v>
      </c>
      <c r="J8" s="46">
        <f t="shared" si="2"/>
        <v>6497082.2654006416</v>
      </c>
      <c r="K8" s="241">
        <f>'Total REC Delivery Activities'!D4</f>
        <v>139964.52265151578</v>
      </c>
      <c r="L8" s="241">
        <f>'Total REC Delivery Activities'!D5</f>
        <v>127313.05145024274</v>
      </c>
      <c r="M8" s="241">
        <f>'Total REC Delivery Activities'!D6</f>
        <v>368411.98349999997</v>
      </c>
      <c r="N8" s="241">
        <f>'Total REC Delivery Activities'!D7</f>
        <v>953.0818013144999</v>
      </c>
      <c r="O8" s="241">
        <f>'Total REC Delivery Activities'!D8</f>
        <v>4420.9438019999998</v>
      </c>
      <c r="P8" s="241">
        <f>'Total REC Delivery Activities'!D9</f>
        <v>0</v>
      </c>
      <c r="Q8" s="241">
        <f>'Total REC Delivery Activities'!D10</f>
        <v>0</v>
      </c>
      <c r="R8" s="241">
        <f>'Total REC Delivery Activities'!D11</f>
        <v>0</v>
      </c>
      <c r="S8" s="241">
        <f>'Total REC Delivery Activities'!D12</f>
        <v>0</v>
      </c>
      <c r="T8" s="209">
        <v>93530</v>
      </c>
      <c r="U8" s="46">
        <f t="shared" si="3"/>
        <v>734593.58320507302</v>
      </c>
      <c r="V8" s="46">
        <f t="shared" si="4"/>
        <v>8476237.1733901054</v>
      </c>
    </row>
    <row r="9" spans="1:22" x14ac:dyDescent="0.3">
      <c r="A9" s="35" t="s">
        <v>149</v>
      </c>
      <c r="B9" s="8">
        <f t="shared" si="0"/>
        <v>268076.40984284884</v>
      </c>
      <c r="C9" s="8">
        <f t="shared" si="0"/>
        <v>533994.06890657346</v>
      </c>
      <c r="D9" s="8">
        <f t="shared" si="0"/>
        <v>436711.3398556583</v>
      </c>
      <c r="E9" s="46">
        <f t="shared" si="1"/>
        <v>1238781.8186050807</v>
      </c>
      <c r="F9" s="8">
        <v>1861725</v>
      </c>
      <c r="G9" s="55"/>
      <c r="H9" s="8">
        <v>4571148.5745999999</v>
      </c>
      <c r="I9" s="8">
        <v>63887.64734663847</v>
      </c>
      <c r="J9" s="46">
        <f t="shared" si="2"/>
        <v>6496761.2219466381</v>
      </c>
      <c r="K9" s="241">
        <f>'Total REC Delivery Activities'!E4</f>
        <v>139264.70003825822</v>
      </c>
      <c r="L9" s="241">
        <f>'Total REC Delivery Activities'!E5</f>
        <v>126676.48619299152</v>
      </c>
      <c r="M9" s="241">
        <f>'Total REC Delivery Activities'!E6</f>
        <v>366569.92358249996</v>
      </c>
      <c r="N9" s="241">
        <f>'Total REC Delivery Activities'!E7</f>
        <v>948.31639230792734</v>
      </c>
      <c r="O9" s="241">
        <f>'Total REC Delivery Activities'!E8</f>
        <v>4398.83908299</v>
      </c>
      <c r="P9" s="241">
        <f>'Total REC Delivery Activities'!E9</f>
        <v>0</v>
      </c>
      <c r="Q9" s="241">
        <f>'Total REC Delivery Activities'!E10</f>
        <v>460000</v>
      </c>
      <c r="R9" s="241">
        <f>'Total REC Delivery Activities'!E11</f>
        <v>948091</v>
      </c>
      <c r="S9" s="241">
        <f>'Total REC Delivery Activities'!E12</f>
        <v>8493</v>
      </c>
      <c r="T9" s="209">
        <v>140295</v>
      </c>
      <c r="U9" s="46">
        <f t="shared" si="3"/>
        <v>2194737.2652890477</v>
      </c>
      <c r="V9" s="46">
        <f t="shared" si="4"/>
        <v>9930280.3058407661</v>
      </c>
    </row>
    <row r="10" spans="1:22" x14ac:dyDescent="0.3">
      <c r="A10" s="35" t="s">
        <v>150</v>
      </c>
      <c r="B10" s="8">
        <f t="shared" si="0"/>
        <v>265193.0088036345</v>
      </c>
      <c r="C10" s="8">
        <f t="shared" si="0"/>
        <v>533299.57288012712</v>
      </c>
      <c r="D10" s="8">
        <f t="shared" si="0"/>
        <v>434527.78315638</v>
      </c>
      <c r="E10" s="46">
        <f t="shared" si="1"/>
        <v>1233020.3648401417</v>
      </c>
      <c r="F10" s="8">
        <v>1861725</v>
      </c>
      <c r="G10" s="55"/>
      <c r="H10" s="8">
        <v>4571148.5745999999</v>
      </c>
      <c r="I10" s="8">
        <v>63568.209109905278</v>
      </c>
      <c r="J10" s="46">
        <f t="shared" si="2"/>
        <v>6496441.7837099051</v>
      </c>
      <c r="K10" s="241">
        <f>'Total REC Delivery Activities'!F4</f>
        <v>138568.37653806692</v>
      </c>
      <c r="L10" s="241">
        <f>'Total REC Delivery Activities'!F5</f>
        <v>126043.10376202657</v>
      </c>
      <c r="M10" s="241">
        <f>'Total REC Delivery Activities'!F6</f>
        <v>364737.07396458747</v>
      </c>
      <c r="N10" s="241">
        <f>'Total REC Delivery Activities'!F7</f>
        <v>943.57481034638784</v>
      </c>
      <c r="O10" s="241">
        <f>'Total REC Delivery Activities'!F8</f>
        <v>4376.8448875750501</v>
      </c>
      <c r="P10" s="241">
        <f>'Total REC Delivery Activities'!F9</f>
        <v>0</v>
      </c>
      <c r="Q10" s="241">
        <f>'Total REC Delivery Activities'!F10</f>
        <v>460000</v>
      </c>
      <c r="R10" s="241">
        <f>'Total REC Delivery Activities'!F11</f>
        <v>943350.54500000004</v>
      </c>
      <c r="S10" s="241">
        <f>'Total REC Delivery Activities'!F12</f>
        <v>8450.5349999999999</v>
      </c>
      <c r="T10" s="209">
        <v>187060</v>
      </c>
      <c r="U10" s="46">
        <f t="shared" si="3"/>
        <v>2233530.0539626023</v>
      </c>
      <c r="V10" s="46">
        <f t="shared" si="4"/>
        <v>9962992.202512648</v>
      </c>
    </row>
    <row r="11" spans="1:22" x14ac:dyDescent="0.3">
      <c r="A11" s="35" t="s">
        <v>151</v>
      </c>
      <c r="B11" s="8">
        <f t="shared" si="0"/>
        <v>262329.90726961574</v>
      </c>
      <c r="C11" s="8">
        <f t="shared" si="0"/>
        <v>532009.76775148767</v>
      </c>
      <c r="D11" s="8">
        <f t="shared" si="0"/>
        <v>432355.14424059814</v>
      </c>
      <c r="E11" s="46">
        <f t="shared" si="1"/>
        <v>1226694.8192617015</v>
      </c>
      <c r="F11" s="8">
        <v>1861725</v>
      </c>
      <c r="G11" s="55"/>
      <c r="H11" s="8">
        <v>4571148.5745999999</v>
      </c>
      <c r="I11" s="8">
        <v>63250.368064355753</v>
      </c>
      <c r="J11" s="46">
        <f t="shared" si="2"/>
        <v>6496123.942664356</v>
      </c>
      <c r="K11" s="241">
        <f>'Total REC Delivery Activities'!G4</f>
        <v>137875.5346553766</v>
      </c>
      <c r="L11" s="241">
        <f>'Total REC Delivery Activities'!G5</f>
        <v>125412.88824321644</v>
      </c>
      <c r="M11" s="241">
        <f>'Total REC Delivery Activities'!G6</f>
        <v>362913.38859476452</v>
      </c>
      <c r="N11" s="241">
        <f>'Total REC Delivery Activities'!G7</f>
        <v>938.85693629465584</v>
      </c>
      <c r="O11" s="241">
        <f>'Total REC Delivery Activities'!G8</f>
        <v>4354.9606631371744</v>
      </c>
      <c r="P11" s="241">
        <f>'Total REC Delivery Activities'!G9</f>
        <v>0</v>
      </c>
      <c r="Q11" s="241">
        <f>'Total REC Delivery Activities'!G10</f>
        <v>460000</v>
      </c>
      <c r="R11" s="241">
        <f>'Total REC Delivery Activities'!G11</f>
        <v>938633.79227500001</v>
      </c>
      <c r="S11" s="241">
        <f>'Total REC Delivery Activities'!G12</f>
        <v>8408.2823250000001</v>
      </c>
      <c r="T11" s="209">
        <v>233825</v>
      </c>
      <c r="U11" s="46">
        <f t="shared" si="3"/>
        <v>2272362.7036927892</v>
      </c>
      <c r="V11" s="46">
        <f t="shared" si="4"/>
        <v>9995181.4656188469</v>
      </c>
    </row>
    <row r="12" spans="1:22" x14ac:dyDescent="0.3">
      <c r="A12" s="35" t="s">
        <v>152</v>
      </c>
      <c r="B12" s="8">
        <f t="shared" si="0"/>
        <v>265397.02874326851</v>
      </c>
      <c r="C12" s="8">
        <f t="shared" si="0"/>
        <v>525317.70150061441</v>
      </c>
      <c r="D12" s="8">
        <f t="shared" si="0"/>
        <v>430193.36851939507</v>
      </c>
      <c r="E12" s="46">
        <f t="shared" si="1"/>
        <v>1220908.098763278</v>
      </c>
      <c r="F12" s="8">
        <v>1861725</v>
      </c>
      <c r="G12" s="55"/>
      <c r="H12" s="8">
        <v>4571148.5745999999</v>
      </c>
      <c r="I12" s="8">
        <v>62934.116224033976</v>
      </c>
      <c r="J12" s="46">
        <f t="shared" si="2"/>
        <v>6495807.6908240337</v>
      </c>
      <c r="K12" s="241">
        <f>'Total REC Delivery Activities'!H4</f>
        <v>137186.1569820997</v>
      </c>
      <c r="L12" s="241">
        <f>'Total REC Delivery Activities'!H5</f>
        <v>124785.82380200036</v>
      </c>
      <c r="M12" s="241">
        <f>'Total REC Delivery Activities'!H6</f>
        <v>361098.8216517907</v>
      </c>
      <c r="N12" s="241">
        <f>'Total REC Delivery Activities'!H7</f>
        <v>934.16265161318245</v>
      </c>
      <c r="O12" s="241">
        <f>'Total REC Delivery Activities'!H8</f>
        <v>4333.1858598214885</v>
      </c>
      <c r="P12" s="241">
        <f>'Total REC Delivery Activities'!H9</f>
        <v>0</v>
      </c>
      <c r="Q12" s="241">
        <f>'Total REC Delivery Activities'!H10</f>
        <v>460000</v>
      </c>
      <c r="R12" s="241">
        <f>'Total REC Delivery Activities'!H11</f>
        <v>933940.62331362499</v>
      </c>
      <c r="S12" s="241">
        <f>'Total REC Delivery Activities'!H12</f>
        <v>8366.2409133750007</v>
      </c>
      <c r="T12" s="209">
        <v>280590</v>
      </c>
      <c r="U12" s="46">
        <f t="shared" si="3"/>
        <v>2311235.0151743256</v>
      </c>
      <c r="V12" s="46">
        <f t="shared" si="4"/>
        <v>10027950.804761637</v>
      </c>
    </row>
    <row r="13" spans="1:22" x14ac:dyDescent="0.3">
      <c r="A13" s="35" t="s">
        <v>153</v>
      </c>
      <c r="B13" s="8">
        <f t="shared" si="0"/>
        <v>266947.85627621756</v>
      </c>
      <c r="C13" s="8">
        <f t="shared" si="0"/>
        <v>519957.11104848213</v>
      </c>
      <c r="D13" s="8">
        <f t="shared" si="0"/>
        <v>428042.40167679812</v>
      </c>
      <c r="E13" s="46">
        <f t="shared" si="1"/>
        <v>1214947.369001498</v>
      </c>
      <c r="F13" s="8">
        <v>1861725</v>
      </c>
      <c r="G13" s="55"/>
      <c r="H13" s="8">
        <v>4571148.5745999999</v>
      </c>
      <c r="I13" s="8">
        <v>62619.445642913808</v>
      </c>
      <c r="J13" s="46">
        <f t="shared" si="2"/>
        <v>6495493.0202429136</v>
      </c>
      <c r="K13" s="241">
        <f>'Total REC Delivery Activities'!I4</f>
        <v>136500.22619718921</v>
      </c>
      <c r="L13" s="241">
        <f>'Total REC Delivery Activities'!I5</f>
        <v>124161.89468299036</v>
      </c>
      <c r="M13" s="241">
        <f>'Total REC Delivery Activities'!I6</f>
        <v>359293.32754353178</v>
      </c>
      <c r="N13" s="241">
        <f>'Total REC Delivery Activities'!I7</f>
        <v>929.49183835511656</v>
      </c>
      <c r="O13" s="241">
        <f>'Total REC Delivery Activities'!I8</f>
        <v>4311.5199305223814</v>
      </c>
      <c r="P13" s="241">
        <f>'Total REC Delivery Activities'!I9</f>
        <v>0</v>
      </c>
      <c r="Q13" s="241">
        <f>'Total REC Delivery Activities'!I10</f>
        <v>460000</v>
      </c>
      <c r="R13" s="241">
        <f>'Total REC Delivery Activities'!I11</f>
        <v>929270.92019705684</v>
      </c>
      <c r="S13" s="241">
        <f>'Total REC Delivery Activities'!I12</f>
        <v>8324.4097088081253</v>
      </c>
      <c r="T13" s="209">
        <v>315751.65413533832</v>
      </c>
      <c r="U13" s="46">
        <f t="shared" si="3"/>
        <v>2338543.4442337924</v>
      </c>
      <c r="V13" s="46">
        <f t="shared" si="4"/>
        <v>10048983.833478203</v>
      </c>
    </row>
    <row r="14" spans="1:22" x14ac:dyDescent="0.3">
      <c r="A14" s="35" t="s">
        <v>154</v>
      </c>
      <c r="B14" s="8">
        <f t="shared" si="0"/>
        <v>268496.13633817085</v>
      </c>
      <c r="C14" s="8">
        <f t="shared" si="0"/>
        <v>514916.76776419271</v>
      </c>
      <c r="D14" s="8">
        <f t="shared" si="0"/>
        <v>425902.18966841412</v>
      </c>
      <c r="E14" s="46">
        <f t="shared" si="1"/>
        <v>1209315.0937707778</v>
      </c>
      <c r="F14" s="8">
        <v>1861725</v>
      </c>
      <c r="G14" s="55"/>
      <c r="H14" s="8">
        <v>4571148.5745999999</v>
      </c>
      <c r="I14" s="8">
        <v>62306.348414699241</v>
      </c>
      <c r="J14" s="46">
        <f t="shared" si="2"/>
        <v>6495179.9230146995</v>
      </c>
      <c r="K14" s="241">
        <f>'Total REC Delivery Activities'!J4</f>
        <v>135817.72506620327</v>
      </c>
      <c r="L14" s="241">
        <f>'Total REC Delivery Activities'!J5</f>
        <v>123541.08520957539</v>
      </c>
      <c r="M14" s="241">
        <f>'Total REC Delivery Activities'!J6</f>
        <v>357496.8609058141</v>
      </c>
      <c r="N14" s="241">
        <f>'Total REC Delivery Activities'!J7</f>
        <v>924.84437916334093</v>
      </c>
      <c r="O14" s="241">
        <f>'Total REC Delivery Activities'!J8</f>
        <v>4289.9623308697692</v>
      </c>
      <c r="P14" s="241">
        <f>'Total REC Delivery Activities'!J9</f>
        <v>0</v>
      </c>
      <c r="Q14" s="241">
        <f>'Total REC Delivery Activities'!J10</f>
        <v>460000</v>
      </c>
      <c r="R14" s="241">
        <f>'Total REC Delivery Activities'!J11</f>
        <v>924624.56559607154</v>
      </c>
      <c r="S14" s="241">
        <f>'Total REC Delivery Activities'!J12</f>
        <v>8282.7876602640845</v>
      </c>
      <c r="T14" s="209">
        <v>350913.30827067664</v>
      </c>
      <c r="U14" s="46">
        <f t="shared" si="3"/>
        <v>2365891.1394186383</v>
      </c>
      <c r="V14" s="46">
        <f t="shared" si="4"/>
        <v>10070386.156204116</v>
      </c>
    </row>
    <row r="15" spans="1:22" x14ac:dyDescent="0.3">
      <c r="A15" s="35" t="s">
        <v>155</v>
      </c>
      <c r="B15" s="8">
        <f t="shared" si="0"/>
        <v>259208.53533333051</v>
      </c>
      <c r="C15" s="8">
        <f t="shared" si="0"/>
        <v>516272.09365560167</v>
      </c>
      <c r="D15" s="8">
        <f t="shared" si="0"/>
        <v>423772.67872007197</v>
      </c>
      <c r="E15" s="46">
        <f t="shared" si="1"/>
        <v>1199253.307709004</v>
      </c>
      <c r="F15" s="8">
        <v>1861725</v>
      </c>
      <c r="G15" s="55"/>
      <c r="H15" s="8">
        <v>4571148.5745999999</v>
      </c>
      <c r="I15" s="8">
        <v>61994.816672625748</v>
      </c>
      <c r="J15" s="46">
        <f t="shared" si="2"/>
        <v>6494868.3912726259</v>
      </c>
      <c r="K15" s="241">
        <f>'Total REC Delivery Activities'!K4</f>
        <v>135138.63644087224</v>
      </c>
      <c r="L15" s="241">
        <f>'Total REC Delivery Activities'!K5</f>
        <v>122923.37978352752</v>
      </c>
      <c r="M15" s="241">
        <f>'Total REC Delivery Activities'!K6</f>
        <v>355709.37660128501</v>
      </c>
      <c r="N15" s="241">
        <f>'Total REC Delivery Activities'!K7</f>
        <v>920.22015726752431</v>
      </c>
      <c r="O15" s="241">
        <f>'Total REC Delivery Activities'!K8</f>
        <v>4268.5125192154201</v>
      </c>
      <c r="P15" s="241">
        <f>'Total REC Delivery Activities'!K9</f>
        <v>0</v>
      </c>
      <c r="Q15" s="241">
        <f>'Total REC Delivery Activities'!K10</f>
        <v>460000</v>
      </c>
      <c r="R15" s="241">
        <f>'Total REC Delivery Activities'!K11</f>
        <v>920001.44276809122</v>
      </c>
      <c r="S15" s="241">
        <f>'Total REC Delivery Activities'!K12</f>
        <v>8241.3737219627637</v>
      </c>
      <c r="T15" s="209">
        <v>386074.96240601491</v>
      </c>
      <c r="U15" s="46">
        <f t="shared" si="3"/>
        <v>2393277.9043982369</v>
      </c>
      <c r="V15" s="46">
        <f t="shared" si="4"/>
        <v>10087399.603379866</v>
      </c>
    </row>
    <row r="16" spans="1:22" x14ac:dyDescent="0.3">
      <c r="A16" s="35" t="s">
        <v>156</v>
      </c>
      <c r="B16" s="8">
        <f t="shared" si="0"/>
        <v>258708.53533333103</v>
      </c>
      <c r="C16" s="8">
        <f t="shared" si="0"/>
        <v>516269.10076560167</v>
      </c>
      <c r="D16" s="8">
        <f t="shared" si="0"/>
        <v>421653.81532647164</v>
      </c>
      <c r="E16" s="46">
        <f t="shared" si="1"/>
        <v>1196631.4514254043</v>
      </c>
      <c r="F16" s="55"/>
      <c r="G16" s="55"/>
      <c r="H16" s="8">
        <v>4571148.5745999999</v>
      </c>
      <c r="I16" s="8">
        <v>61684.842589262618</v>
      </c>
      <c r="J16" s="46">
        <f t="shared" si="2"/>
        <v>4632833.4171892628</v>
      </c>
      <c r="K16" s="241">
        <f>'Total REC Delivery Activities'!L4</f>
        <v>134462.94325866789</v>
      </c>
      <c r="L16" s="241">
        <f>'Total REC Delivery Activities'!L5</f>
        <v>122308.76288460988</v>
      </c>
      <c r="M16" s="241">
        <f>'Total REC Delivery Activities'!L6</f>
        <v>353930.8297182786</v>
      </c>
      <c r="N16" s="241">
        <f>'Total REC Delivery Activities'!L7</f>
        <v>915.61905648118682</v>
      </c>
      <c r="O16" s="241">
        <f>'Total REC Delivery Activities'!L8</f>
        <v>4247.1699566193429</v>
      </c>
      <c r="P16" s="241">
        <f>'Total REC Delivery Activities'!L9</f>
        <v>0</v>
      </c>
      <c r="Q16" s="241">
        <f>'Total REC Delivery Activities'!L10</f>
        <v>460000</v>
      </c>
      <c r="R16" s="241">
        <f>'Total REC Delivery Activities'!L11</f>
        <v>915401.43555425073</v>
      </c>
      <c r="S16" s="241">
        <f>'Total REC Delivery Activities'!L12</f>
        <v>8200.1668533529501</v>
      </c>
      <c r="T16" s="209">
        <v>421236.61654135323</v>
      </c>
      <c r="U16" s="46">
        <f t="shared" si="3"/>
        <v>2420703.5438236138</v>
      </c>
      <c r="V16" s="46">
        <f t="shared" si="4"/>
        <v>8250168.4124382809</v>
      </c>
    </row>
    <row r="17" spans="1:26" x14ac:dyDescent="0.3">
      <c r="A17" s="35" t="s">
        <v>157</v>
      </c>
      <c r="B17" s="8">
        <f t="shared" si="0"/>
        <v>258389.6686666637</v>
      </c>
      <c r="C17" s="8">
        <f t="shared" si="0"/>
        <v>515866.85634960164</v>
      </c>
      <c r="D17" s="8">
        <f t="shared" si="0"/>
        <v>419545.54624983924</v>
      </c>
      <c r="E17" s="46">
        <f t="shared" si="1"/>
        <v>1193802.0712661045</v>
      </c>
      <c r="F17" s="55"/>
      <c r="G17" s="55"/>
      <c r="H17" s="8">
        <v>4141148.5745999999</v>
      </c>
      <c r="I17" s="8">
        <v>61376.418376316302</v>
      </c>
      <c r="J17" s="46">
        <f t="shared" si="2"/>
        <v>4202524.9929763163</v>
      </c>
      <c r="K17" s="241">
        <f>'Total REC Delivery Activities'!M4</f>
        <v>133790.62854237453</v>
      </c>
      <c r="L17" s="241">
        <f>'Total REC Delivery Activities'!M5</f>
        <v>121697.21907018684</v>
      </c>
      <c r="M17" s="241">
        <f>'Total REC Delivery Activities'!M6</f>
        <v>352161.17556968716</v>
      </c>
      <c r="N17" s="241">
        <f>'Total REC Delivery Activities'!M7</f>
        <v>911.04096119878079</v>
      </c>
      <c r="O17" s="241">
        <f>'Total REC Delivery Activities'!M8</f>
        <v>4225.9341068362464</v>
      </c>
      <c r="P17" s="241">
        <f>'Total REC Delivery Activities'!M9</f>
        <v>0</v>
      </c>
      <c r="Q17" s="241">
        <f>'Total REC Delivery Activities'!M10</f>
        <v>460000</v>
      </c>
      <c r="R17" s="241">
        <f>'Total REC Delivery Activities'!M11</f>
        <v>910824.42837647942</v>
      </c>
      <c r="S17" s="241">
        <f>'Total REC Delivery Activities'!M12</f>
        <v>8159.1660190861849</v>
      </c>
      <c r="T17" s="209">
        <v>456398.27067669155</v>
      </c>
      <c r="U17" s="46">
        <f t="shared" si="3"/>
        <v>2448167.8633225407</v>
      </c>
      <c r="V17" s="46">
        <f t="shared" si="4"/>
        <v>7844494.9275649618</v>
      </c>
    </row>
    <row r="18" spans="1:26" x14ac:dyDescent="0.3">
      <c r="A18" s="35" t="s">
        <v>158</v>
      </c>
      <c r="B18" s="8">
        <f t="shared" si="0"/>
        <v>200941.73533333145</v>
      </c>
      <c r="C18" s="8">
        <f t="shared" si="0"/>
        <v>444647.44733160239</v>
      </c>
      <c r="D18" s="8">
        <f t="shared" si="0"/>
        <v>417447.81851859001</v>
      </c>
      <c r="E18" s="46">
        <f t="shared" si="1"/>
        <v>1063037.0011835238</v>
      </c>
      <c r="F18" s="55"/>
      <c r="G18" s="55"/>
      <c r="H18" s="8">
        <v>4141148.5745999999</v>
      </c>
      <c r="I18" s="8">
        <v>61069.536284434718</v>
      </c>
      <c r="J18" s="46">
        <f t="shared" si="2"/>
        <v>4202218.1108844345</v>
      </c>
      <c r="K18" s="241">
        <f>'Total REC Delivery Activities'!N4</f>
        <v>133121.67539966266</v>
      </c>
      <c r="L18" s="241">
        <f>'Total REC Delivery Activities'!N5</f>
        <v>121088.7329748359</v>
      </c>
      <c r="M18" s="241">
        <f>'Total REC Delivery Activities'!N6</f>
        <v>350400.36969183874</v>
      </c>
      <c r="N18" s="241">
        <f>'Total REC Delivery Activities'!N7</f>
        <v>906.48575639278693</v>
      </c>
      <c r="O18" s="241">
        <f>'Total REC Delivery Activities'!N8</f>
        <v>4204.8044363020654</v>
      </c>
      <c r="P18" s="241">
        <f>'Total REC Delivery Activities'!N9</f>
        <v>0</v>
      </c>
      <c r="Q18" s="241">
        <f>'Total REC Delivery Activities'!N10</f>
        <v>460000</v>
      </c>
      <c r="R18" s="241">
        <f>'Total REC Delivery Activities'!N11</f>
        <v>906270.306234597</v>
      </c>
      <c r="S18" s="241">
        <f>'Total REC Delivery Activities'!N12</f>
        <v>8118.3701889907543</v>
      </c>
      <c r="T18" s="209">
        <v>491559.92481202987</v>
      </c>
      <c r="U18" s="46">
        <f t="shared" si="3"/>
        <v>2475670.6694946499</v>
      </c>
      <c r="V18" s="46">
        <f t="shared" si="4"/>
        <v>7740925.7815626077</v>
      </c>
    </row>
    <row r="19" spans="1:26" x14ac:dyDescent="0.3">
      <c r="A19" s="35" t="s">
        <v>159</v>
      </c>
      <c r="B19" s="8">
        <f t="shared" si="0"/>
        <v>78391.335333330877</v>
      </c>
      <c r="C19" s="8">
        <f t="shared" si="0"/>
        <v>189651.27373893515</v>
      </c>
      <c r="D19" s="8">
        <f t="shared" si="0"/>
        <v>319613.06666666653</v>
      </c>
      <c r="E19" s="46">
        <f t="shared" si="1"/>
        <v>587655.67573893256</v>
      </c>
      <c r="F19" s="55"/>
      <c r="G19" s="55"/>
      <c r="H19" s="8">
        <v>3841148.5745999999</v>
      </c>
      <c r="I19" s="8">
        <v>60764.188603012546</v>
      </c>
      <c r="J19" s="46">
        <f t="shared" si="2"/>
        <v>3901912.7632030123</v>
      </c>
      <c r="K19" s="241">
        <f>'Total REC Delivery Activities'!O4</f>
        <v>132456.06702266436</v>
      </c>
      <c r="L19" s="241">
        <f>'Total REC Delivery Activities'!O5</f>
        <v>120483.28930996171</v>
      </c>
      <c r="M19" s="241">
        <f>'Total REC Delivery Activities'!O6</f>
        <v>348648.36784337956</v>
      </c>
      <c r="N19" s="241">
        <f>'Total REC Delivery Activities'!O7</f>
        <v>901.95332761082295</v>
      </c>
      <c r="O19" s="241">
        <f>'Total REC Delivery Activities'!O8</f>
        <v>4183.7804141205552</v>
      </c>
      <c r="P19" s="241">
        <f>'Total REC Delivery Activities'!O9</f>
        <v>0</v>
      </c>
      <c r="Q19" s="241">
        <f>'Total REC Delivery Activities'!O10</f>
        <v>460000</v>
      </c>
      <c r="R19" s="241">
        <f>'Total REC Delivery Activities'!O11</f>
        <v>901738.95470342401</v>
      </c>
      <c r="S19" s="241">
        <f>'Total REC Delivery Activities'!O12</f>
        <v>8077.7783380458004</v>
      </c>
      <c r="T19" s="209">
        <v>526721.57894736819</v>
      </c>
      <c r="U19" s="46">
        <f t="shared" si="3"/>
        <v>2503211.7699065749</v>
      </c>
      <c r="V19" s="46">
        <f t="shared" si="4"/>
        <v>6992780.2088485193</v>
      </c>
    </row>
    <row r="20" spans="1:26" x14ac:dyDescent="0.3">
      <c r="A20" s="35" t="s">
        <v>61</v>
      </c>
      <c r="B20" s="8">
        <f t="shared" si="0"/>
        <v>41124.268666664269</v>
      </c>
      <c r="C20" s="8">
        <f t="shared" si="0"/>
        <v>87254.919241601863</v>
      </c>
      <c r="D20" s="8">
        <f t="shared" si="0"/>
        <v>34303.26666666667</v>
      </c>
      <c r="E20" s="46">
        <f t="shared" si="1"/>
        <v>162682.45457493281</v>
      </c>
      <c r="F20" s="55"/>
      <c r="G20" s="55"/>
      <c r="H20" s="8"/>
      <c r="I20" s="8">
        <v>60460.367659997486</v>
      </c>
      <c r="J20" s="46">
        <f t="shared" si="2"/>
        <v>60460.367659997486</v>
      </c>
      <c r="K20" s="241">
        <f>'Total REC Delivery Activities'!P4</f>
        <v>131793.78668755104</v>
      </c>
      <c r="L20" s="241">
        <f>'Total REC Delivery Activities'!P5</f>
        <v>119880.8728634119</v>
      </c>
      <c r="M20" s="241">
        <f>'Total REC Delivery Activities'!P6</f>
        <v>346905.12600416265</v>
      </c>
      <c r="N20" s="241">
        <f>'Total REC Delivery Activities'!P7</f>
        <v>897.44356097276886</v>
      </c>
      <c r="O20" s="241">
        <f>'Total REC Delivery Activities'!P8</f>
        <v>4162.8615120499526</v>
      </c>
      <c r="P20" s="241">
        <f>'Total REC Delivery Activities'!P9</f>
        <v>0</v>
      </c>
      <c r="Q20" s="241">
        <f>'Total REC Delivery Activities'!P10</f>
        <v>460000</v>
      </c>
      <c r="R20" s="241">
        <f>'Total REC Delivery Activities'!P11</f>
        <v>897230.25992990693</v>
      </c>
      <c r="S20" s="241">
        <f>'Total REC Delivery Activities'!P12</f>
        <v>8037.3894463555716</v>
      </c>
      <c r="T20" s="209">
        <v>561883.23308270646</v>
      </c>
      <c r="U20" s="46">
        <f t="shared" si="3"/>
        <v>2530790.9730871171</v>
      </c>
      <c r="V20" s="46">
        <f t="shared" si="4"/>
        <v>2753933.7953220475</v>
      </c>
    </row>
    <row r="21" spans="1:26" x14ac:dyDescent="0.3">
      <c r="A21" s="35" t="s">
        <v>62</v>
      </c>
      <c r="B21" s="8">
        <f t="shared" si="0"/>
        <v>154.260456</v>
      </c>
      <c r="C21" s="8">
        <f t="shared" si="0"/>
        <v>0</v>
      </c>
      <c r="D21" s="8">
        <f t="shared" si="0"/>
        <v>0</v>
      </c>
      <c r="E21" s="46">
        <f t="shared" si="1"/>
        <v>154.260456</v>
      </c>
      <c r="F21" s="55"/>
      <c r="G21" s="55"/>
      <c r="H21" s="8"/>
      <c r="I21" s="8">
        <v>60158.065821697499</v>
      </c>
      <c r="J21" s="46">
        <f t="shared" si="2"/>
        <v>60158.065821697499</v>
      </c>
      <c r="K21" s="241">
        <f>'Total REC Delivery Activities'!Q4</f>
        <v>0</v>
      </c>
      <c r="L21" s="241">
        <f>'Total REC Delivery Activities'!Q5</f>
        <v>0</v>
      </c>
      <c r="M21" s="241">
        <f>'Total REC Delivery Activities'!Q6</f>
        <v>345170.60037414182</v>
      </c>
      <c r="N21" s="241">
        <f>'Total REC Delivery Activities'!Q7</f>
        <v>892.95634316790506</v>
      </c>
      <c r="O21" s="241">
        <f>'Total REC Delivery Activities'!Q8</f>
        <v>4142.0472044897024</v>
      </c>
      <c r="P21" s="241">
        <f>'Total REC Delivery Activities'!Q9</f>
        <v>0</v>
      </c>
      <c r="Q21" s="241">
        <f>'Total REC Delivery Activities'!Q10</f>
        <v>460000</v>
      </c>
      <c r="R21" s="241">
        <f>'Total REC Delivery Activities'!Q11</f>
        <v>892744.10863025743</v>
      </c>
      <c r="S21" s="241">
        <f>'Total REC Delivery Activities'!Q12</f>
        <v>7997.202499123794</v>
      </c>
      <c r="T21" s="209">
        <v>597044.88721804484</v>
      </c>
      <c r="U21" s="46">
        <f t="shared" si="3"/>
        <v>2307991.8022692255</v>
      </c>
      <c r="V21" s="46">
        <f t="shared" si="4"/>
        <v>2368304.1285469229</v>
      </c>
    </row>
    <row r="22" spans="1:26" x14ac:dyDescent="0.3">
      <c r="A22" s="35" t="s">
        <v>63</v>
      </c>
      <c r="B22" s="8">
        <f t="shared" si="0"/>
        <v>0</v>
      </c>
      <c r="C22" s="8">
        <f t="shared" si="0"/>
        <v>0</v>
      </c>
      <c r="D22" s="8">
        <f t="shared" si="0"/>
        <v>0</v>
      </c>
      <c r="E22" s="46">
        <f t="shared" si="1"/>
        <v>0</v>
      </c>
      <c r="F22" s="55"/>
      <c r="G22" s="55"/>
      <c r="H22" s="8"/>
      <c r="I22" s="8">
        <v>59857.275492589011</v>
      </c>
      <c r="J22" s="46">
        <f t="shared" si="2"/>
        <v>59857.275492589011</v>
      </c>
      <c r="K22" s="241">
        <f>'Total REC Delivery Activities'!R4</f>
        <v>0</v>
      </c>
      <c r="L22" s="241">
        <f>'Total REC Delivery Activities'!R5</f>
        <v>0</v>
      </c>
      <c r="M22" s="241">
        <f>'Total REC Delivery Activities'!R6</f>
        <v>343444.74737227114</v>
      </c>
      <c r="N22" s="241">
        <f>'Total REC Delivery Activities'!R7</f>
        <v>888.49156145206541</v>
      </c>
      <c r="O22" s="241">
        <f>'Total REC Delivery Activities'!R8</f>
        <v>0</v>
      </c>
      <c r="P22" s="241">
        <f>'Total REC Delivery Activities'!R9</f>
        <v>0</v>
      </c>
      <c r="Q22" s="241">
        <f>'Total REC Delivery Activities'!R10</f>
        <v>460000</v>
      </c>
      <c r="R22" s="241">
        <f>'Total REC Delivery Activities'!R11</f>
        <v>888280.38808710617</v>
      </c>
      <c r="S22" s="241">
        <f>'Total REC Delivery Activities'!R12</f>
        <v>7957.2164866281746</v>
      </c>
      <c r="T22" s="209">
        <v>632206.5413533831</v>
      </c>
      <c r="U22" s="46">
        <f t="shared" si="3"/>
        <v>2332777.3848608406</v>
      </c>
      <c r="V22" s="46">
        <f t="shared" si="4"/>
        <v>2392634.6603534296</v>
      </c>
    </row>
    <row r="23" spans="1:26" x14ac:dyDescent="0.3">
      <c r="A23" s="35" t="s">
        <v>64</v>
      </c>
      <c r="B23" s="8">
        <f t="shared" si="0"/>
        <v>0</v>
      </c>
      <c r="C23" s="8">
        <f t="shared" si="0"/>
        <v>0</v>
      </c>
      <c r="D23" s="8">
        <f t="shared" si="0"/>
        <v>0</v>
      </c>
      <c r="E23" s="46">
        <f t="shared" si="1"/>
        <v>0</v>
      </c>
      <c r="F23" s="55"/>
      <c r="G23" s="55"/>
      <c r="H23" s="8"/>
      <c r="I23" s="8">
        <v>59557.989115126067</v>
      </c>
      <c r="J23" s="46">
        <f t="shared" si="2"/>
        <v>59557.989115126067</v>
      </c>
      <c r="K23" s="241">
        <f>'Total REC Delivery Activities'!S4</f>
        <v>0</v>
      </c>
      <c r="L23" s="241">
        <f>'Total REC Delivery Activities'!S5</f>
        <v>0</v>
      </c>
      <c r="M23" s="241">
        <f>'Total REC Delivery Activities'!S6</f>
        <v>341727.52363540977</v>
      </c>
      <c r="N23" s="241">
        <f>'Total REC Delivery Activities'!S7</f>
        <v>884.04910364480509</v>
      </c>
      <c r="O23" s="241">
        <f>'Total REC Delivery Activities'!S8</f>
        <v>0</v>
      </c>
      <c r="P23" s="241">
        <f>'Total REC Delivery Activities'!S9</f>
        <v>0</v>
      </c>
      <c r="Q23" s="241">
        <f>'Total REC Delivery Activities'!S10</f>
        <v>460000</v>
      </c>
      <c r="R23" s="241">
        <f>'Total REC Delivery Activities'!S11</f>
        <v>883838.98614667065</v>
      </c>
      <c r="S23" s="241">
        <f>'Total REC Delivery Activities'!S12</f>
        <v>7917.4304041950336</v>
      </c>
      <c r="T23" s="209">
        <v>667368.19548872148</v>
      </c>
      <c r="U23" s="46">
        <f t="shared" si="3"/>
        <v>2361736.1847786419</v>
      </c>
      <c r="V23" s="46">
        <f t="shared" si="4"/>
        <v>2421294.1738937679</v>
      </c>
    </row>
    <row r="24" spans="1:26" x14ac:dyDescent="0.3">
      <c r="A24" s="35" t="s">
        <v>65</v>
      </c>
      <c r="B24" s="8">
        <f t="shared" si="0"/>
        <v>0</v>
      </c>
      <c r="C24" s="8">
        <f t="shared" si="0"/>
        <v>0</v>
      </c>
      <c r="D24" s="8">
        <f t="shared" si="0"/>
        <v>0</v>
      </c>
      <c r="E24" s="46">
        <f t="shared" si="1"/>
        <v>0</v>
      </c>
      <c r="F24" s="55"/>
      <c r="G24" s="55"/>
      <c r="H24" s="8"/>
      <c r="I24" s="8">
        <v>59260.199169550433</v>
      </c>
      <c r="J24" s="46">
        <f t="shared" si="2"/>
        <v>59260.199169550433</v>
      </c>
      <c r="K24" s="241">
        <f>'Total REC Delivery Activities'!T4</f>
        <v>0</v>
      </c>
      <c r="L24" s="241">
        <f>'Total REC Delivery Activities'!T5</f>
        <v>0</v>
      </c>
      <c r="M24" s="241">
        <f>'Total REC Delivery Activities'!T6</f>
        <v>340018.88601723273</v>
      </c>
      <c r="N24" s="241">
        <f>'Total REC Delivery Activities'!T7</f>
        <v>879.62885812658124</v>
      </c>
      <c r="O24" s="241">
        <f>'Total REC Delivery Activities'!T8</f>
        <v>0</v>
      </c>
      <c r="P24" s="241">
        <f>'Total REC Delivery Activities'!T9</f>
        <v>0</v>
      </c>
      <c r="Q24" s="241">
        <f>'Total REC Delivery Activities'!T10</f>
        <v>460000</v>
      </c>
      <c r="R24" s="241">
        <f>'Total REC Delivery Activities'!T11</f>
        <v>879419.79121593724</v>
      </c>
      <c r="S24" s="241">
        <f>'Total REC Delivery Activities'!T12</f>
        <v>7877.8432521740588</v>
      </c>
      <c r="T24" s="209">
        <v>702529.84962405975</v>
      </c>
      <c r="U24" s="46">
        <f t="shared" si="3"/>
        <v>2390725.9989675302</v>
      </c>
      <c r="V24" s="46">
        <f t="shared" si="4"/>
        <v>2449986.1981370808</v>
      </c>
    </row>
    <row r="25" spans="1:26" x14ac:dyDescent="0.3">
      <c r="A25" s="35" t="s">
        <v>66</v>
      </c>
      <c r="B25" s="8">
        <f t="shared" si="0"/>
        <v>0</v>
      </c>
      <c r="C25" s="8">
        <f t="shared" si="0"/>
        <v>0</v>
      </c>
      <c r="D25" s="8">
        <f t="shared" si="0"/>
        <v>0</v>
      </c>
      <c r="E25" s="46">
        <f t="shared" si="1"/>
        <v>0</v>
      </c>
      <c r="F25" s="55"/>
      <c r="G25" s="55"/>
      <c r="H25" s="8"/>
      <c r="I25" s="8">
        <v>58963.898173702677</v>
      </c>
      <c r="J25" s="46">
        <f t="shared" si="2"/>
        <v>58963.898173702677</v>
      </c>
      <c r="K25" s="241">
        <f>'Total REC Delivery Activities'!U4</f>
        <v>0</v>
      </c>
      <c r="L25" s="241">
        <f>'Total REC Delivery Activities'!U5</f>
        <v>0</v>
      </c>
      <c r="M25" s="241">
        <f>'Total REC Delivery Activities'!U6</f>
        <v>338318.79158714658</v>
      </c>
      <c r="N25" s="241">
        <f>'Total REC Delivery Activities'!U7</f>
        <v>875.23071383594834</v>
      </c>
      <c r="O25" s="241">
        <f>'Total REC Delivery Activities'!U8</f>
        <v>0</v>
      </c>
      <c r="P25" s="241">
        <f>'Total REC Delivery Activities'!U9</f>
        <v>0</v>
      </c>
      <c r="Q25" s="241">
        <f>'Total REC Delivery Activities'!U10</f>
        <v>460000</v>
      </c>
      <c r="R25" s="241">
        <f>'Total REC Delivery Activities'!U11</f>
        <v>875022.69225985755</v>
      </c>
      <c r="S25" s="241">
        <f>'Total REC Delivery Activities'!U12</f>
        <v>7838.4540359131888</v>
      </c>
      <c r="T25" s="209">
        <v>737691.50375939801</v>
      </c>
      <c r="U25" s="46">
        <f t="shared" si="3"/>
        <v>2419746.6723561515</v>
      </c>
      <c r="V25" s="46">
        <f t="shared" si="4"/>
        <v>2478710.5705298544</v>
      </c>
    </row>
    <row r="26" spans="1:26" x14ac:dyDescent="0.3">
      <c r="A26" s="35" t="s">
        <v>67</v>
      </c>
      <c r="B26" s="8">
        <f t="shared" si="0"/>
        <v>0</v>
      </c>
      <c r="C26" s="8">
        <f t="shared" si="0"/>
        <v>0</v>
      </c>
      <c r="D26" s="8">
        <f t="shared" si="0"/>
        <v>0</v>
      </c>
      <c r="E26" s="46">
        <f t="shared" si="1"/>
        <v>0</v>
      </c>
      <c r="F26" s="55"/>
      <c r="G26" s="55"/>
      <c r="H26" s="8"/>
      <c r="I26" s="8">
        <v>58669.078682834166</v>
      </c>
      <c r="J26" s="46">
        <f t="shared" si="2"/>
        <v>58669.078682834166</v>
      </c>
      <c r="K26" s="241">
        <f>'Total REC Delivery Activities'!V4</f>
        <v>0</v>
      </c>
      <c r="L26" s="241">
        <f>'Total REC Delivery Activities'!V5</f>
        <v>0</v>
      </c>
      <c r="M26" s="241">
        <f>'Total REC Delivery Activities'!V6</f>
        <v>336627.19762921083</v>
      </c>
      <c r="N26" s="241">
        <f>'Total REC Delivery Activities'!V7</f>
        <v>0</v>
      </c>
      <c r="O26" s="241">
        <f>'Total REC Delivery Activities'!V8</f>
        <v>0</v>
      </c>
      <c r="P26" s="241">
        <f>'Total REC Delivery Activities'!V9</f>
        <v>0</v>
      </c>
      <c r="Q26" s="241">
        <f>'Total REC Delivery Activities'!V10</f>
        <v>460000</v>
      </c>
      <c r="R26" s="241">
        <f>'Total REC Delivery Activities'!V11</f>
        <v>870647.57879855821</v>
      </c>
      <c r="S26" s="241">
        <f>'Total REC Delivery Activities'!V12</f>
        <v>7799.2617657336232</v>
      </c>
      <c r="T26" s="209">
        <v>772853.15789473639</v>
      </c>
      <c r="U26" s="46">
        <f t="shared" si="3"/>
        <v>2447927.1960882391</v>
      </c>
      <c r="V26" s="46">
        <f t="shared" si="4"/>
        <v>2506596.2747710734</v>
      </c>
    </row>
    <row r="28" spans="1:26" x14ac:dyDescent="0.3">
      <c r="E28" s="19"/>
      <c r="F28" s="19"/>
      <c r="J28" s="202"/>
    </row>
    <row r="29" spans="1:26" x14ac:dyDescent="0.3">
      <c r="A29" s="35" t="s">
        <v>94</v>
      </c>
      <c r="B29" s="126">
        <v>0.27317999999999998</v>
      </c>
    </row>
    <row r="30" spans="1:26" ht="28.8" x14ac:dyDescent="0.3">
      <c r="A30" s="29" t="s">
        <v>43</v>
      </c>
      <c r="B30" s="29" t="s">
        <v>133</v>
      </c>
      <c r="C30" s="29" t="s">
        <v>134</v>
      </c>
      <c r="D30" s="29" t="s">
        <v>135</v>
      </c>
      <c r="E30" s="61" t="s">
        <v>136</v>
      </c>
      <c r="F30" s="29" t="s">
        <v>118</v>
      </c>
      <c r="G30" s="29" t="s">
        <v>137</v>
      </c>
      <c r="H30" s="29" t="s">
        <v>138</v>
      </c>
      <c r="I30" s="208" t="s">
        <v>204</v>
      </c>
      <c r="J30" s="61" t="s">
        <v>139</v>
      </c>
      <c r="K30" s="29" t="s">
        <v>6</v>
      </c>
      <c r="L30" s="29" t="s">
        <v>12</v>
      </c>
      <c r="M30" s="181" t="s">
        <v>21</v>
      </c>
      <c r="N30" s="29" t="s">
        <v>25</v>
      </c>
      <c r="O30" s="181" t="s">
        <v>29</v>
      </c>
      <c r="P30" s="181" t="s">
        <v>33</v>
      </c>
      <c r="Q30" s="29" t="s">
        <v>40</v>
      </c>
      <c r="R30" s="29" t="s">
        <v>41</v>
      </c>
      <c r="S30" s="29" t="s">
        <v>42</v>
      </c>
      <c r="T30" s="181" t="s">
        <v>119</v>
      </c>
      <c r="U30" s="61" t="s">
        <v>140</v>
      </c>
      <c r="V30" s="61" t="s">
        <v>141</v>
      </c>
    </row>
    <row r="31" spans="1:26" x14ac:dyDescent="0.3">
      <c r="A31" s="29"/>
      <c r="B31" s="29"/>
      <c r="C31" s="29"/>
      <c r="D31" s="29"/>
      <c r="E31" s="61" t="s">
        <v>142</v>
      </c>
      <c r="F31" s="29"/>
      <c r="G31" s="29"/>
      <c r="H31" s="29"/>
      <c r="I31" s="29"/>
      <c r="J31" s="61" t="s">
        <v>143</v>
      </c>
      <c r="K31" s="29"/>
      <c r="L31" s="29"/>
      <c r="M31" s="29"/>
      <c r="N31" s="29"/>
      <c r="O31" s="29"/>
      <c r="P31" s="29"/>
      <c r="Q31" s="29"/>
      <c r="R31" s="29"/>
      <c r="S31" s="29"/>
      <c r="T31" s="29"/>
      <c r="U31" s="61"/>
      <c r="V31" s="61"/>
    </row>
    <row r="32" spans="1:26" x14ac:dyDescent="0.3">
      <c r="A32" s="35" t="s">
        <v>144</v>
      </c>
      <c r="B32" s="8">
        <v>49863.21758400221</v>
      </c>
      <c r="C32" s="8">
        <v>94276.694500000056</v>
      </c>
      <c r="D32" s="8">
        <v>60761.28791599875</v>
      </c>
      <c r="E32" s="46">
        <f t="shared" ref="E32:E54" si="5">SUM(B32:D32)</f>
        <v>204901.20000000103</v>
      </c>
      <c r="F32" s="8">
        <v>600000</v>
      </c>
      <c r="G32" s="8">
        <v>3273</v>
      </c>
      <c r="H32" s="8">
        <v>214109</v>
      </c>
      <c r="I32" s="8">
        <f t="shared" ref="I32:I54" si="6">I4*$B$29</f>
        <v>15918.635688</v>
      </c>
      <c r="J32" s="46">
        <f t="shared" ref="J32:J54" si="7">SUM(F32:I32)</f>
        <v>833300.63568800001</v>
      </c>
      <c r="K32" s="46">
        <f t="shared" ref="K32:S32" si="8">$B$29*K4</f>
        <v>0</v>
      </c>
      <c r="L32" s="46">
        <f t="shared" si="8"/>
        <v>0</v>
      </c>
      <c r="M32" s="46">
        <f t="shared" si="8"/>
        <v>0</v>
      </c>
      <c r="N32" s="46">
        <f t="shared" si="8"/>
        <v>0</v>
      </c>
      <c r="O32" s="46">
        <f t="shared" si="8"/>
        <v>0</v>
      </c>
      <c r="P32" s="46">
        <f t="shared" si="8"/>
        <v>0</v>
      </c>
      <c r="Q32" s="46">
        <f t="shared" si="8"/>
        <v>0</v>
      </c>
      <c r="R32" s="46">
        <f t="shared" si="8"/>
        <v>0</v>
      </c>
      <c r="S32" s="46">
        <f t="shared" si="8"/>
        <v>0</v>
      </c>
      <c r="T32" s="46">
        <f t="shared" ref="T32:T54" si="9">T4*$B$29</f>
        <v>0</v>
      </c>
      <c r="U32" s="46">
        <f t="shared" ref="U32:U54" si="10">SUM(K32:T32)</f>
        <v>0</v>
      </c>
      <c r="V32" s="46">
        <f t="shared" ref="V32:V54" si="11">E32+J32+U32</f>
        <v>1038201.835688001</v>
      </c>
      <c r="X32" s="19"/>
      <c r="Z32" s="19"/>
    </row>
    <row r="33" spans="1:26" x14ac:dyDescent="0.3">
      <c r="A33" s="35" t="s">
        <v>145</v>
      </c>
      <c r="B33" s="8">
        <v>60091.659567998628</v>
      </c>
      <c r="C33" s="8">
        <v>121338.67020400011</v>
      </c>
      <c r="D33" s="8">
        <v>114836.47689466861</v>
      </c>
      <c r="E33" s="46">
        <f t="shared" si="5"/>
        <v>296266.80666666734</v>
      </c>
      <c r="F33" s="8">
        <v>600000</v>
      </c>
      <c r="G33" s="8">
        <v>2838</v>
      </c>
      <c r="H33" s="8">
        <v>875109.28229999996</v>
      </c>
      <c r="I33" s="8">
        <f t="shared" si="6"/>
        <v>17806.291276</v>
      </c>
      <c r="J33" s="46">
        <f t="shared" si="7"/>
        <v>1495753.5735760001</v>
      </c>
      <c r="K33" s="46">
        <f t="shared" ref="K33:S33" si="12">$B$29*K5</f>
        <v>0</v>
      </c>
      <c r="L33" s="46">
        <f t="shared" si="12"/>
        <v>0</v>
      </c>
      <c r="M33" s="46">
        <f t="shared" si="12"/>
        <v>0</v>
      </c>
      <c r="N33" s="46">
        <f t="shared" si="12"/>
        <v>0</v>
      </c>
      <c r="O33" s="46">
        <f t="shared" si="12"/>
        <v>0</v>
      </c>
      <c r="P33" s="46">
        <f t="shared" si="12"/>
        <v>0</v>
      </c>
      <c r="Q33" s="46">
        <f t="shared" si="12"/>
        <v>0</v>
      </c>
      <c r="R33" s="46">
        <f t="shared" si="12"/>
        <v>0</v>
      </c>
      <c r="S33" s="46">
        <f t="shared" si="12"/>
        <v>0</v>
      </c>
      <c r="T33" s="46">
        <f t="shared" si="9"/>
        <v>0</v>
      </c>
      <c r="U33" s="46">
        <f t="shared" si="10"/>
        <v>0</v>
      </c>
      <c r="V33" s="46">
        <f t="shared" si="11"/>
        <v>1792020.3802426674</v>
      </c>
      <c r="X33" s="19"/>
      <c r="Z33" s="19"/>
    </row>
    <row r="34" spans="1:26" x14ac:dyDescent="0.3">
      <c r="A34" s="35" t="s">
        <v>146</v>
      </c>
      <c r="B34" s="8">
        <v>67712.598998357076</v>
      </c>
      <c r="C34" s="8">
        <v>120928.42778471862</v>
      </c>
      <c r="D34" s="8">
        <v>117921</v>
      </c>
      <c r="E34" s="46">
        <f t="shared" si="5"/>
        <v>306562.02678307571</v>
      </c>
      <c r="F34" s="8">
        <v>600000</v>
      </c>
      <c r="G34" s="8">
        <v>327</v>
      </c>
      <c r="H34" s="8">
        <v>1340716.2823000001</v>
      </c>
      <c r="I34" s="8">
        <f t="shared" si="6"/>
        <v>17717.259819620002</v>
      </c>
      <c r="J34" s="46">
        <f t="shared" si="7"/>
        <v>1958760.5421196201</v>
      </c>
      <c r="K34" s="46">
        <f t="shared" ref="K34:S34" si="13">$B$29*K6</f>
        <v>38620.750282004068</v>
      </c>
      <c r="L34" s="46">
        <f t="shared" si="13"/>
        <v>35129.799141614916</v>
      </c>
      <c r="M34" s="46">
        <f t="shared" si="13"/>
        <v>0</v>
      </c>
      <c r="N34" s="46">
        <f t="shared" si="13"/>
        <v>262.98617356439996</v>
      </c>
      <c r="O34" s="46">
        <f t="shared" si="13"/>
        <v>0</v>
      </c>
      <c r="P34" s="46">
        <f t="shared" si="13"/>
        <v>0</v>
      </c>
      <c r="Q34" s="46">
        <f t="shared" si="13"/>
        <v>0</v>
      </c>
      <c r="R34" s="46">
        <f t="shared" si="13"/>
        <v>0</v>
      </c>
      <c r="S34" s="46">
        <f t="shared" si="13"/>
        <v>0</v>
      </c>
      <c r="T34" s="46">
        <f t="shared" si="9"/>
        <v>0</v>
      </c>
      <c r="U34" s="46">
        <f t="shared" si="10"/>
        <v>74013.535597183378</v>
      </c>
      <c r="V34" s="46">
        <f t="shared" si="11"/>
        <v>2339336.1044998793</v>
      </c>
      <c r="X34" s="19"/>
      <c r="Z34" s="19"/>
    </row>
    <row r="35" spans="1:26" x14ac:dyDescent="0.3">
      <c r="A35" s="35" t="s">
        <v>147</v>
      </c>
      <c r="B35" s="8">
        <v>74811.866655966602</v>
      </c>
      <c r="C35" s="8">
        <v>145554.31623470967</v>
      </c>
      <c r="D35" s="8">
        <v>120502.81944573998</v>
      </c>
      <c r="E35" s="46">
        <f t="shared" si="5"/>
        <v>340869.00233641622</v>
      </c>
      <c r="F35" s="8">
        <v>600000</v>
      </c>
      <c r="G35" s="55"/>
      <c r="H35" s="8">
        <v>1340716.2823000001</v>
      </c>
      <c r="I35" s="8">
        <f t="shared" si="6"/>
        <v>17628.673520521901</v>
      </c>
      <c r="J35" s="46">
        <f t="shared" si="7"/>
        <v>1958344.955820522</v>
      </c>
      <c r="K35" s="46">
        <f t="shared" ref="K35:S35" si="14">$B$29*K7</f>
        <v>38427.646530594051</v>
      </c>
      <c r="L35" s="46">
        <f t="shared" si="14"/>
        <v>34954.150145906846</v>
      </c>
      <c r="M35" s="46">
        <f t="shared" si="14"/>
        <v>101148.52829399999</v>
      </c>
      <c r="N35" s="46">
        <f t="shared" si="14"/>
        <v>261.67124269657796</v>
      </c>
      <c r="O35" s="46">
        <f t="shared" si="14"/>
        <v>1213.782339528</v>
      </c>
      <c r="P35" s="46">
        <f t="shared" si="14"/>
        <v>0</v>
      </c>
      <c r="Q35" s="46">
        <f t="shared" si="14"/>
        <v>0</v>
      </c>
      <c r="R35" s="46">
        <f t="shared" si="14"/>
        <v>0</v>
      </c>
      <c r="S35" s="46">
        <f t="shared" si="14"/>
        <v>0</v>
      </c>
      <c r="T35" s="46">
        <f t="shared" si="9"/>
        <v>12839.46</v>
      </c>
      <c r="U35" s="46">
        <f t="shared" si="10"/>
        <v>188845.23855272547</v>
      </c>
      <c r="V35" s="46">
        <f t="shared" si="11"/>
        <v>2488059.1967096636</v>
      </c>
      <c r="X35" s="19"/>
      <c r="Z35" s="19"/>
    </row>
    <row r="36" spans="1:26" x14ac:dyDescent="0.3">
      <c r="A36" s="35" t="s">
        <v>148</v>
      </c>
      <c r="B36" s="8">
        <v>74021.90561819858</v>
      </c>
      <c r="C36" s="8">
        <v>145385.53315947813</v>
      </c>
      <c r="D36" s="8">
        <v>119900.30534851128</v>
      </c>
      <c r="E36" s="46">
        <f t="shared" si="5"/>
        <v>339307.74412618799</v>
      </c>
      <c r="F36" s="8">
        <v>600000</v>
      </c>
      <c r="G36" s="55"/>
      <c r="H36" s="8">
        <v>1340716.2823000001</v>
      </c>
      <c r="I36" s="8">
        <f t="shared" si="6"/>
        <v>17540.530152919291</v>
      </c>
      <c r="J36" s="46">
        <f t="shared" si="7"/>
        <v>1958256.8124529193</v>
      </c>
      <c r="K36" s="46">
        <f t="shared" ref="K36:S36" si="15">$B$29*K8</f>
        <v>38235.50829794108</v>
      </c>
      <c r="L36" s="46">
        <f t="shared" si="15"/>
        <v>34779.379395177311</v>
      </c>
      <c r="M36" s="46">
        <f t="shared" si="15"/>
        <v>100642.78565252999</v>
      </c>
      <c r="N36" s="46">
        <f t="shared" si="15"/>
        <v>260.36288648309505</v>
      </c>
      <c r="O36" s="46">
        <f t="shared" si="15"/>
        <v>1207.7134278303599</v>
      </c>
      <c r="P36" s="46">
        <f t="shared" si="15"/>
        <v>0</v>
      </c>
      <c r="Q36" s="46">
        <f t="shared" si="15"/>
        <v>0</v>
      </c>
      <c r="R36" s="46">
        <f t="shared" si="15"/>
        <v>0</v>
      </c>
      <c r="S36" s="46">
        <f t="shared" si="15"/>
        <v>0</v>
      </c>
      <c r="T36" s="46">
        <f t="shared" si="9"/>
        <v>25550.525399999999</v>
      </c>
      <c r="U36" s="46">
        <f t="shared" si="10"/>
        <v>200676.27505996183</v>
      </c>
      <c r="V36" s="46">
        <f t="shared" si="11"/>
        <v>2498240.8316390691</v>
      </c>
      <c r="X36" s="19"/>
      <c r="Z36" s="19"/>
    </row>
    <row r="37" spans="1:26" x14ac:dyDescent="0.3">
      <c r="A37" s="35" t="s">
        <v>149</v>
      </c>
      <c r="B37" s="8">
        <v>73233.113640869444</v>
      </c>
      <c r="C37" s="8">
        <v>145221.91138187278</v>
      </c>
      <c r="D37" s="8">
        <v>119300.80382176873</v>
      </c>
      <c r="E37" s="46">
        <f t="shared" si="5"/>
        <v>337755.82884451095</v>
      </c>
      <c r="F37" s="8">
        <v>600000</v>
      </c>
      <c r="G37" s="55"/>
      <c r="H37" s="8">
        <v>1340716.2823000001</v>
      </c>
      <c r="I37" s="8">
        <f t="shared" si="6"/>
        <v>17452.827502154694</v>
      </c>
      <c r="J37" s="46">
        <f t="shared" si="7"/>
        <v>1958169.1098021548</v>
      </c>
      <c r="K37" s="46">
        <f t="shared" ref="K37:S37" si="16">$B$29*K9</f>
        <v>38044.330756451374</v>
      </c>
      <c r="L37" s="46">
        <f t="shared" si="16"/>
        <v>34605.482498201418</v>
      </c>
      <c r="M37" s="46">
        <f t="shared" si="16"/>
        <v>100139.57172426733</v>
      </c>
      <c r="N37" s="46">
        <f t="shared" si="16"/>
        <v>259.06107205067957</v>
      </c>
      <c r="O37" s="46">
        <f t="shared" si="16"/>
        <v>1201.6748606912081</v>
      </c>
      <c r="P37" s="46">
        <f t="shared" si="16"/>
        <v>0</v>
      </c>
      <c r="Q37" s="46">
        <f t="shared" si="16"/>
        <v>125662.79999999999</v>
      </c>
      <c r="R37" s="46">
        <f t="shared" si="16"/>
        <v>258999.49937999999</v>
      </c>
      <c r="S37" s="46">
        <f t="shared" si="16"/>
        <v>2320.1177399999997</v>
      </c>
      <c r="T37" s="46">
        <f t="shared" si="9"/>
        <v>38325.788099999998</v>
      </c>
      <c r="U37" s="46">
        <f t="shared" si="10"/>
        <v>599558.326131662</v>
      </c>
      <c r="V37" s="46">
        <f t="shared" si="11"/>
        <v>2895483.2647783277</v>
      </c>
      <c r="X37" s="19"/>
      <c r="Z37" s="19"/>
    </row>
    <row r="38" spans="1:26" x14ac:dyDescent="0.3">
      <c r="A38" s="35" t="s">
        <v>150</v>
      </c>
      <c r="B38" s="8">
        <v>72445.426144976867</v>
      </c>
      <c r="C38" s="8">
        <v>145059.1211445056</v>
      </c>
      <c r="D38" s="8">
        <v>118704.29980265988</v>
      </c>
      <c r="E38" s="46">
        <f t="shared" si="5"/>
        <v>336208.84709214233</v>
      </c>
      <c r="F38" s="8">
        <v>600000</v>
      </c>
      <c r="G38" s="55"/>
      <c r="H38" s="8">
        <v>1340716.2823000001</v>
      </c>
      <c r="I38" s="8">
        <f t="shared" si="6"/>
        <v>17365.563364643924</v>
      </c>
      <c r="J38" s="46">
        <f t="shared" si="7"/>
        <v>1958081.8456646439</v>
      </c>
      <c r="K38" s="46">
        <f t="shared" ref="K38:S38" si="17">$B$29*K10</f>
        <v>37854.109102669121</v>
      </c>
      <c r="L38" s="46">
        <f t="shared" si="17"/>
        <v>34432.455085710419</v>
      </c>
      <c r="M38" s="46">
        <f t="shared" si="17"/>
        <v>99638.873865646005</v>
      </c>
      <c r="N38" s="46">
        <f t="shared" si="17"/>
        <v>257.76576669042623</v>
      </c>
      <c r="O38" s="46">
        <f t="shared" si="17"/>
        <v>1195.666486387752</v>
      </c>
      <c r="P38" s="46">
        <f t="shared" si="17"/>
        <v>0</v>
      </c>
      <c r="Q38" s="46">
        <f t="shared" si="17"/>
        <v>125662.79999999999</v>
      </c>
      <c r="R38" s="46">
        <f t="shared" si="17"/>
        <v>257704.50188309999</v>
      </c>
      <c r="S38" s="46">
        <f t="shared" si="17"/>
        <v>2308.5171512999996</v>
      </c>
      <c r="T38" s="46">
        <f t="shared" si="9"/>
        <v>51101.050799999997</v>
      </c>
      <c r="U38" s="46">
        <f t="shared" si="10"/>
        <v>610155.74014150363</v>
      </c>
      <c r="V38" s="46">
        <f t="shared" si="11"/>
        <v>2904446.4328982895</v>
      </c>
      <c r="X38" s="19"/>
      <c r="Z38" s="19"/>
    </row>
    <row r="39" spans="1:26" x14ac:dyDescent="0.3">
      <c r="A39" s="35" t="s">
        <v>151</v>
      </c>
      <c r="B39" s="8">
        <v>71663.284067913628</v>
      </c>
      <c r="C39" s="8">
        <v>144897.61541087515</v>
      </c>
      <c r="D39" s="8">
        <v>118110.77830364657</v>
      </c>
      <c r="E39" s="46">
        <f t="shared" si="5"/>
        <v>334671.67778243532</v>
      </c>
      <c r="F39" s="8">
        <v>600000</v>
      </c>
      <c r="G39" s="55"/>
      <c r="H39" s="8">
        <v>1340716.2823000001</v>
      </c>
      <c r="I39" s="8">
        <f t="shared" si="6"/>
        <v>17278.735547820703</v>
      </c>
      <c r="J39" s="46">
        <f t="shared" si="7"/>
        <v>1957995.0178478209</v>
      </c>
      <c r="K39" s="46">
        <f t="shared" ref="K39:S39" si="18">$B$29*K11</f>
        <v>37664.838557155774</v>
      </c>
      <c r="L39" s="46">
        <f t="shared" si="18"/>
        <v>34260.292810281862</v>
      </c>
      <c r="M39" s="46">
        <f t="shared" si="18"/>
        <v>99140.679496317767</v>
      </c>
      <c r="N39" s="46">
        <f t="shared" si="18"/>
        <v>256.47693785697408</v>
      </c>
      <c r="O39" s="46">
        <f t="shared" si="18"/>
        <v>1189.6881539558133</v>
      </c>
      <c r="P39" s="46">
        <f t="shared" si="18"/>
        <v>0</v>
      </c>
      <c r="Q39" s="46">
        <f t="shared" si="18"/>
        <v>125662.79999999999</v>
      </c>
      <c r="R39" s="46">
        <f t="shared" si="18"/>
        <v>256415.97937368447</v>
      </c>
      <c r="S39" s="46">
        <f t="shared" si="18"/>
        <v>2296.9745655434999</v>
      </c>
      <c r="T39" s="46">
        <f t="shared" si="9"/>
        <v>63876.313499999997</v>
      </c>
      <c r="U39" s="46">
        <f t="shared" si="10"/>
        <v>620764.0433947962</v>
      </c>
      <c r="V39" s="46">
        <f t="shared" si="11"/>
        <v>2913430.7390250522</v>
      </c>
      <c r="X39" s="19"/>
      <c r="Z39" s="19"/>
    </row>
    <row r="40" spans="1:26" x14ac:dyDescent="0.3">
      <c r="A40" s="35" t="s">
        <v>152</v>
      </c>
      <c r="B40" s="8">
        <v>72503.89211208609</v>
      </c>
      <c r="C40" s="8">
        <v>143117.1612761626</v>
      </c>
      <c r="D40" s="8">
        <v>117520.22441212833</v>
      </c>
      <c r="E40" s="46">
        <f t="shared" si="5"/>
        <v>333141.27780037699</v>
      </c>
      <c r="F40" s="8">
        <v>600000</v>
      </c>
      <c r="G40" s="55"/>
      <c r="H40" s="8">
        <v>1340716.2823000001</v>
      </c>
      <c r="I40" s="8">
        <f t="shared" si="6"/>
        <v>17192.3418700816</v>
      </c>
      <c r="J40" s="46">
        <f t="shared" si="7"/>
        <v>1957908.6241700817</v>
      </c>
      <c r="K40" s="46">
        <f t="shared" ref="K40:S40" si="19">$B$29*K12</f>
        <v>37476.514364369992</v>
      </c>
      <c r="L40" s="46">
        <f t="shared" si="19"/>
        <v>34088.991346230454</v>
      </c>
      <c r="M40" s="46">
        <f t="shared" si="19"/>
        <v>98644.976098836181</v>
      </c>
      <c r="N40" s="46">
        <f t="shared" si="19"/>
        <v>255.19455316768915</v>
      </c>
      <c r="O40" s="46">
        <f t="shared" si="19"/>
        <v>1183.7397131860341</v>
      </c>
      <c r="P40" s="46">
        <f t="shared" si="19"/>
        <v>0</v>
      </c>
      <c r="Q40" s="46">
        <f t="shared" si="19"/>
        <v>125662.79999999999</v>
      </c>
      <c r="R40" s="46">
        <f t="shared" si="19"/>
        <v>255133.89947681606</v>
      </c>
      <c r="S40" s="46">
        <f t="shared" si="19"/>
        <v>2285.4896927157824</v>
      </c>
      <c r="T40" s="46">
        <f t="shared" si="9"/>
        <v>76651.576199999996</v>
      </c>
      <c r="U40" s="46">
        <f t="shared" si="10"/>
        <v>631383.18144532223</v>
      </c>
      <c r="V40" s="46">
        <f t="shared" si="11"/>
        <v>2922433.0834157811</v>
      </c>
      <c r="X40" s="19"/>
      <c r="Z40" s="19"/>
    </row>
    <row r="41" spans="1:26" x14ac:dyDescent="0.3">
      <c r="A41" s="35" t="s">
        <v>153</v>
      </c>
      <c r="B41" s="8">
        <v>72928.913077537116</v>
      </c>
      <c r="C41" s="8">
        <v>141757.43873402398</v>
      </c>
      <c r="D41" s="8">
        <v>116932.62329006768</v>
      </c>
      <c r="E41" s="46">
        <f t="shared" si="5"/>
        <v>331618.97510162881</v>
      </c>
      <c r="F41" s="8">
        <v>600000</v>
      </c>
      <c r="G41" s="55"/>
      <c r="H41" s="8">
        <v>1340716.2823000001</v>
      </c>
      <c r="I41" s="8">
        <f t="shared" si="6"/>
        <v>17106.380160731194</v>
      </c>
      <c r="J41" s="46">
        <f t="shared" si="7"/>
        <v>1957822.6624607313</v>
      </c>
      <c r="K41" s="46">
        <f t="shared" ref="K41:S41" si="20">$B$29*K13</f>
        <v>37289.131792548149</v>
      </c>
      <c r="L41" s="46">
        <f t="shared" si="20"/>
        <v>33918.546389499301</v>
      </c>
      <c r="M41" s="46">
        <f t="shared" si="20"/>
        <v>98151.751218342004</v>
      </c>
      <c r="N41" s="46">
        <f t="shared" si="20"/>
        <v>253.91858040185073</v>
      </c>
      <c r="O41" s="46">
        <f t="shared" si="20"/>
        <v>1177.8210146201041</v>
      </c>
      <c r="P41" s="46">
        <f t="shared" si="20"/>
        <v>0</v>
      </c>
      <c r="Q41" s="46">
        <f t="shared" si="20"/>
        <v>125662.79999999999</v>
      </c>
      <c r="R41" s="46">
        <f t="shared" si="20"/>
        <v>253858.22997943196</v>
      </c>
      <c r="S41" s="46">
        <f t="shared" si="20"/>
        <v>2274.0622442522035</v>
      </c>
      <c r="T41" s="46">
        <f t="shared" si="9"/>
        <v>86257.036876691709</v>
      </c>
      <c r="U41" s="46">
        <f t="shared" si="10"/>
        <v>638843.29809578729</v>
      </c>
      <c r="V41" s="46">
        <f t="shared" si="11"/>
        <v>2928284.9356581476</v>
      </c>
      <c r="X41" s="19"/>
      <c r="Z41" s="19"/>
    </row>
    <row r="42" spans="1:26" x14ac:dyDescent="0.3">
      <c r="A42" s="35" t="s">
        <v>154</v>
      </c>
      <c r="B42" s="8">
        <v>73353.238124861513</v>
      </c>
      <c r="C42" s="8">
        <v>140403.26045309601</v>
      </c>
      <c r="D42" s="8">
        <v>116347.96017361735</v>
      </c>
      <c r="E42" s="46">
        <f t="shared" si="5"/>
        <v>330104.45875157486</v>
      </c>
      <c r="F42" s="8">
        <v>600000</v>
      </c>
      <c r="G42" s="55"/>
      <c r="H42" s="8">
        <v>1340716.2823000001</v>
      </c>
      <c r="I42" s="8">
        <f t="shared" si="6"/>
        <v>17020.848259927538</v>
      </c>
      <c r="J42" s="46">
        <f t="shared" si="7"/>
        <v>1957737.1305599276</v>
      </c>
      <c r="K42" s="46">
        <f t="shared" ref="K42:S42" si="21">$B$29*K14</f>
        <v>37102.686133585405</v>
      </c>
      <c r="L42" s="46">
        <f t="shared" si="21"/>
        <v>33748.953657551807</v>
      </c>
      <c r="M42" s="46">
        <f t="shared" si="21"/>
        <v>97660.992462250288</v>
      </c>
      <c r="N42" s="46">
        <f t="shared" si="21"/>
        <v>252.64898749984147</v>
      </c>
      <c r="O42" s="46">
        <f t="shared" si="21"/>
        <v>1171.9319095470034</v>
      </c>
      <c r="P42" s="46">
        <f t="shared" si="21"/>
        <v>0</v>
      </c>
      <c r="Q42" s="46">
        <f t="shared" si="21"/>
        <v>125662.79999999999</v>
      </c>
      <c r="R42" s="46">
        <f t="shared" si="21"/>
        <v>252588.9388295348</v>
      </c>
      <c r="S42" s="46">
        <f t="shared" si="21"/>
        <v>2262.6919330309424</v>
      </c>
      <c r="T42" s="46">
        <f t="shared" si="9"/>
        <v>95862.497553383437</v>
      </c>
      <c r="U42" s="46">
        <f t="shared" si="10"/>
        <v>646314.14146638359</v>
      </c>
      <c r="V42" s="46">
        <f t="shared" si="11"/>
        <v>2934155.7307778858</v>
      </c>
      <c r="X42" s="19"/>
      <c r="Z42" s="19"/>
    </row>
    <row r="43" spans="1:26" x14ac:dyDescent="0.3">
      <c r="A43" s="35" t="s">
        <v>155</v>
      </c>
      <c r="B43" s="8">
        <v>70810.587682359226</v>
      </c>
      <c r="C43" s="8">
        <v>140314.35527483863</v>
      </c>
      <c r="D43" s="8">
        <v>115766.22037274925</v>
      </c>
      <c r="E43" s="46">
        <f t="shared" si="5"/>
        <v>326891.1633299471</v>
      </c>
      <c r="F43" s="8">
        <v>600000</v>
      </c>
      <c r="G43" s="55"/>
      <c r="H43" s="8">
        <v>1340716.2823000001</v>
      </c>
      <c r="I43" s="8">
        <f t="shared" si="6"/>
        <v>16935.744018627902</v>
      </c>
      <c r="J43" s="46">
        <f t="shared" si="7"/>
        <v>1957652.0263186279</v>
      </c>
      <c r="K43" s="46">
        <f t="shared" ref="K43:S43" si="22">$B$29*K15</f>
        <v>36917.17270291748</v>
      </c>
      <c r="L43" s="46">
        <f t="shared" si="22"/>
        <v>33580.208889264046</v>
      </c>
      <c r="M43" s="46">
        <f t="shared" si="22"/>
        <v>97172.687499939027</v>
      </c>
      <c r="N43" s="46">
        <f t="shared" si="22"/>
        <v>251.38574256234227</v>
      </c>
      <c r="O43" s="46">
        <f t="shared" si="22"/>
        <v>1166.0722499992683</v>
      </c>
      <c r="P43" s="46">
        <f t="shared" si="22"/>
        <v>0</v>
      </c>
      <c r="Q43" s="46">
        <f t="shared" si="22"/>
        <v>125662.79999999999</v>
      </c>
      <c r="R43" s="46">
        <f t="shared" si="22"/>
        <v>251325.99413538713</v>
      </c>
      <c r="S43" s="46">
        <f t="shared" si="22"/>
        <v>2251.3784733657876</v>
      </c>
      <c r="T43" s="46">
        <f t="shared" si="9"/>
        <v>105467.95823007515</v>
      </c>
      <c r="U43" s="46">
        <f t="shared" si="10"/>
        <v>653795.6579235103</v>
      </c>
      <c r="V43" s="46">
        <f t="shared" si="11"/>
        <v>2938338.8475720854</v>
      </c>
      <c r="X43" s="19"/>
    </row>
    <row r="44" spans="1:26" x14ac:dyDescent="0.3">
      <c r="A44" s="35" t="s">
        <v>156</v>
      </c>
      <c r="B44" s="8">
        <v>70673.997682359361</v>
      </c>
      <c r="C44" s="8">
        <v>140313.53573483863</v>
      </c>
      <c r="D44" s="8">
        <v>115187.3892708855</v>
      </c>
      <c r="E44" s="46">
        <f t="shared" si="5"/>
        <v>326174.92268808349</v>
      </c>
      <c r="F44" s="55"/>
      <c r="G44" s="55"/>
      <c r="H44" s="8">
        <v>1340716.2823000001</v>
      </c>
      <c r="I44" s="8">
        <f t="shared" si="6"/>
        <v>16851.065298534762</v>
      </c>
      <c r="J44" s="46">
        <f t="shared" si="7"/>
        <v>1357567.3475985348</v>
      </c>
      <c r="K44" s="46">
        <f t="shared" ref="K44:S44" si="23">$B$29*K16</f>
        <v>36732.586839402888</v>
      </c>
      <c r="L44" s="46">
        <f t="shared" si="23"/>
        <v>33412.307844817726</v>
      </c>
      <c r="M44" s="46">
        <f t="shared" si="23"/>
        <v>96686.824062439337</v>
      </c>
      <c r="N44" s="46">
        <f t="shared" si="23"/>
        <v>250.12881384953059</v>
      </c>
      <c r="O44" s="46">
        <f t="shared" si="23"/>
        <v>1160.241888749272</v>
      </c>
      <c r="P44" s="46">
        <f t="shared" si="23"/>
        <v>0</v>
      </c>
      <c r="Q44" s="46">
        <f t="shared" si="23"/>
        <v>125662.79999999999</v>
      </c>
      <c r="R44" s="46">
        <f t="shared" si="23"/>
        <v>250069.36416471019</v>
      </c>
      <c r="S44" s="46">
        <f t="shared" si="23"/>
        <v>2240.1215809989585</v>
      </c>
      <c r="T44" s="46">
        <f t="shared" si="9"/>
        <v>115073.41890676686</v>
      </c>
      <c r="U44" s="46">
        <f t="shared" si="10"/>
        <v>661287.79410173465</v>
      </c>
      <c r="V44" s="46">
        <f t="shared" si="11"/>
        <v>2345030.0643883529</v>
      </c>
      <c r="X44" s="19"/>
    </row>
    <row r="45" spans="1:26" x14ac:dyDescent="0.3">
      <c r="A45" s="35" t="s">
        <v>157</v>
      </c>
      <c r="B45" s="8">
        <v>70586.88968635918</v>
      </c>
      <c r="C45" s="8">
        <v>140203.38955883862</v>
      </c>
      <c r="D45" s="8">
        <v>114611.45232453107</v>
      </c>
      <c r="E45" s="46">
        <f t="shared" si="5"/>
        <v>325401.73156972887</v>
      </c>
      <c r="F45" s="55"/>
      <c r="G45" s="55"/>
      <c r="H45" s="8">
        <v>1214597.2823000001</v>
      </c>
      <c r="I45" s="8">
        <f t="shared" si="6"/>
        <v>16766.809972042087</v>
      </c>
      <c r="J45" s="46">
        <f t="shared" si="7"/>
        <v>1231364.0922720421</v>
      </c>
      <c r="K45" s="46">
        <f t="shared" ref="K45:S45" si="24">$B$29*K17</f>
        <v>36548.923905205869</v>
      </c>
      <c r="L45" s="46">
        <f t="shared" si="24"/>
        <v>33245.246305593639</v>
      </c>
      <c r="M45" s="46">
        <f t="shared" si="24"/>
        <v>96203.389942127134</v>
      </c>
      <c r="N45" s="46">
        <f t="shared" si="24"/>
        <v>248.87816978028292</v>
      </c>
      <c r="O45" s="46">
        <f t="shared" si="24"/>
        <v>1154.4406793055257</v>
      </c>
      <c r="P45" s="46">
        <f t="shared" si="24"/>
        <v>0</v>
      </c>
      <c r="Q45" s="46">
        <f t="shared" si="24"/>
        <v>125662.79999999999</v>
      </c>
      <c r="R45" s="46">
        <f t="shared" si="24"/>
        <v>248819.01734388663</v>
      </c>
      <c r="S45" s="46">
        <f t="shared" si="24"/>
        <v>2228.9209730939638</v>
      </c>
      <c r="T45" s="46">
        <f t="shared" si="9"/>
        <v>124678.87958345859</v>
      </c>
      <c r="U45" s="46">
        <f t="shared" si="10"/>
        <v>668790.49690245162</v>
      </c>
      <c r="V45" s="46">
        <f t="shared" si="11"/>
        <v>2225556.3207442225</v>
      </c>
      <c r="X45" s="19"/>
      <c r="Z45" s="19"/>
    </row>
    <row r="46" spans="1:26" x14ac:dyDescent="0.3">
      <c r="A46" s="35" t="s">
        <v>158</v>
      </c>
      <c r="B46" s="8">
        <v>54893.263258359482</v>
      </c>
      <c r="C46" s="8">
        <v>120701.45181083883</v>
      </c>
      <c r="D46" s="8">
        <v>114038.39506290843</v>
      </c>
      <c r="E46" s="46">
        <f t="shared" si="5"/>
        <v>289633.11013210675</v>
      </c>
      <c r="F46" s="55"/>
      <c r="G46" s="55"/>
      <c r="H46" s="8">
        <v>1214597.2823000001</v>
      </c>
      <c r="I46" s="8">
        <f t="shared" si="6"/>
        <v>16682.975922181875</v>
      </c>
      <c r="J46" s="46">
        <f t="shared" si="7"/>
        <v>1231280.258222182</v>
      </c>
      <c r="K46" s="46">
        <f t="shared" ref="K46:S46" si="25">$B$29*K18</f>
        <v>36366.179285679842</v>
      </c>
      <c r="L46" s="46">
        <f t="shared" si="25"/>
        <v>33079.020074065673</v>
      </c>
      <c r="M46" s="46">
        <f t="shared" si="25"/>
        <v>95722.372992416495</v>
      </c>
      <c r="N46" s="46">
        <f t="shared" si="25"/>
        <v>247.6337789313815</v>
      </c>
      <c r="O46" s="46">
        <f t="shared" si="25"/>
        <v>1148.6684759089981</v>
      </c>
      <c r="P46" s="46">
        <f t="shared" si="25"/>
        <v>0</v>
      </c>
      <c r="Q46" s="46">
        <f t="shared" si="25"/>
        <v>125662.79999999999</v>
      </c>
      <c r="R46" s="46">
        <f t="shared" si="25"/>
        <v>247574.9222571672</v>
      </c>
      <c r="S46" s="46">
        <f t="shared" si="25"/>
        <v>2217.776368228494</v>
      </c>
      <c r="T46" s="46">
        <f t="shared" si="9"/>
        <v>134284.34026015032</v>
      </c>
      <c r="U46" s="46">
        <f t="shared" si="10"/>
        <v>676303.71349254833</v>
      </c>
      <c r="V46" s="46">
        <f t="shared" si="11"/>
        <v>2197217.081846837</v>
      </c>
      <c r="X46" s="19"/>
      <c r="Z46" s="19"/>
    </row>
    <row r="47" spans="1:26" x14ac:dyDescent="0.3">
      <c r="A47" s="35" t="s">
        <v>159</v>
      </c>
      <c r="B47" s="8">
        <v>21414.944986359329</v>
      </c>
      <c r="C47" s="8">
        <v>50954.900774838665</v>
      </c>
      <c r="D47" s="8">
        <v>87311.897551999951</v>
      </c>
      <c r="E47" s="46">
        <f t="shared" si="5"/>
        <v>159681.74331319795</v>
      </c>
      <c r="F47" s="55"/>
      <c r="G47" s="55"/>
      <c r="H47" s="8">
        <v>1126607.2823000001</v>
      </c>
      <c r="I47" s="8">
        <f t="shared" si="6"/>
        <v>16599.561042570967</v>
      </c>
      <c r="J47" s="46">
        <f t="shared" si="7"/>
        <v>1143206.8433425711</v>
      </c>
      <c r="K47" s="46">
        <f t="shared" ref="K47:S47" si="26">$B$29*K19</f>
        <v>36184.348389251449</v>
      </c>
      <c r="L47" s="46">
        <f t="shared" si="26"/>
        <v>32913.62497369534</v>
      </c>
      <c r="M47" s="46">
        <f t="shared" si="26"/>
        <v>95243.761127454418</v>
      </c>
      <c r="N47" s="46">
        <f t="shared" si="26"/>
        <v>246.39561003672461</v>
      </c>
      <c r="O47" s="46">
        <f t="shared" si="26"/>
        <v>1142.9251335294532</v>
      </c>
      <c r="P47" s="46">
        <f t="shared" si="26"/>
        <v>0</v>
      </c>
      <c r="Q47" s="46">
        <f t="shared" si="26"/>
        <v>125662.79999999999</v>
      </c>
      <c r="R47" s="46">
        <f t="shared" si="26"/>
        <v>246337.04764588136</v>
      </c>
      <c r="S47" s="46">
        <f t="shared" si="26"/>
        <v>2206.6874863873518</v>
      </c>
      <c r="T47" s="46">
        <f t="shared" si="9"/>
        <v>143889.80093684205</v>
      </c>
      <c r="U47" s="46">
        <f t="shared" si="10"/>
        <v>683827.39130307827</v>
      </c>
      <c r="V47" s="46">
        <f t="shared" si="11"/>
        <v>1986715.9779588473</v>
      </c>
      <c r="X47" s="19"/>
      <c r="Z47" s="19"/>
    </row>
    <row r="48" spans="1:26" x14ac:dyDescent="0.3">
      <c r="A48" s="35" t="s">
        <v>61</v>
      </c>
      <c r="B48" s="8">
        <v>11234.327714359344</v>
      </c>
      <c r="C48" s="8">
        <v>23892.925070838683</v>
      </c>
      <c r="D48" s="8">
        <v>9370.9663880000007</v>
      </c>
      <c r="E48" s="46">
        <f t="shared" si="5"/>
        <v>44498.219173198027</v>
      </c>
      <c r="F48" s="55"/>
      <c r="G48" s="55"/>
      <c r="H48" s="55"/>
      <c r="I48" s="8">
        <f t="shared" si="6"/>
        <v>16516.56323735811</v>
      </c>
      <c r="J48" s="46">
        <f t="shared" si="7"/>
        <v>16516.56323735811</v>
      </c>
      <c r="K48" s="46">
        <f t="shared" ref="K48:S48" si="27">$B$29*K20</f>
        <v>36003.42664730519</v>
      </c>
      <c r="L48" s="46">
        <f t="shared" si="27"/>
        <v>32749.056848826862</v>
      </c>
      <c r="M48" s="46">
        <f t="shared" si="27"/>
        <v>94767.542321817149</v>
      </c>
      <c r="N48" s="46">
        <f t="shared" si="27"/>
        <v>245.16363198654099</v>
      </c>
      <c r="O48" s="46">
        <f t="shared" si="27"/>
        <v>1137.210507861806</v>
      </c>
      <c r="P48" s="46">
        <f t="shared" si="27"/>
        <v>0</v>
      </c>
      <c r="Q48" s="46">
        <f t="shared" si="27"/>
        <v>125662.79999999999</v>
      </c>
      <c r="R48" s="46">
        <f t="shared" si="27"/>
        <v>245105.36240765196</v>
      </c>
      <c r="S48" s="46">
        <f t="shared" si="27"/>
        <v>2195.654048955415</v>
      </c>
      <c r="T48" s="46">
        <f t="shared" si="9"/>
        <v>153495.26161353374</v>
      </c>
      <c r="U48" s="46">
        <f t="shared" si="10"/>
        <v>691361.47802793863</v>
      </c>
      <c r="V48" s="46">
        <f t="shared" si="11"/>
        <v>752376.26043849473</v>
      </c>
      <c r="X48" s="19"/>
      <c r="Z48" s="19"/>
    </row>
    <row r="49" spans="1:26" x14ac:dyDescent="0.3">
      <c r="A49" s="35" t="s">
        <v>62</v>
      </c>
      <c r="B49" s="57"/>
      <c r="C49" s="57"/>
      <c r="D49" s="57"/>
      <c r="E49" s="46">
        <f t="shared" si="5"/>
        <v>0</v>
      </c>
      <c r="F49" s="55"/>
      <c r="G49" s="55"/>
      <c r="H49" s="55"/>
      <c r="I49" s="8">
        <f t="shared" si="6"/>
        <v>16433.98042117132</v>
      </c>
      <c r="J49" s="46">
        <f t="shared" si="7"/>
        <v>16433.98042117132</v>
      </c>
      <c r="K49" s="46">
        <f t="shared" ref="K49:S49" si="28">$B$29*K21</f>
        <v>0</v>
      </c>
      <c r="L49" s="46">
        <f t="shared" si="28"/>
        <v>0</v>
      </c>
      <c r="M49" s="46">
        <f t="shared" si="28"/>
        <v>94293.704610208049</v>
      </c>
      <c r="N49" s="46">
        <f t="shared" si="28"/>
        <v>243.93781382660828</v>
      </c>
      <c r="O49" s="46">
        <f t="shared" si="28"/>
        <v>1131.5244553224968</v>
      </c>
      <c r="P49" s="46">
        <f t="shared" si="28"/>
        <v>0</v>
      </c>
      <c r="Q49" s="46">
        <f t="shared" si="28"/>
        <v>125662.79999999999</v>
      </c>
      <c r="R49" s="46">
        <f t="shared" si="28"/>
        <v>243879.83559561369</v>
      </c>
      <c r="S49" s="46">
        <f t="shared" si="28"/>
        <v>2184.675778710638</v>
      </c>
      <c r="T49" s="46">
        <f t="shared" si="9"/>
        <v>163100.72229022547</v>
      </c>
      <c r="U49" s="46">
        <f t="shared" si="10"/>
        <v>630497.20054390689</v>
      </c>
      <c r="V49" s="46">
        <f t="shared" si="11"/>
        <v>646931.18096507818</v>
      </c>
      <c r="X49" s="19"/>
      <c r="Z49" s="19"/>
    </row>
    <row r="50" spans="1:26" x14ac:dyDescent="0.3">
      <c r="A50" s="35" t="s">
        <v>63</v>
      </c>
      <c r="B50" s="57"/>
      <c r="C50" s="57"/>
      <c r="D50" s="57"/>
      <c r="E50" s="46">
        <f t="shared" si="5"/>
        <v>0</v>
      </c>
      <c r="F50" s="55"/>
      <c r="G50" s="55"/>
      <c r="H50" s="55"/>
      <c r="I50" s="8">
        <f t="shared" si="6"/>
        <v>16351.810519065464</v>
      </c>
      <c r="J50" s="46">
        <f t="shared" si="7"/>
        <v>16351.810519065464</v>
      </c>
      <c r="K50" s="46">
        <f t="shared" ref="K50:S50" si="29">$B$29*K22</f>
        <v>0</v>
      </c>
      <c r="L50" s="46">
        <f t="shared" si="29"/>
        <v>0</v>
      </c>
      <c r="M50" s="46">
        <f t="shared" si="29"/>
        <v>93822.236087157027</v>
      </c>
      <c r="N50" s="46">
        <f t="shared" si="29"/>
        <v>242.71812475747521</v>
      </c>
      <c r="O50" s="46">
        <f t="shared" si="29"/>
        <v>0</v>
      </c>
      <c r="P50" s="46">
        <f t="shared" si="29"/>
        <v>0</v>
      </c>
      <c r="Q50" s="46">
        <f t="shared" si="29"/>
        <v>125662.79999999999</v>
      </c>
      <c r="R50" s="46">
        <f t="shared" si="29"/>
        <v>242660.43641763565</v>
      </c>
      <c r="S50" s="46">
        <f t="shared" si="29"/>
        <v>2173.7523998170846</v>
      </c>
      <c r="T50" s="46">
        <f t="shared" si="9"/>
        <v>172706.18296691717</v>
      </c>
      <c r="U50" s="46">
        <f t="shared" si="10"/>
        <v>637268.12599628442</v>
      </c>
      <c r="V50" s="46">
        <f t="shared" si="11"/>
        <v>653619.93651534989</v>
      </c>
      <c r="X50" s="19"/>
      <c r="Z50" s="19"/>
    </row>
    <row r="51" spans="1:26" x14ac:dyDescent="0.3">
      <c r="A51" s="35" t="s">
        <v>64</v>
      </c>
      <c r="B51" s="57"/>
      <c r="C51" s="57"/>
      <c r="D51" s="57"/>
      <c r="E51" s="46">
        <f t="shared" si="5"/>
        <v>0</v>
      </c>
      <c r="F51" s="55"/>
      <c r="G51" s="55"/>
      <c r="H51" s="55"/>
      <c r="I51" s="8">
        <f t="shared" si="6"/>
        <v>16270.051466470139</v>
      </c>
      <c r="J51" s="46">
        <f t="shared" si="7"/>
        <v>16270.051466470139</v>
      </c>
      <c r="K51" s="46">
        <f t="shared" ref="K51:S51" si="30">$B$29*K23</f>
        <v>0</v>
      </c>
      <c r="L51" s="46">
        <f t="shared" si="30"/>
        <v>0</v>
      </c>
      <c r="M51" s="46">
        <f t="shared" si="30"/>
        <v>93353.124906721234</v>
      </c>
      <c r="N51" s="46">
        <f t="shared" si="30"/>
        <v>241.50453413368783</v>
      </c>
      <c r="O51" s="46">
        <f t="shared" si="30"/>
        <v>0</v>
      </c>
      <c r="P51" s="46">
        <f t="shared" si="30"/>
        <v>0</v>
      </c>
      <c r="Q51" s="46">
        <f t="shared" si="30"/>
        <v>125662.79999999999</v>
      </c>
      <c r="R51" s="46">
        <f t="shared" si="30"/>
        <v>241447.13423554748</v>
      </c>
      <c r="S51" s="46">
        <f t="shared" si="30"/>
        <v>2162.883637817999</v>
      </c>
      <c r="T51" s="46">
        <f t="shared" si="9"/>
        <v>182311.64364360893</v>
      </c>
      <c r="U51" s="46">
        <f t="shared" si="10"/>
        <v>645179.09095782926</v>
      </c>
      <c r="V51" s="46">
        <f t="shared" si="11"/>
        <v>661449.14242429938</v>
      </c>
      <c r="X51" s="19"/>
      <c r="Z51" s="19"/>
    </row>
    <row r="52" spans="1:26" x14ac:dyDescent="0.3">
      <c r="A52" s="35" t="s">
        <v>65</v>
      </c>
      <c r="B52" s="57"/>
      <c r="C52" s="57"/>
      <c r="D52" s="57"/>
      <c r="E52" s="46">
        <f t="shared" si="5"/>
        <v>0</v>
      </c>
      <c r="F52" s="55"/>
      <c r="G52" s="55"/>
      <c r="H52" s="55"/>
      <c r="I52" s="8">
        <f t="shared" si="6"/>
        <v>16188.701209137786</v>
      </c>
      <c r="J52" s="46">
        <f t="shared" si="7"/>
        <v>16188.701209137786</v>
      </c>
      <c r="K52" s="46">
        <f t="shared" ref="K52:S52" si="31">$B$29*K24</f>
        <v>0</v>
      </c>
      <c r="L52" s="46">
        <f t="shared" si="31"/>
        <v>0</v>
      </c>
      <c r="M52" s="46">
        <f t="shared" si="31"/>
        <v>92886.359282187623</v>
      </c>
      <c r="N52" s="46">
        <f t="shared" si="31"/>
        <v>240.29701146301943</v>
      </c>
      <c r="O52" s="46">
        <f t="shared" si="31"/>
        <v>0</v>
      </c>
      <c r="P52" s="46">
        <f t="shared" si="31"/>
        <v>0</v>
      </c>
      <c r="Q52" s="46">
        <f t="shared" si="31"/>
        <v>125662.79999999999</v>
      </c>
      <c r="R52" s="46">
        <f t="shared" si="31"/>
        <v>240239.89856436971</v>
      </c>
      <c r="S52" s="46">
        <f t="shared" si="31"/>
        <v>2152.0692196289092</v>
      </c>
      <c r="T52" s="46">
        <f t="shared" si="9"/>
        <v>191917.10432030063</v>
      </c>
      <c r="U52" s="46">
        <f t="shared" si="10"/>
        <v>653098.52839794988</v>
      </c>
      <c r="V52" s="46">
        <f t="shared" si="11"/>
        <v>669287.22960708768</v>
      </c>
      <c r="X52" s="19"/>
      <c r="Z52" s="19"/>
    </row>
    <row r="53" spans="1:26" x14ac:dyDescent="0.3">
      <c r="A53" s="35" t="s">
        <v>66</v>
      </c>
      <c r="B53" s="57"/>
      <c r="C53" s="57"/>
      <c r="D53" s="57"/>
      <c r="E53" s="46">
        <f t="shared" si="5"/>
        <v>0</v>
      </c>
      <c r="F53" s="55"/>
      <c r="G53" s="55"/>
      <c r="H53" s="55"/>
      <c r="I53" s="8">
        <f t="shared" si="6"/>
        <v>16107.757703092097</v>
      </c>
      <c r="J53" s="46">
        <f t="shared" si="7"/>
        <v>16107.757703092097</v>
      </c>
      <c r="K53" s="46">
        <f t="shared" ref="K53:S53" si="32">$B$29*K25</f>
        <v>0</v>
      </c>
      <c r="L53" s="46">
        <f t="shared" si="32"/>
        <v>0</v>
      </c>
      <c r="M53" s="46">
        <f t="shared" si="32"/>
        <v>92421.927485776701</v>
      </c>
      <c r="N53" s="46">
        <f t="shared" si="32"/>
        <v>239.09552640570433</v>
      </c>
      <c r="O53" s="46">
        <f t="shared" si="32"/>
        <v>0</v>
      </c>
      <c r="P53" s="46">
        <f t="shared" si="32"/>
        <v>0</v>
      </c>
      <c r="Q53" s="46">
        <f t="shared" si="32"/>
        <v>125662.79999999999</v>
      </c>
      <c r="R53" s="46">
        <f t="shared" si="32"/>
        <v>239038.69907154786</v>
      </c>
      <c r="S53" s="46">
        <f t="shared" si="32"/>
        <v>2141.3088735307647</v>
      </c>
      <c r="T53" s="46">
        <f t="shared" si="9"/>
        <v>201522.56499699233</v>
      </c>
      <c r="U53" s="46">
        <f t="shared" si="10"/>
        <v>661026.39595425327</v>
      </c>
      <c r="V53" s="46">
        <f t="shared" si="11"/>
        <v>677134.15365734533</v>
      </c>
      <c r="X53" s="19"/>
      <c r="Z53" s="19"/>
    </row>
    <row r="54" spans="1:26" x14ac:dyDescent="0.3">
      <c r="A54" s="35" t="s">
        <v>67</v>
      </c>
      <c r="B54" s="57"/>
      <c r="C54" s="57"/>
      <c r="D54" s="57"/>
      <c r="E54" s="46">
        <f t="shared" si="5"/>
        <v>0</v>
      </c>
      <c r="F54" s="55"/>
      <c r="G54" s="55"/>
      <c r="H54" s="55"/>
      <c r="I54" s="8">
        <f t="shared" si="6"/>
        <v>16027.218914576637</v>
      </c>
      <c r="J54" s="46">
        <f t="shared" si="7"/>
        <v>16027.218914576637</v>
      </c>
      <c r="K54" s="46">
        <f t="shared" ref="K54:S54" si="33">$B$29*K26</f>
        <v>0</v>
      </c>
      <c r="L54" s="46">
        <f t="shared" si="33"/>
        <v>0</v>
      </c>
      <c r="M54" s="46">
        <f t="shared" si="33"/>
        <v>91959.817848347811</v>
      </c>
      <c r="N54" s="46">
        <f t="shared" si="33"/>
        <v>0</v>
      </c>
      <c r="O54" s="46">
        <f t="shared" si="33"/>
        <v>0</v>
      </c>
      <c r="P54" s="46">
        <f t="shared" si="33"/>
        <v>0</v>
      </c>
      <c r="Q54" s="46">
        <f t="shared" si="33"/>
        <v>125662.79999999999</v>
      </c>
      <c r="R54" s="46">
        <f t="shared" si="33"/>
        <v>237843.5055761901</v>
      </c>
      <c r="S54" s="46">
        <f t="shared" si="33"/>
        <v>2130.6023291631109</v>
      </c>
      <c r="T54" s="46">
        <f t="shared" si="9"/>
        <v>211128.02567368408</v>
      </c>
      <c r="U54" s="46">
        <f t="shared" si="10"/>
        <v>668724.75142738514</v>
      </c>
      <c r="V54" s="46">
        <f t="shared" si="11"/>
        <v>684751.97034196183</v>
      </c>
      <c r="X54" s="19"/>
      <c r="Z54" s="19"/>
    </row>
    <row r="55" spans="1:26" x14ac:dyDescent="0.3">
      <c r="Z55" s="19"/>
    </row>
    <row r="57" spans="1:26" x14ac:dyDescent="0.3">
      <c r="A57" s="35" t="s">
        <v>106</v>
      </c>
      <c r="B57" s="126">
        <v>0.72445000000000004</v>
      </c>
    </row>
    <row r="58" spans="1:26" ht="28.8" x14ac:dyDescent="0.3">
      <c r="A58" s="29" t="s">
        <v>43</v>
      </c>
      <c r="B58" s="29" t="s">
        <v>133</v>
      </c>
      <c r="C58" s="29" t="s">
        <v>134</v>
      </c>
      <c r="D58" s="29" t="s">
        <v>135</v>
      </c>
      <c r="E58" s="61" t="s">
        <v>136</v>
      </c>
      <c r="F58" s="29" t="s">
        <v>118</v>
      </c>
      <c r="G58" s="29" t="s">
        <v>137</v>
      </c>
      <c r="H58" s="29" t="s">
        <v>138</v>
      </c>
      <c r="I58" s="208" t="s">
        <v>204</v>
      </c>
      <c r="J58" s="61" t="s">
        <v>139</v>
      </c>
      <c r="K58" s="29" t="s">
        <v>6</v>
      </c>
      <c r="L58" s="29" t="s">
        <v>12</v>
      </c>
      <c r="M58" s="181" t="s">
        <v>21</v>
      </c>
      <c r="N58" s="29" t="s">
        <v>25</v>
      </c>
      <c r="O58" s="181" t="s">
        <v>29</v>
      </c>
      <c r="P58" s="181" t="s">
        <v>33</v>
      </c>
      <c r="Q58" s="29" t="s">
        <v>40</v>
      </c>
      <c r="R58" s="29" t="s">
        <v>41</v>
      </c>
      <c r="S58" s="29" t="s">
        <v>42</v>
      </c>
      <c r="T58" s="181" t="s">
        <v>119</v>
      </c>
      <c r="U58" s="61" t="s">
        <v>140</v>
      </c>
      <c r="V58" s="61" t="s">
        <v>141</v>
      </c>
    </row>
    <row r="59" spans="1:26" x14ac:dyDescent="0.3">
      <c r="A59" s="29"/>
      <c r="B59" s="29"/>
      <c r="C59" s="29"/>
      <c r="D59" s="29"/>
      <c r="E59" s="61" t="s">
        <v>142</v>
      </c>
      <c r="F59" s="29"/>
      <c r="G59" s="29"/>
      <c r="H59" s="29"/>
      <c r="I59" s="29"/>
      <c r="J59" s="61" t="s">
        <v>143</v>
      </c>
      <c r="K59" s="29"/>
      <c r="L59" s="29"/>
      <c r="M59" s="29"/>
      <c r="N59" s="29"/>
      <c r="O59" s="29"/>
      <c r="P59" s="29"/>
      <c r="Q59" s="29"/>
      <c r="R59" s="29"/>
      <c r="S59" s="29"/>
      <c r="T59" s="29"/>
      <c r="U59" s="61"/>
      <c r="V59" s="61"/>
    </row>
    <row r="60" spans="1:26" x14ac:dyDescent="0.3">
      <c r="A60" s="35" t="s">
        <v>144</v>
      </c>
      <c r="B60" s="8">
        <v>119023.936166666</v>
      </c>
      <c r="C60" s="8">
        <v>237513.73</v>
      </c>
      <c r="D60" s="8">
        <v>89625.331749999998</v>
      </c>
      <c r="E60" s="46">
        <f t="shared" ref="E60:E82" si="34">SUM(B60:D60)</f>
        <v>446162.99791666603</v>
      </c>
      <c r="F60" s="8">
        <v>1261725</v>
      </c>
      <c r="G60" s="8">
        <v>0</v>
      </c>
      <c r="H60" s="8">
        <v>513482</v>
      </c>
      <c r="I60" s="8">
        <f t="shared" ref="I60:I82" si="35">I4*$B$57</f>
        <v>42214.860620000007</v>
      </c>
      <c r="J60" s="46">
        <f t="shared" ref="J60:J82" si="36">SUM(F60:I60)</f>
        <v>1817421.8606199999</v>
      </c>
      <c r="K60" s="46">
        <f t="shared" ref="K60:S60" si="37">$B$57*K4</f>
        <v>0</v>
      </c>
      <c r="L60" s="46">
        <f t="shared" si="37"/>
        <v>0</v>
      </c>
      <c r="M60" s="46">
        <f t="shared" si="37"/>
        <v>0</v>
      </c>
      <c r="N60" s="46">
        <f t="shared" si="37"/>
        <v>0</v>
      </c>
      <c r="O60" s="46">
        <f t="shared" si="37"/>
        <v>0</v>
      </c>
      <c r="P60" s="46">
        <f t="shared" si="37"/>
        <v>0</v>
      </c>
      <c r="Q60" s="46">
        <f t="shared" si="37"/>
        <v>0</v>
      </c>
      <c r="R60" s="46">
        <f t="shared" si="37"/>
        <v>0</v>
      </c>
      <c r="S60" s="46">
        <f t="shared" si="37"/>
        <v>0</v>
      </c>
      <c r="T60" s="46">
        <f t="shared" ref="T60:T82" si="38">T4*$B$57</f>
        <v>0</v>
      </c>
      <c r="U60" s="46">
        <f t="shared" ref="U60:U82" si="39">SUM(K60:T60)</f>
        <v>0</v>
      </c>
      <c r="V60" s="46">
        <f t="shared" ref="V60:V82" si="40">E60+J60+U60</f>
        <v>2263584.8585366658</v>
      </c>
      <c r="X60" s="19"/>
      <c r="Z60" s="19"/>
    </row>
    <row r="61" spans="1:26" x14ac:dyDescent="0.3">
      <c r="A61" s="35" t="s">
        <v>145</v>
      </c>
      <c r="B61" s="8">
        <v>129358</v>
      </c>
      <c r="C61" s="8">
        <v>300768</v>
      </c>
      <c r="D61" s="8">
        <v>296318.01636000001</v>
      </c>
      <c r="E61" s="46">
        <f t="shared" si="34"/>
        <v>726444.01636000001</v>
      </c>
      <c r="F61" s="8">
        <v>1261725</v>
      </c>
      <c r="G61" s="8">
        <v>18445</v>
      </c>
      <c r="H61" s="8">
        <v>2098715</v>
      </c>
      <c r="I61" s="8">
        <f t="shared" si="35"/>
        <v>47220.761823333341</v>
      </c>
      <c r="J61" s="46">
        <f t="shared" si="36"/>
        <v>3426105.7618233333</v>
      </c>
      <c r="K61" s="46">
        <f t="shared" ref="K61:S61" si="41">$B$57*K5</f>
        <v>0</v>
      </c>
      <c r="L61" s="46">
        <f t="shared" si="41"/>
        <v>0</v>
      </c>
      <c r="M61" s="46">
        <f t="shared" si="41"/>
        <v>0</v>
      </c>
      <c r="N61" s="46">
        <f t="shared" si="41"/>
        <v>0</v>
      </c>
      <c r="O61" s="46">
        <f t="shared" si="41"/>
        <v>0</v>
      </c>
      <c r="P61" s="46">
        <f t="shared" si="41"/>
        <v>0</v>
      </c>
      <c r="Q61" s="46">
        <f t="shared" si="41"/>
        <v>0</v>
      </c>
      <c r="R61" s="46">
        <f t="shared" si="41"/>
        <v>0</v>
      </c>
      <c r="S61" s="46">
        <f t="shared" si="41"/>
        <v>0</v>
      </c>
      <c r="T61" s="46">
        <f t="shared" si="38"/>
        <v>0</v>
      </c>
      <c r="U61" s="46">
        <f t="shared" si="39"/>
        <v>0</v>
      </c>
      <c r="V61" s="46">
        <f t="shared" si="40"/>
        <v>4152549.7781833336</v>
      </c>
      <c r="X61" s="19"/>
      <c r="Z61" s="19"/>
    </row>
    <row r="62" spans="1:26" x14ac:dyDescent="0.3">
      <c r="A62" s="35" t="s">
        <v>146</v>
      </c>
      <c r="B62" s="8">
        <v>179568.02234555894</v>
      </c>
      <c r="C62" s="8">
        <v>320691.84972779639</v>
      </c>
      <c r="D62" s="8">
        <v>299456.95726998051</v>
      </c>
      <c r="E62" s="46">
        <f t="shared" si="34"/>
        <v>799716.82934333594</v>
      </c>
      <c r="F62" s="8">
        <v>1261725</v>
      </c>
      <c r="G62" s="8">
        <v>5286</v>
      </c>
      <c r="H62" s="8">
        <v>3215347</v>
      </c>
      <c r="I62" s="8">
        <f t="shared" si="35"/>
        <v>46984.658014216671</v>
      </c>
      <c r="J62" s="46">
        <f t="shared" si="36"/>
        <v>4529342.6580142165</v>
      </c>
      <c r="K62" s="46">
        <f t="shared" ref="K62:S62" si="42">$B$57*K6</f>
        <v>102418.92723405026</v>
      </c>
      <c r="L62" s="46">
        <f t="shared" si="42"/>
        <v>93161.22332580325</v>
      </c>
      <c r="M62" s="46">
        <f t="shared" si="42"/>
        <v>0</v>
      </c>
      <c r="N62" s="46">
        <f t="shared" si="42"/>
        <v>697.41684398099994</v>
      </c>
      <c r="O62" s="46">
        <f t="shared" si="42"/>
        <v>0</v>
      </c>
      <c r="P62" s="46">
        <f t="shared" si="42"/>
        <v>0</v>
      </c>
      <c r="Q62" s="46">
        <f t="shared" si="42"/>
        <v>0</v>
      </c>
      <c r="R62" s="46">
        <f t="shared" si="42"/>
        <v>0</v>
      </c>
      <c r="S62" s="46">
        <f t="shared" si="42"/>
        <v>0</v>
      </c>
      <c r="T62" s="46">
        <f t="shared" si="38"/>
        <v>0</v>
      </c>
      <c r="U62" s="46">
        <f t="shared" si="39"/>
        <v>196277.56740383452</v>
      </c>
      <c r="V62" s="46">
        <f t="shared" si="40"/>
        <v>5525337.0547613865</v>
      </c>
      <c r="X62" s="19"/>
    </row>
    <row r="63" spans="1:26" x14ac:dyDescent="0.3">
      <c r="A63" s="35" t="s">
        <v>147</v>
      </c>
      <c r="B63" s="8">
        <v>198394.67310533352</v>
      </c>
      <c r="C63" s="8">
        <v>385997.60010335833</v>
      </c>
      <c r="D63" s="8">
        <v>319563.17280718335</v>
      </c>
      <c r="E63" s="46">
        <f t="shared" si="34"/>
        <v>903955.4460158752</v>
      </c>
      <c r="F63" s="8">
        <v>1261725</v>
      </c>
      <c r="G63" s="55"/>
      <c r="H63" s="8">
        <v>3215347</v>
      </c>
      <c r="I63" s="8">
        <f t="shared" si="35"/>
        <v>46749.734724145594</v>
      </c>
      <c r="J63" s="46">
        <f t="shared" si="36"/>
        <v>4523821.7347241454</v>
      </c>
      <c r="K63" s="46">
        <f t="shared" ref="K63:S63" si="43">$B$57*K7</f>
        <v>101906.83259788001</v>
      </c>
      <c r="L63" s="46">
        <f t="shared" si="43"/>
        <v>92695.417209174237</v>
      </c>
      <c r="M63" s="46">
        <f t="shared" si="43"/>
        <v>268237.24768500001</v>
      </c>
      <c r="N63" s="46">
        <f t="shared" si="43"/>
        <v>693.92975976109494</v>
      </c>
      <c r="O63" s="46">
        <f t="shared" si="43"/>
        <v>3218.8469722200002</v>
      </c>
      <c r="P63" s="46">
        <f t="shared" si="43"/>
        <v>0</v>
      </c>
      <c r="Q63" s="46">
        <f t="shared" si="43"/>
        <v>0</v>
      </c>
      <c r="R63" s="46">
        <f t="shared" si="43"/>
        <v>0</v>
      </c>
      <c r="S63" s="46">
        <f t="shared" si="43"/>
        <v>0</v>
      </c>
      <c r="T63" s="46">
        <f t="shared" si="38"/>
        <v>34049.15</v>
      </c>
      <c r="U63" s="46">
        <f t="shared" si="39"/>
        <v>500801.42422403535</v>
      </c>
      <c r="V63" s="46">
        <f t="shared" si="40"/>
        <v>5928578.6049640551</v>
      </c>
      <c r="X63" s="19"/>
    </row>
    <row r="64" spans="1:26" x14ac:dyDescent="0.3">
      <c r="A64" s="35" t="s">
        <v>148</v>
      </c>
      <c r="B64" s="8">
        <v>196299.76398383471</v>
      </c>
      <c r="C64" s="8">
        <v>385550.00182071875</v>
      </c>
      <c r="D64" s="8">
        <v>317965.35694314737</v>
      </c>
      <c r="E64" s="46">
        <f t="shared" si="34"/>
        <v>899815.12274770078</v>
      </c>
      <c r="F64" s="8">
        <v>1261725</v>
      </c>
      <c r="G64" s="55"/>
      <c r="H64" s="8">
        <v>3215347</v>
      </c>
      <c r="I64" s="8">
        <f t="shared" si="35"/>
        <v>46515.986050524865</v>
      </c>
      <c r="J64" s="46">
        <f t="shared" si="36"/>
        <v>4523587.9860505247</v>
      </c>
      <c r="K64" s="46">
        <f t="shared" ref="K64:S64" si="44">$B$57*K8</f>
        <v>101397.29843489062</v>
      </c>
      <c r="L64" s="46">
        <f t="shared" si="44"/>
        <v>92231.940123128355</v>
      </c>
      <c r="M64" s="46">
        <f t="shared" si="44"/>
        <v>266896.06144657498</v>
      </c>
      <c r="N64" s="46">
        <f t="shared" si="44"/>
        <v>690.46011096228949</v>
      </c>
      <c r="O64" s="46">
        <f t="shared" si="44"/>
        <v>3202.7527373589</v>
      </c>
      <c r="P64" s="46">
        <f t="shared" si="44"/>
        <v>0</v>
      </c>
      <c r="Q64" s="46">
        <f t="shared" si="44"/>
        <v>0</v>
      </c>
      <c r="R64" s="46">
        <f t="shared" si="44"/>
        <v>0</v>
      </c>
      <c r="S64" s="46">
        <f t="shared" si="44"/>
        <v>0</v>
      </c>
      <c r="T64" s="46">
        <f t="shared" si="38"/>
        <v>67757.808499999999</v>
      </c>
      <c r="U64" s="46">
        <f t="shared" si="39"/>
        <v>532176.32135291514</v>
      </c>
      <c r="V64" s="46">
        <f t="shared" si="40"/>
        <v>5955579.4301511403</v>
      </c>
      <c r="X64" s="19"/>
    </row>
    <row r="65" spans="1:24" x14ac:dyDescent="0.3">
      <c r="A65" s="35" t="s">
        <v>149</v>
      </c>
      <c r="B65" s="8">
        <v>194207.95511065185</v>
      </c>
      <c r="C65" s="8">
        <v>385116.09085803403</v>
      </c>
      <c r="D65" s="8">
        <v>316375.53015843168</v>
      </c>
      <c r="E65" s="46">
        <f t="shared" si="34"/>
        <v>895699.5761271175</v>
      </c>
      <c r="F65" s="8">
        <v>1261725</v>
      </c>
      <c r="G65" s="55"/>
      <c r="H65" s="8">
        <v>3215347</v>
      </c>
      <c r="I65" s="8">
        <f t="shared" si="35"/>
        <v>46283.406120272244</v>
      </c>
      <c r="J65" s="46">
        <f t="shared" si="36"/>
        <v>4523355.4061202724</v>
      </c>
      <c r="K65" s="46">
        <f t="shared" ref="K65:S65" si="45">$B$57*K9</f>
        <v>100890.31194271617</v>
      </c>
      <c r="L65" s="46">
        <f t="shared" si="45"/>
        <v>91770.780422512718</v>
      </c>
      <c r="M65" s="46">
        <f t="shared" si="45"/>
        <v>265561.5811393421</v>
      </c>
      <c r="N65" s="46">
        <f t="shared" si="45"/>
        <v>687.00781040747802</v>
      </c>
      <c r="O65" s="46">
        <f t="shared" si="45"/>
        <v>3186.7389736721057</v>
      </c>
      <c r="P65" s="46">
        <f t="shared" si="45"/>
        <v>0</v>
      </c>
      <c r="Q65" s="46">
        <f t="shared" si="45"/>
        <v>333247</v>
      </c>
      <c r="R65" s="46">
        <f t="shared" si="45"/>
        <v>686844.52494999999</v>
      </c>
      <c r="S65" s="46">
        <f t="shared" si="45"/>
        <v>6152.7538500000001</v>
      </c>
      <c r="T65" s="46">
        <f t="shared" si="38"/>
        <v>101636.71275000001</v>
      </c>
      <c r="U65" s="46">
        <f t="shared" si="39"/>
        <v>1589977.4118386505</v>
      </c>
      <c r="V65" s="46">
        <f t="shared" si="40"/>
        <v>7009032.3940860406</v>
      </c>
      <c r="X65" s="19"/>
    </row>
    <row r="66" spans="1:24" x14ac:dyDescent="0.3">
      <c r="A66" s="35" t="s">
        <v>150</v>
      </c>
      <c r="B66" s="8">
        <v>192119.07522779302</v>
      </c>
      <c r="C66" s="8">
        <v>384684.3850689549</v>
      </c>
      <c r="D66" s="8">
        <v>314793.65250763949</v>
      </c>
      <c r="E66" s="46">
        <f t="shared" si="34"/>
        <v>891597.11280438746</v>
      </c>
      <c r="F66" s="8">
        <v>1261725</v>
      </c>
      <c r="G66" s="55"/>
      <c r="H66" s="8">
        <v>3215347</v>
      </c>
      <c r="I66" s="8">
        <f t="shared" si="35"/>
        <v>46051.989089670882</v>
      </c>
      <c r="J66" s="46">
        <f t="shared" si="36"/>
        <v>4523123.9890896706</v>
      </c>
      <c r="K66" s="46">
        <f t="shared" ref="K66:S66" si="46">$B$57*K10</f>
        <v>100385.86038300258</v>
      </c>
      <c r="L66" s="46">
        <f t="shared" si="46"/>
        <v>91311.926520400157</v>
      </c>
      <c r="M66" s="46">
        <f t="shared" si="46"/>
        <v>264233.77323364542</v>
      </c>
      <c r="N66" s="46">
        <f t="shared" si="46"/>
        <v>683.57277135544075</v>
      </c>
      <c r="O66" s="46">
        <f t="shared" si="46"/>
        <v>3170.8052788037453</v>
      </c>
      <c r="P66" s="46">
        <f t="shared" si="46"/>
        <v>0</v>
      </c>
      <c r="Q66" s="46">
        <f t="shared" si="46"/>
        <v>333247</v>
      </c>
      <c r="R66" s="46">
        <f t="shared" si="46"/>
        <v>683410.30232525012</v>
      </c>
      <c r="S66" s="46">
        <f t="shared" si="46"/>
        <v>6121.9900807499998</v>
      </c>
      <c r="T66" s="46">
        <f t="shared" si="38"/>
        <v>135515.617</v>
      </c>
      <c r="U66" s="46">
        <f t="shared" si="39"/>
        <v>1618080.8475932076</v>
      </c>
      <c r="V66" s="46">
        <f t="shared" si="40"/>
        <v>7032801.9494872661</v>
      </c>
      <c r="X66" s="19"/>
    </row>
    <row r="67" spans="1:24" x14ac:dyDescent="0.3">
      <c r="A67" s="35" t="s">
        <v>151</v>
      </c>
      <c r="B67" s="8">
        <v>190044.90132147312</v>
      </c>
      <c r="C67" s="8">
        <v>384256.08567394584</v>
      </c>
      <c r="D67" s="8">
        <v>313219.68424510129</v>
      </c>
      <c r="E67" s="46">
        <f t="shared" si="34"/>
        <v>887520.67124052031</v>
      </c>
      <c r="F67" s="8">
        <v>1261725</v>
      </c>
      <c r="G67" s="55"/>
      <c r="H67" s="8">
        <v>3215347</v>
      </c>
      <c r="I67" s="8">
        <f t="shared" si="35"/>
        <v>45821.729144222525</v>
      </c>
      <c r="J67" s="46">
        <f t="shared" si="36"/>
        <v>4522893.7291442221</v>
      </c>
      <c r="K67" s="46">
        <f t="shared" ref="K67:S67" si="47">$B$57*K11</f>
        <v>99883.931081087576</v>
      </c>
      <c r="L67" s="46">
        <f t="shared" si="47"/>
        <v>90855.366887798154</v>
      </c>
      <c r="M67" s="46">
        <f t="shared" si="47"/>
        <v>262912.60436747718</v>
      </c>
      <c r="N67" s="46">
        <f t="shared" si="47"/>
        <v>680.15490749866342</v>
      </c>
      <c r="O67" s="46">
        <f t="shared" si="47"/>
        <v>3154.9512524097263</v>
      </c>
      <c r="P67" s="46">
        <f t="shared" si="47"/>
        <v>0</v>
      </c>
      <c r="Q67" s="46">
        <f t="shared" si="47"/>
        <v>333247</v>
      </c>
      <c r="R67" s="46">
        <f t="shared" si="47"/>
        <v>679993.25081362377</v>
      </c>
      <c r="S67" s="46">
        <f t="shared" si="47"/>
        <v>6091.3801303462506</v>
      </c>
      <c r="T67" s="46">
        <f t="shared" si="38"/>
        <v>169394.52125000002</v>
      </c>
      <c r="U67" s="46">
        <f t="shared" si="39"/>
        <v>1646213.1606902413</v>
      </c>
      <c r="V67" s="46">
        <f t="shared" si="40"/>
        <v>7056627.5610749843</v>
      </c>
      <c r="X67" s="19"/>
    </row>
    <row r="68" spans="1:24" x14ac:dyDescent="0.3">
      <c r="A68" s="35" t="s">
        <v>152</v>
      </c>
      <c r="B68" s="8">
        <v>192274.12197306089</v>
      </c>
      <c r="C68" s="8">
        <v>379534.47355778608</v>
      </c>
      <c r="D68" s="8">
        <v>311653.58582387579</v>
      </c>
      <c r="E68" s="46">
        <f t="shared" si="34"/>
        <v>883462.18135472271</v>
      </c>
      <c r="F68" s="8">
        <v>1261725</v>
      </c>
      <c r="G68" s="55"/>
      <c r="H68" s="8">
        <v>3215347</v>
      </c>
      <c r="I68" s="8">
        <f t="shared" si="35"/>
        <v>45592.620498501419</v>
      </c>
      <c r="J68" s="46">
        <f t="shared" si="36"/>
        <v>4522664.6204985017</v>
      </c>
      <c r="K68" s="46">
        <f t="shared" ref="K68:S68" si="48">$B$57*K12</f>
        <v>99384.511425682125</v>
      </c>
      <c r="L68" s="46">
        <f t="shared" si="48"/>
        <v>90401.090053359163</v>
      </c>
      <c r="M68" s="46">
        <f t="shared" si="48"/>
        <v>261598.04134563979</v>
      </c>
      <c r="N68" s="46">
        <f t="shared" si="48"/>
        <v>676.75413296117006</v>
      </c>
      <c r="O68" s="46">
        <f t="shared" si="48"/>
        <v>3139.1764961476774</v>
      </c>
      <c r="P68" s="46">
        <f t="shared" si="48"/>
        <v>0</v>
      </c>
      <c r="Q68" s="46">
        <f t="shared" si="48"/>
        <v>333247</v>
      </c>
      <c r="R68" s="46">
        <f t="shared" si="48"/>
        <v>676593.2845595557</v>
      </c>
      <c r="S68" s="46">
        <f t="shared" si="48"/>
        <v>6060.9232296945193</v>
      </c>
      <c r="T68" s="46">
        <f t="shared" si="38"/>
        <v>203273.42550000001</v>
      </c>
      <c r="U68" s="46">
        <f t="shared" si="39"/>
        <v>1674374.2067430401</v>
      </c>
      <c r="V68" s="46">
        <f t="shared" si="40"/>
        <v>7080501.0085962648</v>
      </c>
      <c r="X68" s="19"/>
    </row>
    <row r="69" spans="1:24" x14ac:dyDescent="0.3">
      <c r="A69" s="35" t="s">
        <v>153</v>
      </c>
      <c r="B69" s="8">
        <v>193401.24122930586</v>
      </c>
      <c r="C69" s="8">
        <v>375928.60564779153</v>
      </c>
      <c r="D69" s="8">
        <v>310095.31789475639</v>
      </c>
      <c r="E69" s="46">
        <f t="shared" si="34"/>
        <v>879425.16477185371</v>
      </c>
      <c r="F69" s="8">
        <v>1261725</v>
      </c>
      <c r="G69" s="55"/>
      <c r="H69" s="8">
        <v>3215347</v>
      </c>
      <c r="I69" s="8">
        <f t="shared" si="35"/>
        <v>45364.657396008908</v>
      </c>
      <c r="J69" s="46">
        <f t="shared" si="36"/>
        <v>4522436.6573960092</v>
      </c>
      <c r="K69" s="46">
        <f t="shared" ref="K69:S69" si="49">$B$57*K13</f>
        <v>98887.588868553736</v>
      </c>
      <c r="L69" s="46">
        <f t="shared" si="49"/>
        <v>89949.084603092371</v>
      </c>
      <c r="M69" s="46">
        <f t="shared" si="49"/>
        <v>260290.0511389116</v>
      </c>
      <c r="N69" s="46">
        <f t="shared" si="49"/>
        <v>673.37036229636419</v>
      </c>
      <c r="O69" s="46">
        <f t="shared" si="49"/>
        <v>3123.4806136669395</v>
      </c>
      <c r="P69" s="46">
        <f t="shared" si="49"/>
        <v>0</v>
      </c>
      <c r="Q69" s="46">
        <f t="shared" si="49"/>
        <v>333247</v>
      </c>
      <c r="R69" s="46">
        <f t="shared" si="49"/>
        <v>673210.31813675782</v>
      </c>
      <c r="S69" s="46">
        <f t="shared" si="49"/>
        <v>6030.6186135460466</v>
      </c>
      <c r="T69" s="46">
        <f t="shared" si="38"/>
        <v>228746.28583834585</v>
      </c>
      <c r="U69" s="46">
        <f t="shared" si="39"/>
        <v>1694157.7981751706</v>
      </c>
      <c r="V69" s="46">
        <f t="shared" si="40"/>
        <v>7096019.6203430332</v>
      </c>
      <c r="X69" s="19"/>
    </row>
    <row r="70" spans="1:24" x14ac:dyDescent="0.3">
      <c r="A70" s="35" t="s">
        <v>154</v>
      </c>
      <c r="B70" s="8">
        <v>194526.51497018788</v>
      </c>
      <c r="C70" s="8">
        <v>372337.44064443005</v>
      </c>
      <c r="D70" s="8">
        <v>308544.84130528261</v>
      </c>
      <c r="E70" s="46">
        <f t="shared" si="34"/>
        <v>875408.79691990046</v>
      </c>
      <c r="F70" s="8">
        <v>1261725</v>
      </c>
      <c r="G70" s="55"/>
      <c r="H70" s="8">
        <v>3215347</v>
      </c>
      <c r="I70" s="8">
        <f t="shared" si="35"/>
        <v>45137.834109028867</v>
      </c>
      <c r="J70" s="46">
        <f t="shared" si="36"/>
        <v>4522209.8341090288</v>
      </c>
      <c r="K70" s="46">
        <f t="shared" ref="K70:S70" si="50">$B$57*K14</f>
        <v>98393.150924210961</v>
      </c>
      <c r="L70" s="46">
        <f t="shared" si="50"/>
        <v>89499.339180076902</v>
      </c>
      <c r="M70" s="46">
        <f t="shared" si="50"/>
        <v>258988.60088321703</v>
      </c>
      <c r="N70" s="46">
        <f t="shared" si="50"/>
        <v>670.00351048488233</v>
      </c>
      <c r="O70" s="46">
        <f t="shared" si="50"/>
        <v>3107.8632105986044</v>
      </c>
      <c r="P70" s="46">
        <f t="shared" si="50"/>
        <v>0</v>
      </c>
      <c r="Q70" s="46">
        <f t="shared" si="50"/>
        <v>333247</v>
      </c>
      <c r="R70" s="46">
        <f t="shared" si="50"/>
        <v>669844.26654607407</v>
      </c>
      <c r="S70" s="46">
        <f t="shared" si="50"/>
        <v>6000.4655204783166</v>
      </c>
      <c r="T70" s="46">
        <f t="shared" si="38"/>
        <v>254219.14617669172</v>
      </c>
      <c r="U70" s="46">
        <f t="shared" si="39"/>
        <v>1713969.8359518324</v>
      </c>
      <c r="V70" s="46">
        <f t="shared" si="40"/>
        <v>7111588.4669807618</v>
      </c>
      <c r="X70" s="19"/>
    </row>
    <row r="71" spans="1:24" x14ac:dyDescent="0.3">
      <c r="A71" s="35" t="s">
        <v>155</v>
      </c>
      <c r="B71" s="8">
        <v>187783.62342223129</v>
      </c>
      <c r="C71" s="8">
        <v>372101.67171409639</v>
      </c>
      <c r="D71" s="8">
        <v>307002.11709875613</v>
      </c>
      <c r="E71" s="46">
        <f t="shared" si="34"/>
        <v>866887.41223508376</v>
      </c>
      <c r="F71" s="8">
        <v>1261725</v>
      </c>
      <c r="G71" s="55"/>
      <c r="H71" s="8">
        <v>3215347</v>
      </c>
      <c r="I71" s="8">
        <f t="shared" si="35"/>
        <v>44912.144938483725</v>
      </c>
      <c r="J71" s="46">
        <f t="shared" si="36"/>
        <v>4521984.1449384838</v>
      </c>
      <c r="K71" s="46">
        <f t="shared" ref="K71:S71" si="51">$B$57*K15</f>
        <v>97901.185169589909</v>
      </c>
      <c r="L71" s="46">
        <f t="shared" si="51"/>
        <v>89051.842484176508</v>
      </c>
      <c r="M71" s="46">
        <f t="shared" si="51"/>
        <v>257693.65787880094</v>
      </c>
      <c r="N71" s="46">
        <f t="shared" si="51"/>
        <v>666.65349293245799</v>
      </c>
      <c r="O71" s="46">
        <f t="shared" si="51"/>
        <v>3092.3238945456114</v>
      </c>
      <c r="P71" s="46">
        <f t="shared" si="51"/>
        <v>0</v>
      </c>
      <c r="Q71" s="46">
        <f t="shared" si="51"/>
        <v>333247</v>
      </c>
      <c r="R71" s="46">
        <f t="shared" si="51"/>
        <v>666495.04521334369</v>
      </c>
      <c r="S71" s="46">
        <f t="shared" si="51"/>
        <v>5970.4631928759245</v>
      </c>
      <c r="T71" s="46">
        <f t="shared" si="38"/>
        <v>279692.0065150375</v>
      </c>
      <c r="U71" s="46">
        <f t="shared" si="39"/>
        <v>1733810.1778413027</v>
      </c>
      <c r="V71" s="46">
        <f t="shared" si="40"/>
        <v>7122681.7350148708</v>
      </c>
    </row>
    <row r="72" spans="1:24" x14ac:dyDescent="0.3">
      <c r="A72" s="35" t="s">
        <v>156</v>
      </c>
      <c r="B72" s="8">
        <v>187421.39842223166</v>
      </c>
      <c r="C72" s="8">
        <v>372099.49836409639</v>
      </c>
      <c r="D72" s="8">
        <v>305467.10651326238</v>
      </c>
      <c r="E72" s="46">
        <f t="shared" si="34"/>
        <v>864988.00329959043</v>
      </c>
      <c r="F72" s="55"/>
      <c r="G72" s="55"/>
      <c r="H72" s="8">
        <v>3215347</v>
      </c>
      <c r="I72" s="8">
        <f t="shared" si="35"/>
        <v>44687.584213791306</v>
      </c>
      <c r="J72" s="46">
        <f t="shared" si="36"/>
        <v>3260034.5842137914</v>
      </c>
      <c r="K72" s="46">
        <f t="shared" ref="K72:S72" si="52">$B$57*K16</f>
        <v>97411.67924374195</v>
      </c>
      <c r="L72" s="46">
        <f t="shared" si="52"/>
        <v>88606.583271755633</v>
      </c>
      <c r="M72" s="46">
        <f t="shared" si="52"/>
        <v>256405.18958940695</v>
      </c>
      <c r="N72" s="46">
        <f t="shared" si="52"/>
        <v>663.32022546779581</v>
      </c>
      <c r="O72" s="46">
        <f t="shared" si="52"/>
        <v>3076.8622750728832</v>
      </c>
      <c r="P72" s="46">
        <f t="shared" si="52"/>
        <v>0</v>
      </c>
      <c r="Q72" s="46">
        <f t="shared" si="52"/>
        <v>333247</v>
      </c>
      <c r="R72" s="46">
        <f t="shared" si="52"/>
        <v>663162.56998727692</v>
      </c>
      <c r="S72" s="46">
        <f t="shared" si="52"/>
        <v>5940.6108769115453</v>
      </c>
      <c r="T72" s="46">
        <f t="shared" si="38"/>
        <v>305164.86685338337</v>
      </c>
      <c r="U72" s="46">
        <f t="shared" si="39"/>
        <v>1753678.6823230169</v>
      </c>
      <c r="V72" s="46">
        <f t="shared" si="40"/>
        <v>5878701.2698363988</v>
      </c>
    </row>
    <row r="73" spans="1:24" x14ac:dyDescent="0.3">
      <c r="A73" s="35" t="s">
        <v>157</v>
      </c>
      <c r="B73" s="8">
        <v>187190.39546556454</v>
      </c>
      <c r="C73" s="8">
        <v>371807.40012409637</v>
      </c>
      <c r="D73" s="8">
        <v>303939.77098069608</v>
      </c>
      <c r="E73" s="46">
        <f t="shared" si="34"/>
        <v>862937.56657035695</v>
      </c>
      <c r="F73" s="55"/>
      <c r="G73" s="55"/>
      <c r="H73" s="8">
        <v>2912885</v>
      </c>
      <c r="I73" s="8">
        <f t="shared" si="35"/>
        <v>44464.146292722347</v>
      </c>
      <c r="J73" s="46">
        <f t="shared" si="36"/>
        <v>2957349.1462927223</v>
      </c>
      <c r="K73" s="46">
        <f t="shared" ref="K73:S73" si="53">$B$57*K17</f>
        <v>96924.620847523227</v>
      </c>
      <c r="L73" s="46">
        <f t="shared" si="53"/>
        <v>88163.550355396859</v>
      </c>
      <c r="M73" s="46">
        <f t="shared" si="53"/>
        <v>255123.16364145986</v>
      </c>
      <c r="N73" s="46">
        <f t="shared" si="53"/>
        <v>660.00362434045678</v>
      </c>
      <c r="O73" s="46">
        <f t="shared" si="53"/>
        <v>3061.477963697519</v>
      </c>
      <c r="P73" s="46">
        <f t="shared" si="53"/>
        <v>0</v>
      </c>
      <c r="Q73" s="46">
        <f t="shared" si="53"/>
        <v>333247</v>
      </c>
      <c r="R73" s="46">
        <f t="shared" si="53"/>
        <v>659846.75713734061</v>
      </c>
      <c r="S73" s="46">
        <f t="shared" si="53"/>
        <v>5910.9078225269868</v>
      </c>
      <c r="T73" s="46">
        <f t="shared" si="38"/>
        <v>330637.72719172924</v>
      </c>
      <c r="U73" s="46">
        <f t="shared" si="39"/>
        <v>1773575.2085840146</v>
      </c>
      <c r="V73" s="46">
        <f t="shared" si="40"/>
        <v>5593861.9214470936</v>
      </c>
    </row>
    <row r="74" spans="1:24" x14ac:dyDescent="0.3">
      <c r="A74" s="35" t="s">
        <v>158</v>
      </c>
      <c r="B74" s="8">
        <v>145572.24016223199</v>
      </c>
      <c r="C74" s="8">
        <v>320089.92885409691</v>
      </c>
      <c r="D74" s="8">
        <v>302420.07212579256</v>
      </c>
      <c r="E74" s="46">
        <f t="shared" si="34"/>
        <v>768082.24114212138</v>
      </c>
      <c r="F74" s="55"/>
      <c r="G74" s="55"/>
      <c r="H74" s="8">
        <v>2912885</v>
      </c>
      <c r="I74" s="8">
        <f t="shared" si="35"/>
        <v>44241.825561258731</v>
      </c>
      <c r="J74" s="46">
        <f t="shared" si="36"/>
        <v>2957126.8255612589</v>
      </c>
      <c r="K74" s="46">
        <f t="shared" ref="K74:S74" si="54">$B$57*K18</f>
        <v>96439.997743285625</v>
      </c>
      <c r="L74" s="46">
        <f t="shared" si="54"/>
        <v>87722.732603619879</v>
      </c>
      <c r="M74" s="46">
        <f t="shared" si="54"/>
        <v>253847.54782325259</v>
      </c>
      <c r="N74" s="46">
        <f t="shared" si="54"/>
        <v>656.70360621875454</v>
      </c>
      <c r="O74" s="46">
        <f t="shared" si="54"/>
        <v>3046.1705738790315</v>
      </c>
      <c r="P74" s="46">
        <f t="shared" si="54"/>
        <v>0</v>
      </c>
      <c r="Q74" s="46">
        <f t="shared" si="54"/>
        <v>333247</v>
      </c>
      <c r="R74" s="46">
        <f t="shared" si="54"/>
        <v>656547.52335165383</v>
      </c>
      <c r="S74" s="46">
        <f t="shared" si="54"/>
        <v>5881.3532834143525</v>
      </c>
      <c r="T74" s="46">
        <f t="shared" si="38"/>
        <v>356110.58753007505</v>
      </c>
      <c r="U74" s="46">
        <f t="shared" si="39"/>
        <v>1793499.6165153992</v>
      </c>
      <c r="V74" s="46">
        <f t="shared" si="40"/>
        <v>5518708.683218779</v>
      </c>
    </row>
    <row r="75" spans="1:24" x14ac:dyDescent="0.3">
      <c r="A75" s="35" t="s">
        <v>159</v>
      </c>
      <c r="B75" s="8">
        <v>56790.602882231557</v>
      </c>
      <c r="C75" s="8">
        <v>135128.03963076315</v>
      </c>
      <c r="D75" s="8">
        <v>231543.68614666659</v>
      </c>
      <c r="E75" s="46">
        <f t="shared" si="34"/>
        <v>423462.32865966129</v>
      </c>
      <c r="F75" s="55"/>
      <c r="G75" s="55"/>
      <c r="H75" s="8">
        <v>2701865</v>
      </c>
      <c r="I75" s="8">
        <f t="shared" si="35"/>
        <v>44020.616433452444</v>
      </c>
      <c r="J75" s="46">
        <f t="shared" si="36"/>
        <v>2745885.6164334523</v>
      </c>
      <c r="K75" s="46">
        <f t="shared" ref="K75:S75" si="55">$B$57*K19</f>
        <v>95957.797754569197</v>
      </c>
      <c r="L75" s="46">
        <f t="shared" si="55"/>
        <v>87284.118940601766</v>
      </c>
      <c r="M75" s="46">
        <f t="shared" si="55"/>
        <v>252578.31008413632</v>
      </c>
      <c r="N75" s="46">
        <f t="shared" si="55"/>
        <v>653.42008818766067</v>
      </c>
      <c r="O75" s="46">
        <f t="shared" si="55"/>
        <v>3030.9397210096363</v>
      </c>
      <c r="P75" s="46">
        <f t="shared" si="55"/>
        <v>0</v>
      </c>
      <c r="Q75" s="46">
        <f t="shared" si="55"/>
        <v>333247</v>
      </c>
      <c r="R75" s="46">
        <f t="shared" si="55"/>
        <v>653264.7857348955</v>
      </c>
      <c r="S75" s="46">
        <f t="shared" si="55"/>
        <v>5851.94651699728</v>
      </c>
      <c r="T75" s="46">
        <f t="shared" si="38"/>
        <v>381583.44786842092</v>
      </c>
      <c r="U75" s="46">
        <f t="shared" si="39"/>
        <v>1813451.7667088183</v>
      </c>
      <c r="V75" s="46">
        <f t="shared" si="40"/>
        <v>4982799.7118019313</v>
      </c>
    </row>
    <row r="76" spans="1:24" x14ac:dyDescent="0.3">
      <c r="A76" s="35" t="s">
        <v>61</v>
      </c>
      <c r="B76" s="8">
        <v>29792.476435564931</v>
      </c>
      <c r="C76" s="8">
        <v>63361.994170763188</v>
      </c>
      <c r="D76" s="8">
        <v>24851.00153666667</v>
      </c>
      <c r="E76" s="46">
        <f t="shared" si="34"/>
        <v>118005.47214299478</v>
      </c>
      <c r="F76" s="55"/>
      <c r="G76" s="55"/>
      <c r="H76" s="8"/>
      <c r="I76" s="8">
        <f t="shared" si="35"/>
        <v>43800.513351285183</v>
      </c>
      <c r="J76" s="46">
        <f t="shared" si="36"/>
        <v>43800.513351285183</v>
      </c>
      <c r="K76" s="46">
        <f t="shared" ref="K76:S76" si="56">$B$57*K20</f>
        <v>95478.00876579636</v>
      </c>
      <c r="L76" s="46">
        <f t="shared" si="56"/>
        <v>86847.698345898752</v>
      </c>
      <c r="M76" s="46">
        <f t="shared" si="56"/>
        <v>251315.41853371565</v>
      </c>
      <c r="N76" s="46">
        <f t="shared" si="56"/>
        <v>650.15298774672249</v>
      </c>
      <c r="O76" s="46">
        <f t="shared" si="56"/>
        <v>3015.7850224045883</v>
      </c>
      <c r="P76" s="46">
        <f t="shared" si="56"/>
        <v>0</v>
      </c>
      <c r="Q76" s="46">
        <f t="shared" si="56"/>
        <v>333247</v>
      </c>
      <c r="R76" s="46">
        <f t="shared" si="56"/>
        <v>649998.46180622105</v>
      </c>
      <c r="S76" s="46">
        <f t="shared" si="56"/>
        <v>5822.6867844122944</v>
      </c>
      <c r="T76" s="46">
        <f t="shared" si="38"/>
        <v>407056.30820676673</v>
      </c>
      <c r="U76" s="46">
        <f t="shared" si="39"/>
        <v>1833431.5204529623</v>
      </c>
      <c r="V76" s="46">
        <f t="shared" si="40"/>
        <v>1995237.5059472423</v>
      </c>
    </row>
    <row r="77" spans="1:24" x14ac:dyDescent="0.3">
      <c r="A77" s="35" t="s">
        <v>62</v>
      </c>
      <c r="B77" s="57"/>
      <c r="C77" s="57"/>
      <c r="D77" s="57"/>
      <c r="E77" s="46">
        <f t="shared" si="34"/>
        <v>0</v>
      </c>
      <c r="F77" s="55"/>
      <c r="G77" s="55"/>
      <c r="H77" s="8"/>
      <c r="I77" s="8">
        <f t="shared" si="35"/>
        <v>43581.510784528757</v>
      </c>
      <c r="J77" s="46">
        <f t="shared" si="36"/>
        <v>43581.510784528757</v>
      </c>
      <c r="K77" s="46">
        <f t="shared" ref="K77:S77" si="57">$B$57*K21</f>
        <v>0</v>
      </c>
      <c r="L77" s="46">
        <f t="shared" si="57"/>
        <v>0</v>
      </c>
      <c r="M77" s="46">
        <f t="shared" si="57"/>
        <v>250058.84144104706</v>
      </c>
      <c r="N77" s="46">
        <f t="shared" si="57"/>
        <v>646.90222280798889</v>
      </c>
      <c r="O77" s="46">
        <f t="shared" si="57"/>
        <v>3000.7060972925651</v>
      </c>
      <c r="P77" s="46">
        <f t="shared" si="57"/>
        <v>0</v>
      </c>
      <c r="Q77" s="46">
        <f t="shared" si="57"/>
        <v>333247</v>
      </c>
      <c r="R77" s="46">
        <f t="shared" si="57"/>
        <v>646748.46949718997</v>
      </c>
      <c r="S77" s="46">
        <f t="shared" si="57"/>
        <v>5793.5733504902328</v>
      </c>
      <c r="T77" s="46">
        <f t="shared" si="38"/>
        <v>432529.1685451126</v>
      </c>
      <c r="U77" s="46">
        <f t="shared" si="39"/>
        <v>1672024.6611539405</v>
      </c>
      <c r="V77" s="46">
        <f t="shared" si="40"/>
        <v>1715606.1719384692</v>
      </c>
    </row>
    <row r="78" spans="1:24" x14ac:dyDescent="0.3">
      <c r="A78" s="35" t="s">
        <v>63</v>
      </c>
      <c r="B78" s="57"/>
      <c r="C78" s="57"/>
      <c r="D78" s="57"/>
      <c r="E78" s="46">
        <f t="shared" si="34"/>
        <v>0</v>
      </c>
      <c r="F78" s="55"/>
      <c r="G78" s="55"/>
      <c r="H78" s="8"/>
      <c r="I78" s="8">
        <f t="shared" si="35"/>
        <v>43363.60323060611</v>
      </c>
      <c r="J78" s="46">
        <f t="shared" si="36"/>
        <v>43363.60323060611</v>
      </c>
      <c r="K78" s="46">
        <f t="shared" ref="K78:S78" si="58">$B$57*K22</f>
        <v>0</v>
      </c>
      <c r="L78" s="46">
        <f t="shared" si="58"/>
        <v>0</v>
      </c>
      <c r="M78" s="46">
        <f t="shared" si="58"/>
        <v>248808.54723384185</v>
      </c>
      <c r="N78" s="46">
        <f t="shared" si="58"/>
        <v>643.66771169394883</v>
      </c>
      <c r="O78" s="46">
        <f t="shared" si="58"/>
        <v>0</v>
      </c>
      <c r="P78" s="46">
        <f t="shared" si="58"/>
        <v>0</v>
      </c>
      <c r="Q78" s="46">
        <f t="shared" si="58"/>
        <v>333247</v>
      </c>
      <c r="R78" s="46">
        <f t="shared" si="58"/>
        <v>643514.72714970412</v>
      </c>
      <c r="S78" s="46">
        <f t="shared" si="58"/>
        <v>5764.6054837377815</v>
      </c>
      <c r="T78" s="46">
        <f t="shared" si="38"/>
        <v>458002.02888345841</v>
      </c>
      <c r="U78" s="46">
        <f t="shared" si="39"/>
        <v>1689980.576462436</v>
      </c>
      <c r="V78" s="46">
        <f t="shared" si="40"/>
        <v>1733344.1796930421</v>
      </c>
    </row>
    <row r="79" spans="1:24" x14ac:dyDescent="0.3">
      <c r="A79" s="35" t="s">
        <v>64</v>
      </c>
      <c r="B79" s="57"/>
      <c r="C79" s="57"/>
      <c r="D79" s="57"/>
      <c r="E79" s="46">
        <f t="shared" si="34"/>
        <v>0</v>
      </c>
      <c r="F79" s="55"/>
      <c r="G79" s="55"/>
      <c r="H79" s="8"/>
      <c r="I79" s="8">
        <f t="shared" si="35"/>
        <v>43146.785214453084</v>
      </c>
      <c r="J79" s="46">
        <f t="shared" si="36"/>
        <v>43146.785214453084</v>
      </c>
      <c r="K79" s="46">
        <f t="shared" ref="K79:S79" si="59">$B$57*K23</f>
        <v>0</v>
      </c>
      <c r="L79" s="46">
        <f t="shared" si="59"/>
        <v>0</v>
      </c>
      <c r="M79" s="46">
        <f t="shared" si="59"/>
        <v>247564.50449767263</v>
      </c>
      <c r="N79" s="46">
        <f t="shared" si="59"/>
        <v>640.44937313547905</v>
      </c>
      <c r="O79" s="46">
        <f t="shared" si="59"/>
        <v>0</v>
      </c>
      <c r="P79" s="46">
        <f t="shared" si="59"/>
        <v>0</v>
      </c>
      <c r="Q79" s="46">
        <f t="shared" si="59"/>
        <v>333247</v>
      </c>
      <c r="R79" s="46">
        <f t="shared" si="59"/>
        <v>640297.15351395553</v>
      </c>
      <c r="S79" s="46">
        <f t="shared" si="59"/>
        <v>5735.7824563190925</v>
      </c>
      <c r="T79" s="46">
        <f t="shared" si="38"/>
        <v>483474.88922180427</v>
      </c>
      <c r="U79" s="46">
        <f t="shared" si="39"/>
        <v>1710959.779062887</v>
      </c>
      <c r="V79" s="46">
        <f t="shared" si="40"/>
        <v>1754106.56427734</v>
      </c>
    </row>
    <row r="80" spans="1:24" x14ac:dyDescent="0.3">
      <c r="A80" s="35" t="s">
        <v>65</v>
      </c>
      <c r="B80" s="57"/>
      <c r="C80" s="57"/>
      <c r="D80" s="57"/>
      <c r="E80" s="46">
        <f t="shared" si="34"/>
        <v>0</v>
      </c>
      <c r="F80" s="55"/>
      <c r="G80" s="55"/>
      <c r="H80" s="8"/>
      <c r="I80" s="8">
        <f t="shared" si="35"/>
        <v>42931.051288380811</v>
      </c>
      <c r="J80" s="46">
        <f t="shared" si="36"/>
        <v>42931.051288380811</v>
      </c>
      <c r="K80" s="46">
        <f t="shared" ref="K80:S80" si="60">$B$57*K24</f>
        <v>0</v>
      </c>
      <c r="L80" s="46">
        <f t="shared" si="60"/>
        <v>0</v>
      </c>
      <c r="M80" s="46">
        <f t="shared" si="60"/>
        <v>246326.68197518427</v>
      </c>
      <c r="N80" s="46">
        <f t="shared" si="60"/>
        <v>637.24712626980181</v>
      </c>
      <c r="O80" s="46">
        <f t="shared" si="60"/>
        <v>0</v>
      </c>
      <c r="P80" s="46">
        <f t="shared" si="60"/>
        <v>0</v>
      </c>
      <c r="Q80" s="46">
        <f t="shared" si="60"/>
        <v>333247</v>
      </c>
      <c r="R80" s="46">
        <f t="shared" si="60"/>
        <v>637095.66774638579</v>
      </c>
      <c r="S80" s="46">
        <f t="shared" si="60"/>
        <v>5707.1035440374972</v>
      </c>
      <c r="T80" s="46">
        <f t="shared" si="38"/>
        <v>508947.74956015009</v>
      </c>
      <c r="U80" s="46">
        <f t="shared" si="39"/>
        <v>1731961.4499520275</v>
      </c>
      <c r="V80" s="46">
        <f t="shared" si="40"/>
        <v>1774892.5012404083</v>
      </c>
    </row>
    <row r="81" spans="1:24" x14ac:dyDescent="0.3">
      <c r="A81" s="35" t="s">
        <v>66</v>
      </c>
      <c r="B81" s="57"/>
      <c r="C81" s="57"/>
      <c r="D81" s="57"/>
      <c r="E81" s="46">
        <f t="shared" si="34"/>
        <v>0</v>
      </c>
      <c r="F81" s="55"/>
      <c r="G81" s="55"/>
      <c r="H81" s="8"/>
      <c r="I81" s="8">
        <f t="shared" si="35"/>
        <v>42716.396031938908</v>
      </c>
      <c r="J81" s="46">
        <f t="shared" si="36"/>
        <v>42716.396031938908</v>
      </c>
      <c r="K81" s="46">
        <f t="shared" ref="K81:S81" si="61">$B$57*K25</f>
        <v>0</v>
      </c>
      <c r="L81" s="46">
        <f t="shared" si="61"/>
        <v>0</v>
      </c>
      <c r="M81" s="46">
        <f t="shared" si="61"/>
        <v>245095.04856530836</v>
      </c>
      <c r="N81" s="46">
        <f t="shared" si="61"/>
        <v>634.06089063845286</v>
      </c>
      <c r="O81" s="46">
        <f t="shared" si="61"/>
        <v>0</v>
      </c>
      <c r="P81" s="46">
        <f t="shared" si="61"/>
        <v>0</v>
      </c>
      <c r="Q81" s="46">
        <f t="shared" si="61"/>
        <v>333247</v>
      </c>
      <c r="R81" s="46">
        <f t="shared" si="61"/>
        <v>633910.18940765387</v>
      </c>
      <c r="S81" s="46">
        <f t="shared" si="61"/>
        <v>5678.5680263173099</v>
      </c>
      <c r="T81" s="46">
        <f t="shared" si="38"/>
        <v>534420.60989849595</v>
      </c>
      <c r="U81" s="46">
        <f t="shared" si="39"/>
        <v>1752985.4767884139</v>
      </c>
      <c r="V81" s="46">
        <f t="shared" si="40"/>
        <v>1795701.8728203529</v>
      </c>
    </row>
    <row r="82" spans="1:24" x14ac:dyDescent="0.3">
      <c r="A82" s="35" t="s">
        <v>67</v>
      </c>
      <c r="B82" s="57"/>
      <c r="C82" s="57"/>
      <c r="D82" s="57"/>
      <c r="E82" s="46">
        <f t="shared" si="34"/>
        <v>0</v>
      </c>
      <c r="F82" s="55"/>
      <c r="G82" s="55"/>
      <c r="H82" s="8"/>
      <c r="I82" s="8">
        <f t="shared" si="35"/>
        <v>42502.814051779213</v>
      </c>
      <c r="J82" s="46">
        <f t="shared" si="36"/>
        <v>42502.814051779213</v>
      </c>
      <c r="K82" s="46">
        <f t="shared" ref="K82:S82" si="62">$B$57*K26</f>
        <v>0</v>
      </c>
      <c r="L82" s="46">
        <f t="shared" si="62"/>
        <v>0</v>
      </c>
      <c r="M82" s="46">
        <f t="shared" si="62"/>
        <v>243869.5733224818</v>
      </c>
      <c r="N82" s="46">
        <f t="shared" si="62"/>
        <v>0</v>
      </c>
      <c r="O82" s="46">
        <f t="shared" si="62"/>
        <v>0</v>
      </c>
      <c r="P82" s="46">
        <f t="shared" si="62"/>
        <v>0</v>
      </c>
      <c r="Q82" s="46">
        <f t="shared" si="62"/>
        <v>333247</v>
      </c>
      <c r="R82" s="46">
        <f t="shared" si="62"/>
        <v>630740.63846061553</v>
      </c>
      <c r="S82" s="46">
        <f t="shared" si="62"/>
        <v>5650.1751861857238</v>
      </c>
      <c r="T82" s="46">
        <f t="shared" si="38"/>
        <v>559893.47023684182</v>
      </c>
      <c r="U82" s="46">
        <f t="shared" si="39"/>
        <v>1773400.8572061248</v>
      </c>
      <c r="V82" s="46">
        <f t="shared" si="40"/>
        <v>1815903.671257904</v>
      </c>
    </row>
    <row r="85" spans="1:24" x14ac:dyDescent="0.3">
      <c r="A85" s="35" t="s">
        <v>130</v>
      </c>
      <c r="B85" s="126">
        <v>2.3700000000000001E-3</v>
      </c>
    </row>
    <row r="86" spans="1:24" ht="28.8" x14ac:dyDescent="0.3">
      <c r="A86" s="29" t="s">
        <v>43</v>
      </c>
      <c r="B86" s="29" t="s">
        <v>133</v>
      </c>
      <c r="C86" s="29" t="s">
        <v>134</v>
      </c>
      <c r="D86" s="29" t="s">
        <v>135</v>
      </c>
      <c r="E86" s="61" t="s">
        <v>136</v>
      </c>
      <c r="F86" s="29" t="s">
        <v>118</v>
      </c>
      <c r="G86" s="29" t="s">
        <v>137</v>
      </c>
      <c r="H86" s="29" t="s">
        <v>138</v>
      </c>
      <c r="I86" s="208" t="s">
        <v>204</v>
      </c>
      <c r="J86" s="61" t="s">
        <v>139</v>
      </c>
      <c r="K86" s="29" t="s">
        <v>6</v>
      </c>
      <c r="L86" s="29" t="s">
        <v>12</v>
      </c>
      <c r="M86" s="181" t="s">
        <v>21</v>
      </c>
      <c r="N86" s="29" t="s">
        <v>25</v>
      </c>
      <c r="O86" s="181" t="s">
        <v>29</v>
      </c>
      <c r="P86" s="181" t="s">
        <v>33</v>
      </c>
      <c r="Q86" s="29" t="s">
        <v>40</v>
      </c>
      <c r="R86" s="29" t="s">
        <v>41</v>
      </c>
      <c r="S86" s="29" t="s">
        <v>42</v>
      </c>
      <c r="T86" s="181" t="s">
        <v>119</v>
      </c>
      <c r="U86" s="61" t="s">
        <v>140</v>
      </c>
      <c r="V86" s="61" t="s">
        <v>141</v>
      </c>
    </row>
    <row r="87" spans="1:24" x14ac:dyDescent="0.3">
      <c r="A87" s="29"/>
      <c r="B87" s="29"/>
      <c r="C87" s="29"/>
      <c r="D87" s="29"/>
      <c r="E87" s="61" t="s">
        <v>142</v>
      </c>
      <c r="F87" s="29"/>
      <c r="G87" s="29"/>
      <c r="H87" s="29"/>
      <c r="I87" s="29"/>
      <c r="J87" s="61" t="s">
        <v>143</v>
      </c>
      <c r="K87" s="29"/>
      <c r="L87" s="29"/>
      <c r="M87" s="29"/>
      <c r="N87" s="29"/>
      <c r="O87" s="29"/>
      <c r="P87" s="29"/>
      <c r="Q87" s="29"/>
      <c r="R87" s="29"/>
      <c r="S87" s="29"/>
      <c r="T87" s="29"/>
      <c r="U87" s="61"/>
      <c r="V87" s="61"/>
    </row>
    <row r="88" spans="1:24" x14ac:dyDescent="0.3">
      <c r="A88" s="35" t="s">
        <v>144</v>
      </c>
      <c r="B88" s="8">
        <v>432.59325600001927</v>
      </c>
      <c r="C88" s="8">
        <v>817.90675000000056</v>
      </c>
      <c r="D88" s="8">
        <v>293.20454999999998</v>
      </c>
      <c r="E88" s="46">
        <f t="shared" ref="E88:E110" si="63">SUM(B88:D88)</f>
        <v>1543.7045560000197</v>
      </c>
      <c r="F88" s="8"/>
      <c r="G88" s="8"/>
      <c r="H88" s="8">
        <v>2409</v>
      </c>
      <c r="I88" s="8">
        <f t="shared" ref="I88:I110" si="64">I4*$B$85</f>
        <v>138.10369200000002</v>
      </c>
      <c r="J88" s="46">
        <f t="shared" ref="J88:J110" si="65">SUM(F88:I88)</f>
        <v>2547.1036920000001</v>
      </c>
      <c r="K88" s="46">
        <f t="shared" ref="K88:S88" si="66">$B$85*K4</f>
        <v>0</v>
      </c>
      <c r="L88" s="46">
        <f t="shared" si="66"/>
        <v>0</v>
      </c>
      <c r="M88" s="46">
        <f t="shared" si="66"/>
        <v>0</v>
      </c>
      <c r="N88" s="46">
        <f t="shared" si="66"/>
        <v>0</v>
      </c>
      <c r="O88" s="46">
        <f t="shared" si="66"/>
        <v>0</v>
      </c>
      <c r="P88" s="46">
        <f t="shared" si="66"/>
        <v>0</v>
      </c>
      <c r="Q88" s="46">
        <f t="shared" si="66"/>
        <v>0</v>
      </c>
      <c r="R88" s="46">
        <f t="shared" si="66"/>
        <v>0</v>
      </c>
      <c r="S88" s="46">
        <f t="shared" si="66"/>
        <v>0</v>
      </c>
      <c r="T88" s="46">
        <f t="shared" ref="T88:T110" si="67">T4*$B$85</f>
        <v>0</v>
      </c>
      <c r="U88" s="46">
        <f t="shared" ref="U88:U110" si="68">SUM(K88:T88)</f>
        <v>0</v>
      </c>
      <c r="V88" s="46">
        <f t="shared" ref="V88:V110" si="69">E88+J88+U88</f>
        <v>4090.8082480000198</v>
      </c>
      <c r="X88" s="19"/>
    </row>
    <row r="89" spans="1:24" x14ac:dyDescent="0.3">
      <c r="A89" s="35" t="s">
        <v>145</v>
      </c>
      <c r="B89" s="8">
        <v>521.33111199998814</v>
      </c>
      <c r="C89" s="8">
        <v>3856.0666666666662</v>
      </c>
      <c r="D89" s="8">
        <v>969.38877600000001</v>
      </c>
      <c r="E89" s="46">
        <f t="shared" si="63"/>
        <v>5346.7865546666544</v>
      </c>
      <c r="F89" s="8"/>
      <c r="G89" s="8">
        <v>449</v>
      </c>
      <c r="H89" s="8">
        <v>9846.2922999999992</v>
      </c>
      <c r="I89" s="8">
        <f t="shared" si="64"/>
        <v>154.48023400000002</v>
      </c>
      <c r="J89" s="46">
        <f t="shared" si="65"/>
        <v>10449.772534</v>
      </c>
      <c r="K89" s="46">
        <f t="shared" ref="K89:S89" si="70">$B$85*K5</f>
        <v>0</v>
      </c>
      <c r="L89" s="46">
        <f t="shared" si="70"/>
        <v>0</v>
      </c>
      <c r="M89" s="46">
        <f t="shared" si="70"/>
        <v>0</v>
      </c>
      <c r="N89" s="46">
        <f t="shared" si="70"/>
        <v>0</v>
      </c>
      <c r="O89" s="46">
        <f t="shared" si="70"/>
        <v>0</v>
      </c>
      <c r="P89" s="46">
        <f t="shared" si="70"/>
        <v>0</v>
      </c>
      <c r="Q89" s="46">
        <f t="shared" si="70"/>
        <v>0</v>
      </c>
      <c r="R89" s="46">
        <f t="shared" si="70"/>
        <v>0</v>
      </c>
      <c r="S89" s="46">
        <f t="shared" si="70"/>
        <v>0</v>
      </c>
      <c r="T89" s="46">
        <f t="shared" si="67"/>
        <v>0</v>
      </c>
      <c r="U89" s="46">
        <f t="shared" si="68"/>
        <v>0</v>
      </c>
      <c r="V89" s="46">
        <f t="shared" si="69"/>
        <v>15796.559088666654</v>
      </c>
      <c r="X89" s="19"/>
    </row>
    <row r="90" spans="1:24" x14ac:dyDescent="0.3">
      <c r="A90" s="35" t="s">
        <v>146</v>
      </c>
      <c r="B90" s="8">
        <v>587.44732273997477</v>
      </c>
      <c r="C90" s="8">
        <v>4356.0666666666657</v>
      </c>
      <c r="D90" s="8">
        <v>979.65765578004539</v>
      </c>
      <c r="E90" s="46">
        <f t="shared" si="63"/>
        <v>5923.171645186686</v>
      </c>
      <c r="F90" s="8"/>
      <c r="G90" s="8"/>
      <c r="H90" s="8">
        <v>15085.292299999999</v>
      </c>
      <c r="I90" s="8">
        <f t="shared" si="64"/>
        <v>153.70783283000003</v>
      </c>
      <c r="J90" s="46">
        <f t="shared" si="65"/>
        <v>15239.000132829999</v>
      </c>
      <c r="K90" s="46">
        <f t="shared" ref="K90:S90" si="71">$B$85*K6</f>
        <v>335.05812346566239</v>
      </c>
      <c r="L90" s="46">
        <f t="shared" si="71"/>
        <v>304.77203296591028</v>
      </c>
      <c r="M90" s="46">
        <f t="shared" si="71"/>
        <v>0</v>
      </c>
      <c r="N90" s="46">
        <f t="shared" si="71"/>
        <v>2.2815624546</v>
      </c>
      <c r="O90" s="46">
        <f t="shared" si="71"/>
        <v>0</v>
      </c>
      <c r="P90" s="46">
        <f t="shared" si="71"/>
        <v>0</v>
      </c>
      <c r="Q90" s="46">
        <f t="shared" si="71"/>
        <v>0</v>
      </c>
      <c r="R90" s="46">
        <f t="shared" si="71"/>
        <v>0</v>
      </c>
      <c r="S90" s="46">
        <f t="shared" si="71"/>
        <v>0</v>
      </c>
      <c r="T90" s="46">
        <f t="shared" si="67"/>
        <v>0</v>
      </c>
      <c r="U90" s="46">
        <f t="shared" si="68"/>
        <v>642.11171888617275</v>
      </c>
      <c r="V90" s="46">
        <f t="shared" si="69"/>
        <v>21804.283496902855</v>
      </c>
      <c r="X90" s="19"/>
    </row>
    <row r="91" spans="1:24" x14ac:dyDescent="0.3">
      <c r="A91" s="35" t="s">
        <v>147</v>
      </c>
      <c r="B91" s="8">
        <v>649.03771862742838</v>
      </c>
      <c r="C91" s="8">
        <v>3857.0666666666662</v>
      </c>
      <c r="D91" s="8">
        <v>1045.43408041</v>
      </c>
      <c r="E91" s="46">
        <f t="shared" si="63"/>
        <v>5551.538465704095</v>
      </c>
      <c r="F91" s="8"/>
      <c r="G91" s="55"/>
      <c r="H91" s="8">
        <v>15085.292299999999</v>
      </c>
      <c r="I91" s="8">
        <f t="shared" si="64"/>
        <v>152.93929366585004</v>
      </c>
      <c r="J91" s="46">
        <f t="shared" si="65"/>
        <v>15238.231593665849</v>
      </c>
      <c r="K91" s="46">
        <f t="shared" ref="K91:S91" si="72">$B$85*K7</f>
        <v>333.38283284833409</v>
      </c>
      <c r="L91" s="46">
        <f t="shared" si="72"/>
        <v>303.24817280108073</v>
      </c>
      <c r="M91" s="46">
        <f t="shared" si="72"/>
        <v>877.52402100000006</v>
      </c>
      <c r="N91" s="46">
        <f t="shared" si="72"/>
        <v>2.2701546423269998</v>
      </c>
      <c r="O91" s="46">
        <f t="shared" si="72"/>
        <v>10.530288252</v>
      </c>
      <c r="P91" s="46">
        <f t="shared" si="72"/>
        <v>0</v>
      </c>
      <c r="Q91" s="46">
        <f t="shared" si="72"/>
        <v>0</v>
      </c>
      <c r="R91" s="46">
        <f t="shared" si="72"/>
        <v>0</v>
      </c>
      <c r="S91" s="46">
        <f t="shared" si="72"/>
        <v>0</v>
      </c>
      <c r="T91" s="46">
        <f t="shared" si="67"/>
        <v>111.39</v>
      </c>
      <c r="U91" s="46">
        <f t="shared" si="68"/>
        <v>1638.3454695437422</v>
      </c>
      <c r="V91" s="46">
        <f t="shared" si="69"/>
        <v>22428.115528913688</v>
      </c>
      <c r="X91" s="19"/>
    </row>
    <row r="92" spans="1:24" x14ac:dyDescent="0.3">
      <c r="A92" s="35" t="s">
        <v>148</v>
      </c>
      <c r="B92" s="8">
        <v>642.18433382799128</v>
      </c>
      <c r="C92" s="8">
        <v>3756.0666666666662</v>
      </c>
      <c r="D92" s="8">
        <v>1040.20691000795</v>
      </c>
      <c r="E92" s="46">
        <f t="shared" si="63"/>
        <v>5438.4579105026069</v>
      </c>
      <c r="F92" s="8"/>
      <c r="G92" s="55"/>
      <c r="H92" s="8">
        <v>15085.292299999999</v>
      </c>
      <c r="I92" s="8">
        <f t="shared" si="64"/>
        <v>152.1745971975208</v>
      </c>
      <c r="J92" s="46">
        <f t="shared" si="65"/>
        <v>15237.466897197521</v>
      </c>
      <c r="K92" s="46">
        <f t="shared" ref="K92:S92" si="73">$B$85*K8</f>
        <v>331.71591868409246</v>
      </c>
      <c r="L92" s="46">
        <f t="shared" si="73"/>
        <v>301.73193193707533</v>
      </c>
      <c r="M92" s="46">
        <f t="shared" si="73"/>
        <v>873.13640089499995</v>
      </c>
      <c r="N92" s="46">
        <f t="shared" si="73"/>
        <v>2.2588038691153649</v>
      </c>
      <c r="O92" s="46">
        <f t="shared" si="73"/>
        <v>10.47763681074</v>
      </c>
      <c r="P92" s="46">
        <f t="shared" si="73"/>
        <v>0</v>
      </c>
      <c r="Q92" s="46">
        <f t="shared" si="73"/>
        <v>0</v>
      </c>
      <c r="R92" s="46">
        <f t="shared" si="73"/>
        <v>0</v>
      </c>
      <c r="S92" s="46">
        <f t="shared" si="73"/>
        <v>0</v>
      </c>
      <c r="T92" s="46">
        <f t="shared" si="67"/>
        <v>221.6661</v>
      </c>
      <c r="U92" s="46">
        <f t="shared" si="68"/>
        <v>1740.9867921960231</v>
      </c>
      <c r="V92" s="46">
        <f t="shared" si="69"/>
        <v>22416.91159989615</v>
      </c>
      <c r="X92" s="19"/>
    </row>
    <row r="93" spans="1:24" x14ac:dyDescent="0.3">
      <c r="A93" s="35" t="s">
        <v>149</v>
      </c>
      <c r="B93" s="8">
        <v>635.34109132755179</v>
      </c>
      <c r="C93" s="8">
        <v>3656.0666666666662</v>
      </c>
      <c r="D93" s="8">
        <v>1035.0058754579102</v>
      </c>
      <c r="E93" s="46">
        <f t="shared" si="63"/>
        <v>5326.4136334521281</v>
      </c>
      <c r="F93" s="8"/>
      <c r="G93" s="55"/>
      <c r="H93" s="8">
        <v>15085.292299999999</v>
      </c>
      <c r="I93" s="8">
        <f t="shared" si="64"/>
        <v>151.41372421153318</v>
      </c>
      <c r="J93" s="46">
        <f t="shared" si="65"/>
        <v>15236.706024211533</v>
      </c>
      <c r="K93" s="46">
        <f t="shared" ref="K93:S93" si="74">$B$85*K9</f>
        <v>330.05733909067197</v>
      </c>
      <c r="L93" s="46">
        <f t="shared" si="74"/>
        <v>300.22327227738992</v>
      </c>
      <c r="M93" s="46">
        <f t="shared" si="74"/>
        <v>868.77071889052502</v>
      </c>
      <c r="N93" s="46">
        <f t="shared" si="74"/>
        <v>2.2475098497697878</v>
      </c>
      <c r="O93" s="46">
        <f t="shared" si="74"/>
        <v>10.425248626686301</v>
      </c>
      <c r="P93" s="46">
        <f t="shared" si="74"/>
        <v>0</v>
      </c>
      <c r="Q93" s="46">
        <f t="shared" si="74"/>
        <v>1090.2</v>
      </c>
      <c r="R93" s="46">
        <f t="shared" si="74"/>
        <v>2246.9756700000003</v>
      </c>
      <c r="S93" s="46">
        <f t="shared" si="74"/>
        <v>20.128410000000002</v>
      </c>
      <c r="T93" s="46">
        <f t="shared" si="67"/>
        <v>332.49915000000004</v>
      </c>
      <c r="U93" s="46">
        <f t="shared" si="68"/>
        <v>5201.5273187350431</v>
      </c>
      <c r="V93" s="46">
        <f t="shared" si="69"/>
        <v>25764.646976398704</v>
      </c>
      <c r="X93" s="19"/>
    </row>
    <row r="94" spans="1:24" x14ac:dyDescent="0.3">
      <c r="A94" s="35" t="s">
        <v>150</v>
      </c>
      <c r="B94" s="8">
        <v>628.50743086461375</v>
      </c>
      <c r="C94" s="8">
        <v>3556.0666666666662</v>
      </c>
      <c r="D94" s="8">
        <v>1029.8308460806206</v>
      </c>
      <c r="E94" s="46">
        <f t="shared" si="63"/>
        <v>5214.4049436119003</v>
      </c>
      <c r="F94" s="8"/>
      <c r="G94" s="55"/>
      <c r="H94" s="8">
        <v>15085.292299999999</v>
      </c>
      <c r="I94" s="8">
        <f t="shared" si="64"/>
        <v>150.65665559047551</v>
      </c>
      <c r="J94" s="46">
        <f t="shared" si="65"/>
        <v>15235.948955590475</v>
      </c>
      <c r="K94" s="46">
        <f t="shared" ref="K94:S94" si="75">$B$85*K10</f>
        <v>328.40705239521861</v>
      </c>
      <c r="L94" s="46">
        <f t="shared" si="75"/>
        <v>298.72215591600298</v>
      </c>
      <c r="M94" s="46">
        <f t="shared" si="75"/>
        <v>864.42686529607238</v>
      </c>
      <c r="N94" s="46">
        <f t="shared" si="75"/>
        <v>2.2362723005209393</v>
      </c>
      <c r="O94" s="46">
        <f t="shared" si="75"/>
        <v>10.37312238355287</v>
      </c>
      <c r="P94" s="46">
        <f t="shared" si="75"/>
        <v>0</v>
      </c>
      <c r="Q94" s="46">
        <f t="shared" si="75"/>
        <v>1090.2</v>
      </c>
      <c r="R94" s="46">
        <f t="shared" si="75"/>
        <v>2235.7407916500001</v>
      </c>
      <c r="S94" s="46">
        <f t="shared" si="75"/>
        <v>20.027767950000001</v>
      </c>
      <c r="T94" s="46">
        <f t="shared" si="67"/>
        <v>443.3322</v>
      </c>
      <c r="U94" s="46">
        <f t="shared" si="68"/>
        <v>5293.4662278913684</v>
      </c>
      <c r="V94" s="46">
        <f t="shared" si="69"/>
        <v>25743.820127093742</v>
      </c>
      <c r="X94" s="19"/>
    </row>
    <row r="95" spans="1:24" x14ac:dyDescent="0.3">
      <c r="A95" s="35" t="s">
        <v>151</v>
      </c>
      <c r="B95" s="8">
        <v>621.72188022898933</v>
      </c>
      <c r="C95" s="8">
        <v>2856.0666666666662</v>
      </c>
      <c r="D95" s="8">
        <v>1024.6816918502175</v>
      </c>
      <c r="E95" s="46">
        <f t="shared" si="63"/>
        <v>4502.4702387458728</v>
      </c>
      <c r="F95" s="8"/>
      <c r="G95" s="55"/>
      <c r="H95" s="8">
        <v>15085.292299999999</v>
      </c>
      <c r="I95" s="8">
        <f t="shared" si="64"/>
        <v>149.90337231252315</v>
      </c>
      <c r="J95" s="46">
        <f t="shared" si="65"/>
        <v>15235.195672312522</v>
      </c>
      <c r="K95" s="46">
        <f t="shared" ref="K95:S95" si="76">$B$85*K11</f>
        <v>326.76501713324257</v>
      </c>
      <c r="L95" s="46">
        <f t="shared" si="76"/>
        <v>297.22854513642295</v>
      </c>
      <c r="M95" s="46">
        <f t="shared" si="76"/>
        <v>860.10473096959197</v>
      </c>
      <c r="N95" s="46">
        <f t="shared" si="76"/>
        <v>2.2250909390183344</v>
      </c>
      <c r="O95" s="46">
        <f t="shared" si="76"/>
        <v>10.321256771635104</v>
      </c>
      <c r="P95" s="46">
        <f t="shared" si="76"/>
        <v>0</v>
      </c>
      <c r="Q95" s="46">
        <f t="shared" si="76"/>
        <v>1090.2</v>
      </c>
      <c r="R95" s="46">
        <f t="shared" si="76"/>
        <v>2224.5620876917501</v>
      </c>
      <c r="S95" s="46">
        <f t="shared" si="76"/>
        <v>19.927629110250002</v>
      </c>
      <c r="T95" s="46">
        <f t="shared" si="67"/>
        <v>554.16525000000001</v>
      </c>
      <c r="U95" s="46">
        <f t="shared" si="68"/>
        <v>5385.4996077519108</v>
      </c>
      <c r="V95" s="46">
        <f t="shared" si="69"/>
        <v>25123.165518810303</v>
      </c>
      <c r="X95" s="19"/>
    </row>
    <row r="96" spans="1:24" x14ac:dyDescent="0.3">
      <c r="A96" s="35" t="s">
        <v>152</v>
      </c>
      <c r="B96" s="8">
        <v>619.01465812154595</v>
      </c>
      <c r="C96" s="8">
        <v>2666.0666666657348</v>
      </c>
      <c r="D96" s="8">
        <v>1019.5582833909664</v>
      </c>
      <c r="E96" s="46">
        <f t="shared" si="63"/>
        <v>4304.6396081782468</v>
      </c>
      <c r="F96" s="8"/>
      <c r="G96" s="55"/>
      <c r="H96" s="8">
        <v>15085.292299999999</v>
      </c>
      <c r="I96" s="8">
        <f t="shared" si="64"/>
        <v>149.15385545096052</v>
      </c>
      <c r="J96" s="46">
        <f t="shared" si="65"/>
        <v>15234.44615545096</v>
      </c>
      <c r="K96" s="46">
        <f t="shared" ref="K96:S96" si="77">$B$85*K12</f>
        <v>325.13119204757629</v>
      </c>
      <c r="L96" s="46">
        <f t="shared" si="77"/>
        <v>295.74240241074085</v>
      </c>
      <c r="M96" s="46">
        <f t="shared" si="77"/>
        <v>855.80420731474396</v>
      </c>
      <c r="N96" s="46">
        <f t="shared" si="77"/>
        <v>2.2139654843232424</v>
      </c>
      <c r="O96" s="46">
        <f t="shared" si="77"/>
        <v>10.269650487776929</v>
      </c>
      <c r="P96" s="46">
        <f t="shared" si="77"/>
        <v>0</v>
      </c>
      <c r="Q96" s="46">
        <f t="shared" si="77"/>
        <v>1090.2</v>
      </c>
      <c r="R96" s="46">
        <f t="shared" si="77"/>
        <v>2213.4392772532915</v>
      </c>
      <c r="S96" s="46">
        <f t="shared" si="77"/>
        <v>19.827990964698753</v>
      </c>
      <c r="T96" s="46">
        <f t="shared" si="67"/>
        <v>664.99830000000009</v>
      </c>
      <c r="U96" s="46">
        <f t="shared" si="68"/>
        <v>5477.6269859631529</v>
      </c>
      <c r="V96" s="46">
        <f t="shared" si="69"/>
        <v>25016.71274959236</v>
      </c>
      <c r="X96" s="19"/>
    </row>
    <row r="97" spans="1:24" x14ac:dyDescent="0.3">
      <c r="A97" s="35" t="s">
        <v>153</v>
      </c>
      <c r="B97" s="8">
        <v>617.70196937463595</v>
      </c>
      <c r="C97" s="8">
        <v>2271.0666666666662</v>
      </c>
      <c r="D97" s="8">
        <v>1014.4604919740115</v>
      </c>
      <c r="E97" s="46">
        <f t="shared" si="63"/>
        <v>3903.2291280153136</v>
      </c>
      <c r="F97" s="8"/>
      <c r="G97" s="55"/>
      <c r="H97" s="8">
        <v>15085.292299999999</v>
      </c>
      <c r="I97" s="8">
        <f t="shared" si="64"/>
        <v>148.40808617370573</v>
      </c>
      <c r="J97" s="46">
        <f t="shared" si="65"/>
        <v>15233.700386173705</v>
      </c>
      <c r="K97" s="46">
        <f t="shared" ref="K97:S97" si="78">$B$85*K13</f>
        <v>323.50553608733844</v>
      </c>
      <c r="L97" s="46">
        <f t="shared" si="78"/>
        <v>294.26369039868717</v>
      </c>
      <c r="M97" s="46">
        <f t="shared" si="78"/>
        <v>851.52518627817039</v>
      </c>
      <c r="N97" s="46">
        <f t="shared" si="78"/>
        <v>2.2028956569016263</v>
      </c>
      <c r="O97" s="46">
        <f t="shared" si="78"/>
        <v>10.218302235338044</v>
      </c>
      <c r="P97" s="46">
        <f t="shared" si="78"/>
        <v>0</v>
      </c>
      <c r="Q97" s="46">
        <f t="shared" si="78"/>
        <v>1090.2</v>
      </c>
      <c r="R97" s="46">
        <f t="shared" si="78"/>
        <v>2202.372080867025</v>
      </c>
      <c r="S97" s="46">
        <f t="shared" si="78"/>
        <v>19.728851009875257</v>
      </c>
      <c r="T97" s="46">
        <f t="shared" si="67"/>
        <v>748.33142030075192</v>
      </c>
      <c r="U97" s="46">
        <f t="shared" si="68"/>
        <v>5542.3479628340883</v>
      </c>
      <c r="V97" s="46">
        <f t="shared" si="69"/>
        <v>24679.277477023104</v>
      </c>
      <c r="X97" s="19"/>
    </row>
    <row r="98" spans="1:24" x14ac:dyDescent="0.3">
      <c r="A98" s="35" t="s">
        <v>154</v>
      </c>
      <c r="B98" s="8">
        <v>616.38324312146494</v>
      </c>
      <c r="C98" s="8">
        <v>2176.0666666666662</v>
      </c>
      <c r="D98" s="8">
        <v>1009.3881895141413</v>
      </c>
      <c r="E98" s="46">
        <f t="shared" si="63"/>
        <v>3801.8380993022724</v>
      </c>
      <c r="F98" s="8"/>
      <c r="G98" s="55"/>
      <c r="H98" s="8">
        <v>15085.292299999999</v>
      </c>
      <c r="I98" s="8">
        <f t="shared" si="64"/>
        <v>147.66604574283721</v>
      </c>
      <c r="J98" s="46">
        <f t="shared" si="65"/>
        <v>15232.958345742836</v>
      </c>
      <c r="K98" s="46">
        <f t="shared" ref="K98:S98" si="79">$B$85*K14</f>
        <v>321.8880084069018</v>
      </c>
      <c r="L98" s="46">
        <f t="shared" si="79"/>
        <v>292.79237194669372</v>
      </c>
      <c r="M98" s="46">
        <f t="shared" si="79"/>
        <v>847.26756034677942</v>
      </c>
      <c r="N98" s="46">
        <f t="shared" si="79"/>
        <v>2.191881178617118</v>
      </c>
      <c r="O98" s="46">
        <f t="shared" si="79"/>
        <v>10.167210724161354</v>
      </c>
      <c r="P98" s="46">
        <f t="shared" si="79"/>
        <v>0</v>
      </c>
      <c r="Q98" s="46">
        <f t="shared" si="79"/>
        <v>1090.2</v>
      </c>
      <c r="R98" s="46">
        <f t="shared" si="79"/>
        <v>2191.3602204626895</v>
      </c>
      <c r="S98" s="46">
        <f t="shared" si="79"/>
        <v>19.630206754825881</v>
      </c>
      <c r="T98" s="46">
        <f t="shared" si="67"/>
        <v>831.66454060150375</v>
      </c>
      <c r="U98" s="46">
        <f t="shared" si="68"/>
        <v>5607.1620004221732</v>
      </c>
      <c r="V98" s="46">
        <f t="shared" si="69"/>
        <v>24641.95844546728</v>
      </c>
      <c r="X98" s="19"/>
    </row>
    <row r="99" spans="1:24" x14ac:dyDescent="0.3">
      <c r="A99" s="35" t="s">
        <v>155</v>
      </c>
      <c r="B99" s="8">
        <v>614.32422873999337</v>
      </c>
      <c r="C99" s="8">
        <v>3856.0666666666662</v>
      </c>
      <c r="D99" s="8">
        <v>1004.3412485665706</v>
      </c>
      <c r="E99" s="46">
        <f t="shared" si="63"/>
        <v>5474.7321439732295</v>
      </c>
      <c r="F99" s="8"/>
      <c r="G99" s="55"/>
      <c r="H99" s="8">
        <v>15085.292299999999</v>
      </c>
      <c r="I99" s="8">
        <f t="shared" si="64"/>
        <v>146.92771551412304</v>
      </c>
      <c r="J99" s="46">
        <f t="shared" si="65"/>
        <v>15232.220015514122</v>
      </c>
      <c r="K99" s="46">
        <f t="shared" ref="K99:S99" si="80">$B$85*K15</f>
        <v>320.27856836486723</v>
      </c>
      <c r="L99" s="46">
        <f t="shared" si="80"/>
        <v>291.32841008696022</v>
      </c>
      <c r="M99" s="46">
        <f t="shared" si="80"/>
        <v>843.03122254504558</v>
      </c>
      <c r="N99" s="46">
        <f t="shared" si="80"/>
        <v>2.1809217727240329</v>
      </c>
      <c r="O99" s="46">
        <f t="shared" si="80"/>
        <v>10.116374670540546</v>
      </c>
      <c r="P99" s="46">
        <f t="shared" si="80"/>
        <v>0</v>
      </c>
      <c r="Q99" s="46">
        <f t="shared" si="80"/>
        <v>1090.2</v>
      </c>
      <c r="R99" s="46">
        <f t="shared" si="80"/>
        <v>2180.4034193603761</v>
      </c>
      <c r="S99" s="46">
        <f t="shared" si="80"/>
        <v>19.532055721051751</v>
      </c>
      <c r="T99" s="46">
        <f t="shared" si="67"/>
        <v>914.99766090225535</v>
      </c>
      <c r="U99" s="46">
        <f t="shared" si="68"/>
        <v>5672.0686334238198</v>
      </c>
      <c r="V99" s="46">
        <f t="shared" si="69"/>
        <v>26379.020792911171</v>
      </c>
    </row>
    <row r="100" spans="1:24" x14ac:dyDescent="0.3">
      <c r="A100" s="35" t="s">
        <v>156</v>
      </c>
      <c r="B100" s="8">
        <v>613.13922873999456</v>
      </c>
      <c r="C100" s="8">
        <v>3856.0666666666662</v>
      </c>
      <c r="D100" s="8">
        <v>999.31954232373766</v>
      </c>
      <c r="E100" s="46">
        <f t="shared" si="63"/>
        <v>5468.5254377303982</v>
      </c>
      <c r="F100" s="55"/>
      <c r="G100" s="55"/>
      <c r="H100" s="8">
        <v>15085.292299999999</v>
      </c>
      <c r="I100" s="8">
        <f t="shared" si="64"/>
        <v>146.19307693655242</v>
      </c>
      <c r="J100" s="46">
        <f t="shared" si="65"/>
        <v>15231.485376936551</v>
      </c>
      <c r="K100" s="46">
        <f t="shared" ref="K100:S100" si="81">$B$85*K16</f>
        <v>318.67717552304293</v>
      </c>
      <c r="L100" s="46">
        <f t="shared" si="81"/>
        <v>289.87176803652545</v>
      </c>
      <c r="M100" s="46">
        <f t="shared" si="81"/>
        <v>838.81606643232033</v>
      </c>
      <c r="N100" s="46">
        <f t="shared" si="81"/>
        <v>2.1700171638604129</v>
      </c>
      <c r="O100" s="46">
        <f t="shared" si="81"/>
        <v>10.065792797187843</v>
      </c>
      <c r="P100" s="46">
        <f t="shared" si="81"/>
        <v>0</v>
      </c>
      <c r="Q100" s="46">
        <f t="shared" si="81"/>
        <v>1090.2</v>
      </c>
      <c r="R100" s="46">
        <f t="shared" si="81"/>
        <v>2169.5014022635742</v>
      </c>
      <c r="S100" s="46">
        <f t="shared" si="81"/>
        <v>19.434395442446494</v>
      </c>
      <c r="T100" s="46">
        <f t="shared" si="67"/>
        <v>998.33078120300718</v>
      </c>
      <c r="U100" s="46">
        <f t="shared" si="68"/>
        <v>5737.0673988619646</v>
      </c>
      <c r="V100" s="46">
        <f t="shared" si="69"/>
        <v>26437.078213528912</v>
      </c>
    </row>
    <row r="101" spans="1:24" x14ac:dyDescent="0.3">
      <c r="A101" s="35" t="s">
        <v>157</v>
      </c>
      <c r="B101" s="8">
        <v>612.38351473999296</v>
      </c>
      <c r="C101" s="8">
        <v>3856.0666666666662</v>
      </c>
      <c r="D101" s="8">
        <v>994.32294461211904</v>
      </c>
      <c r="E101" s="46">
        <f t="shared" si="63"/>
        <v>5462.7731260187775</v>
      </c>
      <c r="F101" s="55"/>
      <c r="G101" s="55"/>
      <c r="H101" s="8">
        <v>13666.292299999999</v>
      </c>
      <c r="I101" s="8">
        <f t="shared" si="64"/>
        <v>145.46211155186964</v>
      </c>
      <c r="J101" s="46">
        <f t="shared" si="65"/>
        <v>13811.754411551869</v>
      </c>
      <c r="K101" s="46">
        <f t="shared" ref="K101:S101" si="82">$B$85*K17</f>
        <v>317.08378964542766</v>
      </c>
      <c r="L101" s="46">
        <f t="shared" si="82"/>
        <v>288.42240919634281</v>
      </c>
      <c r="M101" s="46">
        <f t="shared" si="82"/>
        <v>834.62198610015867</v>
      </c>
      <c r="N101" s="46">
        <f t="shared" si="82"/>
        <v>2.1591670780411105</v>
      </c>
      <c r="O101" s="46">
        <f t="shared" si="82"/>
        <v>10.015463833201904</v>
      </c>
      <c r="P101" s="46">
        <f t="shared" si="82"/>
        <v>0</v>
      </c>
      <c r="Q101" s="46">
        <f t="shared" si="82"/>
        <v>1090.2</v>
      </c>
      <c r="R101" s="46">
        <f t="shared" si="82"/>
        <v>2158.6538952522565</v>
      </c>
      <c r="S101" s="46">
        <f t="shared" si="82"/>
        <v>19.33722346523426</v>
      </c>
      <c r="T101" s="46">
        <f t="shared" si="67"/>
        <v>1081.663901503759</v>
      </c>
      <c r="U101" s="46">
        <f t="shared" si="68"/>
        <v>5802.1578360744215</v>
      </c>
      <c r="V101" s="46">
        <f t="shared" si="69"/>
        <v>25076.685373645068</v>
      </c>
    </row>
    <row r="102" spans="1:24" x14ac:dyDescent="0.3">
      <c r="A102" s="35" t="s">
        <v>158</v>
      </c>
      <c r="B102" s="8">
        <v>476.23191273999555</v>
      </c>
      <c r="C102" s="8">
        <v>3856.0666666666662</v>
      </c>
      <c r="D102" s="8">
        <v>989.35132988905855</v>
      </c>
      <c r="E102" s="46">
        <f t="shared" si="63"/>
        <v>5321.6499092957201</v>
      </c>
      <c r="F102" s="55"/>
      <c r="G102" s="55"/>
      <c r="H102" s="8">
        <v>13666.292299999999</v>
      </c>
      <c r="I102" s="8">
        <f t="shared" si="64"/>
        <v>144.73480099411029</v>
      </c>
      <c r="J102" s="46">
        <f t="shared" si="65"/>
        <v>13811.02710099411</v>
      </c>
      <c r="K102" s="46">
        <f t="shared" ref="K102:S102" si="83">$B$85*K18</f>
        <v>315.49837069720053</v>
      </c>
      <c r="L102" s="46">
        <f t="shared" si="83"/>
        <v>286.98029715036114</v>
      </c>
      <c r="M102" s="46">
        <f t="shared" si="83"/>
        <v>830.44887616965786</v>
      </c>
      <c r="N102" s="46">
        <f t="shared" si="83"/>
        <v>2.1483712426509052</v>
      </c>
      <c r="O102" s="46">
        <f t="shared" si="83"/>
        <v>9.9653865140358953</v>
      </c>
      <c r="P102" s="46">
        <f t="shared" si="83"/>
        <v>0</v>
      </c>
      <c r="Q102" s="46">
        <f t="shared" si="83"/>
        <v>1090.2</v>
      </c>
      <c r="R102" s="46">
        <f t="shared" si="83"/>
        <v>2147.8606257759952</v>
      </c>
      <c r="S102" s="46">
        <f t="shared" si="83"/>
        <v>19.240537347908088</v>
      </c>
      <c r="T102" s="46">
        <f t="shared" si="67"/>
        <v>1164.997021804511</v>
      </c>
      <c r="U102" s="46">
        <f t="shared" si="68"/>
        <v>5867.3394867023208</v>
      </c>
      <c r="V102" s="46">
        <f t="shared" si="69"/>
        <v>25000.01649699215</v>
      </c>
    </row>
    <row r="103" spans="1:24" x14ac:dyDescent="0.3">
      <c r="A103" s="35" t="s">
        <v>159</v>
      </c>
      <c r="B103" s="8">
        <v>185.78746473999419</v>
      </c>
      <c r="C103" s="8">
        <v>3568.3333333333335</v>
      </c>
      <c r="D103" s="8">
        <v>757.48296799999969</v>
      </c>
      <c r="E103" s="46">
        <f t="shared" si="63"/>
        <v>4511.6037660733273</v>
      </c>
      <c r="F103" s="55"/>
      <c r="G103" s="55"/>
      <c r="H103" s="8">
        <v>12676.292299999999</v>
      </c>
      <c r="I103" s="8">
        <f t="shared" si="64"/>
        <v>144.01112698913974</v>
      </c>
      <c r="J103" s="46">
        <f t="shared" si="65"/>
        <v>12820.30342698914</v>
      </c>
      <c r="K103" s="46">
        <f t="shared" ref="K103:S103" si="84">$B$85*K19</f>
        <v>313.92087884371455</v>
      </c>
      <c r="L103" s="46">
        <f t="shared" si="84"/>
        <v>285.54539566460926</v>
      </c>
      <c r="M103" s="46">
        <f t="shared" si="84"/>
        <v>826.29663178880958</v>
      </c>
      <c r="N103" s="46">
        <f t="shared" si="84"/>
        <v>2.1376293864376503</v>
      </c>
      <c r="O103" s="46">
        <f t="shared" si="84"/>
        <v>9.9155595814657165</v>
      </c>
      <c r="P103" s="46">
        <f t="shared" si="84"/>
        <v>0</v>
      </c>
      <c r="Q103" s="46">
        <f t="shared" si="84"/>
        <v>1090.2</v>
      </c>
      <c r="R103" s="46">
        <f t="shared" si="84"/>
        <v>2137.121322647115</v>
      </c>
      <c r="S103" s="46">
        <f t="shared" si="84"/>
        <v>19.14433466116855</v>
      </c>
      <c r="T103" s="46">
        <f t="shared" si="67"/>
        <v>1248.3301421052627</v>
      </c>
      <c r="U103" s="46">
        <f t="shared" si="68"/>
        <v>5932.6118946785837</v>
      </c>
      <c r="V103" s="46">
        <f t="shared" si="69"/>
        <v>23264.51908774105</v>
      </c>
    </row>
    <row r="104" spans="1:24" x14ac:dyDescent="0.3">
      <c r="A104" s="35" t="s">
        <v>61</v>
      </c>
      <c r="B104" s="8">
        <v>97.464516739994323</v>
      </c>
      <c r="C104" s="8"/>
      <c r="D104" s="8">
        <v>81.298742000000018</v>
      </c>
      <c r="E104" s="46">
        <f t="shared" si="63"/>
        <v>178.76325873999434</v>
      </c>
      <c r="F104" s="55"/>
      <c r="G104" s="55"/>
      <c r="H104" s="55"/>
      <c r="I104" s="8">
        <f t="shared" si="64"/>
        <v>143.29107135419406</v>
      </c>
      <c r="J104" s="46">
        <f t="shared" si="65"/>
        <v>143.29107135419406</v>
      </c>
      <c r="K104" s="46">
        <f t="shared" ref="K104:S104" si="85">$B$85*K20</f>
        <v>312.35127444949597</v>
      </c>
      <c r="L104" s="46">
        <f t="shared" si="85"/>
        <v>284.11766868628621</v>
      </c>
      <c r="M104" s="46">
        <f t="shared" si="85"/>
        <v>822.16514862986548</v>
      </c>
      <c r="N104" s="46">
        <f t="shared" si="85"/>
        <v>2.1269412395054625</v>
      </c>
      <c r="O104" s="46">
        <f t="shared" si="85"/>
        <v>9.8659817835583876</v>
      </c>
      <c r="P104" s="46">
        <f t="shared" si="85"/>
        <v>0</v>
      </c>
      <c r="Q104" s="46">
        <f t="shared" si="85"/>
        <v>1090.2</v>
      </c>
      <c r="R104" s="46">
        <f t="shared" si="85"/>
        <v>2126.4357160338795</v>
      </c>
      <c r="S104" s="46">
        <f t="shared" si="85"/>
        <v>19.048612987862708</v>
      </c>
      <c r="T104" s="46">
        <f t="shared" si="67"/>
        <v>1331.6632624060144</v>
      </c>
      <c r="U104" s="46">
        <f t="shared" si="68"/>
        <v>5997.9746062164686</v>
      </c>
      <c r="V104" s="46">
        <f t="shared" si="69"/>
        <v>6320.0289363106567</v>
      </c>
    </row>
    <row r="105" spans="1:24" x14ac:dyDescent="0.3">
      <c r="A105" s="35" t="s">
        <v>62</v>
      </c>
      <c r="B105" s="8">
        <v>154.260456</v>
      </c>
      <c r="C105" s="57"/>
      <c r="D105" s="8">
        <v>0</v>
      </c>
      <c r="E105" s="46">
        <f t="shared" si="63"/>
        <v>154.260456</v>
      </c>
      <c r="F105" s="55"/>
      <c r="G105" s="55"/>
      <c r="H105" s="55"/>
      <c r="I105" s="8">
        <f t="shared" si="64"/>
        <v>142.57461599742308</v>
      </c>
      <c r="J105" s="46">
        <f t="shared" si="65"/>
        <v>142.57461599742308</v>
      </c>
      <c r="K105" s="46">
        <f t="shared" ref="K105:S105" si="86">$B$85*K21</f>
        <v>0</v>
      </c>
      <c r="L105" s="46">
        <f t="shared" si="86"/>
        <v>0</v>
      </c>
      <c r="M105" s="46">
        <f t="shared" si="86"/>
        <v>818.05432288671614</v>
      </c>
      <c r="N105" s="46">
        <f t="shared" si="86"/>
        <v>2.1163065333079349</v>
      </c>
      <c r="O105" s="46">
        <f t="shared" si="86"/>
        <v>9.8166518746405949</v>
      </c>
      <c r="P105" s="46">
        <f t="shared" si="86"/>
        <v>0</v>
      </c>
      <c r="Q105" s="46">
        <f t="shared" si="86"/>
        <v>1090.2</v>
      </c>
      <c r="R105" s="46">
        <f t="shared" si="86"/>
        <v>2115.8035374537103</v>
      </c>
      <c r="S105" s="46">
        <f t="shared" si="86"/>
        <v>18.953369922923393</v>
      </c>
      <c r="T105" s="46">
        <f t="shared" si="67"/>
        <v>1414.9963827067663</v>
      </c>
      <c r="U105" s="46">
        <f t="shared" si="68"/>
        <v>5469.9405713780652</v>
      </c>
      <c r="V105" s="46">
        <f t="shared" si="69"/>
        <v>5766.7756433754885</v>
      </c>
    </row>
    <row r="106" spans="1:24" x14ac:dyDescent="0.3">
      <c r="A106" s="35" t="s">
        <v>63</v>
      </c>
      <c r="B106" s="8">
        <v>0</v>
      </c>
      <c r="C106" s="57"/>
      <c r="D106" s="8">
        <v>0</v>
      </c>
      <c r="E106" s="46">
        <f t="shared" si="63"/>
        <v>0</v>
      </c>
      <c r="F106" s="55"/>
      <c r="G106" s="55"/>
      <c r="H106" s="55"/>
      <c r="I106" s="8">
        <f t="shared" si="64"/>
        <v>141.86174291743598</v>
      </c>
      <c r="J106" s="46">
        <f t="shared" si="65"/>
        <v>141.86174291743598</v>
      </c>
      <c r="K106" s="46">
        <f t="shared" ref="K106:S106" si="87">$B$85*K22</f>
        <v>0</v>
      </c>
      <c r="L106" s="46">
        <f t="shared" si="87"/>
        <v>0</v>
      </c>
      <c r="M106" s="46">
        <f t="shared" si="87"/>
        <v>813.96405127228263</v>
      </c>
      <c r="N106" s="46">
        <f t="shared" si="87"/>
        <v>2.105725000641395</v>
      </c>
      <c r="O106" s="46">
        <f t="shared" si="87"/>
        <v>0</v>
      </c>
      <c r="P106" s="46">
        <f t="shared" si="87"/>
        <v>0</v>
      </c>
      <c r="Q106" s="46">
        <f t="shared" si="87"/>
        <v>1090.2</v>
      </c>
      <c r="R106" s="46">
        <f t="shared" si="87"/>
        <v>2105.224519766442</v>
      </c>
      <c r="S106" s="46">
        <f t="shared" si="87"/>
        <v>18.858603073308775</v>
      </c>
      <c r="T106" s="46">
        <f t="shared" si="67"/>
        <v>1498.329503007518</v>
      </c>
      <c r="U106" s="46">
        <f t="shared" si="68"/>
        <v>5528.6824021201928</v>
      </c>
      <c r="V106" s="46">
        <f t="shared" si="69"/>
        <v>5670.5441450376284</v>
      </c>
    </row>
    <row r="107" spans="1:24" x14ac:dyDescent="0.3">
      <c r="A107" s="35" t="s">
        <v>64</v>
      </c>
      <c r="B107" s="8">
        <v>0</v>
      </c>
      <c r="C107" s="57"/>
      <c r="D107" s="8">
        <v>0</v>
      </c>
      <c r="E107" s="46">
        <f t="shared" si="63"/>
        <v>0</v>
      </c>
      <c r="F107" s="55"/>
      <c r="G107" s="55"/>
      <c r="H107" s="55"/>
      <c r="I107" s="8">
        <f t="shared" si="64"/>
        <v>141.15243420284878</v>
      </c>
      <c r="J107" s="46">
        <f t="shared" si="65"/>
        <v>141.15243420284878</v>
      </c>
      <c r="K107" s="46">
        <f t="shared" ref="K107:S107" si="88">$B$85*K23</f>
        <v>0</v>
      </c>
      <c r="L107" s="46">
        <f t="shared" si="88"/>
        <v>0</v>
      </c>
      <c r="M107" s="46">
        <f t="shared" si="88"/>
        <v>809.89423101592126</v>
      </c>
      <c r="N107" s="46">
        <f t="shared" si="88"/>
        <v>2.0951963756381882</v>
      </c>
      <c r="O107" s="46">
        <f t="shared" si="88"/>
        <v>0</v>
      </c>
      <c r="P107" s="46">
        <f t="shared" si="88"/>
        <v>0</v>
      </c>
      <c r="Q107" s="46">
        <f t="shared" si="88"/>
        <v>1090.2</v>
      </c>
      <c r="R107" s="46">
        <f t="shared" si="88"/>
        <v>2094.6983971676095</v>
      </c>
      <c r="S107" s="46">
        <f t="shared" si="88"/>
        <v>18.764310057942232</v>
      </c>
      <c r="T107" s="46">
        <f t="shared" si="67"/>
        <v>1581.66262330827</v>
      </c>
      <c r="U107" s="46">
        <f t="shared" si="68"/>
        <v>5597.3147579253809</v>
      </c>
      <c r="V107" s="46">
        <f t="shared" si="69"/>
        <v>5738.4671921282297</v>
      </c>
    </row>
    <row r="108" spans="1:24" x14ac:dyDescent="0.3">
      <c r="A108" s="35" t="s">
        <v>65</v>
      </c>
      <c r="B108" s="8">
        <v>0</v>
      </c>
      <c r="C108" s="57"/>
      <c r="D108" s="8">
        <v>0</v>
      </c>
      <c r="E108" s="46">
        <f t="shared" si="63"/>
        <v>0</v>
      </c>
      <c r="F108" s="55"/>
      <c r="G108" s="55"/>
      <c r="H108" s="55"/>
      <c r="I108" s="8">
        <f t="shared" si="64"/>
        <v>140.44667203183454</v>
      </c>
      <c r="J108" s="46">
        <f t="shared" si="65"/>
        <v>140.44667203183454</v>
      </c>
      <c r="K108" s="46">
        <f t="shared" ref="K108:S108" si="89">$B$85*K24</f>
        <v>0</v>
      </c>
      <c r="L108" s="46">
        <f t="shared" si="89"/>
        <v>0</v>
      </c>
      <c r="M108" s="46">
        <f t="shared" si="89"/>
        <v>805.84475986084158</v>
      </c>
      <c r="N108" s="46">
        <f t="shared" si="89"/>
        <v>2.0847203937599978</v>
      </c>
      <c r="O108" s="46">
        <f t="shared" si="89"/>
        <v>0</v>
      </c>
      <c r="P108" s="46">
        <f t="shared" si="89"/>
        <v>0</v>
      </c>
      <c r="Q108" s="46">
        <f t="shared" si="89"/>
        <v>1090.2</v>
      </c>
      <c r="R108" s="46">
        <f t="shared" si="89"/>
        <v>2084.2249051817712</v>
      </c>
      <c r="S108" s="46">
        <f t="shared" si="89"/>
        <v>18.670488507652522</v>
      </c>
      <c r="T108" s="46">
        <f t="shared" si="67"/>
        <v>1664.9957436090217</v>
      </c>
      <c r="U108" s="46">
        <f t="shared" si="68"/>
        <v>5666.0206175530475</v>
      </c>
      <c r="V108" s="46">
        <f t="shared" si="69"/>
        <v>5806.4672895848817</v>
      </c>
    </row>
    <row r="109" spans="1:24" x14ac:dyDescent="0.3">
      <c r="A109" s="35" t="s">
        <v>66</v>
      </c>
      <c r="B109" s="8">
        <v>0</v>
      </c>
      <c r="C109" s="57"/>
      <c r="D109" s="8">
        <v>0</v>
      </c>
      <c r="E109" s="46">
        <f t="shared" si="63"/>
        <v>0</v>
      </c>
      <c r="F109" s="55"/>
      <c r="G109" s="55"/>
      <c r="H109" s="55"/>
      <c r="I109" s="8">
        <f t="shared" si="64"/>
        <v>139.74443867167534</v>
      </c>
      <c r="J109" s="46">
        <f t="shared" si="65"/>
        <v>139.74443867167534</v>
      </c>
      <c r="K109" s="46">
        <f t="shared" ref="K109:S109" si="90">$B$85*K25</f>
        <v>0</v>
      </c>
      <c r="L109" s="46">
        <f t="shared" si="90"/>
        <v>0</v>
      </c>
      <c r="M109" s="46">
        <f t="shared" si="90"/>
        <v>801.8155360615375</v>
      </c>
      <c r="N109" s="46">
        <f t="shared" si="90"/>
        <v>2.0742967917911979</v>
      </c>
      <c r="O109" s="46">
        <f t="shared" si="90"/>
        <v>0</v>
      </c>
      <c r="P109" s="46">
        <f t="shared" si="90"/>
        <v>0</v>
      </c>
      <c r="Q109" s="46">
        <f t="shared" si="90"/>
        <v>1090.2</v>
      </c>
      <c r="R109" s="46">
        <f t="shared" si="90"/>
        <v>2073.8037806558627</v>
      </c>
      <c r="S109" s="46">
        <f t="shared" si="90"/>
        <v>18.57713606511426</v>
      </c>
      <c r="T109" s="46">
        <f t="shared" si="67"/>
        <v>1748.3288639097734</v>
      </c>
      <c r="U109" s="46">
        <f t="shared" si="68"/>
        <v>5734.7996134840796</v>
      </c>
      <c r="V109" s="46">
        <f t="shared" si="69"/>
        <v>5874.5440521557548</v>
      </c>
    </row>
    <row r="110" spans="1:24" x14ac:dyDescent="0.3">
      <c r="A110" s="35" t="s">
        <v>67</v>
      </c>
      <c r="B110" s="8">
        <v>0</v>
      </c>
      <c r="C110" s="57"/>
      <c r="D110" s="8">
        <v>0</v>
      </c>
      <c r="E110" s="46">
        <f t="shared" si="63"/>
        <v>0</v>
      </c>
      <c r="F110" s="55"/>
      <c r="G110" s="55"/>
      <c r="H110" s="55"/>
      <c r="I110" s="8">
        <f t="shared" si="64"/>
        <v>139.04571647831699</v>
      </c>
      <c r="J110" s="46">
        <f t="shared" si="65"/>
        <v>139.04571647831699</v>
      </c>
      <c r="K110" s="46">
        <f t="shared" ref="K110:S110" si="91">$B$85*K26</f>
        <v>0</v>
      </c>
      <c r="L110" s="46">
        <f t="shared" si="91"/>
        <v>0</v>
      </c>
      <c r="M110" s="46">
        <f t="shared" si="91"/>
        <v>797.80645838122973</v>
      </c>
      <c r="N110" s="46">
        <f t="shared" si="91"/>
        <v>0</v>
      </c>
      <c r="O110" s="46">
        <f t="shared" si="91"/>
        <v>0</v>
      </c>
      <c r="P110" s="46">
        <f t="shared" si="91"/>
        <v>0</v>
      </c>
      <c r="Q110" s="46">
        <f t="shared" si="91"/>
        <v>1090.2</v>
      </c>
      <c r="R110" s="46">
        <f t="shared" si="91"/>
        <v>2063.4347617525832</v>
      </c>
      <c r="S110" s="46">
        <f t="shared" si="91"/>
        <v>18.484250384788687</v>
      </c>
      <c r="T110" s="46">
        <f t="shared" si="67"/>
        <v>1831.6619842105254</v>
      </c>
      <c r="U110" s="46">
        <f t="shared" si="68"/>
        <v>5801.5874547291269</v>
      </c>
      <c r="V110" s="46">
        <f t="shared" si="69"/>
        <v>5940.6331712074443</v>
      </c>
    </row>
    <row r="114" spans="5:10" x14ac:dyDescent="0.3">
      <c r="E114" s="202"/>
    </row>
    <row r="115" spans="5:10" x14ac:dyDescent="0.3">
      <c r="E115" s="202"/>
    </row>
    <row r="116" spans="5:10" x14ac:dyDescent="0.3">
      <c r="E116" s="202"/>
    </row>
    <row r="117" spans="5:10" x14ac:dyDescent="0.3">
      <c r="E117" s="202"/>
    </row>
    <row r="118" spans="5:10" x14ac:dyDescent="0.3">
      <c r="E118" s="202"/>
    </row>
    <row r="119" spans="5:10" x14ac:dyDescent="0.3">
      <c r="E119" s="202"/>
      <c r="J119" s="240"/>
    </row>
    <row r="120" spans="5:10" x14ac:dyDescent="0.3">
      <c r="E120" s="202"/>
    </row>
    <row r="121" spans="5:10" x14ac:dyDescent="0.3">
      <c r="E121" s="202"/>
    </row>
    <row r="122" spans="5:10" x14ac:dyDescent="0.3">
      <c r="E122" s="202"/>
    </row>
    <row r="123" spans="5:10" x14ac:dyDescent="0.3">
      <c r="E123" s="202"/>
    </row>
    <row r="124" spans="5:10" x14ac:dyDescent="0.3">
      <c r="E124" s="202"/>
    </row>
    <row r="125" spans="5:10" x14ac:dyDescent="0.3">
      <c r="E125" s="202"/>
    </row>
    <row r="126" spans="5:10" x14ac:dyDescent="0.3">
      <c r="E126" s="202"/>
    </row>
    <row r="127" spans="5:10" x14ac:dyDescent="0.3">
      <c r="E127" s="202"/>
    </row>
    <row r="128" spans="5:10" x14ac:dyDescent="0.3">
      <c r="E128" s="202"/>
    </row>
    <row r="129" spans="5:5" x14ac:dyDescent="0.3">
      <c r="E129" s="202"/>
    </row>
    <row r="130" spans="5:5" x14ac:dyDescent="0.3">
      <c r="E130" s="202"/>
    </row>
    <row r="131" spans="5:5" x14ac:dyDescent="0.3">
      <c r="E131" s="202"/>
    </row>
    <row r="132" spans="5:5" x14ac:dyDescent="0.3">
      <c r="E132" s="202"/>
    </row>
    <row r="133" spans="5:5" x14ac:dyDescent="0.3">
      <c r="E133" s="202"/>
    </row>
    <row r="134" spans="5:5" x14ac:dyDescent="0.3">
      <c r="E134" s="202"/>
    </row>
    <row r="135" spans="5:5" x14ac:dyDescent="0.3">
      <c r="E135" s="202"/>
    </row>
    <row r="136" spans="5:5" x14ac:dyDescent="0.3">
      <c r="E136" s="202"/>
    </row>
    <row r="137" spans="5:5" x14ac:dyDescent="0.3">
      <c r="E137" s="202"/>
    </row>
    <row r="138" spans="5:5" x14ac:dyDescent="0.3">
      <c r="E138" s="202"/>
    </row>
    <row r="139" spans="5:5" x14ac:dyDescent="0.3">
      <c r="E139" s="202"/>
    </row>
    <row r="140" spans="5:5" x14ac:dyDescent="0.3">
      <c r="E140" s="202"/>
    </row>
    <row r="141" spans="5:5" x14ac:dyDescent="0.3">
      <c r="E141" s="202"/>
    </row>
    <row r="142" spans="5:5" x14ac:dyDescent="0.3">
      <c r="E142" s="202"/>
    </row>
    <row r="143" spans="5:5" x14ac:dyDescent="0.3">
      <c r="E143" s="202"/>
    </row>
    <row r="144" spans="5:5" x14ac:dyDescent="0.3">
      <c r="E144" s="202"/>
    </row>
    <row r="145" spans="5:5" x14ac:dyDescent="0.3">
      <c r="E145" s="202"/>
    </row>
    <row r="146" spans="5:5" x14ac:dyDescent="0.3">
      <c r="E146" s="202"/>
    </row>
  </sheetData>
  <printOptions horizontalCentered="1" verticalCentered="1"/>
  <pageMargins left="0.7" right="0.7" top="0.75" bottom="0.75" header="0.3" footer="0.3"/>
  <pageSetup scale="28" orientation="landscape" r:id="rId1"/>
  <headerFooter>
    <oddHeader>&amp;A</oddHeader>
  </headerFooter>
  <rowBreaks count="3" manualBreakCount="3">
    <brk id="27" max="16383" man="1"/>
    <brk id="55" max="16383" man="1"/>
    <brk id="83"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2A6B2-619E-495E-8812-A3BCCD536C9D}">
  <dimension ref="A1:L110"/>
  <sheetViews>
    <sheetView workbookViewId="0">
      <pane xSplit="1" topLeftCell="B1" activePane="topRight" state="frozen"/>
      <selection pane="topRight" activeCell="B86" sqref="B86:B115"/>
    </sheetView>
  </sheetViews>
  <sheetFormatPr defaultRowHeight="14.4" x14ac:dyDescent="0.3"/>
  <cols>
    <col min="1" max="1" width="17.44140625" bestFit="1" customWidth="1"/>
    <col min="2" max="2" width="14.44140625" bestFit="1" customWidth="1"/>
    <col min="3" max="3" width="15.33203125" bestFit="1" customWidth="1"/>
    <col min="4" max="4" width="15.5546875" bestFit="1" customWidth="1"/>
    <col min="5" max="5" width="14.21875" bestFit="1" customWidth="1"/>
    <col min="6" max="6" width="21" bestFit="1" customWidth="1"/>
    <col min="7" max="7" width="20.77734375" bestFit="1" customWidth="1"/>
    <col min="8" max="8" width="14.77734375" bestFit="1" customWidth="1"/>
    <col min="9" max="9" width="9.77734375" bestFit="1" customWidth="1"/>
    <col min="10" max="10" width="13.6640625" bestFit="1" customWidth="1"/>
    <col min="12" max="12" width="13.6640625" bestFit="1" customWidth="1"/>
  </cols>
  <sheetData>
    <row r="1" spans="1:12" x14ac:dyDescent="0.3">
      <c r="A1" t="s">
        <v>132</v>
      </c>
    </row>
    <row r="2" spans="1:12" x14ac:dyDescent="0.3">
      <c r="A2" s="29" t="s">
        <v>43</v>
      </c>
      <c r="B2" s="29"/>
      <c r="C2" s="29" t="s">
        <v>40</v>
      </c>
      <c r="D2" s="29" t="s">
        <v>41</v>
      </c>
      <c r="E2" s="29" t="s">
        <v>42</v>
      </c>
      <c r="F2" s="181" t="s">
        <v>119</v>
      </c>
      <c r="G2" s="61" t="s">
        <v>140</v>
      </c>
      <c r="H2" s="61" t="s">
        <v>141</v>
      </c>
    </row>
    <row r="3" spans="1:12" x14ac:dyDescent="0.3">
      <c r="A3" s="29"/>
      <c r="B3" s="29"/>
      <c r="C3" s="29"/>
      <c r="D3" s="29"/>
      <c r="E3" s="29"/>
      <c r="F3" s="29"/>
      <c r="G3" s="61"/>
      <c r="H3" s="61"/>
    </row>
    <row r="4" spans="1:12" x14ac:dyDescent="0.3">
      <c r="A4" s="35" t="s">
        <v>144</v>
      </c>
      <c r="B4" s="8"/>
      <c r="C4" s="56"/>
      <c r="D4" s="56"/>
      <c r="E4" s="56"/>
      <c r="F4" s="56"/>
      <c r="G4" s="46">
        <f>SUM(C4:F4)</f>
        <v>0</v>
      </c>
      <c r="H4" s="46">
        <f>G4</f>
        <v>0</v>
      </c>
    </row>
    <row r="5" spans="1:12" x14ac:dyDescent="0.3">
      <c r="A5" s="35" t="s">
        <v>145</v>
      </c>
      <c r="B5" s="8"/>
      <c r="C5" s="46"/>
      <c r="D5" s="46"/>
      <c r="E5" s="46"/>
      <c r="F5" s="59"/>
      <c r="G5" s="46">
        <f>SUM(C5:F5)</f>
        <v>0</v>
      </c>
      <c r="H5" s="46">
        <f t="shared" ref="H5:H26" si="0">G5</f>
        <v>0</v>
      </c>
    </row>
    <row r="6" spans="1:12" x14ac:dyDescent="0.3">
      <c r="A6" s="35" t="s">
        <v>146</v>
      </c>
      <c r="B6" s="8"/>
      <c r="C6" s="10">
        <f>'DY 2022 Summary'!E8</f>
        <v>0</v>
      </c>
      <c r="D6" s="9"/>
      <c r="E6" s="9"/>
      <c r="F6" s="21"/>
      <c r="G6" s="46">
        <f>SUM(C6:F6)</f>
        <v>0</v>
      </c>
      <c r="H6" s="46">
        <f t="shared" si="0"/>
        <v>0</v>
      </c>
    </row>
    <row r="7" spans="1:12" x14ac:dyDescent="0.3">
      <c r="A7" s="35" t="s">
        <v>147</v>
      </c>
      <c r="B7" s="8"/>
      <c r="C7" s="10">
        <f>'DY 2022 Summary'!F8</f>
        <v>0</v>
      </c>
      <c r="D7" s="9"/>
      <c r="E7" s="9"/>
      <c r="F7" s="21"/>
      <c r="G7" s="46">
        <f>SUM(C7:F7)</f>
        <v>0</v>
      </c>
      <c r="H7" s="46">
        <f t="shared" si="0"/>
        <v>0</v>
      </c>
      <c r="J7" s="315" t="s">
        <v>338</v>
      </c>
      <c r="K7" s="281"/>
      <c r="L7" s="282"/>
    </row>
    <row r="8" spans="1:12" x14ac:dyDescent="0.3">
      <c r="A8" s="35" t="s">
        <v>148</v>
      </c>
      <c r="B8" s="8"/>
      <c r="C8" s="10">
        <f>'DY 2022 Summary'!G8</f>
        <v>0</v>
      </c>
      <c r="D8" s="9"/>
      <c r="E8" s="9"/>
      <c r="F8" s="21"/>
      <c r="G8" s="46">
        <f>SUM(C8:F8)</f>
        <v>0</v>
      </c>
      <c r="H8" s="46">
        <f t="shared" si="0"/>
        <v>0</v>
      </c>
      <c r="J8" s="316" t="s">
        <v>335</v>
      </c>
      <c r="K8" s="317" t="s">
        <v>334</v>
      </c>
      <c r="L8" s="318"/>
    </row>
    <row r="9" spans="1:12" x14ac:dyDescent="0.3">
      <c r="A9" s="35" t="s">
        <v>149</v>
      </c>
      <c r="B9" s="8"/>
      <c r="C9" s="10">
        <f>'DY 2022 Summary'!H8</f>
        <v>0</v>
      </c>
      <c r="D9" s="10">
        <f>'DY 2022 Summary'!E9</f>
        <v>943430</v>
      </c>
      <c r="E9" s="10">
        <f>'DY 2022 Summary'!E10</f>
        <v>49377</v>
      </c>
      <c r="F9" s="21"/>
      <c r="G9" s="46">
        <f>SUM(C9:F9)</f>
        <v>992807</v>
      </c>
      <c r="H9" s="46">
        <f t="shared" si="0"/>
        <v>992807</v>
      </c>
      <c r="J9" s="319">
        <f>D9+E9</f>
        <v>992807</v>
      </c>
      <c r="K9" s="317">
        <v>1416584</v>
      </c>
      <c r="L9" s="320">
        <f>J9+K9</f>
        <v>2409391</v>
      </c>
    </row>
    <row r="10" spans="1:12" x14ac:dyDescent="0.3">
      <c r="A10" s="35" t="s">
        <v>150</v>
      </c>
      <c r="B10" s="8"/>
      <c r="C10" s="10">
        <f>'DY 2022 Summary'!I8</f>
        <v>0</v>
      </c>
      <c r="D10" s="10">
        <f>'DY 2022 Summary'!F9</f>
        <v>938712.85</v>
      </c>
      <c r="E10" s="10">
        <f>'DY 2022 Summary'!F10</f>
        <v>49130.114999999998</v>
      </c>
      <c r="F10" s="21"/>
      <c r="G10" s="46">
        <f>SUM(C10:F10)</f>
        <v>987842.96499999997</v>
      </c>
      <c r="H10" s="46">
        <f t="shared" si="0"/>
        <v>987842.96499999997</v>
      </c>
      <c r="J10" s="319">
        <f t="shared" ref="J10:J26" si="1">D10+E10</f>
        <v>987842.96499999997</v>
      </c>
      <c r="K10" s="317">
        <v>1411801.0799999998</v>
      </c>
      <c r="L10" s="320">
        <f t="shared" ref="L10:L26" si="2">J10+K10</f>
        <v>2399644.0449999999</v>
      </c>
    </row>
    <row r="11" spans="1:12" x14ac:dyDescent="0.3">
      <c r="A11" s="35" t="s">
        <v>151</v>
      </c>
      <c r="B11" s="8"/>
      <c r="C11" s="10">
        <f>'DY 2022 Summary'!J8</f>
        <v>0</v>
      </c>
      <c r="D11" s="10">
        <f>'DY 2022 Summary'!G9</f>
        <v>934019.28574999992</v>
      </c>
      <c r="E11" s="10">
        <f>'DY 2022 Summary'!G10</f>
        <v>48884.464424999998</v>
      </c>
      <c r="F11" s="21"/>
      <c r="G11" s="46">
        <f>SUM(C11:F11)</f>
        <v>982903.75017499994</v>
      </c>
      <c r="H11" s="46">
        <f t="shared" si="0"/>
        <v>982903.75017499994</v>
      </c>
      <c r="J11" s="319">
        <f t="shared" si="1"/>
        <v>982903.75017499994</v>
      </c>
      <c r="K11" s="317">
        <v>1407042.0745999999</v>
      </c>
      <c r="L11" s="320">
        <f t="shared" si="2"/>
        <v>2389945.8247750001</v>
      </c>
    </row>
    <row r="12" spans="1:12" x14ac:dyDescent="0.3">
      <c r="A12" s="35" t="s">
        <v>152</v>
      </c>
      <c r="B12" s="8"/>
      <c r="C12" s="10">
        <f>'DY 2022 Summary'!K8</f>
        <v>0</v>
      </c>
      <c r="D12" s="10">
        <f>'DY 2022 Summary'!H9</f>
        <v>929349.18932124996</v>
      </c>
      <c r="E12" s="10">
        <f>'DY 2022 Summary'!H10</f>
        <v>48640.042102874999</v>
      </c>
      <c r="F12" s="21"/>
      <c r="G12" s="46">
        <f>SUM(C12:F12)</f>
        <v>977989.23142412491</v>
      </c>
      <c r="H12" s="46">
        <f t="shared" si="0"/>
        <v>977989.23142412491</v>
      </c>
      <c r="J12" s="319">
        <f t="shared" si="1"/>
        <v>977989.23142412491</v>
      </c>
      <c r="K12" s="317">
        <v>1402306.8642269999</v>
      </c>
      <c r="L12" s="320">
        <f t="shared" si="2"/>
        <v>2380296.0956511246</v>
      </c>
    </row>
    <row r="13" spans="1:12" x14ac:dyDescent="0.3">
      <c r="A13" s="35" t="s">
        <v>153</v>
      </c>
      <c r="B13" s="8"/>
      <c r="C13" s="10">
        <f>'DY 2022 Summary'!L8</f>
        <v>0</v>
      </c>
      <c r="D13" s="10">
        <f>'DY 2022 Summary'!I9</f>
        <v>924702.44337464368</v>
      </c>
      <c r="E13" s="10">
        <f>'DY 2022 Summary'!I10</f>
        <v>48396.841892360622</v>
      </c>
      <c r="F13" s="21"/>
      <c r="G13" s="46">
        <f>SUM(C13:F13)</f>
        <v>973099.28526700428</v>
      </c>
      <c r="H13" s="46">
        <f t="shared" si="0"/>
        <v>973099.28526700428</v>
      </c>
      <c r="J13" s="319">
        <f t="shared" si="1"/>
        <v>973099.28526700428</v>
      </c>
      <c r="K13" s="317">
        <v>1397595.329905865</v>
      </c>
      <c r="L13" s="320">
        <f t="shared" si="2"/>
        <v>2370694.6151728695</v>
      </c>
    </row>
    <row r="14" spans="1:12" x14ac:dyDescent="0.3">
      <c r="A14" s="35" t="s">
        <v>154</v>
      </c>
      <c r="B14" s="8"/>
      <c r="C14" s="10">
        <f>'DY 2022 Summary'!M8</f>
        <v>0</v>
      </c>
      <c r="D14" s="10">
        <f>'DY 2022 Summary'!J9</f>
        <v>920078.93115777045</v>
      </c>
      <c r="E14" s="10">
        <f>'DY 2022 Summary'!J10</f>
        <v>48154.857682898823</v>
      </c>
      <c r="F14" s="21"/>
      <c r="G14" s="46">
        <f>SUM(C14:F14)</f>
        <v>968233.78884066932</v>
      </c>
      <c r="H14" s="46">
        <f t="shared" si="0"/>
        <v>968233.78884066932</v>
      </c>
      <c r="J14" s="319">
        <f t="shared" si="1"/>
        <v>968233.78884066932</v>
      </c>
      <c r="K14" s="317">
        <v>1392907.3532563357</v>
      </c>
      <c r="L14" s="320">
        <f t="shared" si="2"/>
        <v>2361141.1420970052</v>
      </c>
    </row>
    <row r="15" spans="1:12" x14ac:dyDescent="0.3">
      <c r="A15" s="35" t="s">
        <v>155</v>
      </c>
      <c r="B15" s="8"/>
      <c r="C15" s="10">
        <f>'DY 2022 Summary'!N8</f>
        <v>0</v>
      </c>
      <c r="D15" s="10">
        <f>'DY 2022 Summary'!K9</f>
        <v>915478.53650198155</v>
      </c>
      <c r="E15" s="10">
        <f>'DY 2022 Summary'!K10</f>
        <v>47914.083394484325</v>
      </c>
      <c r="F15" s="21"/>
      <c r="G15" s="46">
        <f>SUM(C15:F15)</f>
        <v>963392.61989646591</v>
      </c>
      <c r="H15" s="46">
        <f t="shared" si="0"/>
        <v>963392.61989646591</v>
      </c>
      <c r="J15" s="319">
        <f t="shared" si="1"/>
        <v>963392.61989646591</v>
      </c>
      <c r="K15" s="317">
        <v>1388242.8164900541</v>
      </c>
      <c r="L15" s="320">
        <f t="shared" si="2"/>
        <v>2351635.43638652</v>
      </c>
    </row>
    <row r="16" spans="1:12" x14ac:dyDescent="0.3">
      <c r="A16" s="35" t="s">
        <v>156</v>
      </c>
      <c r="B16" s="8"/>
      <c r="C16" s="10">
        <f>'DY 2022 Summary'!O8</f>
        <v>0</v>
      </c>
      <c r="D16" s="10">
        <f>'DY 2022 Summary'!L9</f>
        <v>910901.14381947159</v>
      </c>
      <c r="E16" s="10">
        <f>'DY 2022 Summary'!L10</f>
        <v>47674.512977511906</v>
      </c>
      <c r="F16" s="21"/>
      <c r="G16" s="46">
        <f>SUM(C16:F16)</f>
        <v>958575.65679698344</v>
      </c>
      <c r="H16" s="46">
        <f t="shared" si="0"/>
        <v>958575.65679698344</v>
      </c>
      <c r="J16" s="319">
        <f t="shared" si="1"/>
        <v>958575.65679698344</v>
      </c>
      <c r="K16" s="317">
        <v>1383601.6024076035</v>
      </c>
      <c r="L16" s="320">
        <f t="shared" si="2"/>
        <v>2342177.259204587</v>
      </c>
    </row>
    <row r="17" spans="1:12" x14ac:dyDescent="0.3">
      <c r="A17" s="35" t="s">
        <v>157</v>
      </c>
      <c r="B17" s="8"/>
      <c r="C17" s="10">
        <f>'DY 2022 Summary'!P8</f>
        <v>0</v>
      </c>
      <c r="D17" s="10">
        <f>'DY 2022 Summary'!M9</f>
        <v>906346.63810037426</v>
      </c>
      <c r="E17" s="10">
        <f>'DY 2022 Summary'!M10</f>
        <v>47436.140412624343</v>
      </c>
      <c r="F17" s="21"/>
      <c r="G17" s="46">
        <f>SUM(C17:F17)</f>
        <v>953782.7785129986</v>
      </c>
      <c r="H17" s="46">
        <f t="shared" si="0"/>
        <v>953782.7785129986</v>
      </c>
      <c r="J17" s="319">
        <f t="shared" si="1"/>
        <v>953782.7785129986</v>
      </c>
      <c r="K17" s="317">
        <v>1378983.5943955658</v>
      </c>
      <c r="L17" s="320">
        <f t="shared" si="2"/>
        <v>2332766.3729085643</v>
      </c>
    </row>
    <row r="18" spans="1:12" x14ac:dyDescent="0.3">
      <c r="A18" s="35" t="s">
        <v>158</v>
      </c>
      <c r="B18" s="8"/>
      <c r="C18" s="10">
        <f>'DY 2022 Summary'!Q8</f>
        <v>0</v>
      </c>
      <c r="D18" s="10">
        <f>'DY 2022 Summary'!N9</f>
        <v>901814.90490987233</v>
      </c>
      <c r="E18" s="10">
        <f>'DY 2022 Summary'!N10</f>
        <v>47198.959710561219</v>
      </c>
      <c r="F18" s="21"/>
      <c r="G18" s="46">
        <f>SUM(C18:F18)</f>
        <v>949013.86462043354</v>
      </c>
      <c r="H18" s="46">
        <f t="shared" si="0"/>
        <v>949013.86462043354</v>
      </c>
      <c r="J18" s="319">
        <f t="shared" si="1"/>
        <v>949013.86462043354</v>
      </c>
      <c r="K18" s="317">
        <v>1374388.6764235878</v>
      </c>
      <c r="L18" s="320">
        <f t="shared" si="2"/>
        <v>2323402.5410440215</v>
      </c>
    </row>
    <row r="19" spans="1:12" x14ac:dyDescent="0.3">
      <c r="A19" s="35" t="s">
        <v>159</v>
      </c>
      <c r="B19" s="8"/>
      <c r="C19" s="10">
        <f>'DY 2022 Summary'!R8</f>
        <v>0</v>
      </c>
      <c r="D19" s="10">
        <f>'DY 2022 Summary'!O9</f>
        <v>897305.83038532292</v>
      </c>
      <c r="E19" s="10">
        <f>'DY 2022 Summary'!O10</f>
        <v>46962.964912008414</v>
      </c>
      <c r="F19" s="21"/>
      <c r="G19" s="46">
        <f>SUM(C19:F19)</f>
        <v>944268.79529733129</v>
      </c>
      <c r="H19" s="46">
        <f t="shared" si="0"/>
        <v>944268.79529733129</v>
      </c>
      <c r="J19" s="319">
        <f t="shared" si="1"/>
        <v>944268.79529733129</v>
      </c>
      <c r="K19" s="317">
        <v>1369816.7330414699</v>
      </c>
      <c r="L19" s="320">
        <f t="shared" si="2"/>
        <v>2314085.5283388011</v>
      </c>
    </row>
    <row r="20" spans="1:12" x14ac:dyDescent="0.3">
      <c r="A20" s="35" t="s">
        <v>61</v>
      </c>
      <c r="B20" s="8"/>
      <c r="C20" s="10">
        <f>'DY 2022 Summary'!S8</f>
        <v>0</v>
      </c>
      <c r="D20" s="10">
        <f>'DY 2022 Summary'!P9</f>
        <v>892819.30123339628</v>
      </c>
      <c r="E20" s="10">
        <f>'DY 2022 Summary'!P10</f>
        <v>46728.150087448375</v>
      </c>
      <c r="F20" s="21"/>
      <c r="G20" s="46">
        <f>SUM(C20:F20)</f>
        <v>939547.4513208447</v>
      </c>
      <c r="H20" s="46">
        <f t="shared" si="0"/>
        <v>939547.4513208447</v>
      </c>
      <c r="J20" s="319">
        <f t="shared" si="1"/>
        <v>939547.4513208447</v>
      </c>
      <c r="K20" s="317">
        <v>1365267.6493762627</v>
      </c>
      <c r="L20" s="320">
        <f t="shared" si="2"/>
        <v>2304815.1006971076</v>
      </c>
    </row>
    <row r="21" spans="1:12" x14ac:dyDescent="0.3">
      <c r="A21" s="35" t="s">
        <v>62</v>
      </c>
      <c r="B21" s="8"/>
      <c r="C21" s="10">
        <f>'DY 2022 Summary'!T8</f>
        <v>0</v>
      </c>
      <c r="D21" s="10">
        <f>'DY 2022 Summary'!Q9</f>
        <v>888355.20472722931</v>
      </c>
      <c r="E21" s="10">
        <f>'DY 2022 Summary'!Q10</f>
        <v>46494.509337011135</v>
      </c>
      <c r="F21" s="21"/>
      <c r="G21" s="46">
        <f>SUM(C21:F21)</f>
        <v>934849.71406424046</v>
      </c>
      <c r="H21" s="46">
        <f t="shared" si="0"/>
        <v>934849.71406424046</v>
      </c>
      <c r="J21" s="319">
        <f t="shared" si="1"/>
        <v>934849.71406424046</v>
      </c>
      <c r="K21" s="317">
        <v>1360741.3111293812</v>
      </c>
      <c r="L21" s="320">
        <f t="shared" si="2"/>
        <v>2295591.0251936214</v>
      </c>
    </row>
    <row r="22" spans="1:12" x14ac:dyDescent="0.3">
      <c r="A22" s="35" t="s">
        <v>63</v>
      </c>
      <c r="B22" s="8"/>
      <c r="C22" s="10">
        <f>'DY 2022 Summary'!U8</f>
        <v>0</v>
      </c>
      <c r="D22" s="10">
        <f>'DY 2022 Summary'!R9</f>
        <v>883913.42870359321</v>
      </c>
      <c r="E22" s="10">
        <f>'DY 2022 Summary'!R10</f>
        <v>46262.036790326078</v>
      </c>
      <c r="F22" s="21"/>
      <c r="G22" s="46">
        <f>SUM(C22:F22)</f>
        <v>930175.46549391933</v>
      </c>
      <c r="H22" s="46">
        <f t="shared" si="0"/>
        <v>930175.46549391933</v>
      </c>
      <c r="J22" s="319">
        <f t="shared" si="1"/>
        <v>930175.46549391933</v>
      </c>
      <c r="K22" s="317">
        <v>1356237.6045737343</v>
      </c>
      <c r="L22" s="320">
        <f t="shared" si="2"/>
        <v>2286413.0700676534</v>
      </c>
    </row>
    <row r="23" spans="1:12" x14ac:dyDescent="0.3">
      <c r="A23" s="35" t="s">
        <v>64</v>
      </c>
      <c r="B23" s="8"/>
      <c r="C23" s="10">
        <f>'DY 2022 Summary'!V8</f>
        <v>0</v>
      </c>
      <c r="D23" s="10">
        <f>'DY 2022 Summary'!S9</f>
        <v>879493.86156007519</v>
      </c>
      <c r="E23" s="10">
        <f>'DY 2022 Summary'!S10</f>
        <v>46030.726606374446</v>
      </c>
      <c r="F23" s="21"/>
      <c r="G23" s="46">
        <f>SUM(C23:F23)</f>
        <v>925524.58816644968</v>
      </c>
      <c r="H23" s="46">
        <f t="shared" si="0"/>
        <v>925524.58816644968</v>
      </c>
      <c r="J23" s="319">
        <f t="shared" si="1"/>
        <v>925524.58816644968</v>
      </c>
      <c r="K23" s="317">
        <v>1351756.4165508659</v>
      </c>
      <c r="L23" s="320">
        <f t="shared" si="2"/>
        <v>2277281.0047173155</v>
      </c>
    </row>
    <row r="24" spans="1:12" x14ac:dyDescent="0.3">
      <c r="A24" s="35" t="s">
        <v>65</v>
      </c>
      <c r="B24" s="8"/>
      <c r="C24" s="21"/>
      <c r="D24" s="10">
        <f>'DY 2022 Summary'!T9</f>
        <v>875096.39225227479</v>
      </c>
      <c r="E24" s="10">
        <f>'DY 2022 Summary'!T10</f>
        <v>45800.572973342576</v>
      </c>
      <c r="F24" s="21"/>
      <c r="G24" s="46">
        <f>SUM(C24:F24)</f>
        <v>920896.9652256174</v>
      </c>
      <c r="H24" s="46">
        <f t="shared" si="0"/>
        <v>920896.9652256174</v>
      </c>
      <c r="J24" s="319">
        <f t="shared" si="1"/>
        <v>920896.9652256174</v>
      </c>
      <c r="K24" s="317">
        <v>1347297.6344681112</v>
      </c>
      <c r="L24" s="320">
        <f t="shared" si="2"/>
        <v>2268194.5996937286</v>
      </c>
    </row>
    <row r="25" spans="1:12" x14ac:dyDescent="0.3">
      <c r="A25" s="35" t="s">
        <v>66</v>
      </c>
      <c r="B25" s="8"/>
      <c r="C25" s="21"/>
      <c r="D25" s="10">
        <f>'DY 2022 Summary'!U9</f>
        <v>870720.91029101342</v>
      </c>
      <c r="E25" s="10">
        <f>'DY 2022 Summary'!U10</f>
        <v>45571.570108475862</v>
      </c>
      <c r="F25" s="21"/>
      <c r="G25" s="46">
        <f>SUM(C25:F25)</f>
        <v>916292.48039948929</v>
      </c>
      <c r="H25" s="46">
        <f t="shared" si="0"/>
        <v>916292.48039948929</v>
      </c>
      <c r="J25" s="319">
        <f t="shared" si="1"/>
        <v>916292.48039948929</v>
      </c>
      <c r="K25" s="317">
        <v>1342861.1462957705</v>
      </c>
      <c r="L25" s="320">
        <f t="shared" si="2"/>
        <v>2259153.6266952599</v>
      </c>
    </row>
    <row r="26" spans="1:12" x14ac:dyDescent="0.3">
      <c r="A26" s="35" t="s">
        <v>67</v>
      </c>
      <c r="B26" s="8"/>
      <c r="C26" s="21"/>
      <c r="D26" s="10">
        <f>'DY 2022 Summary'!V9</f>
        <v>866367.3057395583</v>
      </c>
      <c r="E26" s="10">
        <f>'DY 2022 Summary'!V10</f>
        <v>45343.712257933483</v>
      </c>
      <c r="F26" s="21"/>
      <c r="G26" s="46">
        <f>SUM(C26:F26)</f>
        <v>911711.01799749176</v>
      </c>
      <c r="H26" s="46">
        <f t="shared" si="0"/>
        <v>911711.01799749176</v>
      </c>
      <c r="J26" s="321">
        <f t="shared" si="1"/>
        <v>911711.01799749176</v>
      </c>
      <c r="K26" s="322">
        <v>1338446.8405642917</v>
      </c>
      <c r="L26" s="323">
        <f t="shared" si="2"/>
        <v>2250157.8585617836</v>
      </c>
    </row>
    <row r="29" spans="1:12" x14ac:dyDescent="0.3">
      <c r="A29" s="35" t="s">
        <v>94</v>
      </c>
      <c r="B29" s="126">
        <v>0.27317999999999998</v>
      </c>
    </row>
    <row r="30" spans="1:12" x14ac:dyDescent="0.3">
      <c r="A30" s="29" t="s">
        <v>43</v>
      </c>
      <c r="B30" s="29"/>
      <c r="C30" s="29" t="s">
        <v>40</v>
      </c>
      <c r="D30" s="29" t="s">
        <v>41</v>
      </c>
      <c r="E30" s="29" t="s">
        <v>42</v>
      </c>
      <c r="F30" s="181" t="s">
        <v>119</v>
      </c>
      <c r="G30" s="61" t="s">
        <v>140</v>
      </c>
      <c r="H30" s="61" t="s">
        <v>141</v>
      </c>
    </row>
    <row r="31" spans="1:12" x14ac:dyDescent="0.3">
      <c r="A31" s="29"/>
      <c r="B31" s="29"/>
      <c r="C31" s="29"/>
      <c r="D31" s="29"/>
      <c r="E31" s="29"/>
      <c r="F31" s="29"/>
      <c r="G31" s="61"/>
      <c r="H31" s="61"/>
    </row>
    <row r="32" spans="1:12" x14ac:dyDescent="0.3">
      <c r="A32" s="35" t="s">
        <v>144</v>
      </c>
      <c r="B32" s="8"/>
      <c r="C32" s="46">
        <f>$B$29*C4</f>
        <v>0</v>
      </c>
      <c r="D32" s="46">
        <f>$B$29*D4</f>
        <v>0</v>
      </c>
      <c r="E32" s="46">
        <f>$B$29*E4</f>
        <v>0</v>
      </c>
      <c r="F32" s="46">
        <f>F4*$B$29</f>
        <v>0</v>
      </c>
      <c r="G32" s="46">
        <f>SUM(C32:F32)</f>
        <v>0</v>
      </c>
      <c r="H32" s="46">
        <f>G32</f>
        <v>0</v>
      </c>
      <c r="J32" s="19"/>
      <c r="L32" s="19"/>
    </row>
    <row r="33" spans="1:12" x14ac:dyDescent="0.3">
      <c r="A33" s="35" t="s">
        <v>145</v>
      </c>
      <c r="B33" s="8"/>
      <c r="C33" s="46">
        <f>$B$29*C5</f>
        <v>0</v>
      </c>
      <c r="D33" s="46">
        <f>$B$29*D5</f>
        <v>0</v>
      </c>
      <c r="E33" s="46">
        <f>$B$29*E5</f>
        <v>0</v>
      </c>
      <c r="F33" s="46">
        <f>F5*$B$29</f>
        <v>0</v>
      </c>
      <c r="G33" s="46">
        <f>SUM(C33:F33)</f>
        <v>0</v>
      </c>
      <c r="H33" s="46">
        <f t="shared" ref="H33:H54" si="3">G33</f>
        <v>0</v>
      </c>
      <c r="J33" s="19"/>
      <c r="L33" s="19"/>
    </row>
    <row r="34" spans="1:12" x14ac:dyDescent="0.3">
      <c r="A34" s="35" t="s">
        <v>146</v>
      </c>
      <c r="B34" s="8"/>
      <c r="C34" s="46">
        <f>$B$29*C6</f>
        <v>0</v>
      </c>
      <c r="D34" s="46">
        <f>$B$29*D6</f>
        <v>0</v>
      </c>
      <c r="E34" s="46">
        <f>$B$29*E6</f>
        <v>0</v>
      </c>
      <c r="F34" s="46">
        <f>F6*$B$29</f>
        <v>0</v>
      </c>
      <c r="G34" s="46">
        <f>SUM(C34:F34)</f>
        <v>0</v>
      </c>
      <c r="H34" s="46">
        <f t="shared" si="3"/>
        <v>0</v>
      </c>
      <c r="J34" s="19"/>
      <c r="L34" s="19"/>
    </row>
    <row r="35" spans="1:12" x14ac:dyDescent="0.3">
      <c r="A35" s="35" t="s">
        <v>147</v>
      </c>
      <c r="B35" s="8"/>
      <c r="C35" s="46">
        <f>$B$29*C7</f>
        <v>0</v>
      </c>
      <c r="D35" s="46">
        <f>$B$29*D7</f>
        <v>0</v>
      </c>
      <c r="E35" s="46">
        <f>$B$29*E7</f>
        <v>0</v>
      </c>
      <c r="F35" s="46">
        <f>F7*$B$29</f>
        <v>0</v>
      </c>
      <c r="G35" s="46">
        <f>SUM(C35:F35)</f>
        <v>0</v>
      </c>
      <c r="H35" s="46">
        <f t="shared" si="3"/>
        <v>0</v>
      </c>
      <c r="J35" s="19"/>
      <c r="L35" s="19"/>
    </row>
    <row r="36" spans="1:12" x14ac:dyDescent="0.3">
      <c r="A36" s="35" t="s">
        <v>148</v>
      </c>
      <c r="B36" s="8"/>
      <c r="C36" s="46">
        <f>$B$29*C8</f>
        <v>0</v>
      </c>
      <c r="D36" s="46">
        <f>$B$29*D8</f>
        <v>0</v>
      </c>
      <c r="E36" s="46">
        <f>$B$29*E8</f>
        <v>0</v>
      </c>
      <c r="F36" s="46">
        <f>F8*$B$29</f>
        <v>0</v>
      </c>
      <c r="G36" s="46">
        <f>SUM(C36:F36)</f>
        <v>0</v>
      </c>
      <c r="H36" s="46">
        <f t="shared" si="3"/>
        <v>0</v>
      </c>
      <c r="J36" s="19"/>
      <c r="L36" s="19"/>
    </row>
    <row r="37" spans="1:12" x14ac:dyDescent="0.3">
      <c r="A37" s="35" t="s">
        <v>149</v>
      </c>
      <c r="B37" s="8"/>
      <c r="C37" s="46">
        <f>$B$29*C9</f>
        <v>0</v>
      </c>
      <c r="D37" s="46">
        <f>$B$29*D9</f>
        <v>257726.20739999998</v>
      </c>
      <c r="E37" s="46">
        <f>$B$29*E9</f>
        <v>13488.808859999999</v>
      </c>
      <c r="F37" s="46">
        <f>F9*$B$29</f>
        <v>0</v>
      </c>
      <c r="G37" s="46">
        <f>SUM(C37:F37)</f>
        <v>271215.01626</v>
      </c>
      <c r="H37" s="46">
        <f t="shared" si="3"/>
        <v>271215.01626</v>
      </c>
      <c r="J37" s="19"/>
      <c r="L37" s="19"/>
    </row>
    <row r="38" spans="1:12" x14ac:dyDescent="0.3">
      <c r="A38" s="35" t="s">
        <v>150</v>
      </c>
      <c r="B38" s="8"/>
      <c r="C38" s="46">
        <f>$B$29*C10</f>
        <v>0</v>
      </c>
      <c r="D38" s="46">
        <f>$B$29*D10</f>
        <v>256437.57636299997</v>
      </c>
      <c r="E38" s="46">
        <f>$B$29*E10</f>
        <v>13421.364815699999</v>
      </c>
      <c r="F38" s="46">
        <f>F10*$B$29</f>
        <v>0</v>
      </c>
      <c r="G38" s="46">
        <f>SUM(C38:F38)</f>
        <v>269858.94117869996</v>
      </c>
      <c r="H38" s="46">
        <f t="shared" si="3"/>
        <v>269858.94117869996</v>
      </c>
      <c r="J38" s="19"/>
      <c r="L38" s="19"/>
    </row>
    <row r="39" spans="1:12" x14ac:dyDescent="0.3">
      <c r="A39" s="35" t="s">
        <v>151</v>
      </c>
      <c r="B39" s="8"/>
      <c r="C39" s="46">
        <f>$B$29*C11</f>
        <v>0</v>
      </c>
      <c r="D39" s="46">
        <f>$B$29*D11</f>
        <v>255155.38848118496</v>
      </c>
      <c r="E39" s="46">
        <f>$B$29*E11</f>
        <v>13354.257991621498</v>
      </c>
      <c r="F39" s="46">
        <f>F11*$B$29</f>
        <v>0</v>
      </c>
      <c r="G39" s="46">
        <f>SUM(C39:F39)</f>
        <v>268509.64647280646</v>
      </c>
      <c r="H39" s="46">
        <f t="shared" si="3"/>
        <v>268509.64647280646</v>
      </c>
      <c r="J39" s="19"/>
      <c r="L39" s="19"/>
    </row>
    <row r="40" spans="1:12" x14ac:dyDescent="0.3">
      <c r="A40" s="35" t="s">
        <v>152</v>
      </c>
      <c r="B40" s="8"/>
      <c r="C40" s="46">
        <f>$B$29*C12</f>
        <v>0</v>
      </c>
      <c r="D40" s="46">
        <f>$B$29*D12</f>
        <v>253879.61153877905</v>
      </c>
      <c r="E40" s="46">
        <f>$B$29*E12</f>
        <v>13287.486701663391</v>
      </c>
      <c r="F40" s="46">
        <f>F12*$B$29</f>
        <v>0</v>
      </c>
      <c r="G40" s="46">
        <f>SUM(C40:F40)</f>
        <v>267167.09824044246</v>
      </c>
      <c r="H40" s="46">
        <f t="shared" si="3"/>
        <v>267167.09824044246</v>
      </c>
      <c r="J40" s="19"/>
      <c r="L40" s="19"/>
    </row>
    <row r="41" spans="1:12" x14ac:dyDescent="0.3">
      <c r="A41" s="35" t="s">
        <v>153</v>
      </c>
      <c r="B41" s="8"/>
      <c r="C41" s="46">
        <f>$B$29*C13</f>
        <v>0</v>
      </c>
      <c r="D41" s="46">
        <f>$B$29*D13</f>
        <v>252610.21348108514</v>
      </c>
      <c r="E41" s="46">
        <f>$B$29*E13</f>
        <v>13221.049268155073</v>
      </c>
      <c r="F41" s="46">
        <f>F13*$B$29</f>
        <v>0</v>
      </c>
      <c r="G41" s="46">
        <f>SUM(C41:F41)</f>
        <v>265831.26274924021</v>
      </c>
      <c r="H41" s="46">
        <f t="shared" si="3"/>
        <v>265831.26274924021</v>
      </c>
      <c r="J41" s="19"/>
      <c r="L41" s="19"/>
    </row>
    <row r="42" spans="1:12" x14ac:dyDescent="0.3">
      <c r="A42" s="35" t="s">
        <v>154</v>
      </c>
      <c r="B42" s="8"/>
      <c r="C42" s="46">
        <f>$B$29*C14</f>
        <v>0</v>
      </c>
      <c r="D42" s="46">
        <f>$B$29*D14</f>
        <v>251347.1624136797</v>
      </c>
      <c r="E42" s="46">
        <f>$B$29*E14</f>
        <v>13154.944021814299</v>
      </c>
      <c r="F42" s="46">
        <f>F14*$B$29</f>
        <v>0</v>
      </c>
      <c r="G42" s="46">
        <f>SUM(C42:F42)</f>
        <v>264502.10643549403</v>
      </c>
      <c r="H42" s="46">
        <f t="shared" si="3"/>
        <v>264502.10643549403</v>
      </c>
      <c r="J42" s="19"/>
      <c r="L42" s="19"/>
    </row>
    <row r="43" spans="1:12" x14ac:dyDescent="0.3">
      <c r="A43" s="35" t="s">
        <v>155</v>
      </c>
      <c r="B43" s="8"/>
      <c r="C43" s="46">
        <f>$B$29*C15</f>
        <v>0</v>
      </c>
      <c r="D43" s="46">
        <f>$B$29*D15</f>
        <v>250090.42660161131</v>
      </c>
      <c r="E43" s="46">
        <f>$B$29*E15</f>
        <v>13089.169301705228</v>
      </c>
      <c r="F43" s="46">
        <f>F15*$B$29</f>
        <v>0</v>
      </c>
      <c r="G43" s="46">
        <f>SUM(C43:F43)</f>
        <v>263179.59590331651</v>
      </c>
      <c r="H43" s="46">
        <f t="shared" si="3"/>
        <v>263179.59590331651</v>
      </c>
      <c r="J43" s="19"/>
    </row>
    <row r="44" spans="1:12" x14ac:dyDescent="0.3">
      <c r="A44" s="35" t="s">
        <v>156</v>
      </c>
      <c r="B44" s="8"/>
      <c r="C44" s="46">
        <f>$B$29*C16</f>
        <v>0</v>
      </c>
      <c r="D44" s="46">
        <f>$B$29*D16</f>
        <v>248839.97446860324</v>
      </c>
      <c r="E44" s="46">
        <f>$B$29*E16</f>
        <v>13023.723455196701</v>
      </c>
      <c r="F44" s="46">
        <f>F16*$B$29</f>
        <v>0</v>
      </c>
      <c r="G44" s="46">
        <f>SUM(C44:F44)</f>
        <v>261863.69792379995</v>
      </c>
      <c r="H44" s="46">
        <f t="shared" si="3"/>
        <v>261863.69792379995</v>
      </c>
      <c r="J44" s="19"/>
    </row>
    <row r="45" spans="1:12" x14ac:dyDescent="0.3">
      <c r="A45" s="35" t="s">
        <v>157</v>
      </c>
      <c r="B45" s="8"/>
      <c r="C45" s="46">
        <f>$B$29*C17</f>
        <v>0</v>
      </c>
      <c r="D45" s="46">
        <f>$B$29*D17</f>
        <v>247595.77459626022</v>
      </c>
      <c r="E45" s="46">
        <f>$B$29*E17</f>
        <v>12958.604837920717</v>
      </c>
      <c r="F45" s="46">
        <f>F17*$B$29</f>
        <v>0</v>
      </c>
      <c r="G45" s="46">
        <f>SUM(C45:F45)</f>
        <v>260554.37943418094</v>
      </c>
      <c r="H45" s="46">
        <f t="shared" si="3"/>
        <v>260554.37943418094</v>
      </c>
      <c r="J45" s="19"/>
      <c r="L45" s="19"/>
    </row>
    <row r="46" spans="1:12" x14ac:dyDescent="0.3">
      <c r="A46" s="35" t="s">
        <v>158</v>
      </c>
      <c r="B46" s="8"/>
      <c r="C46" s="46">
        <f>$B$29*C18</f>
        <v>0</v>
      </c>
      <c r="D46" s="46">
        <f>$B$29*D18</f>
        <v>246357.79572327889</v>
      </c>
      <c r="E46" s="46">
        <f>$B$29*E18</f>
        <v>12893.811813731112</v>
      </c>
      <c r="F46" s="46">
        <f>F18*$B$29</f>
        <v>0</v>
      </c>
      <c r="G46" s="46">
        <f>SUM(C46:F46)</f>
        <v>259251.60753701002</v>
      </c>
      <c r="H46" s="46">
        <f t="shared" si="3"/>
        <v>259251.60753701002</v>
      </c>
      <c r="J46" s="19"/>
      <c r="L46" s="19"/>
    </row>
    <row r="47" spans="1:12" x14ac:dyDescent="0.3">
      <c r="A47" s="35" t="s">
        <v>159</v>
      </c>
      <c r="B47" s="8"/>
      <c r="C47" s="46">
        <f>$B$29*C19</f>
        <v>0</v>
      </c>
      <c r="D47" s="46">
        <f>$B$29*D19</f>
        <v>245126.0067446625</v>
      </c>
      <c r="E47" s="46">
        <f>$B$29*E19</f>
        <v>12829.342754662457</v>
      </c>
      <c r="F47" s="46">
        <f>F19*$B$29</f>
        <v>0</v>
      </c>
      <c r="G47" s="46">
        <f>SUM(C47:F47)</f>
        <v>257955.34949932495</v>
      </c>
      <c r="H47" s="46">
        <f t="shared" si="3"/>
        <v>257955.34949932495</v>
      </c>
      <c r="J47" s="19"/>
      <c r="L47" s="19"/>
    </row>
    <row r="48" spans="1:12" x14ac:dyDescent="0.3">
      <c r="A48" s="35" t="s">
        <v>61</v>
      </c>
      <c r="B48" s="8"/>
      <c r="C48" s="46">
        <f>$B$29*C20</f>
        <v>0</v>
      </c>
      <c r="D48" s="46">
        <f>$B$29*D20</f>
        <v>243900.37671093916</v>
      </c>
      <c r="E48" s="46">
        <f>$B$29*E20</f>
        <v>12765.196040889146</v>
      </c>
      <c r="F48" s="46">
        <f>F20*$B$29</f>
        <v>0</v>
      </c>
      <c r="G48" s="46">
        <f>SUM(C48:F48)</f>
        <v>256665.57275182829</v>
      </c>
      <c r="H48" s="46">
        <f t="shared" si="3"/>
        <v>256665.57275182829</v>
      </c>
      <c r="J48" s="19"/>
      <c r="L48" s="19"/>
    </row>
    <row r="49" spans="1:12" x14ac:dyDescent="0.3">
      <c r="A49" s="35" t="s">
        <v>62</v>
      </c>
      <c r="B49" s="57"/>
      <c r="C49" s="46">
        <f>$B$29*C21</f>
        <v>0</v>
      </c>
      <c r="D49" s="46">
        <f>$B$29*D21</f>
        <v>242680.87482738448</v>
      </c>
      <c r="E49" s="46">
        <f>$B$29*E21</f>
        <v>12701.370060684701</v>
      </c>
      <c r="F49" s="46">
        <f>F21*$B$29</f>
        <v>0</v>
      </c>
      <c r="G49" s="46">
        <f>SUM(C49:F49)</f>
        <v>255382.2448880692</v>
      </c>
      <c r="H49" s="46">
        <f t="shared" si="3"/>
        <v>255382.2448880692</v>
      </c>
      <c r="J49" s="19"/>
      <c r="L49" s="19"/>
    </row>
    <row r="50" spans="1:12" x14ac:dyDescent="0.3">
      <c r="A50" s="35" t="s">
        <v>63</v>
      </c>
      <c r="B50" s="57"/>
      <c r="C50" s="46">
        <f>$B$29*C22</f>
        <v>0</v>
      </c>
      <c r="D50" s="46">
        <f>$B$29*D22</f>
        <v>241467.47045324757</v>
      </c>
      <c r="E50" s="46">
        <f>$B$29*E22</f>
        <v>12637.863210381276</v>
      </c>
      <c r="F50" s="46">
        <f>F22*$B$29</f>
        <v>0</v>
      </c>
      <c r="G50" s="46">
        <f>SUM(C50:F50)</f>
        <v>254105.33366362884</v>
      </c>
      <c r="H50" s="46">
        <f t="shared" si="3"/>
        <v>254105.33366362884</v>
      </c>
      <c r="J50" s="19"/>
      <c r="L50" s="19"/>
    </row>
    <row r="51" spans="1:12" x14ac:dyDescent="0.3">
      <c r="A51" s="35" t="s">
        <v>64</v>
      </c>
      <c r="B51" s="57"/>
      <c r="C51" s="46">
        <f>$B$29*C23</f>
        <v>0</v>
      </c>
      <c r="D51" s="46">
        <f>$B$29*D23</f>
        <v>240260.13310098133</v>
      </c>
      <c r="E51" s="46">
        <f>$B$29*E23</f>
        <v>12574.673894329369</v>
      </c>
      <c r="F51" s="46">
        <f>F23*$B$29</f>
        <v>0</v>
      </c>
      <c r="G51" s="46">
        <f>SUM(C51:F51)</f>
        <v>252834.8069953107</v>
      </c>
      <c r="H51" s="46">
        <f t="shared" si="3"/>
        <v>252834.8069953107</v>
      </c>
      <c r="J51" s="19"/>
      <c r="L51" s="19"/>
    </row>
    <row r="52" spans="1:12" x14ac:dyDescent="0.3">
      <c r="A52" s="35" t="s">
        <v>65</v>
      </c>
      <c r="B52" s="57"/>
      <c r="C52" s="46">
        <f>$B$29*C24</f>
        <v>0</v>
      </c>
      <c r="D52" s="46">
        <f>$B$29*D24</f>
        <v>239058.83243547642</v>
      </c>
      <c r="E52" s="46">
        <f>$B$29*E24</f>
        <v>12511.800524857725</v>
      </c>
      <c r="F52" s="46">
        <f>F24*$B$29</f>
        <v>0</v>
      </c>
      <c r="G52" s="46">
        <f>SUM(C52:F52)</f>
        <v>251570.63296033413</v>
      </c>
      <c r="H52" s="46">
        <f t="shared" si="3"/>
        <v>251570.63296033413</v>
      </c>
      <c r="J52" s="19"/>
      <c r="L52" s="19"/>
    </row>
    <row r="53" spans="1:12" x14ac:dyDescent="0.3">
      <c r="A53" s="35" t="s">
        <v>66</v>
      </c>
      <c r="B53" s="57"/>
      <c r="C53" s="46">
        <f>$B$29*C25</f>
        <v>0</v>
      </c>
      <c r="D53" s="46">
        <f>$B$29*D25</f>
        <v>237863.53827329903</v>
      </c>
      <c r="E53" s="46">
        <f>$B$29*E25</f>
        <v>12449.241522233435</v>
      </c>
      <c r="F53" s="46">
        <f>F25*$B$29</f>
        <v>0</v>
      </c>
      <c r="G53" s="46">
        <f>SUM(C53:F53)</f>
        <v>250312.77979553246</v>
      </c>
      <c r="H53" s="46">
        <f t="shared" si="3"/>
        <v>250312.77979553246</v>
      </c>
      <c r="J53" s="19"/>
      <c r="L53" s="19"/>
    </row>
    <row r="54" spans="1:12" x14ac:dyDescent="0.3">
      <c r="A54" s="35" t="s">
        <v>67</v>
      </c>
      <c r="B54" s="57"/>
      <c r="C54" s="46">
        <f>$B$29*C26</f>
        <v>0</v>
      </c>
      <c r="D54" s="46">
        <f>$B$29*D26</f>
        <v>236674.22058193252</v>
      </c>
      <c r="E54" s="46">
        <f>$B$29*E26</f>
        <v>12386.995314622267</v>
      </c>
      <c r="F54" s="46">
        <f>F26*$B$29</f>
        <v>0</v>
      </c>
      <c r="G54" s="46">
        <f>SUM(C54:F54)</f>
        <v>249061.21589655479</v>
      </c>
      <c r="H54" s="46">
        <f t="shared" si="3"/>
        <v>249061.21589655479</v>
      </c>
      <c r="J54" s="19"/>
      <c r="L54" s="19"/>
    </row>
    <row r="55" spans="1:12" x14ac:dyDescent="0.3">
      <c r="L55" s="19"/>
    </row>
    <row r="57" spans="1:12" x14ac:dyDescent="0.3">
      <c r="A57" s="35" t="s">
        <v>106</v>
      </c>
      <c r="B57" s="126">
        <v>0.72445000000000004</v>
      </c>
    </row>
    <row r="58" spans="1:12" x14ac:dyDescent="0.3">
      <c r="A58" s="29" t="s">
        <v>43</v>
      </c>
      <c r="B58" s="29"/>
      <c r="C58" s="29" t="s">
        <v>40</v>
      </c>
      <c r="D58" s="29" t="s">
        <v>41</v>
      </c>
      <c r="E58" s="29" t="s">
        <v>42</v>
      </c>
      <c r="F58" s="181" t="s">
        <v>119</v>
      </c>
      <c r="G58" s="61" t="s">
        <v>140</v>
      </c>
      <c r="H58" s="61" t="s">
        <v>141</v>
      </c>
    </row>
    <row r="59" spans="1:12" x14ac:dyDescent="0.3">
      <c r="A59" s="29"/>
      <c r="B59" s="29"/>
      <c r="C59" s="29"/>
      <c r="D59" s="29"/>
      <c r="E59" s="29"/>
      <c r="F59" s="29"/>
      <c r="G59" s="61"/>
      <c r="H59" s="61"/>
    </row>
    <row r="60" spans="1:12" x14ac:dyDescent="0.3">
      <c r="A60" s="35" t="s">
        <v>144</v>
      </c>
      <c r="B60" s="8"/>
      <c r="C60" s="46">
        <f>$B$57*C4</f>
        <v>0</v>
      </c>
      <c r="D60" s="46">
        <f>$B$57*D4</f>
        <v>0</v>
      </c>
      <c r="E60" s="46">
        <f>$B$57*E4</f>
        <v>0</v>
      </c>
      <c r="F60" s="46">
        <f>F4*$B$57</f>
        <v>0</v>
      </c>
      <c r="G60" s="46">
        <f>SUM(C60:F60)</f>
        <v>0</v>
      </c>
      <c r="H60" s="46">
        <f>G60</f>
        <v>0</v>
      </c>
      <c r="J60" s="19"/>
      <c r="L60" s="19"/>
    </row>
    <row r="61" spans="1:12" x14ac:dyDescent="0.3">
      <c r="A61" s="35" t="s">
        <v>145</v>
      </c>
      <c r="B61" s="8"/>
      <c r="C61" s="46">
        <f>$B$57*C5</f>
        <v>0</v>
      </c>
      <c r="D61" s="46">
        <f>$B$57*D5</f>
        <v>0</v>
      </c>
      <c r="E61" s="46">
        <f>$B$57*E5</f>
        <v>0</v>
      </c>
      <c r="F61" s="46">
        <f>F5*$B$57</f>
        <v>0</v>
      </c>
      <c r="G61" s="46">
        <f>SUM(C61:F61)</f>
        <v>0</v>
      </c>
      <c r="H61" s="46">
        <f t="shared" ref="H61:H82" si="4">G61</f>
        <v>0</v>
      </c>
      <c r="J61" s="19"/>
      <c r="L61" s="19"/>
    </row>
    <row r="62" spans="1:12" x14ac:dyDescent="0.3">
      <c r="A62" s="35" t="s">
        <v>146</v>
      </c>
      <c r="B62" s="8"/>
      <c r="C62" s="46">
        <f>$B$57*C6</f>
        <v>0</v>
      </c>
      <c r="D62" s="46">
        <f>$B$57*D6</f>
        <v>0</v>
      </c>
      <c r="E62" s="46">
        <f>$B$57*E6</f>
        <v>0</v>
      </c>
      <c r="F62" s="46">
        <f>F6*$B$57</f>
        <v>0</v>
      </c>
      <c r="G62" s="46">
        <f>SUM(C62:F62)</f>
        <v>0</v>
      </c>
      <c r="H62" s="46">
        <f t="shared" si="4"/>
        <v>0</v>
      </c>
      <c r="J62" s="19"/>
    </row>
    <row r="63" spans="1:12" x14ac:dyDescent="0.3">
      <c r="A63" s="35" t="s">
        <v>147</v>
      </c>
      <c r="B63" s="8"/>
      <c r="C63" s="46">
        <f>$B$57*C7</f>
        <v>0</v>
      </c>
      <c r="D63" s="46">
        <f>$B$57*D7</f>
        <v>0</v>
      </c>
      <c r="E63" s="46">
        <f>$B$57*E7</f>
        <v>0</v>
      </c>
      <c r="F63" s="46">
        <f>F7*$B$57</f>
        <v>0</v>
      </c>
      <c r="G63" s="46">
        <f>SUM(C63:F63)</f>
        <v>0</v>
      </c>
      <c r="H63" s="46">
        <f t="shared" si="4"/>
        <v>0</v>
      </c>
      <c r="J63" s="19"/>
    </row>
    <row r="64" spans="1:12" x14ac:dyDescent="0.3">
      <c r="A64" s="35" t="s">
        <v>148</v>
      </c>
      <c r="B64" s="8"/>
      <c r="C64" s="46">
        <f>$B$57*C8</f>
        <v>0</v>
      </c>
      <c r="D64" s="46">
        <f>$B$57*D8</f>
        <v>0</v>
      </c>
      <c r="E64" s="46">
        <f>$B$57*E8</f>
        <v>0</v>
      </c>
      <c r="F64" s="46">
        <f>F8*$B$57</f>
        <v>0</v>
      </c>
      <c r="G64" s="46">
        <f>SUM(C64:F64)</f>
        <v>0</v>
      </c>
      <c r="H64" s="46">
        <f t="shared" si="4"/>
        <v>0</v>
      </c>
      <c r="J64" s="19"/>
    </row>
    <row r="65" spans="1:10" x14ac:dyDescent="0.3">
      <c r="A65" s="35" t="s">
        <v>149</v>
      </c>
      <c r="B65" s="8"/>
      <c r="C65" s="46">
        <f>$B$57*C9</f>
        <v>0</v>
      </c>
      <c r="D65" s="46">
        <f>$B$57*D9</f>
        <v>683467.86350000009</v>
      </c>
      <c r="E65" s="46">
        <f>$B$57*E9</f>
        <v>35771.167650000003</v>
      </c>
      <c r="F65" s="46">
        <f>F9*$B$57</f>
        <v>0</v>
      </c>
      <c r="G65" s="46">
        <f>SUM(C65:F65)</f>
        <v>719239.03115000005</v>
      </c>
      <c r="H65" s="46">
        <f t="shared" si="4"/>
        <v>719239.03115000005</v>
      </c>
      <c r="J65" s="19"/>
    </row>
    <row r="66" spans="1:10" x14ac:dyDescent="0.3">
      <c r="A66" s="35" t="s">
        <v>150</v>
      </c>
      <c r="B66" s="8"/>
      <c r="C66" s="46">
        <f>$B$57*C10</f>
        <v>0</v>
      </c>
      <c r="D66" s="46">
        <f>$B$57*D10</f>
        <v>680050.52418249997</v>
      </c>
      <c r="E66" s="46">
        <f>$B$57*E10</f>
        <v>35592.311811749998</v>
      </c>
      <c r="F66" s="46">
        <f>F10*$B$57</f>
        <v>0</v>
      </c>
      <c r="G66" s="46">
        <f>SUM(C66:F66)</f>
        <v>715642.83599424991</v>
      </c>
      <c r="H66" s="46">
        <f t="shared" si="4"/>
        <v>715642.83599424991</v>
      </c>
      <c r="J66" s="19"/>
    </row>
    <row r="67" spans="1:10" x14ac:dyDescent="0.3">
      <c r="A67" s="35" t="s">
        <v>151</v>
      </c>
      <c r="B67" s="8"/>
      <c r="C67" s="46">
        <f>$B$57*C11</f>
        <v>0</v>
      </c>
      <c r="D67" s="46">
        <f>$B$57*D11</f>
        <v>676650.27156158746</v>
      </c>
      <c r="E67" s="46">
        <f>$B$57*E11</f>
        <v>35414.350252691249</v>
      </c>
      <c r="F67" s="46">
        <f>F11*$B$57</f>
        <v>0</v>
      </c>
      <c r="G67" s="46">
        <f>SUM(C67:F67)</f>
        <v>712064.62181427865</v>
      </c>
      <c r="H67" s="46">
        <f t="shared" si="4"/>
        <v>712064.62181427865</v>
      </c>
      <c r="J67" s="19"/>
    </row>
    <row r="68" spans="1:10" x14ac:dyDescent="0.3">
      <c r="A68" s="35" t="s">
        <v>152</v>
      </c>
      <c r="B68" s="8"/>
      <c r="C68" s="46">
        <f>$B$57*C12</f>
        <v>0</v>
      </c>
      <c r="D68" s="46">
        <f>$B$57*D12</f>
        <v>673267.02020377957</v>
      </c>
      <c r="E68" s="46">
        <f>$B$57*E12</f>
        <v>35237.278501427798</v>
      </c>
      <c r="F68" s="46">
        <f>F12*$B$57</f>
        <v>0</v>
      </c>
      <c r="G68" s="46">
        <f>SUM(C68:F68)</f>
        <v>708504.29870520742</v>
      </c>
      <c r="H68" s="46">
        <f t="shared" si="4"/>
        <v>708504.29870520742</v>
      </c>
      <c r="J68" s="19"/>
    </row>
    <row r="69" spans="1:10" x14ac:dyDescent="0.3">
      <c r="A69" s="35" t="s">
        <v>153</v>
      </c>
      <c r="B69" s="8"/>
      <c r="C69" s="46">
        <f>$B$57*C13</f>
        <v>0</v>
      </c>
      <c r="D69" s="46">
        <f>$B$57*D13</f>
        <v>669900.68510276068</v>
      </c>
      <c r="E69" s="46">
        <f>$B$57*E13</f>
        <v>35061.092108920653</v>
      </c>
      <c r="F69" s="46">
        <f>F13*$B$57</f>
        <v>0</v>
      </c>
      <c r="G69" s="46">
        <f>SUM(C69:F69)</f>
        <v>704961.77721168136</v>
      </c>
      <c r="H69" s="46">
        <f t="shared" si="4"/>
        <v>704961.77721168136</v>
      </c>
      <c r="J69" s="19"/>
    </row>
    <row r="70" spans="1:10" x14ac:dyDescent="0.3">
      <c r="A70" s="35" t="s">
        <v>154</v>
      </c>
      <c r="B70" s="8"/>
      <c r="C70" s="46">
        <f>$B$57*C14</f>
        <v>0</v>
      </c>
      <c r="D70" s="46">
        <f>$B$57*D14</f>
        <v>666551.18167724682</v>
      </c>
      <c r="E70" s="46">
        <f>$B$57*E14</f>
        <v>34885.786648376052</v>
      </c>
      <c r="F70" s="46">
        <f>F14*$B$57</f>
        <v>0</v>
      </c>
      <c r="G70" s="46">
        <f>SUM(C70:F70)</f>
        <v>701436.96832562285</v>
      </c>
      <c r="H70" s="46">
        <f t="shared" si="4"/>
        <v>701436.96832562285</v>
      </c>
      <c r="J70" s="19"/>
    </row>
    <row r="71" spans="1:10" x14ac:dyDescent="0.3">
      <c r="A71" s="35" t="s">
        <v>155</v>
      </c>
      <c r="B71" s="8"/>
      <c r="C71" s="46">
        <f>$B$57*C15</f>
        <v>0</v>
      </c>
      <c r="D71" s="46">
        <f>$B$57*D15</f>
        <v>663218.42576886062</v>
      </c>
      <c r="E71" s="46">
        <f>$B$57*E15</f>
        <v>34711.357715134174</v>
      </c>
      <c r="F71" s="46">
        <f>F15*$B$57</f>
        <v>0</v>
      </c>
      <c r="G71" s="46">
        <f>SUM(C71:F71)</f>
        <v>697929.78348399478</v>
      </c>
      <c r="H71" s="46">
        <f t="shared" si="4"/>
        <v>697929.78348399478</v>
      </c>
    </row>
    <row r="72" spans="1:10" x14ac:dyDescent="0.3">
      <c r="A72" s="35" t="s">
        <v>156</v>
      </c>
      <c r="B72" s="8"/>
      <c r="C72" s="46">
        <f>$B$57*C16</f>
        <v>0</v>
      </c>
      <c r="D72" s="46">
        <f>$B$57*D16</f>
        <v>659902.33364001627</v>
      </c>
      <c r="E72" s="46">
        <f>$B$57*E16</f>
        <v>34537.800926558499</v>
      </c>
      <c r="F72" s="46">
        <f>F16*$B$57</f>
        <v>0</v>
      </c>
      <c r="G72" s="46">
        <f>SUM(C72:F72)</f>
        <v>694440.13456657482</v>
      </c>
      <c r="H72" s="46">
        <f t="shared" si="4"/>
        <v>694440.13456657482</v>
      </c>
    </row>
    <row r="73" spans="1:10" x14ac:dyDescent="0.3">
      <c r="A73" s="35" t="s">
        <v>157</v>
      </c>
      <c r="B73" s="8"/>
      <c r="C73" s="46">
        <f>$B$57*C17</f>
        <v>0</v>
      </c>
      <c r="D73" s="46">
        <f>$B$57*D17</f>
        <v>656602.82197181613</v>
      </c>
      <c r="E73" s="46">
        <f>$B$57*E17</f>
        <v>34365.111921925709</v>
      </c>
      <c r="F73" s="46">
        <f>F17*$B$57</f>
        <v>0</v>
      </c>
      <c r="G73" s="46">
        <f>SUM(C73:F73)</f>
        <v>690967.93389374181</v>
      </c>
      <c r="H73" s="46">
        <f t="shared" si="4"/>
        <v>690967.93389374181</v>
      </c>
    </row>
    <row r="74" spans="1:10" x14ac:dyDescent="0.3">
      <c r="A74" s="35" t="s">
        <v>158</v>
      </c>
      <c r="B74" s="8"/>
      <c r="C74" s="46">
        <f>$B$57*C18</f>
        <v>0</v>
      </c>
      <c r="D74" s="46">
        <f>$B$57*D18</f>
        <v>653319.807861957</v>
      </c>
      <c r="E74" s="46">
        <f>$B$57*E18</f>
        <v>34193.286362316074</v>
      </c>
      <c r="F74" s="46">
        <f>F18*$B$57</f>
        <v>0</v>
      </c>
      <c r="G74" s="46">
        <f>SUM(C74:F74)</f>
        <v>687513.09422427311</v>
      </c>
      <c r="H74" s="46">
        <f t="shared" si="4"/>
        <v>687513.09422427311</v>
      </c>
    </row>
    <row r="75" spans="1:10" x14ac:dyDescent="0.3">
      <c r="A75" s="35" t="s">
        <v>159</v>
      </c>
      <c r="B75" s="8"/>
      <c r="C75" s="46">
        <f>$B$57*C19</f>
        <v>0</v>
      </c>
      <c r="D75" s="46">
        <f>$B$57*D19</f>
        <v>650053.20882264723</v>
      </c>
      <c r="E75" s="46">
        <f>$B$57*E19</f>
        <v>34022.319930504498</v>
      </c>
      <c r="F75" s="46">
        <f>F19*$B$57</f>
        <v>0</v>
      </c>
      <c r="G75" s="46">
        <f>SUM(C75:F75)</f>
        <v>684075.52875315177</v>
      </c>
      <c r="H75" s="46">
        <f t="shared" si="4"/>
        <v>684075.52875315177</v>
      </c>
    </row>
    <row r="76" spans="1:10" x14ac:dyDescent="0.3">
      <c r="A76" s="35" t="s">
        <v>61</v>
      </c>
      <c r="B76" s="8"/>
      <c r="C76" s="46">
        <f>$B$57*C20</f>
        <v>0</v>
      </c>
      <c r="D76" s="46">
        <f>$B$57*D20</f>
        <v>646802.94277853402</v>
      </c>
      <c r="E76" s="46">
        <f>$B$57*E20</f>
        <v>33852.20833085198</v>
      </c>
      <c r="F76" s="46">
        <f>F20*$B$57</f>
        <v>0</v>
      </c>
      <c r="G76" s="46">
        <f>SUM(C76:F76)</f>
        <v>680655.151109386</v>
      </c>
      <c r="H76" s="46">
        <f t="shared" si="4"/>
        <v>680655.151109386</v>
      </c>
    </row>
    <row r="77" spans="1:10" x14ac:dyDescent="0.3">
      <c r="A77" s="35" t="s">
        <v>62</v>
      </c>
      <c r="B77" s="57"/>
      <c r="C77" s="46">
        <f>$B$57*C21</f>
        <v>0</v>
      </c>
      <c r="D77" s="46">
        <f>$B$57*D21</f>
        <v>643568.92806464131</v>
      </c>
      <c r="E77" s="46">
        <f>$B$57*E21</f>
        <v>33682.94728919772</v>
      </c>
      <c r="F77" s="46">
        <f>F21*$B$57</f>
        <v>0</v>
      </c>
      <c r="G77" s="46">
        <f>SUM(C77:F77)</f>
        <v>677251.87535383902</v>
      </c>
      <c r="H77" s="46">
        <f t="shared" si="4"/>
        <v>677251.87535383902</v>
      </c>
    </row>
    <row r="78" spans="1:10" x14ac:dyDescent="0.3">
      <c r="A78" s="35" t="s">
        <v>63</v>
      </c>
      <c r="B78" s="57"/>
      <c r="C78" s="46">
        <f>$B$57*C22</f>
        <v>0</v>
      </c>
      <c r="D78" s="46">
        <f>$B$57*D22</f>
        <v>640351.08342431812</v>
      </c>
      <c r="E78" s="46">
        <f>$B$57*E22</f>
        <v>33514.532552751727</v>
      </c>
      <c r="F78" s="46">
        <f>F22*$B$57</f>
        <v>0</v>
      </c>
      <c r="G78" s="46">
        <f>SUM(C78:F78)</f>
        <v>673865.61597706983</v>
      </c>
      <c r="H78" s="46">
        <f t="shared" si="4"/>
        <v>673865.61597706983</v>
      </c>
    </row>
    <row r="79" spans="1:10" x14ac:dyDescent="0.3">
      <c r="A79" s="35" t="s">
        <v>64</v>
      </c>
      <c r="B79" s="57"/>
      <c r="C79" s="46">
        <f>$B$57*C23</f>
        <v>0</v>
      </c>
      <c r="D79" s="46">
        <f>$B$57*D23</f>
        <v>637149.32800719654</v>
      </c>
      <c r="E79" s="46">
        <f>$B$57*E23</f>
        <v>33346.959889987971</v>
      </c>
      <c r="F79" s="46">
        <f>F23*$B$57</f>
        <v>0</v>
      </c>
      <c r="G79" s="46">
        <f>SUM(C79:F79)</f>
        <v>670496.28789718449</v>
      </c>
      <c r="H79" s="46">
        <f t="shared" si="4"/>
        <v>670496.28789718449</v>
      </c>
    </row>
    <row r="80" spans="1:10" x14ac:dyDescent="0.3">
      <c r="A80" s="35" t="s">
        <v>65</v>
      </c>
      <c r="B80" s="57"/>
      <c r="C80" s="46">
        <f>$B$57*C24</f>
        <v>0</v>
      </c>
      <c r="D80" s="46">
        <f>$B$57*D24</f>
        <v>633963.58136716054</v>
      </c>
      <c r="E80" s="46">
        <f>$B$57*E24</f>
        <v>33180.225090538028</v>
      </c>
      <c r="F80" s="46">
        <f>F24*$B$57</f>
        <v>0</v>
      </c>
      <c r="G80" s="46">
        <f>SUM(C80:F80)</f>
        <v>667143.80645769858</v>
      </c>
      <c r="H80" s="46">
        <f t="shared" si="4"/>
        <v>667143.80645769858</v>
      </c>
    </row>
    <row r="81" spans="1:10" x14ac:dyDescent="0.3">
      <c r="A81" s="35" t="s">
        <v>66</v>
      </c>
      <c r="B81" s="57"/>
      <c r="C81" s="46">
        <f>$B$57*C25</f>
        <v>0</v>
      </c>
      <c r="D81" s="46">
        <f>$B$57*D25</f>
        <v>630793.76346032473</v>
      </c>
      <c r="E81" s="46">
        <f>$B$57*E25</f>
        <v>33014.323965085343</v>
      </c>
      <c r="F81" s="46">
        <f>F25*$B$57</f>
        <v>0</v>
      </c>
      <c r="G81" s="46">
        <f>SUM(C81:F81)</f>
        <v>663808.08742541005</v>
      </c>
      <c r="H81" s="46">
        <f t="shared" si="4"/>
        <v>663808.08742541005</v>
      </c>
    </row>
    <row r="82" spans="1:10" x14ac:dyDescent="0.3">
      <c r="A82" s="35" t="s">
        <v>67</v>
      </c>
      <c r="B82" s="57"/>
      <c r="C82" s="46">
        <f>$B$57*C26</f>
        <v>0</v>
      </c>
      <c r="D82" s="46">
        <f>$B$57*D26</f>
        <v>627639.79464302305</v>
      </c>
      <c r="E82" s="46">
        <f>$B$57*E26</f>
        <v>32849.252345259913</v>
      </c>
      <c r="F82" s="46">
        <f>F26*$B$57</f>
        <v>0</v>
      </c>
      <c r="G82" s="46">
        <f>SUM(C82:F82)</f>
        <v>660489.04698828293</v>
      </c>
      <c r="H82" s="46">
        <f t="shared" si="4"/>
        <v>660489.04698828293</v>
      </c>
    </row>
    <row r="85" spans="1:10" x14ac:dyDescent="0.3">
      <c r="A85" s="35" t="s">
        <v>130</v>
      </c>
      <c r="B85" s="126">
        <v>2.3700000000000001E-3</v>
      </c>
    </row>
    <row r="86" spans="1:10" x14ac:dyDescent="0.3">
      <c r="A86" s="29" t="s">
        <v>43</v>
      </c>
      <c r="B86" s="29"/>
      <c r="C86" s="29" t="s">
        <v>40</v>
      </c>
      <c r="D86" s="29" t="s">
        <v>41</v>
      </c>
      <c r="E86" s="29" t="s">
        <v>42</v>
      </c>
      <c r="F86" s="181" t="s">
        <v>119</v>
      </c>
      <c r="G86" s="61" t="s">
        <v>140</v>
      </c>
      <c r="H86" s="61" t="s">
        <v>141</v>
      </c>
    </row>
    <row r="87" spans="1:10" x14ac:dyDescent="0.3">
      <c r="A87" s="29"/>
      <c r="B87" s="29"/>
      <c r="C87" s="29"/>
      <c r="D87" s="29"/>
      <c r="E87" s="29"/>
      <c r="F87" s="29"/>
      <c r="G87" s="61"/>
      <c r="H87" s="61"/>
    </row>
    <row r="88" spans="1:10" x14ac:dyDescent="0.3">
      <c r="A88" s="35" t="s">
        <v>144</v>
      </c>
      <c r="B88" s="8"/>
      <c r="C88" s="46">
        <f>$B$85*C4</f>
        <v>0</v>
      </c>
      <c r="D88" s="46">
        <f>$B$85*D4</f>
        <v>0</v>
      </c>
      <c r="E88" s="46">
        <f>$B$85*E4</f>
        <v>0</v>
      </c>
      <c r="F88" s="46">
        <f>F4*$B$85</f>
        <v>0</v>
      </c>
      <c r="G88" s="46">
        <f>SUM(C88:F88)</f>
        <v>0</v>
      </c>
      <c r="H88" s="46">
        <f>G88</f>
        <v>0</v>
      </c>
      <c r="J88" s="19"/>
    </row>
    <row r="89" spans="1:10" x14ac:dyDescent="0.3">
      <c r="A89" s="35" t="s">
        <v>145</v>
      </c>
      <c r="B89" s="8"/>
      <c r="C89" s="46">
        <f>$B$85*C5</f>
        <v>0</v>
      </c>
      <c r="D89" s="46">
        <f>$B$85*D5</f>
        <v>0</v>
      </c>
      <c r="E89" s="46">
        <f>$B$85*E5</f>
        <v>0</v>
      </c>
      <c r="F89" s="46">
        <f>F5*$B$85</f>
        <v>0</v>
      </c>
      <c r="G89" s="46">
        <f>SUM(C89:F89)</f>
        <v>0</v>
      </c>
      <c r="H89" s="46">
        <f t="shared" ref="H89:H110" si="5">G89</f>
        <v>0</v>
      </c>
      <c r="J89" s="19"/>
    </row>
    <row r="90" spans="1:10" x14ac:dyDescent="0.3">
      <c r="A90" s="35" t="s">
        <v>146</v>
      </c>
      <c r="B90" s="8"/>
      <c r="C90" s="46">
        <f>$B$85*C6</f>
        <v>0</v>
      </c>
      <c r="D90" s="46">
        <f>$B$85*D6</f>
        <v>0</v>
      </c>
      <c r="E90" s="46">
        <f>$B$85*E6</f>
        <v>0</v>
      </c>
      <c r="F90" s="46">
        <f>F6*$B$85</f>
        <v>0</v>
      </c>
      <c r="G90" s="46">
        <f>SUM(C90:F90)</f>
        <v>0</v>
      </c>
      <c r="H90" s="46">
        <f t="shared" si="5"/>
        <v>0</v>
      </c>
      <c r="J90" s="19"/>
    </row>
    <row r="91" spans="1:10" x14ac:dyDescent="0.3">
      <c r="A91" s="35" t="s">
        <v>147</v>
      </c>
      <c r="B91" s="8"/>
      <c r="C91" s="46">
        <f>$B$85*C7</f>
        <v>0</v>
      </c>
      <c r="D91" s="46">
        <f>$B$85*D7</f>
        <v>0</v>
      </c>
      <c r="E91" s="46">
        <f>$B$85*E7</f>
        <v>0</v>
      </c>
      <c r="F91" s="46">
        <f>F7*$B$85</f>
        <v>0</v>
      </c>
      <c r="G91" s="46">
        <f>SUM(C91:F91)</f>
        <v>0</v>
      </c>
      <c r="H91" s="46">
        <f t="shared" si="5"/>
        <v>0</v>
      </c>
      <c r="J91" s="19"/>
    </row>
    <row r="92" spans="1:10" x14ac:dyDescent="0.3">
      <c r="A92" s="35" t="s">
        <v>148</v>
      </c>
      <c r="B92" s="8"/>
      <c r="C92" s="46">
        <f>$B$85*C8</f>
        <v>0</v>
      </c>
      <c r="D92" s="46">
        <f>$B$85*D8</f>
        <v>0</v>
      </c>
      <c r="E92" s="46">
        <f>$B$85*E8</f>
        <v>0</v>
      </c>
      <c r="F92" s="46">
        <f>F8*$B$85</f>
        <v>0</v>
      </c>
      <c r="G92" s="46">
        <f>SUM(C92:F92)</f>
        <v>0</v>
      </c>
      <c r="H92" s="46">
        <f t="shared" si="5"/>
        <v>0</v>
      </c>
      <c r="J92" s="19"/>
    </row>
    <row r="93" spans="1:10" x14ac:dyDescent="0.3">
      <c r="A93" s="35" t="s">
        <v>149</v>
      </c>
      <c r="B93" s="8"/>
      <c r="C93" s="46">
        <f>$B$85*C9</f>
        <v>0</v>
      </c>
      <c r="D93" s="46">
        <f>$B$85*D9</f>
        <v>2235.9291000000003</v>
      </c>
      <c r="E93" s="46">
        <f>$B$85*E9</f>
        <v>117.02349000000001</v>
      </c>
      <c r="F93" s="46">
        <f>F9*$B$85</f>
        <v>0</v>
      </c>
      <c r="G93" s="46">
        <f>SUM(C93:F93)</f>
        <v>2352.9525900000003</v>
      </c>
      <c r="H93" s="46">
        <f t="shared" si="5"/>
        <v>2352.9525900000003</v>
      </c>
      <c r="J93" s="19"/>
    </row>
    <row r="94" spans="1:10" x14ac:dyDescent="0.3">
      <c r="A94" s="35" t="s">
        <v>150</v>
      </c>
      <c r="B94" s="8"/>
      <c r="C94" s="46">
        <f>$B$85*C10</f>
        <v>0</v>
      </c>
      <c r="D94" s="46">
        <f>$B$85*D10</f>
        <v>2224.7494545</v>
      </c>
      <c r="E94" s="46">
        <f>$B$85*E10</f>
        <v>116.43837255</v>
      </c>
      <c r="F94" s="46">
        <f>F10*$B$85</f>
        <v>0</v>
      </c>
      <c r="G94" s="46">
        <f>SUM(C94:F94)</f>
        <v>2341.1878270500001</v>
      </c>
      <c r="H94" s="46">
        <f t="shared" si="5"/>
        <v>2341.1878270500001</v>
      </c>
      <c r="J94" s="19"/>
    </row>
    <row r="95" spans="1:10" x14ac:dyDescent="0.3">
      <c r="A95" s="35" t="s">
        <v>151</v>
      </c>
      <c r="B95" s="8"/>
      <c r="C95" s="46">
        <f>$B$85*C11</f>
        <v>0</v>
      </c>
      <c r="D95" s="46">
        <f>$B$85*D11</f>
        <v>2213.6257072274998</v>
      </c>
      <c r="E95" s="46">
        <f>$B$85*E11</f>
        <v>115.85618068725</v>
      </c>
      <c r="F95" s="46">
        <f>F11*$B$85</f>
        <v>0</v>
      </c>
      <c r="G95" s="46">
        <f>SUM(C95:F95)</f>
        <v>2329.4818879147497</v>
      </c>
      <c r="H95" s="46">
        <f t="shared" si="5"/>
        <v>2329.4818879147497</v>
      </c>
      <c r="J95" s="19"/>
    </row>
    <row r="96" spans="1:10" x14ac:dyDescent="0.3">
      <c r="A96" s="35" t="s">
        <v>152</v>
      </c>
      <c r="B96" s="8"/>
      <c r="C96" s="46">
        <f>$B$85*C12</f>
        <v>0</v>
      </c>
      <c r="D96" s="46">
        <f>$B$85*D12</f>
        <v>2202.5575786913623</v>
      </c>
      <c r="E96" s="46">
        <f>$B$85*E12</f>
        <v>115.27689978381376</v>
      </c>
      <c r="F96" s="46">
        <f>F12*$B$85</f>
        <v>0</v>
      </c>
      <c r="G96" s="46">
        <f>SUM(C96:F96)</f>
        <v>2317.8344784751762</v>
      </c>
      <c r="H96" s="46">
        <f t="shared" si="5"/>
        <v>2317.8344784751762</v>
      </c>
      <c r="J96" s="19"/>
    </row>
    <row r="97" spans="1:10" x14ac:dyDescent="0.3">
      <c r="A97" s="35" t="s">
        <v>153</v>
      </c>
      <c r="B97" s="8"/>
      <c r="C97" s="46">
        <f>$B$85*C13</f>
        <v>0</v>
      </c>
      <c r="D97" s="46">
        <f>$B$85*D13</f>
        <v>2191.5447907979055</v>
      </c>
      <c r="E97" s="46">
        <f>$B$85*E13</f>
        <v>114.70051528489468</v>
      </c>
      <c r="F97" s="46">
        <f>F13*$B$85</f>
        <v>0</v>
      </c>
      <c r="G97" s="46">
        <f>SUM(C97:F97)</f>
        <v>2306.2453060828002</v>
      </c>
      <c r="H97" s="46">
        <f t="shared" si="5"/>
        <v>2306.2453060828002</v>
      </c>
      <c r="J97" s="19"/>
    </row>
    <row r="98" spans="1:10" x14ac:dyDescent="0.3">
      <c r="A98" s="35" t="s">
        <v>154</v>
      </c>
      <c r="B98" s="8"/>
      <c r="C98" s="46">
        <f>$B$85*C14</f>
        <v>0</v>
      </c>
      <c r="D98" s="46">
        <f>$B$85*D14</f>
        <v>2180.5870668439161</v>
      </c>
      <c r="E98" s="46">
        <f>$B$85*E14</f>
        <v>114.12701270847022</v>
      </c>
      <c r="F98" s="46">
        <f>F14*$B$85</f>
        <v>0</v>
      </c>
      <c r="G98" s="46">
        <f>SUM(C98:F98)</f>
        <v>2294.7140795523865</v>
      </c>
      <c r="H98" s="46">
        <f t="shared" si="5"/>
        <v>2294.7140795523865</v>
      </c>
      <c r="J98" s="19"/>
    </row>
    <row r="99" spans="1:10" x14ac:dyDescent="0.3">
      <c r="A99" s="35" t="s">
        <v>155</v>
      </c>
      <c r="B99" s="8"/>
      <c r="C99" s="46">
        <f>$B$85*C15</f>
        <v>0</v>
      </c>
      <c r="D99" s="46">
        <f>$B$85*D15</f>
        <v>2169.6841315096963</v>
      </c>
      <c r="E99" s="46">
        <f>$B$85*E15</f>
        <v>113.55637764492786</v>
      </c>
      <c r="F99" s="46">
        <f>F15*$B$85</f>
        <v>0</v>
      </c>
      <c r="G99" s="46">
        <f>SUM(C99:F99)</f>
        <v>2283.2405091546243</v>
      </c>
      <c r="H99" s="46">
        <f t="shared" si="5"/>
        <v>2283.2405091546243</v>
      </c>
    </row>
    <row r="100" spans="1:10" x14ac:dyDescent="0.3">
      <c r="A100" s="35" t="s">
        <v>156</v>
      </c>
      <c r="B100" s="8"/>
      <c r="C100" s="46">
        <f>$B$85*C16</f>
        <v>0</v>
      </c>
      <c r="D100" s="46">
        <f>$B$85*D16</f>
        <v>2158.8357108521477</v>
      </c>
      <c r="E100" s="46">
        <f>$B$85*E16</f>
        <v>112.98859575670322</v>
      </c>
      <c r="F100" s="46">
        <f>F16*$B$85</f>
        <v>0</v>
      </c>
      <c r="G100" s="46">
        <f>SUM(C100:F100)</f>
        <v>2271.8243066088507</v>
      </c>
      <c r="H100" s="46">
        <f t="shared" si="5"/>
        <v>2271.8243066088507</v>
      </c>
    </row>
    <row r="101" spans="1:10" x14ac:dyDescent="0.3">
      <c r="A101" s="35" t="s">
        <v>157</v>
      </c>
      <c r="B101" s="8"/>
      <c r="C101" s="46">
        <f>$B$85*C17</f>
        <v>0</v>
      </c>
      <c r="D101" s="46">
        <f>$B$85*D17</f>
        <v>2148.041532297887</v>
      </c>
      <c r="E101" s="46">
        <f>$B$85*E17</f>
        <v>112.4236527779197</v>
      </c>
      <c r="F101" s="46">
        <f>F17*$B$85</f>
        <v>0</v>
      </c>
      <c r="G101" s="46">
        <f>SUM(C101:F101)</f>
        <v>2260.4651850758069</v>
      </c>
      <c r="H101" s="46">
        <f t="shared" si="5"/>
        <v>2260.4651850758069</v>
      </c>
    </row>
    <row r="102" spans="1:10" x14ac:dyDescent="0.3">
      <c r="A102" s="35" t="s">
        <v>158</v>
      </c>
      <c r="B102" s="8"/>
      <c r="C102" s="46">
        <f>$B$85*C18</f>
        <v>0</v>
      </c>
      <c r="D102" s="46">
        <f>$B$85*D18</f>
        <v>2137.3013246363976</v>
      </c>
      <c r="E102" s="46">
        <f>$B$85*E18</f>
        <v>111.8615345140301</v>
      </c>
      <c r="F102" s="46">
        <f>F18*$B$85</f>
        <v>0</v>
      </c>
      <c r="G102" s="46">
        <f>SUM(C102:F102)</f>
        <v>2249.1628591504277</v>
      </c>
      <c r="H102" s="46">
        <f t="shared" si="5"/>
        <v>2249.1628591504277</v>
      </c>
    </row>
    <row r="103" spans="1:10" x14ac:dyDescent="0.3">
      <c r="A103" s="35" t="s">
        <v>159</v>
      </c>
      <c r="B103" s="8"/>
      <c r="C103" s="46">
        <f>$B$85*C19</f>
        <v>0</v>
      </c>
      <c r="D103" s="46">
        <f>$B$85*D19</f>
        <v>2126.6148180132154</v>
      </c>
      <c r="E103" s="46">
        <f>$B$85*E19</f>
        <v>111.30222684145996</v>
      </c>
      <c r="F103" s="46">
        <f>F19*$B$85</f>
        <v>0</v>
      </c>
      <c r="G103" s="46">
        <f>SUM(C103:F103)</f>
        <v>2237.9170448546752</v>
      </c>
      <c r="H103" s="46">
        <f t="shared" si="5"/>
        <v>2237.9170448546752</v>
      </c>
    </row>
    <row r="104" spans="1:10" x14ac:dyDescent="0.3">
      <c r="A104" s="35" t="s">
        <v>61</v>
      </c>
      <c r="B104" s="8"/>
      <c r="C104" s="46">
        <f>$B$85*C20</f>
        <v>0</v>
      </c>
      <c r="D104" s="46">
        <f>$B$85*D20</f>
        <v>2115.9817439231492</v>
      </c>
      <c r="E104" s="46">
        <f>$B$85*E20</f>
        <v>110.74571570725266</v>
      </c>
      <c r="F104" s="46">
        <f>F20*$B$85</f>
        <v>0</v>
      </c>
      <c r="G104" s="46">
        <f>SUM(C104:F104)</f>
        <v>2226.7274596304019</v>
      </c>
      <c r="H104" s="46">
        <f t="shared" si="5"/>
        <v>2226.7274596304019</v>
      </c>
    </row>
    <row r="105" spans="1:10" x14ac:dyDescent="0.3">
      <c r="A105" s="35" t="s">
        <v>62</v>
      </c>
      <c r="B105" s="8"/>
      <c r="C105" s="46">
        <f>$B$85*C21</f>
        <v>0</v>
      </c>
      <c r="D105" s="46">
        <f>$B$85*D21</f>
        <v>2105.4018352035337</v>
      </c>
      <c r="E105" s="46">
        <f>$B$85*E21</f>
        <v>110.19198712871639</v>
      </c>
      <c r="F105" s="46">
        <f>F21*$B$85</f>
        <v>0</v>
      </c>
      <c r="G105" s="46">
        <f>SUM(C105:F105)</f>
        <v>2215.5938223322501</v>
      </c>
      <c r="H105" s="46">
        <f t="shared" si="5"/>
        <v>2215.5938223322501</v>
      </c>
    </row>
    <row r="106" spans="1:10" x14ac:dyDescent="0.3">
      <c r="A106" s="35" t="s">
        <v>63</v>
      </c>
      <c r="B106" s="8"/>
      <c r="C106" s="46">
        <f>$B$85*C22</f>
        <v>0</v>
      </c>
      <c r="D106" s="46">
        <f>$B$85*D22</f>
        <v>2094.8748260275161</v>
      </c>
      <c r="E106" s="46">
        <f>$B$85*E22</f>
        <v>109.64102719307282</v>
      </c>
      <c r="F106" s="46">
        <f>F22*$B$85</f>
        <v>0</v>
      </c>
      <c r="G106" s="46">
        <f>SUM(C106:F106)</f>
        <v>2204.5158532205887</v>
      </c>
      <c r="H106" s="46">
        <f t="shared" si="5"/>
        <v>2204.5158532205887</v>
      </c>
    </row>
    <row r="107" spans="1:10" x14ac:dyDescent="0.3">
      <c r="A107" s="35" t="s">
        <v>64</v>
      </c>
      <c r="B107" s="8"/>
      <c r="C107" s="46">
        <f>$B$85*C23</f>
        <v>0</v>
      </c>
      <c r="D107" s="46">
        <f>$B$85*D23</f>
        <v>2084.4004518973784</v>
      </c>
      <c r="E107" s="46">
        <f>$B$85*E23</f>
        <v>109.09282205710744</v>
      </c>
      <c r="F107" s="46">
        <f>F23*$B$85</f>
        <v>0</v>
      </c>
      <c r="G107" s="46">
        <f>SUM(C107:F107)</f>
        <v>2193.4932739544856</v>
      </c>
      <c r="H107" s="46">
        <f t="shared" si="5"/>
        <v>2193.4932739544856</v>
      </c>
    </row>
    <row r="108" spans="1:10" x14ac:dyDescent="0.3">
      <c r="A108" s="35" t="s">
        <v>65</v>
      </c>
      <c r="B108" s="8"/>
      <c r="C108" s="46">
        <f>$B$85*C24</f>
        <v>0</v>
      </c>
      <c r="D108" s="46">
        <f>$B$85*D24</f>
        <v>2073.9784496378916</v>
      </c>
      <c r="E108" s="46">
        <f>$B$85*E24</f>
        <v>108.54735794682192</v>
      </c>
      <c r="F108" s="46">
        <f>F24*$B$85</f>
        <v>0</v>
      </c>
      <c r="G108" s="46">
        <f>SUM(C108:F108)</f>
        <v>2182.5258075847137</v>
      </c>
      <c r="H108" s="46">
        <f t="shared" si="5"/>
        <v>2182.5258075847137</v>
      </c>
    </row>
    <row r="109" spans="1:10" x14ac:dyDescent="0.3">
      <c r="A109" s="35" t="s">
        <v>66</v>
      </c>
      <c r="B109" s="8"/>
      <c r="C109" s="46">
        <f>$B$85*C25</f>
        <v>0</v>
      </c>
      <c r="D109" s="46">
        <f>$B$85*D25</f>
        <v>2063.6085573897021</v>
      </c>
      <c r="E109" s="46">
        <f>$B$85*E25</f>
        <v>108.0046211570878</v>
      </c>
      <c r="F109" s="46">
        <f>F25*$B$85</f>
        <v>0</v>
      </c>
      <c r="G109" s="46">
        <f>SUM(C109:F109)</f>
        <v>2171.6131785467901</v>
      </c>
      <c r="H109" s="46">
        <f t="shared" si="5"/>
        <v>2171.6131785467901</v>
      </c>
    </row>
    <row r="110" spans="1:10" x14ac:dyDescent="0.3">
      <c r="A110" s="35" t="s">
        <v>67</v>
      </c>
      <c r="B110" s="8"/>
      <c r="C110" s="46">
        <f>$B$85*C26</f>
        <v>0</v>
      </c>
      <c r="D110" s="46">
        <f>$B$85*D26</f>
        <v>2053.2905146027533</v>
      </c>
      <c r="E110" s="46">
        <f>$B$85*E26</f>
        <v>107.46459805130236</v>
      </c>
      <c r="F110" s="46">
        <f>F26*$B$85</f>
        <v>0</v>
      </c>
      <c r="G110" s="46">
        <f>SUM(C110:F110)</f>
        <v>2160.7551126540557</v>
      </c>
      <c r="H110" s="46">
        <f t="shared" si="5"/>
        <v>2160.7551126540557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0EF68-961D-4517-B5B6-42E4DA9DF8A6}">
  <dimension ref="B3:Z97"/>
  <sheetViews>
    <sheetView zoomScaleNormal="100" workbookViewId="0">
      <selection activeCell="E32" sqref="E32"/>
    </sheetView>
  </sheetViews>
  <sheetFormatPr defaultRowHeight="14.4" x14ac:dyDescent="0.3"/>
  <cols>
    <col min="1" max="1" width="8.77734375" customWidth="1"/>
    <col min="2" max="2" width="11.77734375" bestFit="1" customWidth="1"/>
    <col min="3" max="3" width="19.5546875" bestFit="1" customWidth="1"/>
    <col min="4" max="4" width="16.88671875" bestFit="1" customWidth="1"/>
    <col min="5" max="5" width="17.5546875" bestFit="1" customWidth="1"/>
    <col min="6" max="6" width="16.88671875" bestFit="1" customWidth="1"/>
    <col min="7" max="7" width="22.33203125" bestFit="1" customWidth="1"/>
    <col min="8" max="8" width="13.44140625" bestFit="1" customWidth="1"/>
    <col min="9" max="9" width="12.77734375" bestFit="1" customWidth="1"/>
    <col min="10" max="10" width="14.21875" bestFit="1" customWidth="1"/>
    <col min="11" max="12" width="12.77734375" bestFit="1" customWidth="1"/>
    <col min="13" max="13" width="14" bestFit="1" customWidth="1"/>
    <col min="14" max="14" width="11.21875" bestFit="1" customWidth="1"/>
    <col min="15" max="15" width="11.77734375" bestFit="1" customWidth="1"/>
    <col min="16" max="16" width="7.88671875" bestFit="1" customWidth="1"/>
    <col min="17" max="17" width="9" bestFit="1" customWidth="1"/>
    <col min="18" max="18" width="9.33203125" bestFit="1" customWidth="1"/>
    <col min="19" max="19" width="8.5546875" bestFit="1" customWidth="1"/>
    <col min="20" max="20" width="11.21875" bestFit="1" customWidth="1"/>
    <col min="21" max="21" width="8.5546875" bestFit="1" customWidth="1"/>
    <col min="22" max="22" width="9.33203125" bestFit="1" customWidth="1"/>
    <col min="23" max="23" width="9" bestFit="1" customWidth="1"/>
    <col min="24" max="24" width="9.33203125" bestFit="1" customWidth="1"/>
    <col min="25" max="25" width="9.88671875" bestFit="1" customWidth="1"/>
    <col min="26" max="26" width="9" bestFit="1" customWidth="1"/>
  </cols>
  <sheetData>
    <row r="3" spans="2:26" ht="15" thickBot="1" x14ac:dyDescent="0.35">
      <c r="B3" t="s">
        <v>160</v>
      </c>
    </row>
    <row r="4" spans="2:26" ht="15" customHeight="1" thickBot="1" x14ac:dyDescent="0.35">
      <c r="B4" s="159"/>
      <c r="C4" s="298" t="s">
        <v>161</v>
      </c>
      <c r="D4" s="298"/>
      <c r="E4" s="299"/>
      <c r="F4" s="301" t="s">
        <v>273</v>
      </c>
      <c r="G4" s="298"/>
      <c r="H4" s="303" t="s">
        <v>163</v>
      </c>
      <c r="I4" s="304"/>
      <c r="J4" s="305" t="s">
        <v>164</v>
      </c>
      <c r="K4" s="304"/>
      <c r="L4" s="158" t="s">
        <v>165</v>
      </c>
      <c r="M4" s="207" t="s">
        <v>4</v>
      </c>
      <c r="O4" s="159"/>
      <c r="P4" s="300" t="s">
        <v>161</v>
      </c>
      <c r="Q4" s="298"/>
      <c r="R4" s="299"/>
      <c r="S4" s="301" t="s">
        <v>273</v>
      </c>
      <c r="T4" s="302"/>
      <c r="U4" s="303" t="s">
        <v>163</v>
      </c>
      <c r="V4" s="304"/>
      <c r="W4" s="303" t="s">
        <v>164</v>
      </c>
      <c r="X4" s="304"/>
      <c r="Y4" s="158" t="s">
        <v>165</v>
      </c>
      <c r="Z4" s="207" t="s">
        <v>4</v>
      </c>
    </row>
    <row r="5" spans="2:26" ht="51.6" thickBot="1" x14ac:dyDescent="0.35">
      <c r="B5" s="157" t="s">
        <v>43</v>
      </c>
      <c r="C5" s="206" t="s">
        <v>166</v>
      </c>
      <c r="D5" s="206" t="s">
        <v>167</v>
      </c>
      <c r="E5" s="163" t="s">
        <v>168</v>
      </c>
      <c r="F5" s="206" t="s">
        <v>169</v>
      </c>
      <c r="G5" s="163" t="s">
        <v>170</v>
      </c>
      <c r="H5" s="206" t="s">
        <v>171</v>
      </c>
      <c r="I5" s="163" t="s">
        <v>172</v>
      </c>
      <c r="J5" s="206" t="s">
        <v>173</v>
      </c>
      <c r="K5" s="206" t="s">
        <v>174</v>
      </c>
      <c r="L5" s="206" t="s">
        <v>175</v>
      </c>
      <c r="M5" s="206" t="s">
        <v>176</v>
      </c>
      <c r="O5" s="157" t="s">
        <v>43</v>
      </c>
      <c r="P5" s="206" t="s">
        <v>166</v>
      </c>
      <c r="Q5" s="206" t="s">
        <v>167</v>
      </c>
      <c r="R5" s="163" t="s">
        <v>168</v>
      </c>
      <c r="S5" s="206" t="s">
        <v>169</v>
      </c>
      <c r="T5" s="163" t="s">
        <v>170</v>
      </c>
      <c r="U5" s="206" t="s">
        <v>171</v>
      </c>
      <c r="V5" s="163" t="s">
        <v>172</v>
      </c>
      <c r="W5" s="206" t="s">
        <v>173</v>
      </c>
      <c r="X5" s="206" t="s">
        <v>174</v>
      </c>
      <c r="Y5" s="206" t="s">
        <v>175</v>
      </c>
      <c r="Z5" s="206" t="s">
        <v>176</v>
      </c>
    </row>
    <row r="6" spans="2:26" x14ac:dyDescent="0.3">
      <c r="B6" s="160" t="s">
        <v>45</v>
      </c>
      <c r="C6" s="162">
        <f>'$ Tables and Graphs'!C4</f>
        <v>30848359.600711424</v>
      </c>
      <c r="D6" s="162">
        <f>'$ Tables and Graphs'!D4</f>
        <v>233271740.59499988</v>
      </c>
      <c r="E6" s="162">
        <f>'$ Tables and Graphs'!E4</f>
        <v>2851200</v>
      </c>
      <c r="F6" s="162">
        <f>'$ Tables and Graphs'!F4</f>
        <v>0</v>
      </c>
      <c r="G6" s="162">
        <f>'$ Tables and Graphs'!G4</f>
        <v>0</v>
      </c>
      <c r="H6" s="162">
        <f>'$ Tables and Graphs'!H4</f>
        <v>0</v>
      </c>
      <c r="I6" s="162">
        <f>'$ Tables and Graphs'!I4</f>
        <v>0</v>
      </c>
      <c r="J6" s="162">
        <f>'$ Tables and Graphs'!J4</f>
        <v>0</v>
      </c>
      <c r="K6" s="162">
        <f>'$ Tables and Graphs'!K4</f>
        <v>0</v>
      </c>
      <c r="L6" s="162">
        <f>'$ Tables and Graphs'!L4</f>
        <v>18018880.058405567</v>
      </c>
      <c r="M6" s="162">
        <f>'$ Tables and Graphs'!M4</f>
        <v>284990180.25411689</v>
      </c>
      <c r="O6" s="160" t="s">
        <v>45</v>
      </c>
      <c r="P6" s="161">
        <f t="shared" ref="P6:P16" si="0">C6/1000000</f>
        <v>30.848359600711422</v>
      </c>
      <c r="Q6" s="161">
        <f t="shared" ref="Q6:Q16" si="1">D6/1000000</f>
        <v>233.27174059499987</v>
      </c>
      <c r="R6" s="161">
        <f t="shared" ref="R6:R16" si="2">E6/1000000</f>
        <v>2.8512</v>
      </c>
      <c r="S6" s="161">
        <f t="shared" ref="S6:S16" si="3">F6/1000000</f>
        <v>0</v>
      </c>
      <c r="T6" s="161">
        <f t="shared" ref="T6:T16" si="4">G6/1000000</f>
        <v>0</v>
      </c>
      <c r="U6" s="161">
        <f t="shared" ref="U6:U16" si="5">H6/1000000</f>
        <v>0</v>
      </c>
      <c r="V6" s="161">
        <f t="shared" ref="V6:V16" si="6">I6/1000000</f>
        <v>0</v>
      </c>
      <c r="W6" s="161">
        <f t="shared" ref="W6:W16" si="7">J6/1000000</f>
        <v>0</v>
      </c>
      <c r="X6" s="161">
        <f t="shared" ref="X6:X16" si="8">K6/1000000</f>
        <v>0</v>
      </c>
      <c r="Y6" s="161">
        <f t="shared" ref="Y6:Y16" si="9">L6/1000000</f>
        <v>18.018880058405568</v>
      </c>
      <c r="Z6" s="161">
        <f t="shared" ref="Z6:Z16" si="10">M6/1000000</f>
        <v>284.99018025411686</v>
      </c>
    </row>
    <row r="7" spans="2:26" x14ac:dyDescent="0.3">
      <c r="B7" s="9" t="s">
        <v>46</v>
      </c>
      <c r="C7" s="114">
        <f>'$ Tables and Graphs'!C5</f>
        <v>24142255.383493654</v>
      </c>
      <c r="D7" s="114">
        <f>'$ Tables and Graphs'!D5</f>
        <v>221444650.79400003</v>
      </c>
      <c r="E7" s="114">
        <f>'$ Tables and Graphs'!E5</f>
        <v>16714500.687020844</v>
      </c>
      <c r="F7" s="114">
        <f>'$ Tables and Graphs'!F5</f>
        <v>0</v>
      </c>
      <c r="G7" s="114">
        <f>'$ Tables and Graphs'!G5</f>
        <v>0</v>
      </c>
      <c r="H7" s="114">
        <f>'$ Tables and Graphs'!H5</f>
        <v>0</v>
      </c>
      <c r="I7" s="114">
        <f>'$ Tables and Graphs'!I5</f>
        <v>0</v>
      </c>
      <c r="J7" s="114">
        <f>'$ Tables and Graphs'!J5</f>
        <v>0</v>
      </c>
      <c r="K7" s="114">
        <f>'$ Tables and Graphs'!K5</f>
        <v>0</v>
      </c>
      <c r="L7" s="114">
        <f>'$ Tables and Graphs'!L5</f>
        <v>73942135.092404008</v>
      </c>
      <c r="M7" s="114">
        <f>'$ Tables and Graphs'!M5</f>
        <v>336243541.95691854</v>
      </c>
      <c r="O7" s="9" t="s">
        <v>46</v>
      </c>
      <c r="P7" s="161">
        <f t="shared" si="0"/>
        <v>24.142255383493655</v>
      </c>
      <c r="Q7" s="161">
        <f t="shared" si="1"/>
        <v>221.44465079400004</v>
      </c>
      <c r="R7" s="161">
        <f t="shared" si="2"/>
        <v>16.714500687020845</v>
      </c>
      <c r="S7" s="161">
        <f t="shared" si="3"/>
        <v>0</v>
      </c>
      <c r="T7" s="161">
        <f t="shared" si="4"/>
        <v>0</v>
      </c>
      <c r="U7" s="161">
        <f t="shared" si="5"/>
        <v>0</v>
      </c>
      <c r="V7" s="161">
        <f t="shared" si="6"/>
        <v>0</v>
      </c>
      <c r="W7" s="161">
        <f t="shared" si="7"/>
        <v>0</v>
      </c>
      <c r="X7" s="161">
        <f t="shared" si="8"/>
        <v>0</v>
      </c>
      <c r="Y7" s="161">
        <f t="shared" si="9"/>
        <v>73.942135092404001</v>
      </c>
      <c r="Z7" s="161">
        <f t="shared" si="10"/>
        <v>336.24354195691853</v>
      </c>
    </row>
    <row r="8" spans="2:26" x14ac:dyDescent="0.3">
      <c r="B8" s="9" t="s">
        <v>47</v>
      </c>
      <c r="C8" s="114">
        <f>'$ Tables and Graphs'!C6</f>
        <v>22062344.595163539</v>
      </c>
      <c r="D8" s="114">
        <f>'$ Tables and Graphs'!D6</f>
        <v>180228266.02149987</v>
      </c>
      <c r="E8" s="114">
        <f>'$ Tables and Graphs'!E6</f>
        <v>22070814.094250631</v>
      </c>
      <c r="F8" s="114">
        <f>'$ Tables and Graphs'!F6</f>
        <v>150287241.57700732</v>
      </c>
      <c r="G8" s="114">
        <f>'$ Tables and Graphs'!G6</f>
        <v>0</v>
      </c>
      <c r="H8" s="114">
        <f>'$ Tables and Graphs'!H6</f>
        <v>260121892.075037</v>
      </c>
      <c r="I8" s="114">
        <f>'$ Tables and Graphs'!I6</f>
        <v>0</v>
      </c>
      <c r="J8" s="114">
        <f>'$ Tables and Graphs'!J6</f>
        <v>0</v>
      </c>
      <c r="K8" s="114">
        <f>'$ Tables and Graphs'!K6</f>
        <v>0</v>
      </c>
      <c r="L8" s="114">
        <f>'$ Tables and Graphs'!L6</f>
        <v>67623889.8279275</v>
      </c>
      <c r="M8" s="114">
        <f>'$ Tables and Graphs'!M6</f>
        <v>702394448.19088578</v>
      </c>
      <c r="O8" s="9" t="s">
        <v>47</v>
      </c>
      <c r="P8" s="161">
        <f t="shared" si="0"/>
        <v>22.062344595163538</v>
      </c>
      <c r="Q8" s="161">
        <f t="shared" si="1"/>
        <v>180.22826602149988</v>
      </c>
      <c r="R8" s="161">
        <f t="shared" si="2"/>
        <v>22.070814094250629</v>
      </c>
      <c r="S8" s="161">
        <f t="shared" si="3"/>
        <v>150.28724157700734</v>
      </c>
      <c r="T8" s="161">
        <f t="shared" si="4"/>
        <v>0</v>
      </c>
      <c r="U8" s="161">
        <f t="shared" si="5"/>
        <v>260.12189207503701</v>
      </c>
      <c r="V8" s="161">
        <f t="shared" si="6"/>
        <v>0</v>
      </c>
      <c r="W8" s="161">
        <f t="shared" si="7"/>
        <v>0</v>
      </c>
      <c r="X8" s="161">
        <f t="shared" si="8"/>
        <v>0</v>
      </c>
      <c r="Y8" s="161">
        <f t="shared" si="9"/>
        <v>67.623889827927499</v>
      </c>
      <c r="Z8" s="161">
        <f t="shared" si="10"/>
        <v>702.39444819088578</v>
      </c>
    </row>
    <row r="9" spans="2:26" x14ac:dyDescent="0.3">
      <c r="B9" s="9" t="s">
        <v>48</v>
      </c>
      <c r="C9" s="114">
        <f>'$ Tables and Graphs'!C7</f>
        <v>17721007.415898785</v>
      </c>
      <c r="D9" s="114">
        <f>'$ Tables and Graphs'!D7</f>
        <v>164555778.86299995</v>
      </c>
      <c r="E9" s="114">
        <f>'$ Tables and Graphs'!E7</f>
        <v>22070814.147020843</v>
      </c>
      <c r="F9" s="114">
        <f>'$ Tables and Graphs'!F7</f>
        <v>34062072.644041948</v>
      </c>
      <c r="G9" s="114">
        <f>'$ Tables and Graphs'!G7</f>
        <v>0</v>
      </c>
      <c r="H9" s="114">
        <f>'$ Tables and Graphs'!H7</f>
        <v>268520103.00952864</v>
      </c>
      <c r="I9" s="114">
        <f>'$ Tables and Graphs'!I7</f>
        <v>0</v>
      </c>
      <c r="J9" s="114">
        <f>'$ Tables and Graphs'!J7</f>
        <v>0</v>
      </c>
      <c r="K9" s="114">
        <f>'$ Tables and Graphs'!K7</f>
        <v>0</v>
      </c>
      <c r="L9" s="114">
        <f>'$ Tables and Graphs'!L7</f>
        <v>67669653.536230862</v>
      </c>
      <c r="M9" s="114">
        <f>'$ Tables and Graphs'!M7</f>
        <v>574599429.61572099</v>
      </c>
      <c r="O9" s="9" t="s">
        <v>48</v>
      </c>
      <c r="P9" s="161">
        <f t="shared" si="0"/>
        <v>17.721007415898786</v>
      </c>
      <c r="Q9" s="161">
        <f t="shared" si="1"/>
        <v>164.55577886299994</v>
      </c>
      <c r="R9" s="161">
        <f t="shared" si="2"/>
        <v>22.070814147020844</v>
      </c>
      <c r="S9" s="161">
        <f t="shared" si="3"/>
        <v>34.062072644041947</v>
      </c>
      <c r="T9" s="161">
        <f t="shared" si="4"/>
        <v>0</v>
      </c>
      <c r="U9" s="161">
        <f t="shared" si="5"/>
        <v>268.52010300952861</v>
      </c>
      <c r="V9" s="161">
        <f t="shared" si="6"/>
        <v>0</v>
      </c>
      <c r="W9" s="161">
        <f t="shared" si="7"/>
        <v>0</v>
      </c>
      <c r="X9" s="161">
        <f t="shared" si="8"/>
        <v>0</v>
      </c>
      <c r="Y9" s="161">
        <f t="shared" si="9"/>
        <v>67.669653536230868</v>
      </c>
      <c r="Z9" s="161">
        <f t="shared" si="10"/>
        <v>574.59942961572096</v>
      </c>
    </row>
    <row r="10" spans="2:26" x14ac:dyDescent="0.3">
      <c r="B10" s="9" t="s">
        <v>49</v>
      </c>
      <c r="C10" s="114">
        <f>'$ Tables and Graphs'!C8</f>
        <v>17421541.685608782</v>
      </c>
      <c r="D10" s="114">
        <f>'$ Tables and Graphs'!D8</f>
        <v>138663017.28299993</v>
      </c>
      <c r="E10" s="114">
        <f>'$ Tables and Graphs'!E8</f>
        <v>22070814.147020843</v>
      </c>
      <c r="F10" s="114">
        <f>'$ Tables and Graphs'!F8</f>
        <v>33914405.114653029</v>
      </c>
      <c r="G10" s="114">
        <f>'$ Tables and Graphs'!G8</f>
        <v>0</v>
      </c>
      <c r="H10" s="114">
        <f>'$ Tables and Graphs'!H8</f>
        <v>133595444.74339308</v>
      </c>
      <c r="I10" s="114">
        <f>'$ Tables and Graphs'!I8</f>
        <v>0</v>
      </c>
      <c r="J10" s="114">
        <f>'$ Tables and Graphs'!J8</f>
        <v>178736474.90878087</v>
      </c>
      <c r="K10" s="114">
        <f>'$ Tables and Graphs'!K8</f>
        <v>0</v>
      </c>
      <c r="L10" s="114">
        <f>'$ Tables and Graphs'!L8</f>
        <v>77613455.16709587</v>
      </c>
      <c r="M10" s="114">
        <f>'$ Tables and Graphs'!M8</f>
        <v>602015153.04955244</v>
      </c>
      <c r="O10" s="9" t="s">
        <v>49</v>
      </c>
      <c r="P10" s="161">
        <f t="shared" si="0"/>
        <v>17.421541685608783</v>
      </c>
      <c r="Q10" s="161">
        <f t="shared" si="1"/>
        <v>138.66301728299993</v>
      </c>
      <c r="R10" s="161">
        <f t="shared" si="2"/>
        <v>22.070814147020844</v>
      </c>
      <c r="S10" s="161">
        <f t="shared" si="3"/>
        <v>33.914405114653029</v>
      </c>
      <c r="T10" s="161">
        <f t="shared" si="4"/>
        <v>0</v>
      </c>
      <c r="U10" s="161">
        <f t="shared" si="5"/>
        <v>133.59544474339307</v>
      </c>
      <c r="V10" s="161">
        <f t="shared" si="6"/>
        <v>0</v>
      </c>
      <c r="W10" s="161">
        <f t="shared" si="7"/>
        <v>178.73647490878088</v>
      </c>
      <c r="X10" s="161">
        <f t="shared" si="8"/>
        <v>0</v>
      </c>
      <c r="Y10" s="161">
        <f t="shared" si="9"/>
        <v>77.613455167095864</v>
      </c>
      <c r="Z10" s="161">
        <f t="shared" si="10"/>
        <v>602.0151530495524</v>
      </c>
    </row>
    <row r="11" spans="2:26" x14ac:dyDescent="0.3">
      <c r="B11" s="9" t="s">
        <v>50</v>
      </c>
      <c r="C11" s="114">
        <f>'$ Tables and Graphs'!C9</f>
        <v>11401431.694168944</v>
      </c>
      <c r="D11" s="114">
        <f>'$ Tables and Graphs'!D9</f>
        <v>66068343.89200002</v>
      </c>
      <c r="E11" s="114">
        <f>'$ Tables and Graphs'!E9</f>
        <v>22070814.147020843</v>
      </c>
      <c r="F11" s="114">
        <f>'$ Tables and Graphs'!F9</f>
        <v>33801616.020861797</v>
      </c>
      <c r="G11" s="114">
        <f>'$ Tables and Graphs'!G9</f>
        <v>10832684.446607996</v>
      </c>
      <c r="H11" s="114">
        <f>'$ Tables and Graphs'!H9</f>
        <v>132971920.78016761</v>
      </c>
      <c r="I11" s="114">
        <f>'$ Tables and Graphs'!I9</f>
        <v>12084277.618483996</v>
      </c>
      <c r="J11" s="114">
        <f>'$ Tables and Graphs'!J9</f>
        <v>221416152.35444039</v>
      </c>
      <c r="K11" s="114">
        <f>'$ Tables and Graphs'!K9</f>
        <v>0</v>
      </c>
      <c r="L11" s="114">
        <f>'$ Tables and Graphs'!L9</f>
        <v>67553355.712971777</v>
      </c>
      <c r="M11" s="114">
        <f>'$ Tables and Graphs'!M9</f>
        <v>578200596.66672337</v>
      </c>
      <c r="O11" s="9" t="s">
        <v>50</v>
      </c>
      <c r="P11" s="161">
        <f t="shared" si="0"/>
        <v>11.401431694168943</v>
      </c>
      <c r="Q11" s="161">
        <f t="shared" si="1"/>
        <v>66.068343892000016</v>
      </c>
      <c r="R11" s="161">
        <f t="shared" si="2"/>
        <v>22.070814147020844</v>
      </c>
      <c r="S11" s="161">
        <f t="shared" si="3"/>
        <v>33.8016160208618</v>
      </c>
      <c r="T11" s="161">
        <f t="shared" si="4"/>
        <v>10.832684446607995</v>
      </c>
      <c r="U11" s="161">
        <f t="shared" si="5"/>
        <v>132.97192078016761</v>
      </c>
      <c r="V11" s="161">
        <f t="shared" si="6"/>
        <v>12.084277618483997</v>
      </c>
      <c r="W11" s="161">
        <f t="shared" si="7"/>
        <v>221.41615235444038</v>
      </c>
      <c r="X11" s="161">
        <f t="shared" si="8"/>
        <v>0</v>
      </c>
      <c r="Y11" s="161">
        <f t="shared" si="9"/>
        <v>67.553355712971779</v>
      </c>
      <c r="Z11" s="161">
        <f t="shared" si="10"/>
        <v>578.20059666672341</v>
      </c>
    </row>
    <row r="12" spans="2:26" x14ac:dyDescent="0.3">
      <c r="B12" s="9" t="s">
        <v>51</v>
      </c>
      <c r="C12" s="114">
        <f>'$ Tables and Graphs'!C10</f>
        <v>8215431.7104763286</v>
      </c>
      <c r="D12" s="114">
        <f>'$ Tables and Graphs'!D10</f>
        <v>5563437.5765000004</v>
      </c>
      <c r="E12" s="114">
        <f>'$ Tables and Graphs'!E10</f>
        <v>22070814.147020843</v>
      </c>
      <c r="F12" s="114">
        <f>'$ Tables and Graphs'!F10</f>
        <v>33689390.872539528</v>
      </c>
      <c r="G12" s="114">
        <f>'$ Tables and Graphs'!G10</f>
        <v>9327153.6094854493</v>
      </c>
      <c r="H12" s="114">
        <f>'$ Tables and Graphs'!H10</f>
        <v>132709208.97876891</v>
      </c>
      <c r="I12" s="114">
        <f>'$ Tables and Graphs'!I10</f>
        <v>28823768.959252205</v>
      </c>
      <c r="J12" s="114">
        <f>'$ Tables and Graphs'!J10</f>
        <v>261937440.06868491</v>
      </c>
      <c r="K12" s="114">
        <f>'$ Tables and Graphs'!K10</f>
        <v>0</v>
      </c>
      <c r="L12" s="114">
        <f>'$ Tables and Graphs'!L10</f>
        <v>67572700.474246591</v>
      </c>
      <c r="M12" s="114">
        <f>'$ Tables and Graphs'!M10</f>
        <v>569909346.3969748</v>
      </c>
      <c r="O12" s="9" t="s">
        <v>51</v>
      </c>
      <c r="P12" s="161">
        <f t="shared" si="0"/>
        <v>8.215431710476329</v>
      </c>
      <c r="Q12" s="161">
        <f t="shared" si="1"/>
        <v>5.5634375765000001</v>
      </c>
      <c r="R12" s="161">
        <f t="shared" si="2"/>
        <v>22.070814147020844</v>
      </c>
      <c r="S12" s="161">
        <f t="shared" si="3"/>
        <v>33.689390872539526</v>
      </c>
      <c r="T12" s="161">
        <f t="shared" si="4"/>
        <v>9.3271536094854497</v>
      </c>
      <c r="U12" s="161">
        <f t="shared" si="5"/>
        <v>132.70920897876891</v>
      </c>
      <c r="V12" s="161">
        <f t="shared" si="6"/>
        <v>28.823768959252206</v>
      </c>
      <c r="W12" s="161">
        <f t="shared" si="7"/>
        <v>261.93744006868491</v>
      </c>
      <c r="X12" s="161">
        <f t="shared" si="8"/>
        <v>0</v>
      </c>
      <c r="Y12" s="161">
        <f t="shared" si="9"/>
        <v>67.572700474246588</v>
      </c>
      <c r="Z12" s="161">
        <f t="shared" si="10"/>
        <v>569.9093463969748</v>
      </c>
    </row>
    <row r="13" spans="2:26" x14ac:dyDescent="0.3">
      <c r="B13" s="9" t="s">
        <v>52</v>
      </c>
      <c r="C13" s="114">
        <f>'$ Tables and Graphs'!C11</f>
        <v>4480482.7749063233</v>
      </c>
      <c r="D13" s="114">
        <f>'$ Tables and Graphs'!D11</f>
        <v>0</v>
      </c>
      <c r="E13" s="114">
        <f>'$ Tables and Graphs'!E11</f>
        <v>22070814.147020843</v>
      </c>
      <c r="F13" s="114">
        <f>'$ Tables and Graphs'!F11</f>
        <v>33577726.849958874</v>
      </c>
      <c r="G13" s="114">
        <f>'$ Tables and Graphs'!G11</f>
        <v>7802714.2697304636</v>
      </c>
      <c r="H13" s="114">
        <f>'$ Tables and Graphs'!H11</f>
        <v>132447810.73637724</v>
      </c>
      <c r="I13" s="114">
        <f>'$ Tables and Graphs'!I11</f>
        <v>22799499.339131385</v>
      </c>
      <c r="J13" s="114">
        <f>'$ Tables and Graphs'!J11</f>
        <v>300732316.41426915</v>
      </c>
      <c r="K13" s="114">
        <f>'$ Tables and Graphs'!K11</f>
        <v>15308930.14111197</v>
      </c>
      <c r="L13" s="114">
        <f>'$ Tables and Graphs'!L11</f>
        <v>77625423.170190215</v>
      </c>
      <c r="M13" s="114">
        <f>'$ Tables and Graphs'!M11</f>
        <v>616845717.84269643</v>
      </c>
      <c r="O13" s="9" t="s">
        <v>52</v>
      </c>
      <c r="P13" s="161">
        <f t="shared" si="0"/>
        <v>4.4804827749063234</v>
      </c>
      <c r="Q13" s="161">
        <f t="shared" si="1"/>
        <v>0</v>
      </c>
      <c r="R13" s="161">
        <f t="shared" si="2"/>
        <v>22.070814147020844</v>
      </c>
      <c r="S13" s="161">
        <f t="shared" si="3"/>
        <v>33.577726849958871</v>
      </c>
      <c r="T13" s="161">
        <f t="shared" si="4"/>
        <v>7.8027142697304637</v>
      </c>
      <c r="U13" s="161">
        <f t="shared" si="5"/>
        <v>132.44781073637725</v>
      </c>
      <c r="V13" s="161">
        <f t="shared" si="6"/>
        <v>22.799499339131383</v>
      </c>
      <c r="W13" s="161">
        <f t="shared" si="7"/>
        <v>300.73231641426912</v>
      </c>
      <c r="X13" s="161">
        <f t="shared" si="8"/>
        <v>15.30893014111197</v>
      </c>
      <c r="Y13" s="161">
        <f t="shared" si="9"/>
        <v>77.625423170190217</v>
      </c>
      <c r="Z13" s="161">
        <f t="shared" si="10"/>
        <v>616.84571784269644</v>
      </c>
    </row>
    <row r="14" spans="2:26" x14ac:dyDescent="0.3">
      <c r="B14" s="9" t="s">
        <v>53</v>
      </c>
      <c r="C14" s="114">
        <f>'$ Tables and Graphs'!C12</f>
        <v>4478132.259204451</v>
      </c>
      <c r="D14" s="114">
        <f>'$ Tables and Graphs'!D12</f>
        <v>0</v>
      </c>
      <c r="E14" s="114">
        <f>'$ Tables and Graphs'!E12</f>
        <v>22070814.147020843</v>
      </c>
      <c r="F14" s="114">
        <f>'$ Tables and Graphs'!F12</f>
        <v>33466621.14749112</v>
      </c>
      <c r="G14" s="114">
        <f>'$ Tables and Graphs'!G12</f>
        <v>6259006.6984658912</v>
      </c>
      <c r="H14" s="114">
        <f>'$ Tables and Graphs'!H12</f>
        <v>132187719.48519748</v>
      </c>
      <c r="I14" s="114">
        <f>'$ Tables and Graphs'!I12</f>
        <v>16680400.966340952</v>
      </c>
      <c r="J14" s="114">
        <f>'$ Tables and Graphs'!J12</f>
        <v>337870365.64524007</v>
      </c>
      <c r="K14" s="114">
        <f>'$ Tables and Graphs'!K12</f>
        <v>42173960.544583365</v>
      </c>
      <c r="L14" s="114">
        <f>'$ Tables and Graphs'!L12</f>
        <v>67711714.835542694</v>
      </c>
      <c r="M14" s="114">
        <f>'$ Tables and Graphs'!M12</f>
        <v>662898735.72908688</v>
      </c>
      <c r="O14" s="9" t="s">
        <v>53</v>
      </c>
      <c r="P14" s="161">
        <f t="shared" si="0"/>
        <v>4.4781322592044512</v>
      </c>
      <c r="Q14" s="161">
        <f t="shared" si="1"/>
        <v>0</v>
      </c>
      <c r="R14" s="161">
        <f t="shared" si="2"/>
        <v>22.070814147020844</v>
      </c>
      <c r="S14" s="161">
        <f t="shared" si="3"/>
        <v>33.466621147491118</v>
      </c>
      <c r="T14" s="161">
        <f t="shared" si="4"/>
        <v>6.2590066984658908</v>
      </c>
      <c r="U14" s="161">
        <f t="shared" si="5"/>
        <v>132.18771948519748</v>
      </c>
      <c r="V14" s="161">
        <f t="shared" si="6"/>
        <v>16.680400966340951</v>
      </c>
      <c r="W14" s="161">
        <f t="shared" si="7"/>
        <v>337.87036564524004</v>
      </c>
      <c r="X14" s="161">
        <f t="shared" si="8"/>
        <v>42.173960544583366</v>
      </c>
      <c r="Y14" s="161">
        <f t="shared" si="9"/>
        <v>67.711714835542693</v>
      </c>
      <c r="Z14" s="161">
        <f t="shared" si="10"/>
        <v>662.89873572908687</v>
      </c>
    </row>
    <row r="15" spans="2:26" x14ac:dyDescent="0.3">
      <c r="B15" s="9" t="s">
        <v>54</v>
      </c>
      <c r="C15" s="114">
        <f>'$ Tables and Graphs'!C13</f>
        <v>4338008.6485485407</v>
      </c>
      <c r="D15" s="114">
        <f>'$ Tables and Graphs'!D13</f>
        <v>0</v>
      </c>
      <c r="E15" s="114">
        <f>'$ Tables and Graphs'!E13</f>
        <v>22070814.147020843</v>
      </c>
      <c r="F15" s="114">
        <f>'$ Tables and Graphs'!F13</f>
        <v>22582782.773070082</v>
      </c>
      <c r="G15" s="114">
        <f>'$ Tables and Graphs'!G13</f>
        <v>4695664.9893621709</v>
      </c>
      <c r="H15" s="114">
        <f>'$ Tables and Graphs'!H13</f>
        <v>89305174.613571405</v>
      </c>
      <c r="I15" s="114">
        <f>'$ Tables and Graphs'!I13</f>
        <v>10464617.683851898</v>
      </c>
      <c r="J15" s="114">
        <f>'$ Tables and Graphs'!J13</f>
        <v>373418386.00648606</v>
      </c>
      <c r="K15" s="114">
        <f>'$ Tables and Graphs'!K13</f>
        <v>64217363.428725943</v>
      </c>
      <c r="L15" s="114">
        <f>'$ Tables and Graphs'!L13</f>
        <v>67733678.133388445</v>
      </c>
      <c r="M15" s="114">
        <f>'$ Tables and Graphs'!M13</f>
        <v>658826490.4240253</v>
      </c>
      <c r="O15" s="9" t="s">
        <v>54</v>
      </c>
      <c r="P15" s="161">
        <f t="shared" si="0"/>
        <v>4.3380086485485405</v>
      </c>
      <c r="Q15" s="161">
        <f t="shared" si="1"/>
        <v>0</v>
      </c>
      <c r="R15" s="161">
        <f t="shared" si="2"/>
        <v>22.070814147020844</v>
      </c>
      <c r="S15" s="161">
        <f t="shared" si="3"/>
        <v>22.582782773070083</v>
      </c>
      <c r="T15" s="161">
        <f t="shared" si="4"/>
        <v>4.6956649893621707</v>
      </c>
      <c r="U15" s="161">
        <f t="shared" si="5"/>
        <v>89.30517461357141</v>
      </c>
      <c r="V15" s="161">
        <f t="shared" si="6"/>
        <v>10.464617683851898</v>
      </c>
      <c r="W15" s="161">
        <f t="shared" si="7"/>
        <v>373.41838600648606</v>
      </c>
      <c r="X15" s="161">
        <f t="shared" si="8"/>
        <v>64.217363428725946</v>
      </c>
      <c r="Y15" s="161">
        <f t="shared" si="9"/>
        <v>67.733678133388452</v>
      </c>
      <c r="Z15" s="161">
        <f t="shared" si="10"/>
        <v>658.82649042402534</v>
      </c>
    </row>
    <row r="16" spans="2:26" x14ac:dyDescent="0.3">
      <c r="B16" s="9" t="s">
        <v>55</v>
      </c>
      <c r="C16" s="114">
        <f>'$ Tables and Graphs'!C14</f>
        <v>4303453.6786395097</v>
      </c>
      <c r="D16" s="114">
        <f>'$ Tables and Graphs'!D14</f>
        <v>0</v>
      </c>
      <c r="E16" s="114">
        <f>'$ Tables and Graphs'!E14</f>
        <v>22070814.147020843</v>
      </c>
      <c r="F16" s="114">
        <f>'$ Tables and Graphs'!F14</f>
        <v>21889487.194041863</v>
      </c>
      <c r="G16" s="114">
        <f>'$ Tables and Graphs'!G14</f>
        <v>3112316.9465317023</v>
      </c>
      <c r="H16" s="114">
        <f>'$ Tables and Graphs'!H14</f>
        <v>57353235.383247793</v>
      </c>
      <c r="I16" s="114">
        <f>'$ Tables and Graphs'!I14</f>
        <v>4150258.5230527604</v>
      </c>
      <c r="J16" s="114">
        <f>'$ Tables and Graphs'!J14</f>
        <v>407440501.1872986</v>
      </c>
      <c r="K16" s="114">
        <f>'$ Tables and Graphs'!K14</f>
        <v>81135056.84731023</v>
      </c>
      <c r="L16" s="114">
        <f>'$ Tables and Graphs'!L14</f>
        <v>77789447.893524989</v>
      </c>
      <c r="M16" s="114">
        <f>'$ Tables and Graphs'!M14</f>
        <v>679244571.80066824</v>
      </c>
      <c r="O16" s="9" t="s">
        <v>55</v>
      </c>
      <c r="P16" s="161">
        <f t="shared" si="0"/>
        <v>4.3034536786395101</v>
      </c>
      <c r="Q16" s="161">
        <f t="shared" si="1"/>
        <v>0</v>
      </c>
      <c r="R16" s="161">
        <f t="shared" si="2"/>
        <v>22.070814147020844</v>
      </c>
      <c r="S16" s="161">
        <f t="shared" si="3"/>
        <v>21.889487194041862</v>
      </c>
      <c r="T16" s="161">
        <f t="shared" si="4"/>
        <v>3.1123169465317022</v>
      </c>
      <c r="U16" s="161">
        <f t="shared" si="5"/>
        <v>57.353235383247792</v>
      </c>
      <c r="V16" s="161">
        <f t="shared" si="6"/>
        <v>4.1502585230527602</v>
      </c>
      <c r="W16" s="161">
        <f t="shared" si="7"/>
        <v>407.44050118729859</v>
      </c>
      <c r="X16" s="161">
        <f t="shared" si="8"/>
        <v>81.135056847310224</v>
      </c>
      <c r="Y16" s="161">
        <f t="shared" si="9"/>
        <v>77.789447893524994</v>
      </c>
      <c r="Z16" s="161">
        <f t="shared" si="10"/>
        <v>679.24457180066827</v>
      </c>
    </row>
    <row r="17" spans="2:26" x14ac:dyDescent="0.3">
      <c r="B17" s="9" t="s">
        <v>56</v>
      </c>
      <c r="C17" s="114">
        <f>'$ Tables and Graphs'!C15</f>
        <v>4261079.6921323007</v>
      </c>
      <c r="D17" s="114">
        <f>'$ Tables and Graphs'!D15</f>
        <v>0</v>
      </c>
      <c r="E17" s="114">
        <f>'$ Tables and Graphs'!E15</f>
        <v>22070814.147020843</v>
      </c>
      <c r="F17" s="114">
        <f>'$ Tables and Graphs'!F15</f>
        <v>21780039.758071654</v>
      </c>
      <c r="G17" s="114">
        <f>'$ Tables and Graphs'!G15</f>
        <v>1508583.9703701469</v>
      </c>
      <c r="H17" s="114">
        <f>'$ Tables and Graphs'!H15</f>
        <v>50985661.992150486</v>
      </c>
      <c r="I17" s="114">
        <f>'$ Tables and Graphs'!I15</f>
        <v>-2264602.9665864948</v>
      </c>
      <c r="J17" s="114">
        <f>'$ Tables and Graphs'!J15</f>
        <v>283288141.6832273</v>
      </c>
      <c r="K17" s="114">
        <f>'$ Tables and Graphs'!K15</f>
        <v>92614857.500289857</v>
      </c>
      <c r="L17" s="114">
        <f>'$ Tables and Graphs'!L15</f>
        <v>67855534.640602186</v>
      </c>
      <c r="M17" s="114">
        <f>'$ Tables and Graphs'!M15</f>
        <v>542100110.41727829</v>
      </c>
      <c r="O17" s="9" t="s">
        <v>56</v>
      </c>
      <c r="P17" s="161">
        <f t="shared" ref="P17:P28" si="11">C17/1000000</f>
        <v>4.2610796921323004</v>
      </c>
      <c r="Q17" s="161">
        <f t="shared" ref="Q17:Q28" si="12">D17/1000000</f>
        <v>0</v>
      </c>
      <c r="R17" s="161">
        <f t="shared" ref="R17:R28" si="13">E17/1000000</f>
        <v>22.070814147020844</v>
      </c>
      <c r="S17" s="161">
        <f t="shared" ref="S17:S28" si="14">F17/1000000</f>
        <v>21.780039758071652</v>
      </c>
      <c r="T17" s="161">
        <f t="shared" ref="T17:T28" si="15">G17/1000000</f>
        <v>1.5085839703701469</v>
      </c>
      <c r="U17" s="161">
        <f t="shared" ref="U17:U28" si="16">H17/1000000</f>
        <v>50.985661992150483</v>
      </c>
      <c r="V17" s="161">
        <f t="shared" ref="V17:V28" si="17">I17/1000000</f>
        <v>-2.2646029665864948</v>
      </c>
      <c r="W17" s="161">
        <f t="shared" ref="W17:W28" si="18">J17/1000000</f>
        <v>283.28814168322731</v>
      </c>
      <c r="X17" s="161">
        <f t="shared" ref="X17:X28" si="19">K17/1000000</f>
        <v>92.614857500289858</v>
      </c>
      <c r="Y17" s="161">
        <f t="shared" ref="Y17:Y28" si="20">L17/1000000</f>
        <v>67.855534640602187</v>
      </c>
      <c r="Z17" s="161">
        <f t="shared" ref="Z17:Z28" si="21">M17/1000000</f>
        <v>542.1001104172783</v>
      </c>
    </row>
    <row r="18" spans="2:26" x14ac:dyDescent="0.3">
      <c r="B18" s="9" t="s">
        <v>57</v>
      </c>
      <c r="C18" s="114">
        <f>'$ Tables and Graphs'!C16</f>
        <v>0</v>
      </c>
      <c r="D18" s="114">
        <f>'$ Tables and Graphs'!D16</f>
        <v>0</v>
      </c>
      <c r="E18" s="114">
        <f>'$ Tables and Graphs'!E16</f>
        <v>22070814.147020843</v>
      </c>
      <c r="F18" s="114">
        <f>'$ Tables and Graphs'!F16</f>
        <v>21671139.559281297</v>
      </c>
      <c r="G18" s="114">
        <f>'$ Tables and Graphs'!G16</f>
        <v>-115919.05869363499</v>
      </c>
      <c r="H18" s="114">
        <f>'$ Tables and Graphs'!H16</f>
        <v>50730733.682189733</v>
      </c>
      <c r="I18" s="114">
        <f>'$ Tables and Graphs'!I16</f>
        <v>-8781929.4008286558</v>
      </c>
      <c r="J18" s="114">
        <f>'$ Tables and Graphs'!J16</f>
        <v>254999114.36489654</v>
      </c>
      <c r="K18" s="114">
        <f>'$ Tables and Graphs'!K16</f>
        <v>98336278.301984072</v>
      </c>
      <c r="L18" s="114">
        <f>'$ Tables and Graphs'!L16</f>
        <v>67977997.445554465</v>
      </c>
      <c r="M18" s="114">
        <f>'$ Tables and Graphs'!M16</f>
        <v>506888229.0414046</v>
      </c>
      <c r="O18" s="9" t="s">
        <v>57</v>
      </c>
      <c r="P18" s="161">
        <f t="shared" si="11"/>
        <v>0</v>
      </c>
      <c r="Q18" s="161">
        <f t="shared" si="12"/>
        <v>0</v>
      </c>
      <c r="R18" s="161">
        <f t="shared" si="13"/>
        <v>22.070814147020844</v>
      </c>
      <c r="S18" s="161">
        <f t="shared" si="14"/>
        <v>21.671139559281297</v>
      </c>
      <c r="T18" s="161">
        <f t="shared" si="15"/>
        <v>-0.11591905869363499</v>
      </c>
      <c r="U18" s="161">
        <f t="shared" si="16"/>
        <v>50.730733682189729</v>
      </c>
      <c r="V18" s="161">
        <f t="shared" si="17"/>
        <v>-8.7819294008286555</v>
      </c>
      <c r="W18" s="161">
        <f t="shared" si="18"/>
        <v>254.99911436489654</v>
      </c>
      <c r="X18" s="161">
        <f t="shared" si="19"/>
        <v>98.336278301984066</v>
      </c>
      <c r="Y18" s="161">
        <f t="shared" si="20"/>
        <v>67.977997445554465</v>
      </c>
      <c r="Z18" s="161">
        <f t="shared" si="21"/>
        <v>506.8882290414046</v>
      </c>
    </row>
    <row r="19" spans="2:26" x14ac:dyDescent="0.3">
      <c r="B19" s="9" t="s">
        <v>58</v>
      </c>
      <c r="C19" s="114">
        <f>'$ Tables and Graphs'!C17</f>
        <v>0</v>
      </c>
      <c r="D19" s="114">
        <f>'$ Tables and Graphs'!D17</f>
        <v>0</v>
      </c>
      <c r="E19" s="114">
        <f>'$ Tables and Graphs'!E17</f>
        <v>20416994.263402294</v>
      </c>
      <c r="F19" s="114">
        <f>'$ Tables and Graphs'!F17</f>
        <v>21562783.861484893</v>
      </c>
      <c r="G19" s="114">
        <f>'$ Tables and Graphs'!G17</f>
        <v>-1761583.898578112</v>
      </c>
      <c r="H19" s="114">
        <f>'$ Tables and Graphs'!H17</f>
        <v>50477080.013778783</v>
      </c>
      <c r="I19" s="114">
        <f>'$ Tables and Graphs'!I17</f>
        <v>-15403720.257215079</v>
      </c>
      <c r="J19" s="114">
        <f>'$ Tables and Graphs'!J17</f>
        <v>228078270.83410165</v>
      </c>
      <c r="K19" s="114">
        <f>'$ Tables and Graphs'!K17</f>
        <v>97970321.092483461</v>
      </c>
      <c r="L19" s="114">
        <f>'$ Tables and Graphs'!L17</f>
        <v>68007164.753511429</v>
      </c>
      <c r="M19" s="114">
        <f>'$ Tables and Graphs'!M17</f>
        <v>469347310.66296929</v>
      </c>
      <c r="O19" s="9" t="s">
        <v>58</v>
      </c>
      <c r="P19" s="161">
        <f t="shared" si="11"/>
        <v>0</v>
      </c>
      <c r="Q19" s="161">
        <f t="shared" si="12"/>
        <v>0</v>
      </c>
      <c r="R19" s="161">
        <f t="shared" si="13"/>
        <v>20.416994263402295</v>
      </c>
      <c r="S19" s="161">
        <f t="shared" si="14"/>
        <v>21.562783861484892</v>
      </c>
      <c r="T19" s="161">
        <f t="shared" si="15"/>
        <v>-1.761583898578112</v>
      </c>
      <c r="U19" s="161">
        <f t="shared" si="16"/>
        <v>50.477080013778782</v>
      </c>
      <c r="V19" s="161">
        <f t="shared" si="17"/>
        <v>-15.403720257215079</v>
      </c>
      <c r="W19" s="161">
        <f t="shared" si="18"/>
        <v>228.07827083410166</v>
      </c>
      <c r="X19" s="161">
        <f t="shared" si="19"/>
        <v>97.970321092483459</v>
      </c>
      <c r="Y19" s="161">
        <f t="shared" si="20"/>
        <v>68.007164753511432</v>
      </c>
      <c r="Z19" s="161">
        <f t="shared" si="21"/>
        <v>469.34731066296928</v>
      </c>
    </row>
    <row r="20" spans="2:26" x14ac:dyDescent="0.3">
      <c r="B20" s="9" t="s">
        <v>59</v>
      </c>
      <c r="C20" s="114">
        <f>'$ Tables and Graphs'!C18</f>
        <v>0</v>
      </c>
      <c r="D20" s="114">
        <f>'$ Tables and Graphs'!D18</f>
        <v>0</v>
      </c>
      <c r="E20" s="114">
        <f>'$ Tables and Graphs'!E18</f>
        <v>20416994.263402294</v>
      </c>
      <c r="F20" s="114">
        <f>'$ Tables and Graphs'!F18</f>
        <v>21454969.942177463</v>
      </c>
      <c r="G20" s="114">
        <f>'$ Tables and Graphs'!G18</f>
        <v>-3428809.0660998547</v>
      </c>
      <c r="H20" s="114">
        <f>'$ Tables and Graphs'!H18</f>
        <v>50224694.613709889</v>
      </c>
      <c r="I20" s="114">
        <f>'$ Tables and Graphs'!I18</f>
        <v>-22132012.585101333</v>
      </c>
      <c r="J20" s="114">
        <f>'$ Tables and Graphs'!J18</f>
        <v>202211663.51080137</v>
      </c>
      <c r="K20" s="114">
        <f>'$ Tables and Graphs'!K18</f>
        <v>61118739.421790615</v>
      </c>
      <c r="L20" s="114">
        <f>'$ Tables and Graphs'!L18</f>
        <v>68057703.345901966</v>
      </c>
      <c r="M20" s="114">
        <f>'$ Tables and Graphs'!M18</f>
        <v>397923943.44658244</v>
      </c>
      <c r="O20" s="9" t="s">
        <v>59</v>
      </c>
      <c r="P20" s="161">
        <f t="shared" si="11"/>
        <v>0</v>
      </c>
      <c r="Q20" s="161">
        <f t="shared" si="12"/>
        <v>0</v>
      </c>
      <c r="R20" s="161">
        <f t="shared" si="13"/>
        <v>20.416994263402295</v>
      </c>
      <c r="S20" s="161">
        <f t="shared" si="14"/>
        <v>21.454969942177463</v>
      </c>
      <c r="T20" s="161">
        <f t="shared" si="15"/>
        <v>-3.4288090660998547</v>
      </c>
      <c r="U20" s="161">
        <f t="shared" si="16"/>
        <v>50.224694613709886</v>
      </c>
      <c r="V20" s="161">
        <f t="shared" si="17"/>
        <v>-22.132012585101332</v>
      </c>
      <c r="W20" s="161">
        <f t="shared" si="18"/>
        <v>202.21166351080137</v>
      </c>
      <c r="X20" s="161">
        <f t="shared" si="19"/>
        <v>61.118739421790615</v>
      </c>
      <c r="Y20" s="161">
        <f t="shared" si="20"/>
        <v>68.05770334590197</v>
      </c>
      <c r="Z20" s="161">
        <f t="shared" si="21"/>
        <v>397.92394344658243</v>
      </c>
    </row>
    <row r="21" spans="2:26" x14ac:dyDescent="0.3">
      <c r="B21" s="9" t="s">
        <v>60</v>
      </c>
      <c r="C21" s="114">
        <f>'$ Tables and Graphs'!C19</f>
        <v>0</v>
      </c>
      <c r="D21" s="114">
        <f>'$ Tables and Graphs'!D19</f>
        <v>0</v>
      </c>
      <c r="E21" s="114">
        <f>'$ Tables and Graphs'!E19</f>
        <v>16969444.263402298</v>
      </c>
      <c r="F21" s="114">
        <f>'$ Tables and Graphs'!F19</f>
        <v>21347695.092466578</v>
      </c>
      <c r="G21" s="114">
        <f>'$ Tables and Graphs'!G19</f>
        <v>-5117999.9597350946</v>
      </c>
      <c r="H21" s="114">
        <f>'$ Tables and Graphs'!H19</f>
        <v>49973571.140641347</v>
      </c>
      <c r="I21" s="114">
        <f>'$ Tables and Graphs'!I19</f>
        <v>-28968881.729446217</v>
      </c>
      <c r="J21" s="114">
        <f>'$ Tables and Graphs'!J19</f>
        <v>177357235.93436453</v>
      </c>
      <c r="K21" s="114">
        <f>'$ Tables and Graphs'!K19</f>
        <v>23543458.078464203</v>
      </c>
      <c r="L21" s="114">
        <f>'$ Tables and Graphs'!L19</f>
        <v>68118553.768141374</v>
      </c>
      <c r="M21" s="114">
        <f>'$ Tables and Graphs'!M19</f>
        <v>323223076.58829904</v>
      </c>
      <c r="O21" s="9" t="s">
        <v>60</v>
      </c>
      <c r="P21" s="161">
        <f t="shared" si="11"/>
        <v>0</v>
      </c>
      <c r="Q21" s="161">
        <f t="shared" si="12"/>
        <v>0</v>
      </c>
      <c r="R21" s="161">
        <f t="shared" si="13"/>
        <v>16.969444263402298</v>
      </c>
      <c r="S21" s="161">
        <f t="shared" si="14"/>
        <v>21.347695092466576</v>
      </c>
      <c r="T21" s="161">
        <f t="shared" si="15"/>
        <v>-5.1179999597350943</v>
      </c>
      <c r="U21" s="161">
        <f t="shared" si="16"/>
        <v>49.973571140641347</v>
      </c>
      <c r="V21" s="161">
        <f t="shared" si="17"/>
        <v>-28.968881729446217</v>
      </c>
      <c r="W21" s="161">
        <f t="shared" si="18"/>
        <v>177.35723593436452</v>
      </c>
      <c r="X21" s="161">
        <f t="shared" si="19"/>
        <v>23.543458078464202</v>
      </c>
      <c r="Y21" s="161">
        <f t="shared" si="20"/>
        <v>68.118553768141368</v>
      </c>
      <c r="Z21" s="161">
        <f t="shared" si="21"/>
        <v>323.22307658829902</v>
      </c>
    </row>
    <row r="22" spans="2:26" x14ac:dyDescent="0.3">
      <c r="B22" s="9" t="s">
        <v>61</v>
      </c>
      <c r="C22" s="114">
        <f>'$ Tables and Graphs'!C20</f>
        <v>0</v>
      </c>
      <c r="D22" s="114">
        <f>'$ Tables and Graphs'!D20</f>
        <v>0</v>
      </c>
      <c r="E22" s="114">
        <f>'$ Tables and Graphs'!E20</f>
        <v>0</v>
      </c>
      <c r="F22" s="114">
        <f>'$ Tables and Graphs'!F20</f>
        <v>21240956.617004246</v>
      </c>
      <c r="G22" s="114">
        <f>'$ Tables and Graphs'!G20</f>
        <v>-6829568.9846334243</v>
      </c>
      <c r="H22" s="114">
        <f>'$ Tables and Graphs'!H20</f>
        <v>49723703.284938134</v>
      </c>
      <c r="I22" s="114">
        <f>'$ Tables and Graphs'!I20</f>
        <v>-35916442.068622626</v>
      </c>
      <c r="J22" s="114">
        <f>'$ Tables and Graphs'!J20</f>
        <v>153474613.33764696</v>
      </c>
      <c r="K22" s="114">
        <f>'$ Tables and Graphs'!K20</f>
        <v>-14769969.349458121</v>
      </c>
      <c r="L22" s="114">
        <f>'$ Tables and Graphs'!L20</f>
        <v>68198134.165855765</v>
      </c>
      <c r="M22" s="114">
        <f>'$ Tables and Graphs'!M20</f>
        <v>235121427.00273094</v>
      </c>
      <c r="O22" s="9" t="s">
        <v>61</v>
      </c>
      <c r="P22" s="161">
        <f t="shared" si="11"/>
        <v>0</v>
      </c>
      <c r="Q22" s="161">
        <f t="shared" si="12"/>
        <v>0</v>
      </c>
      <c r="R22" s="161">
        <f t="shared" si="13"/>
        <v>0</v>
      </c>
      <c r="S22" s="161">
        <f t="shared" si="14"/>
        <v>21.240956617004244</v>
      </c>
      <c r="T22" s="161">
        <f t="shared" si="15"/>
        <v>-6.8295689846334247</v>
      </c>
      <c r="U22" s="161">
        <f t="shared" si="16"/>
        <v>49.723703284938132</v>
      </c>
      <c r="V22" s="161">
        <f t="shared" si="17"/>
        <v>-35.916442068622629</v>
      </c>
      <c r="W22" s="161">
        <f t="shared" si="18"/>
        <v>153.47461333764696</v>
      </c>
      <c r="X22" s="161">
        <f t="shared" si="19"/>
        <v>-14.769969349458121</v>
      </c>
      <c r="Y22" s="161">
        <f t="shared" si="20"/>
        <v>68.198134165855762</v>
      </c>
      <c r="Z22" s="161">
        <f t="shared" si="21"/>
        <v>235.12142700273094</v>
      </c>
    </row>
    <row r="23" spans="2:26" x14ac:dyDescent="0.3">
      <c r="B23" s="9" t="s">
        <v>62</v>
      </c>
      <c r="C23" s="114">
        <f>'$ Tables and Graphs'!C21</f>
        <v>0</v>
      </c>
      <c r="D23" s="114">
        <f>'$ Tables and Graphs'!D21</f>
        <v>0</v>
      </c>
      <c r="E23" s="114">
        <f>'$ Tables and Graphs'!E21</f>
        <v>0</v>
      </c>
      <c r="F23" s="114">
        <f>'$ Tables and Graphs'!F21</f>
        <v>21134751.833919227</v>
      </c>
      <c r="G23" s="114">
        <f>'$ Tables and Graphs'!G21</f>
        <v>-8563935.6799257435</v>
      </c>
      <c r="H23" s="114">
        <f>'$ Tables and Graphs'!H21</f>
        <v>49475084.768513449</v>
      </c>
      <c r="I23" s="114">
        <f>'$ Tables and Graphs'!I21</f>
        <v>-42976847.766524494</v>
      </c>
      <c r="J23" s="114">
        <f>'$ Tables and Graphs'!J21</f>
        <v>130525035.38207659</v>
      </c>
      <c r="K23" s="114">
        <f>'$ Tables and Graphs'!K21</f>
        <v>-53836276.935890459</v>
      </c>
      <c r="L23" s="114">
        <f>'$ Tables and Graphs'!L21</f>
        <v>68209514.676376209</v>
      </c>
      <c r="M23" s="114">
        <f>'$ Tables and Graphs'!M21</f>
        <v>163967326.27854478</v>
      </c>
      <c r="O23" s="9" t="s">
        <v>62</v>
      </c>
      <c r="P23" s="161">
        <f t="shared" si="11"/>
        <v>0</v>
      </c>
      <c r="Q23" s="161">
        <f t="shared" si="12"/>
        <v>0</v>
      </c>
      <c r="R23" s="161">
        <f t="shared" si="13"/>
        <v>0</v>
      </c>
      <c r="S23" s="161">
        <f t="shared" si="14"/>
        <v>21.134751833919228</v>
      </c>
      <c r="T23" s="161">
        <f t="shared" si="15"/>
        <v>-8.5639356799257431</v>
      </c>
      <c r="U23" s="161">
        <f t="shared" si="16"/>
        <v>49.475084768513447</v>
      </c>
      <c r="V23" s="161">
        <f t="shared" si="17"/>
        <v>-42.976847766524493</v>
      </c>
      <c r="W23" s="161">
        <f t="shared" si="18"/>
        <v>130.5250353820766</v>
      </c>
      <c r="X23" s="161">
        <f t="shared" si="19"/>
        <v>-53.83627693589046</v>
      </c>
      <c r="Y23" s="161">
        <f t="shared" si="20"/>
        <v>68.209514676376202</v>
      </c>
      <c r="Z23" s="161">
        <f t="shared" si="21"/>
        <v>163.96732627854479</v>
      </c>
    </row>
    <row r="24" spans="2:26" x14ac:dyDescent="0.3">
      <c r="B24" s="9" t="s">
        <v>63</v>
      </c>
      <c r="C24" s="114">
        <f>'$ Tables and Graphs'!C22</f>
        <v>0</v>
      </c>
      <c r="D24" s="114">
        <f>'$ Tables and Graphs'!D22</f>
        <v>0</v>
      </c>
      <c r="E24" s="114">
        <f>'$ Tables and Graphs'!E22</f>
        <v>0</v>
      </c>
      <c r="F24" s="114">
        <f>'$ Tables and Graphs'!F22</f>
        <v>21029078.074749626</v>
      </c>
      <c r="G24" s="114">
        <f>'$ Tables and Graphs'!G22</f>
        <v>-10321526.848369312</v>
      </c>
      <c r="H24" s="114">
        <f>'$ Tables and Graphs'!H22</f>
        <v>49227709.344670877</v>
      </c>
      <c r="I24" s="114">
        <f>'$ Tables and Graphs'!I22</f>
        <v>-50152293.539248504</v>
      </c>
      <c r="J24" s="114">
        <f>'$ Tables and Graphs'!J22</f>
        <v>125303002.95920792</v>
      </c>
      <c r="K24" s="114">
        <f>'$ Tables and Graphs'!K22</f>
        <v>-93670492.155345812</v>
      </c>
      <c r="L24" s="114">
        <f>'$ Tables and Graphs'!L22</f>
        <v>68264106.623428315</v>
      </c>
      <c r="M24" s="114">
        <f>'$ Tables and Graphs'!M22</f>
        <v>109679584.45909311</v>
      </c>
      <c r="O24" s="9" t="s">
        <v>63</v>
      </c>
      <c r="P24" s="161">
        <f t="shared" si="11"/>
        <v>0</v>
      </c>
      <c r="Q24" s="161">
        <f t="shared" si="12"/>
        <v>0</v>
      </c>
      <c r="R24" s="161">
        <f t="shared" si="13"/>
        <v>0</v>
      </c>
      <c r="S24" s="161">
        <f t="shared" si="14"/>
        <v>21.029078074749627</v>
      </c>
      <c r="T24" s="161">
        <f t="shared" si="15"/>
        <v>-10.321526848369311</v>
      </c>
      <c r="U24" s="161">
        <f t="shared" si="16"/>
        <v>49.227709344670878</v>
      </c>
      <c r="V24" s="161">
        <f t="shared" si="17"/>
        <v>-50.152293539248504</v>
      </c>
      <c r="W24" s="161">
        <f t="shared" si="18"/>
        <v>125.30300295920792</v>
      </c>
      <c r="X24" s="161">
        <f t="shared" si="19"/>
        <v>-93.670492155345812</v>
      </c>
      <c r="Y24" s="161">
        <f t="shared" si="20"/>
        <v>68.264106623428319</v>
      </c>
      <c r="Z24" s="161">
        <f t="shared" si="21"/>
        <v>109.67958445909311</v>
      </c>
    </row>
    <row r="25" spans="2:26" x14ac:dyDescent="0.3">
      <c r="B25" s="9" t="s">
        <v>64</v>
      </c>
      <c r="C25" s="114">
        <f>'$ Tables and Graphs'!C23</f>
        <v>0</v>
      </c>
      <c r="D25" s="114">
        <f>'$ Tables and Graphs'!D23</f>
        <v>0</v>
      </c>
      <c r="E25" s="114">
        <f>'$ Tables and Graphs'!E23</f>
        <v>0</v>
      </c>
      <c r="F25" s="114">
        <f>'$ Tables and Graphs'!F23</f>
        <v>20923932.684375878</v>
      </c>
      <c r="G25" s="114">
        <f>'$ Tables and Graphs'!G23</f>
        <v>-12102776.688373692</v>
      </c>
      <c r="H25" s="114">
        <f>'$ Tables and Graphs'!H23</f>
        <v>48981570.797947526</v>
      </c>
      <c r="I25" s="114">
        <f>'$ Tables and Graphs'!I23</f>
        <v>-57445015.436635971</v>
      </c>
      <c r="J25" s="114">
        <f>'$ Tables and Graphs'!J23</f>
        <v>124676487.9444119</v>
      </c>
      <c r="K25" s="114">
        <f>'$ Tables and Graphs'!K23</f>
        <v>-134287941.73611903</v>
      </c>
      <c r="L25" s="114">
        <f>'$ Tables and Graphs'!L23</f>
        <v>68264106.623428315</v>
      </c>
      <c r="M25" s="114">
        <f>'$ Tables and Graphs'!M23</f>
        <v>59010364.189034924</v>
      </c>
      <c r="O25" s="9" t="s">
        <v>64</v>
      </c>
      <c r="P25" s="161">
        <f t="shared" si="11"/>
        <v>0</v>
      </c>
      <c r="Q25" s="161">
        <f t="shared" si="12"/>
        <v>0</v>
      </c>
      <c r="R25" s="161">
        <f t="shared" si="13"/>
        <v>0</v>
      </c>
      <c r="S25" s="161">
        <f t="shared" si="14"/>
        <v>20.923932684375877</v>
      </c>
      <c r="T25" s="161">
        <f t="shared" si="15"/>
        <v>-12.102776688373693</v>
      </c>
      <c r="U25" s="161">
        <f t="shared" si="16"/>
        <v>48.981570797947526</v>
      </c>
      <c r="V25" s="161">
        <f t="shared" si="17"/>
        <v>-57.44501543663597</v>
      </c>
      <c r="W25" s="161">
        <f t="shared" si="18"/>
        <v>124.6764879444119</v>
      </c>
      <c r="X25" s="161">
        <f t="shared" si="19"/>
        <v>-134.28794173611902</v>
      </c>
      <c r="Y25" s="161">
        <f t="shared" si="20"/>
        <v>68.264106623428319</v>
      </c>
      <c r="Z25" s="161">
        <f t="shared" si="21"/>
        <v>59.010364189034924</v>
      </c>
    </row>
    <row r="26" spans="2:26" x14ac:dyDescent="0.3">
      <c r="B26" s="9" t="s">
        <v>65</v>
      </c>
      <c r="C26" s="114">
        <f>'$ Tables and Graphs'!C24</f>
        <v>0</v>
      </c>
      <c r="D26" s="114">
        <f>'$ Tables and Graphs'!D24</f>
        <v>0</v>
      </c>
      <c r="E26" s="114">
        <f>'$ Tables and Graphs'!E24</f>
        <v>0</v>
      </c>
      <c r="F26" s="114">
        <f>'$ Tables and Graphs'!F24</f>
        <v>20819313.020953998</v>
      </c>
      <c r="G26" s="114">
        <f>'$ Tables and Graphs'!G24</f>
        <v>-13908126.928452093</v>
      </c>
      <c r="H26" s="114">
        <f>'$ Tables and Graphs'!H24</f>
        <v>48736662.943957791</v>
      </c>
      <c r="I26" s="114">
        <f>'$ Tables and Graphs'!I24</f>
        <v>-64857291.638964728</v>
      </c>
      <c r="J26" s="114">
        <f>'$ Tables and Graphs'!J24</f>
        <v>124053105.50468983</v>
      </c>
      <c r="K26" s="114">
        <f>'$ Tables and Graphs'!K24</f>
        <v>-175704257.63028982</v>
      </c>
      <c r="L26" s="114">
        <f>'$ Tables and Graphs'!L24</f>
        <v>68264106.623428315</v>
      </c>
      <c r="M26" s="114">
        <f>'$ Tables and Graphs'!M24</f>
        <v>7403511.8953232914</v>
      </c>
      <c r="O26" s="9" t="s">
        <v>65</v>
      </c>
      <c r="P26" s="161">
        <f t="shared" si="11"/>
        <v>0</v>
      </c>
      <c r="Q26" s="161">
        <f t="shared" si="12"/>
        <v>0</v>
      </c>
      <c r="R26" s="161">
        <f t="shared" si="13"/>
        <v>0</v>
      </c>
      <c r="S26" s="161">
        <f t="shared" si="14"/>
        <v>20.819313020953999</v>
      </c>
      <c r="T26" s="161">
        <f t="shared" si="15"/>
        <v>-13.908126928452093</v>
      </c>
      <c r="U26" s="161">
        <f t="shared" si="16"/>
        <v>48.736662943957789</v>
      </c>
      <c r="V26" s="161">
        <f t="shared" si="17"/>
        <v>-64.857291638964725</v>
      </c>
      <c r="W26" s="161">
        <f t="shared" si="18"/>
        <v>124.05310550468982</v>
      </c>
      <c r="X26" s="161">
        <f t="shared" si="19"/>
        <v>-175.70425763028982</v>
      </c>
      <c r="Y26" s="161">
        <f t="shared" si="20"/>
        <v>68.264106623428319</v>
      </c>
      <c r="Z26" s="161">
        <f t="shared" si="21"/>
        <v>7.403511895323291</v>
      </c>
    </row>
    <row r="27" spans="2:26" x14ac:dyDescent="0.3">
      <c r="B27" s="9" t="s">
        <v>66</v>
      </c>
      <c r="C27" s="114">
        <f>'$ Tables and Graphs'!C25</f>
        <v>0</v>
      </c>
      <c r="D27" s="114">
        <f>'$ Tables and Graphs'!D25</f>
        <v>0</v>
      </c>
      <c r="E27" s="114">
        <f>'$ Tables and Graphs'!E25</f>
        <v>0</v>
      </c>
      <c r="F27" s="114">
        <f>'$ Tables and Graphs'!F25</f>
        <v>20715216.45584923</v>
      </c>
      <c r="G27" s="114">
        <f>'$ Tables and Graphs'!G25</f>
        <v>-15738026.964143483</v>
      </c>
      <c r="H27" s="114">
        <f>'$ Tables and Graphs'!H25</f>
        <v>48492979.629238002</v>
      </c>
      <c r="I27" s="114">
        <f>'$ Tables and Graphs'!I25</f>
        <v>-72391443.269087315</v>
      </c>
      <c r="J27" s="114">
        <f>'$ Tables and Graphs'!J25</f>
        <v>123432839.97716638</v>
      </c>
      <c r="K27" s="114">
        <f>'$ Tables and Graphs'!K25</f>
        <v>-217935383.10288098</v>
      </c>
      <c r="L27" s="114">
        <f>'$ Tables and Graphs'!L25</f>
        <v>68264106.623428315</v>
      </c>
      <c r="M27" s="114">
        <f>'$ Tables and Graphs'!M25</f>
        <v>-45159710.650429845</v>
      </c>
      <c r="O27" s="9" t="s">
        <v>66</v>
      </c>
      <c r="P27" s="161">
        <f t="shared" si="11"/>
        <v>0</v>
      </c>
      <c r="Q27" s="161">
        <f t="shared" si="12"/>
        <v>0</v>
      </c>
      <c r="R27" s="161">
        <f t="shared" si="13"/>
        <v>0</v>
      </c>
      <c r="S27" s="161">
        <f t="shared" si="14"/>
        <v>20.71521645584923</v>
      </c>
      <c r="T27" s="161">
        <f t="shared" si="15"/>
        <v>-15.738026964143483</v>
      </c>
      <c r="U27" s="161">
        <f t="shared" si="16"/>
        <v>48.492979629238</v>
      </c>
      <c r="V27" s="161">
        <f t="shared" si="17"/>
        <v>-72.391443269087318</v>
      </c>
      <c r="W27" s="161">
        <f t="shared" si="18"/>
        <v>123.43283997716638</v>
      </c>
      <c r="X27" s="161">
        <f t="shared" si="19"/>
        <v>-217.93538310288099</v>
      </c>
      <c r="Y27" s="161">
        <f t="shared" si="20"/>
        <v>68.264106623428319</v>
      </c>
      <c r="Z27" s="161">
        <f t="shared" si="21"/>
        <v>-45.159710650429844</v>
      </c>
    </row>
    <row r="28" spans="2:26" x14ac:dyDescent="0.3">
      <c r="B28" s="9" t="s">
        <v>67</v>
      </c>
      <c r="C28" s="114">
        <f>'$ Tables and Graphs'!C26</f>
        <v>0</v>
      </c>
      <c r="D28" s="114">
        <f>'$ Tables and Graphs'!D26</f>
        <v>0</v>
      </c>
      <c r="E28" s="114">
        <f>'$ Tables and Graphs'!E26</f>
        <v>0</v>
      </c>
      <c r="F28" s="114">
        <f>'$ Tables and Graphs'!F26</f>
        <v>20572634.555911593</v>
      </c>
      <c r="G28" s="114">
        <f>'$ Tables and Graphs'!G26</f>
        <v>-17592933.997451767</v>
      </c>
      <c r="H28" s="114">
        <f>'$ Tables and Graphs'!H26</f>
        <v>31882117.435695674</v>
      </c>
      <c r="I28" s="114">
        <f>'$ Tables and Graphs'!I26</f>
        <v>-80049835.220317334</v>
      </c>
      <c r="J28" s="114">
        <f>'$ Tables and Graphs'!J26</f>
        <v>122815675.77728054</v>
      </c>
      <c r="K28" s="114">
        <f>'$ Tables and Graphs'!K26</f>
        <v>-260997578.94254979</v>
      </c>
      <c r="L28" s="114">
        <f>'$ Tables and Graphs'!L26</f>
        <v>68264106.623428315</v>
      </c>
      <c r="M28" s="114">
        <f>'$ Tables and Graphs'!M26</f>
        <v>-115105813.76800278</v>
      </c>
      <c r="O28" s="9" t="s">
        <v>67</v>
      </c>
      <c r="P28" s="161">
        <f t="shared" si="11"/>
        <v>0</v>
      </c>
      <c r="Q28" s="161">
        <f t="shared" si="12"/>
        <v>0</v>
      </c>
      <c r="R28" s="161">
        <f t="shared" si="13"/>
        <v>0</v>
      </c>
      <c r="S28" s="161">
        <f t="shared" si="14"/>
        <v>20.572634555911595</v>
      </c>
      <c r="T28" s="161">
        <f t="shared" si="15"/>
        <v>-17.592933997451766</v>
      </c>
      <c r="U28" s="161">
        <f t="shared" si="16"/>
        <v>31.882117435695676</v>
      </c>
      <c r="V28" s="161">
        <f t="shared" si="17"/>
        <v>-80.049835220317334</v>
      </c>
      <c r="W28" s="161">
        <f t="shared" si="18"/>
        <v>122.81567577728055</v>
      </c>
      <c r="X28" s="161">
        <f t="shared" si="19"/>
        <v>-260.99757894254981</v>
      </c>
      <c r="Y28" s="161">
        <f t="shared" si="20"/>
        <v>68.264106623428319</v>
      </c>
      <c r="Z28" s="161">
        <f t="shared" si="21"/>
        <v>-115.10581376800278</v>
      </c>
    </row>
    <row r="29" spans="2:26" x14ac:dyDescent="0.3">
      <c r="C29" s="202"/>
    </row>
    <row r="30" spans="2:26" x14ac:dyDescent="0.3">
      <c r="C30" s="202"/>
    </row>
    <row r="35" spans="2:14" ht="15" thickBot="1" x14ac:dyDescent="0.35">
      <c r="B35" t="s">
        <v>177</v>
      </c>
    </row>
    <row r="36" spans="2:14" ht="21" thickBot="1" x14ac:dyDescent="0.35">
      <c r="B36" s="157" t="s">
        <v>43</v>
      </c>
      <c r="C36" s="157" t="s">
        <v>178</v>
      </c>
      <c r="D36" s="157" t="s">
        <v>179</v>
      </c>
      <c r="E36" s="157" t="s">
        <v>180</v>
      </c>
      <c r="F36" s="157" t="s">
        <v>181</v>
      </c>
      <c r="G36" s="157" t="s">
        <v>182</v>
      </c>
      <c r="I36" s="157" t="s">
        <v>43</v>
      </c>
      <c r="J36" s="157" t="s">
        <v>178</v>
      </c>
      <c r="K36" s="157" t="s">
        <v>179</v>
      </c>
      <c r="L36" s="157" t="s">
        <v>180</v>
      </c>
      <c r="M36" s="157" t="s">
        <v>181</v>
      </c>
      <c r="N36" s="157" t="s">
        <v>182</v>
      </c>
    </row>
    <row r="37" spans="2:14" x14ac:dyDescent="0.3">
      <c r="B37" s="160" t="s">
        <v>45</v>
      </c>
      <c r="C37" s="161">
        <f>'RPS Spend Model'!S3</f>
        <v>460710682.26743871</v>
      </c>
      <c r="D37" s="161">
        <f>'RPS Spend Model'!T3</f>
        <v>225236000.73006958</v>
      </c>
      <c r="E37" s="161">
        <f>'RPS Spend Model'!U3</f>
        <v>685946682.99750829</v>
      </c>
      <c r="F37" s="161">
        <f>'RPS Spend Model'!V3</f>
        <v>284990180.25411689</v>
      </c>
      <c r="G37" s="161">
        <f>'RPS Spend Model'!W3</f>
        <v>400956502.74339139</v>
      </c>
      <c r="I37" s="160" t="s">
        <v>45</v>
      </c>
      <c r="J37" s="161">
        <f t="shared" ref="J37:J47" si="22">C37/1000000</f>
        <v>460.7106822674387</v>
      </c>
      <c r="K37" s="161">
        <f t="shared" ref="K37:K47" si="23">D37/1000000</f>
        <v>225.23600073006958</v>
      </c>
      <c r="L37" s="161">
        <f t="shared" ref="L37:L47" si="24">E37/1000000</f>
        <v>685.94668299750833</v>
      </c>
      <c r="M37" s="161">
        <f t="shared" ref="M37:M47" si="25">F37/1000000</f>
        <v>284.99018025411686</v>
      </c>
      <c r="N37" s="161">
        <f t="shared" ref="N37:N47" si="26">G37/1000000</f>
        <v>400.95650274339141</v>
      </c>
    </row>
    <row r="38" spans="2:14" x14ac:dyDescent="0.3">
      <c r="B38" s="9" t="s">
        <v>46</v>
      </c>
      <c r="C38" s="44">
        <f>'RPS Spend Model'!S4</f>
        <v>400956502.74339139</v>
      </c>
      <c r="D38" s="44">
        <f>'RPS Spend Model'!T4</f>
        <v>464737836.41346717</v>
      </c>
      <c r="E38" s="44">
        <f>'RPS Spend Model'!U4</f>
        <v>865694339.15685856</v>
      </c>
      <c r="F38" s="44">
        <f>'RPS Spend Model'!V4</f>
        <v>336243541.95691854</v>
      </c>
      <c r="G38" s="44">
        <f>'RPS Spend Model'!W4</f>
        <v>529450797.19994003</v>
      </c>
      <c r="I38" s="9" t="s">
        <v>46</v>
      </c>
      <c r="J38" s="161">
        <f t="shared" si="22"/>
        <v>400.95650274339141</v>
      </c>
      <c r="K38" s="161">
        <f t="shared" si="23"/>
        <v>464.73783641346716</v>
      </c>
      <c r="L38" s="161">
        <f t="shared" si="24"/>
        <v>865.69433915685852</v>
      </c>
      <c r="M38" s="161">
        <f t="shared" si="25"/>
        <v>336.24354195691853</v>
      </c>
      <c r="N38" s="161">
        <f t="shared" si="26"/>
        <v>529.45079719993998</v>
      </c>
    </row>
    <row r="39" spans="2:14" x14ac:dyDescent="0.3">
      <c r="B39" s="9" t="s">
        <v>47</v>
      </c>
      <c r="C39" s="44">
        <f>'RPS Spend Model'!S5</f>
        <v>529450797.19994003</v>
      </c>
      <c r="D39" s="44">
        <f>'RPS Spend Model'!T5</f>
        <v>587462994.26425016</v>
      </c>
      <c r="E39" s="44">
        <f>'RPS Spend Model'!U5</f>
        <v>1116913791.4641902</v>
      </c>
      <c r="F39" s="44">
        <f>'RPS Spend Model'!V5</f>
        <v>702394448.1908859</v>
      </c>
      <c r="G39" s="44">
        <f>'RPS Spend Model'!W5</f>
        <v>414519343.27330434</v>
      </c>
      <c r="I39" s="9" t="s">
        <v>47</v>
      </c>
      <c r="J39" s="161">
        <f t="shared" si="22"/>
        <v>529.45079719993998</v>
      </c>
      <c r="K39" s="161">
        <f t="shared" si="23"/>
        <v>587.46299426425014</v>
      </c>
      <c r="L39" s="161">
        <f t="shared" si="24"/>
        <v>1116.9137914641904</v>
      </c>
      <c r="M39" s="161">
        <f t="shared" si="25"/>
        <v>702.3944481908859</v>
      </c>
      <c r="N39" s="161">
        <f t="shared" si="26"/>
        <v>414.51934327330434</v>
      </c>
    </row>
    <row r="40" spans="2:14" x14ac:dyDescent="0.3">
      <c r="B40" s="9" t="s">
        <v>48</v>
      </c>
      <c r="C40" s="44">
        <f>'RPS Spend Model'!S6</f>
        <v>414519343.27330434</v>
      </c>
      <c r="D40" s="44">
        <f>'RPS Spend Model'!T6</f>
        <v>588988451.20769513</v>
      </c>
      <c r="E40" s="44">
        <f>'RPS Spend Model'!U6</f>
        <v>1003507794.4809995</v>
      </c>
      <c r="F40" s="44">
        <f>'RPS Spend Model'!V6</f>
        <v>574599429.61572099</v>
      </c>
      <c r="G40" s="44">
        <f>'RPS Spend Model'!W6</f>
        <v>428908364.86527848</v>
      </c>
      <c r="I40" s="9" t="s">
        <v>48</v>
      </c>
      <c r="J40" s="161">
        <f t="shared" si="22"/>
        <v>414.51934327330434</v>
      </c>
      <c r="K40" s="161">
        <f t="shared" si="23"/>
        <v>588.98845120769511</v>
      </c>
      <c r="L40" s="161">
        <f t="shared" si="24"/>
        <v>1003.5077944809995</v>
      </c>
      <c r="M40" s="161">
        <f t="shared" si="25"/>
        <v>574.59942961572096</v>
      </c>
      <c r="N40" s="161">
        <f t="shared" si="26"/>
        <v>428.90836486527849</v>
      </c>
    </row>
    <row r="41" spans="2:14" x14ac:dyDescent="0.3">
      <c r="B41" s="9" t="s">
        <v>49</v>
      </c>
      <c r="C41" s="44">
        <f>'RPS Spend Model'!S7</f>
        <v>428908364.86527848</v>
      </c>
      <c r="D41" s="44">
        <f>'RPS Spend Model'!T7</f>
        <v>587115172.23652923</v>
      </c>
      <c r="E41" s="44">
        <f>'RPS Spend Model'!U7</f>
        <v>1016023537.1018077</v>
      </c>
      <c r="F41" s="44">
        <f>'RPS Spend Model'!V7</f>
        <v>602015153.04955244</v>
      </c>
      <c r="G41" s="44">
        <f>'RPS Spend Model'!W7</f>
        <v>414008384.05225527</v>
      </c>
      <c r="I41" s="9" t="s">
        <v>49</v>
      </c>
      <c r="J41" s="161">
        <f t="shared" si="22"/>
        <v>428.90836486527849</v>
      </c>
      <c r="K41" s="161">
        <f t="shared" si="23"/>
        <v>587.11517223652925</v>
      </c>
      <c r="L41" s="161">
        <f t="shared" si="24"/>
        <v>1016.0235371018077</v>
      </c>
      <c r="M41" s="161">
        <f t="shared" si="25"/>
        <v>602.0151530495524</v>
      </c>
      <c r="N41" s="161">
        <f t="shared" si="26"/>
        <v>414.00838405225528</v>
      </c>
    </row>
    <row r="42" spans="2:14" x14ac:dyDescent="0.3">
      <c r="B42" s="9" t="s">
        <v>50</v>
      </c>
      <c r="C42" s="44">
        <f>'RPS Spend Model'!S8</f>
        <v>414008384.05225527</v>
      </c>
      <c r="D42" s="44">
        <f>'RPS Spend Model'!T8</f>
        <v>585111857.09905922</v>
      </c>
      <c r="E42" s="44">
        <f>'RPS Spend Model'!U8</f>
        <v>999120241.1513145</v>
      </c>
      <c r="F42" s="44">
        <f>'RPS Spend Model'!V8</f>
        <v>578200596.66672337</v>
      </c>
      <c r="G42" s="44">
        <f>'RPS Spend Model'!W8</f>
        <v>420919644.48459113</v>
      </c>
      <c r="I42" s="9" t="s">
        <v>50</v>
      </c>
      <c r="J42" s="161">
        <f t="shared" si="22"/>
        <v>414.00838405225528</v>
      </c>
      <c r="K42" s="161">
        <f t="shared" si="23"/>
        <v>585.11185709905919</v>
      </c>
      <c r="L42" s="161">
        <f t="shared" si="24"/>
        <v>999.12024115131453</v>
      </c>
      <c r="M42" s="161">
        <f t="shared" si="25"/>
        <v>578.20059666672341</v>
      </c>
      <c r="N42" s="161">
        <f t="shared" si="26"/>
        <v>420.91964448459112</v>
      </c>
    </row>
    <row r="43" spans="2:14" x14ac:dyDescent="0.3">
      <c r="B43" s="9" t="s">
        <v>51</v>
      </c>
      <c r="C43" s="44">
        <f>'RPS Spend Model'!S9</f>
        <v>420919644.48459113</v>
      </c>
      <c r="D43" s="44">
        <f>'RPS Spend Model'!T9</f>
        <v>585756682.47488618</v>
      </c>
      <c r="E43" s="44">
        <f>'RPS Spend Model'!U9</f>
        <v>1006676326.9594773</v>
      </c>
      <c r="F43" s="44">
        <f>'RPS Spend Model'!V9</f>
        <v>569909346.3969748</v>
      </c>
      <c r="G43" s="44">
        <f>'RPS Spend Model'!W9</f>
        <v>436766980.5625025</v>
      </c>
      <c r="I43" s="9" t="s">
        <v>51</v>
      </c>
      <c r="J43" s="161">
        <f t="shared" si="22"/>
        <v>420.91964448459112</v>
      </c>
      <c r="K43" s="161">
        <f t="shared" si="23"/>
        <v>585.75668247488613</v>
      </c>
      <c r="L43" s="161">
        <f t="shared" si="24"/>
        <v>1006.6763269594773</v>
      </c>
      <c r="M43" s="161">
        <f t="shared" si="25"/>
        <v>569.9093463969748</v>
      </c>
      <c r="N43" s="161">
        <f t="shared" si="26"/>
        <v>436.76698056250251</v>
      </c>
    </row>
    <row r="44" spans="2:14" x14ac:dyDescent="0.3">
      <c r="B44" s="9" t="s">
        <v>52</v>
      </c>
      <c r="C44" s="44">
        <f>'RPS Spend Model'!S10</f>
        <v>436766980.5625025</v>
      </c>
      <c r="D44" s="44">
        <f>'RPS Spend Model'!T10</f>
        <v>587514105.67300749</v>
      </c>
      <c r="E44" s="44">
        <f>'RPS Spend Model'!U10</f>
        <v>1024281086.23551</v>
      </c>
      <c r="F44" s="44">
        <f>'RPS Spend Model'!V10</f>
        <v>616845717.84269643</v>
      </c>
      <c r="G44" s="44">
        <f>'RPS Spend Model'!W10</f>
        <v>407435368.39281356</v>
      </c>
      <c r="I44" s="9" t="s">
        <v>52</v>
      </c>
      <c r="J44" s="161">
        <f t="shared" si="22"/>
        <v>436.76698056250251</v>
      </c>
      <c r="K44" s="161">
        <f t="shared" si="23"/>
        <v>587.51410567300752</v>
      </c>
      <c r="L44" s="161">
        <f t="shared" si="24"/>
        <v>1024.28108623551</v>
      </c>
      <c r="M44" s="161">
        <f t="shared" si="25"/>
        <v>616.84571784269644</v>
      </c>
      <c r="N44" s="161">
        <f t="shared" si="26"/>
        <v>407.43536839281359</v>
      </c>
    </row>
    <row r="45" spans="2:14" x14ac:dyDescent="0.3">
      <c r="B45" s="9" t="s">
        <v>53</v>
      </c>
      <c r="C45" s="44">
        <f>'RPS Spend Model'!S11</f>
        <v>407435368.39281356</v>
      </c>
      <c r="D45" s="44">
        <f>'RPS Spend Model'!T11</f>
        <v>590390494.51808977</v>
      </c>
      <c r="E45" s="44">
        <f>'RPS Spend Model'!U11</f>
        <v>997825862.91090333</v>
      </c>
      <c r="F45" s="44">
        <f>'RPS Spend Model'!V11</f>
        <v>662898735.729087</v>
      </c>
      <c r="G45" s="44">
        <f>'RPS Spend Model'!W11</f>
        <v>334927127.18181634</v>
      </c>
      <c r="I45" s="9" t="s">
        <v>53</v>
      </c>
      <c r="J45" s="161">
        <f t="shared" si="22"/>
        <v>407.43536839281359</v>
      </c>
      <c r="K45" s="161">
        <f t="shared" si="23"/>
        <v>590.39049451808978</v>
      </c>
      <c r="L45" s="161">
        <f t="shared" si="24"/>
        <v>997.82586291090331</v>
      </c>
      <c r="M45" s="161">
        <f t="shared" si="25"/>
        <v>662.89873572908698</v>
      </c>
      <c r="N45" s="161">
        <f t="shared" si="26"/>
        <v>334.92712718181633</v>
      </c>
    </row>
    <row r="46" spans="2:14" x14ac:dyDescent="0.3">
      <c r="B46" s="9" t="s">
        <v>54</v>
      </c>
      <c r="C46" s="44">
        <f>'RPS Spend Model'!S12</f>
        <v>334927127.18181634</v>
      </c>
      <c r="D46" s="44">
        <f>'RPS Spend Model'!T12</f>
        <v>591122604.44628155</v>
      </c>
      <c r="E46" s="44">
        <f>'RPS Spend Model'!U12</f>
        <v>926049731.62809789</v>
      </c>
      <c r="F46" s="44">
        <f>'RPS Spend Model'!V12</f>
        <v>658826490.4240253</v>
      </c>
      <c r="G46" s="44">
        <f>'RPS Spend Model'!W12</f>
        <v>267223241.20407259</v>
      </c>
      <c r="I46" s="9" t="s">
        <v>54</v>
      </c>
      <c r="J46" s="161">
        <f t="shared" si="22"/>
        <v>334.92712718181633</v>
      </c>
      <c r="K46" s="161">
        <f t="shared" si="23"/>
        <v>591.12260444628157</v>
      </c>
      <c r="L46" s="161">
        <f t="shared" si="24"/>
        <v>926.0497316280979</v>
      </c>
      <c r="M46" s="161">
        <f t="shared" si="25"/>
        <v>658.82649042402534</v>
      </c>
      <c r="N46" s="161">
        <f t="shared" si="26"/>
        <v>267.22324120407262</v>
      </c>
    </row>
    <row r="47" spans="2:14" x14ac:dyDescent="0.3">
      <c r="B47" s="9" t="s">
        <v>55</v>
      </c>
      <c r="C47" s="44">
        <f>'RPS Spend Model'!S13</f>
        <v>267223241.20407259</v>
      </c>
      <c r="D47" s="44">
        <f>'RPS Spend Model'!T13</f>
        <v>592981596.45083296</v>
      </c>
      <c r="E47" s="44">
        <f>'RPS Spend Model'!U13</f>
        <v>860204837.65490556</v>
      </c>
      <c r="F47" s="44">
        <f>'RPS Spend Model'!V13</f>
        <v>679244571.80066836</v>
      </c>
      <c r="G47" s="44">
        <f>'RPS Spend Model'!W13</f>
        <v>180960265.8542372</v>
      </c>
      <c r="I47" s="9" t="s">
        <v>55</v>
      </c>
      <c r="J47" s="161">
        <f t="shared" si="22"/>
        <v>267.22324120407262</v>
      </c>
      <c r="K47" s="161">
        <f t="shared" si="23"/>
        <v>592.98159645083297</v>
      </c>
      <c r="L47" s="161">
        <f t="shared" si="24"/>
        <v>860.20483765490553</v>
      </c>
      <c r="M47" s="161">
        <f t="shared" si="25"/>
        <v>679.24457180066838</v>
      </c>
      <c r="N47" s="161">
        <f t="shared" si="26"/>
        <v>180.96026585423721</v>
      </c>
    </row>
    <row r="48" spans="2:14" x14ac:dyDescent="0.3">
      <c r="B48" s="9" t="s">
        <v>56</v>
      </c>
      <c r="C48" s="44">
        <f>'RPS Spend Model'!S14</f>
        <v>180960265.8542372</v>
      </c>
      <c r="D48" s="44">
        <f>'RPS Spend Model'!T14</f>
        <v>595184488.02007306</v>
      </c>
      <c r="E48" s="44">
        <f>'RPS Spend Model'!U14</f>
        <v>776144753.87431026</v>
      </c>
      <c r="F48" s="44">
        <f>'RPS Spend Model'!V14</f>
        <v>676411183.73342419</v>
      </c>
      <c r="G48" s="44">
        <f>'RPS Spend Model'!W14</f>
        <v>99733570.140886068</v>
      </c>
      <c r="I48" s="9" t="s">
        <v>56</v>
      </c>
      <c r="J48" s="161">
        <f t="shared" ref="J48:J59" si="27">C48/1000000</f>
        <v>180.96026585423721</v>
      </c>
      <c r="K48" s="161">
        <f t="shared" ref="K48:K59" si="28">D48/1000000</f>
        <v>595.1844880200731</v>
      </c>
      <c r="L48" s="161">
        <f t="shared" ref="L48:L59" si="29">E48/1000000</f>
        <v>776.14475387431025</v>
      </c>
      <c r="M48" s="161">
        <f t="shared" ref="M48:M59" si="30">F48/1000000</f>
        <v>676.4111837334242</v>
      </c>
      <c r="N48" s="161">
        <f t="shared" ref="N48:N59" si="31">G48/1000000</f>
        <v>99.733570140886073</v>
      </c>
    </row>
    <row r="49" spans="2:14" x14ac:dyDescent="0.3">
      <c r="B49" s="9" t="s">
        <v>57</v>
      </c>
      <c r="C49" s="44">
        <f>'RPS Spend Model'!S15</f>
        <v>99733570.140886068</v>
      </c>
      <c r="D49" s="44">
        <f>'RPS Spend Model'!T15</f>
        <v>599266581.51848221</v>
      </c>
      <c r="E49" s="44">
        <f>'RPS Spend Model'!U15</f>
        <v>699000151.65936828</v>
      </c>
      <c r="F49" s="44">
        <f>'RPS Spend Model'!V15</f>
        <v>673270838.34056091</v>
      </c>
      <c r="G49" s="44">
        <f>'RPS Spend Model'!W15</f>
        <v>25729313.318807364</v>
      </c>
      <c r="I49" s="9" t="s">
        <v>57</v>
      </c>
      <c r="J49" s="161">
        <f t="shared" si="27"/>
        <v>99.733570140886073</v>
      </c>
      <c r="K49" s="161">
        <f t="shared" si="28"/>
        <v>599.26658151848221</v>
      </c>
      <c r="L49" s="161">
        <f t="shared" si="29"/>
        <v>699.00015165936827</v>
      </c>
      <c r="M49" s="161">
        <f t="shared" si="30"/>
        <v>673.27083834056089</v>
      </c>
      <c r="N49" s="161">
        <f t="shared" si="31"/>
        <v>25.729313318807364</v>
      </c>
    </row>
    <row r="50" spans="2:14" x14ac:dyDescent="0.3">
      <c r="B50" s="9" t="s">
        <v>58</v>
      </c>
      <c r="C50" s="44">
        <f>'RPS Spend Model'!S16</f>
        <v>25729313.318807364</v>
      </c>
      <c r="D50" s="44">
        <f>'RPS Spend Model'!T16</f>
        <v>600238825.11704779</v>
      </c>
      <c r="E50" s="44">
        <f>'RPS Spend Model'!U16</f>
        <v>625968138.43585515</v>
      </c>
      <c r="F50" s="44">
        <f>'RPS Spend Model'!V16</f>
        <v>604288996.84060979</v>
      </c>
      <c r="G50" s="44">
        <f>'RPS Spend Model'!W16</f>
        <v>21679141.595245361</v>
      </c>
      <c r="I50" s="9" t="s">
        <v>58</v>
      </c>
      <c r="J50" s="161">
        <f t="shared" si="27"/>
        <v>25.729313318807364</v>
      </c>
      <c r="K50" s="161">
        <f t="shared" si="28"/>
        <v>600.23882511704778</v>
      </c>
      <c r="L50" s="161">
        <f t="shared" si="29"/>
        <v>625.96813843585517</v>
      </c>
      <c r="M50" s="161">
        <f t="shared" si="30"/>
        <v>604.2889968406098</v>
      </c>
      <c r="N50" s="161">
        <f t="shared" si="31"/>
        <v>21.679141595245362</v>
      </c>
    </row>
    <row r="51" spans="2:14" x14ac:dyDescent="0.3">
      <c r="B51" s="9" t="s">
        <v>59</v>
      </c>
      <c r="C51" s="44">
        <f>'RPS Spend Model'!S17</f>
        <v>21679141.595245361</v>
      </c>
      <c r="D51" s="44">
        <f>'RPS Spend Model'!T17</f>
        <v>601923444.86339867</v>
      </c>
      <c r="E51" s="44">
        <f>'RPS Spend Model'!U17</f>
        <v>623602586.45864403</v>
      </c>
      <c r="F51" s="44">
        <f>'RPS Spend Model'!V17</f>
        <v>577299902.79384792</v>
      </c>
      <c r="G51" s="44">
        <f>'RPS Spend Model'!W17</f>
        <v>46302683.664796114</v>
      </c>
      <c r="I51" s="9" t="s">
        <v>59</v>
      </c>
      <c r="J51" s="161">
        <f t="shared" si="27"/>
        <v>21.679141595245362</v>
      </c>
      <c r="K51" s="161">
        <f t="shared" si="28"/>
        <v>601.92344486339869</v>
      </c>
      <c r="L51" s="161">
        <f t="shared" si="29"/>
        <v>623.60258645864405</v>
      </c>
      <c r="M51" s="161">
        <f t="shared" si="30"/>
        <v>577.29990279384788</v>
      </c>
      <c r="N51" s="161">
        <f t="shared" si="31"/>
        <v>46.302683664796113</v>
      </c>
    </row>
    <row r="52" spans="2:14" x14ac:dyDescent="0.3">
      <c r="B52" s="9" t="s">
        <v>60</v>
      </c>
      <c r="C52" s="44">
        <f>'RPS Spend Model'!S18</f>
        <v>46302683.664796114</v>
      </c>
      <c r="D52" s="44">
        <f>'RPS Spend Model'!T18</f>
        <v>603951792.27137923</v>
      </c>
      <c r="E52" s="44">
        <f>'RPS Spend Model'!U18</f>
        <v>650254475.93617535</v>
      </c>
      <c r="F52" s="44">
        <f>'RPS Spend Model'!V18</f>
        <v>540487607.67916131</v>
      </c>
      <c r="G52" s="44">
        <f>'RPS Spend Model'!W18</f>
        <v>109766868.25701404</v>
      </c>
      <c r="I52" s="9" t="s">
        <v>60</v>
      </c>
      <c r="J52" s="161">
        <f t="shared" si="27"/>
        <v>46.302683664796113</v>
      </c>
      <c r="K52" s="161">
        <f t="shared" si="28"/>
        <v>603.95179227137919</v>
      </c>
      <c r="L52" s="161">
        <f t="shared" si="29"/>
        <v>650.25447593617537</v>
      </c>
      <c r="M52" s="161">
        <f t="shared" si="30"/>
        <v>540.48760767916133</v>
      </c>
      <c r="N52" s="161">
        <f t="shared" si="31"/>
        <v>109.76686825701404</v>
      </c>
    </row>
    <row r="53" spans="2:14" x14ac:dyDescent="0.3">
      <c r="B53" s="9" t="s">
        <v>61</v>
      </c>
      <c r="C53" s="44">
        <f>'RPS Spend Model'!S19</f>
        <v>109766868.25701404</v>
      </c>
      <c r="D53" s="44">
        <f>'RPS Spend Model'!T19</f>
        <v>606604472.1951921</v>
      </c>
      <c r="E53" s="44">
        <f>'RPS Spend Model'!U19</f>
        <v>716371340.45220613</v>
      </c>
      <c r="F53" s="44">
        <f>'RPS Spend Model'!V19</f>
        <v>468673111.21770984</v>
      </c>
      <c r="G53" s="44">
        <f>'RPS Spend Model'!W19</f>
        <v>247698229.2344963</v>
      </c>
      <c r="I53" s="9" t="s">
        <v>61</v>
      </c>
      <c r="J53" s="161">
        <f t="shared" si="27"/>
        <v>109.76686825701404</v>
      </c>
      <c r="K53" s="161">
        <f t="shared" si="28"/>
        <v>606.6044721951921</v>
      </c>
      <c r="L53" s="161">
        <f t="shared" si="29"/>
        <v>716.37134045220614</v>
      </c>
      <c r="M53" s="161">
        <f t="shared" si="30"/>
        <v>468.67311121770985</v>
      </c>
      <c r="N53" s="161">
        <f t="shared" si="31"/>
        <v>247.6982292344963</v>
      </c>
    </row>
    <row r="54" spans="2:14" x14ac:dyDescent="0.3">
      <c r="B54" s="9" t="s">
        <v>62</v>
      </c>
      <c r="C54" s="44">
        <f>'RPS Spend Model'!S20</f>
        <v>247698229.2344963</v>
      </c>
      <c r="D54" s="44">
        <f>'RPS Spend Model'!T20</f>
        <v>606983822.54587364</v>
      </c>
      <c r="E54" s="44">
        <f>'RPS Spend Model'!U20</f>
        <v>854682051.78037</v>
      </c>
      <c r="F54" s="44">
        <f>'RPS Spend Model'!V20</f>
        <v>409747200.0083828</v>
      </c>
      <c r="G54" s="44">
        <f>'RPS Spend Model'!W20</f>
        <v>444934851.7719872</v>
      </c>
      <c r="I54" s="9" t="s">
        <v>62</v>
      </c>
      <c r="J54" s="161">
        <f t="shared" si="27"/>
        <v>247.6982292344963</v>
      </c>
      <c r="K54" s="161">
        <f t="shared" si="28"/>
        <v>606.98382254587364</v>
      </c>
      <c r="L54" s="161">
        <f t="shared" si="29"/>
        <v>854.68205178036999</v>
      </c>
      <c r="M54" s="161">
        <f t="shared" si="30"/>
        <v>409.74720000838278</v>
      </c>
      <c r="N54" s="161">
        <f t="shared" si="31"/>
        <v>444.93485177198721</v>
      </c>
    </row>
    <row r="55" spans="2:14" x14ac:dyDescent="0.3">
      <c r="B55" s="9" t="s">
        <v>63</v>
      </c>
      <c r="C55" s="44">
        <f>'RPS Spend Model'!S21</f>
        <v>444934851.7719872</v>
      </c>
      <c r="D55" s="44">
        <f>'RPS Spend Model'!T21</f>
        <v>608803554.11427701</v>
      </c>
      <c r="E55" s="44">
        <f>'RPS Spend Model'!U21</f>
        <v>1053738405.8862642</v>
      </c>
      <c r="F55" s="44">
        <f>'RPS Spend Model'!V21</f>
        <v>344238358.28663635</v>
      </c>
      <c r="G55" s="44">
        <f>'RPS Spend Model'!W21</f>
        <v>709500047.59962785</v>
      </c>
      <c r="I55" s="9" t="s">
        <v>63</v>
      </c>
      <c r="J55" s="161">
        <f t="shared" si="27"/>
        <v>444.93485177198721</v>
      </c>
      <c r="K55" s="161">
        <f t="shared" si="28"/>
        <v>608.80355411427695</v>
      </c>
      <c r="L55" s="161">
        <f t="shared" si="29"/>
        <v>1053.7384058862642</v>
      </c>
      <c r="M55" s="161">
        <f t="shared" si="30"/>
        <v>344.23835828663636</v>
      </c>
      <c r="N55" s="161">
        <f t="shared" si="31"/>
        <v>709.50004759962781</v>
      </c>
    </row>
    <row r="56" spans="2:14" x14ac:dyDescent="0.3">
      <c r="B56" s="9" t="s">
        <v>64</v>
      </c>
      <c r="C56" s="44">
        <f>'RPS Spend Model'!S22</f>
        <v>709500047.59962785</v>
      </c>
      <c r="D56" s="44">
        <f>'RPS Spend Model'!T22</f>
        <v>608803554.11427701</v>
      </c>
      <c r="E56" s="44">
        <f>'RPS Spend Model'!U22</f>
        <v>1318303601.7139049</v>
      </c>
      <c r="F56" s="44">
        <f>'RPS Spend Model'!V22</f>
        <v>276629222.71286958</v>
      </c>
      <c r="G56" s="44">
        <f>'RPS Spend Model'!W22</f>
        <v>1041674379.0010352</v>
      </c>
      <c r="I56" s="9" t="s">
        <v>64</v>
      </c>
      <c r="J56" s="161">
        <f t="shared" si="27"/>
        <v>709.50004759962781</v>
      </c>
      <c r="K56" s="161">
        <f t="shared" si="28"/>
        <v>608.80355411427695</v>
      </c>
      <c r="L56" s="161">
        <f t="shared" si="29"/>
        <v>1318.3036017139048</v>
      </c>
      <c r="M56" s="161">
        <f t="shared" si="30"/>
        <v>276.62922271286959</v>
      </c>
      <c r="N56" s="161">
        <f t="shared" si="31"/>
        <v>1041.6743790010353</v>
      </c>
    </row>
    <row r="57" spans="2:14" x14ac:dyDescent="0.3">
      <c r="B57" s="9" t="s">
        <v>65</v>
      </c>
      <c r="C57" s="44">
        <f>'RPS Spend Model'!S23</f>
        <v>1041674379.0010352</v>
      </c>
      <c r="D57" s="44">
        <f>'RPS Spend Model'!T23</f>
        <v>608803554.11427701</v>
      </c>
      <c r="E57" s="44">
        <f>'RPS Spend Model'!U23</f>
        <v>1650477933.1153121</v>
      </c>
      <c r="F57" s="44">
        <f>'RPS Spend Model'!V23</f>
        <v>212107576.13740367</v>
      </c>
      <c r="G57" s="44">
        <f>'RPS Spend Model'!W23</f>
        <v>1438370356.9779084</v>
      </c>
      <c r="I57" s="9" t="s">
        <v>65</v>
      </c>
      <c r="J57" s="161">
        <f t="shared" si="27"/>
        <v>1041.6743790010353</v>
      </c>
      <c r="K57" s="161">
        <f t="shared" si="28"/>
        <v>608.80355411427695</v>
      </c>
      <c r="L57" s="161">
        <f t="shared" si="29"/>
        <v>1650.477933115312</v>
      </c>
      <c r="M57" s="161">
        <f t="shared" si="30"/>
        <v>212.10757613740367</v>
      </c>
      <c r="N57" s="161">
        <f t="shared" si="31"/>
        <v>1438.3703569779084</v>
      </c>
    </row>
    <row r="58" spans="2:14" x14ac:dyDescent="0.3">
      <c r="B58" s="9" t="s">
        <v>66</v>
      </c>
      <c r="C58" s="44">
        <f>'RPS Spend Model'!S24</f>
        <v>1438370356.9779084</v>
      </c>
      <c r="D58" s="44">
        <f>'RPS Spend Model'!T24</f>
        <v>608803554.11427701</v>
      </c>
      <c r="E58" s="44">
        <f>'RPS Spend Model'!U24</f>
        <v>2047173911.0921855</v>
      </c>
      <c r="F58" s="44">
        <f>'RPS Spend Model'!V24</f>
        <v>99763183.356432855</v>
      </c>
      <c r="G58" s="44">
        <f>'RPS Spend Model'!W24</f>
        <v>1947410727.7357526</v>
      </c>
      <c r="I58" s="9" t="s">
        <v>66</v>
      </c>
      <c r="J58" s="161">
        <f t="shared" si="27"/>
        <v>1438.3703569779084</v>
      </c>
      <c r="K58" s="161">
        <f t="shared" si="28"/>
        <v>608.80355411427695</v>
      </c>
      <c r="L58" s="161">
        <f t="shared" si="29"/>
        <v>2047.1739110921856</v>
      </c>
      <c r="M58" s="161">
        <f t="shared" si="30"/>
        <v>99.763183356432862</v>
      </c>
      <c r="N58" s="161">
        <f t="shared" si="31"/>
        <v>1947.4107277357525</v>
      </c>
    </row>
    <row r="59" spans="2:14" x14ac:dyDescent="0.3">
      <c r="B59" s="9" t="s">
        <v>67</v>
      </c>
      <c r="C59" s="44">
        <f>'RPS Spend Model'!S25</f>
        <v>1947410727.7357526</v>
      </c>
      <c r="D59" s="44">
        <f>'RPS Spend Model'!T25</f>
        <v>608803554.11427701</v>
      </c>
      <c r="E59" s="44">
        <f>'RPS Spend Model'!U25</f>
        <v>2556214281.8500295</v>
      </c>
      <c r="F59" s="44">
        <f>'RPS Spend Model'!V25</f>
        <v>-511778.95571644604</v>
      </c>
      <c r="G59" s="44">
        <f>'RPS Spend Model'!W25</f>
        <v>2556726060.8057461</v>
      </c>
      <c r="I59" s="9" t="s">
        <v>67</v>
      </c>
      <c r="J59" s="161">
        <f t="shared" si="27"/>
        <v>1947.4107277357525</v>
      </c>
      <c r="K59" s="161">
        <f t="shared" si="28"/>
        <v>608.80355411427695</v>
      </c>
      <c r="L59" s="161">
        <f t="shared" si="29"/>
        <v>2556.2142818500297</v>
      </c>
      <c r="M59" s="161">
        <f t="shared" si="30"/>
        <v>-0.51177895571644605</v>
      </c>
      <c r="N59" s="161">
        <f t="shared" si="31"/>
        <v>2556.7260608057459</v>
      </c>
    </row>
    <row r="60" spans="2:14" x14ac:dyDescent="0.3">
      <c r="C60" s="202"/>
    </row>
    <row r="61" spans="2:14" x14ac:dyDescent="0.3">
      <c r="C61" s="202"/>
    </row>
    <row r="62" spans="2:14" x14ac:dyDescent="0.3">
      <c r="C62" s="202"/>
    </row>
    <row r="63" spans="2:14" x14ac:dyDescent="0.3">
      <c r="C63" s="202"/>
    </row>
    <row r="64" spans="2:14" x14ac:dyDescent="0.3">
      <c r="C64" s="202"/>
    </row>
    <row r="65" spans="3:3" x14ac:dyDescent="0.3">
      <c r="C65" s="202"/>
    </row>
    <row r="66" spans="3:3" x14ac:dyDescent="0.3">
      <c r="C66" s="202"/>
    </row>
    <row r="67" spans="3:3" x14ac:dyDescent="0.3">
      <c r="C67" s="202"/>
    </row>
    <row r="68" spans="3:3" x14ac:dyDescent="0.3">
      <c r="C68" s="202"/>
    </row>
    <row r="69" spans="3:3" x14ac:dyDescent="0.3">
      <c r="C69" s="202"/>
    </row>
    <row r="70" spans="3:3" x14ac:dyDescent="0.3">
      <c r="C70" s="202"/>
    </row>
    <row r="71" spans="3:3" x14ac:dyDescent="0.3">
      <c r="C71" s="202"/>
    </row>
    <row r="72" spans="3:3" x14ac:dyDescent="0.3">
      <c r="C72" s="202"/>
    </row>
    <row r="73" spans="3:3" x14ac:dyDescent="0.3">
      <c r="C73" s="202"/>
    </row>
    <row r="74" spans="3:3" x14ac:dyDescent="0.3">
      <c r="C74" s="202"/>
    </row>
    <row r="75" spans="3:3" x14ac:dyDescent="0.3">
      <c r="C75" s="202"/>
    </row>
    <row r="76" spans="3:3" x14ac:dyDescent="0.3">
      <c r="C76" s="202"/>
    </row>
    <row r="77" spans="3:3" x14ac:dyDescent="0.3">
      <c r="C77" s="202"/>
    </row>
    <row r="78" spans="3:3" x14ac:dyDescent="0.3">
      <c r="C78" s="202"/>
    </row>
    <row r="79" spans="3:3" x14ac:dyDescent="0.3">
      <c r="C79" s="202"/>
    </row>
    <row r="80" spans="3:3" x14ac:dyDescent="0.3">
      <c r="C80" s="202"/>
    </row>
    <row r="81" spans="3:3" x14ac:dyDescent="0.3">
      <c r="C81" s="202"/>
    </row>
    <row r="82" spans="3:3" x14ac:dyDescent="0.3">
      <c r="C82" s="202"/>
    </row>
    <row r="83" spans="3:3" x14ac:dyDescent="0.3">
      <c r="C83" s="202"/>
    </row>
    <row r="84" spans="3:3" x14ac:dyDescent="0.3">
      <c r="C84" s="202"/>
    </row>
    <row r="85" spans="3:3" x14ac:dyDescent="0.3">
      <c r="C85" s="202"/>
    </row>
    <row r="86" spans="3:3" x14ac:dyDescent="0.3">
      <c r="C86" s="202"/>
    </row>
    <row r="87" spans="3:3" x14ac:dyDescent="0.3">
      <c r="C87" s="202"/>
    </row>
    <row r="88" spans="3:3" x14ac:dyDescent="0.3">
      <c r="C88" s="202"/>
    </row>
    <row r="89" spans="3:3" x14ac:dyDescent="0.3">
      <c r="C89" s="202"/>
    </row>
    <row r="90" spans="3:3" x14ac:dyDescent="0.3">
      <c r="C90" s="202"/>
    </row>
    <row r="91" spans="3:3" x14ac:dyDescent="0.3">
      <c r="C91" s="202"/>
    </row>
    <row r="92" spans="3:3" x14ac:dyDescent="0.3">
      <c r="C92" s="202"/>
    </row>
    <row r="93" spans="3:3" x14ac:dyDescent="0.3">
      <c r="C93" s="202"/>
    </row>
    <row r="94" spans="3:3" x14ac:dyDescent="0.3">
      <c r="C94" s="202"/>
    </row>
    <row r="95" spans="3:3" x14ac:dyDescent="0.3">
      <c r="C95" s="202"/>
    </row>
    <row r="96" spans="3:3" x14ac:dyDescent="0.3">
      <c r="C96" s="202"/>
    </row>
    <row r="97" spans="3:3" x14ac:dyDescent="0.3">
      <c r="C97" s="202"/>
    </row>
  </sheetData>
  <mergeCells count="8">
    <mergeCell ref="C4:E4"/>
    <mergeCell ref="P4:R4"/>
    <mergeCell ref="S4:T4"/>
    <mergeCell ref="U4:V4"/>
    <mergeCell ref="W4:X4"/>
    <mergeCell ref="F4:G4"/>
    <mergeCell ref="H4:I4"/>
    <mergeCell ref="J4:K4"/>
  </mergeCells>
  <printOptions horizontalCentered="1" verticalCentered="1"/>
  <pageMargins left="0.25" right="0.25" top="0.75" bottom="0.75" header="0.3" footer="0.3"/>
  <pageSetup scale="65" orientation="landscape" r:id="rId1"/>
  <headerFooter>
    <oddHeader>&amp;C&amp;A</oddHeader>
  </headerFooter>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560B8-9EB8-4BBC-8EC5-EFD835CCB9CC}">
  <dimension ref="B1:W177"/>
  <sheetViews>
    <sheetView zoomScaleNormal="100" workbookViewId="0"/>
  </sheetViews>
  <sheetFormatPr defaultRowHeight="14.4" x14ac:dyDescent="0.3"/>
  <cols>
    <col min="1" max="1" width="4.44140625" customWidth="1"/>
    <col min="2" max="2" width="10.77734375" bestFit="1" customWidth="1"/>
    <col min="3" max="3" width="13.44140625" bestFit="1" customWidth="1"/>
    <col min="4" max="4" width="14.21875" bestFit="1" customWidth="1"/>
    <col min="5" max="5" width="13.109375" bestFit="1" customWidth="1"/>
    <col min="6" max="6" width="14.21875" bestFit="1" customWidth="1"/>
    <col min="7" max="7" width="17.5546875" bestFit="1" customWidth="1"/>
    <col min="8" max="8" width="14.21875" bestFit="1" customWidth="1"/>
    <col min="9" max="9" width="13.77734375" bestFit="1" customWidth="1"/>
    <col min="10" max="10" width="14.77734375" bestFit="1" customWidth="1"/>
    <col min="11" max="12" width="13.44140625" bestFit="1" customWidth="1"/>
    <col min="13" max="13" width="14.77734375" bestFit="1" customWidth="1"/>
    <col min="14" max="14" width="16.109375" bestFit="1" customWidth="1"/>
    <col min="15" max="15" width="14.77734375" bestFit="1" customWidth="1"/>
    <col min="16" max="16" width="12.44140625" bestFit="1" customWidth="1"/>
    <col min="17" max="17" width="8.77734375" bestFit="1" customWidth="1"/>
    <col min="18" max="19" width="14.77734375" bestFit="1" customWidth="1"/>
    <col min="20" max="20" width="14.21875" bestFit="1" customWidth="1"/>
    <col min="21" max="21" width="14.77734375" bestFit="1" customWidth="1"/>
    <col min="22" max="22" width="13.44140625" bestFit="1" customWidth="1"/>
    <col min="23" max="23" width="16.109375" bestFit="1" customWidth="1"/>
  </cols>
  <sheetData>
    <row r="1" spans="2:23" ht="15" thickBot="1" x14ac:dyDescent="0.35">
      <c r="B1" s="125" t="s">
        <v>132</v>
      </c>
    </row>
    <row r="2" spans="2:23" ht="15" thickBot="1" x14ac:dyDescent="0.35">
      <c r="B2" s="300" t="s">
        <v>161</v>
      </c>
      <c r="C2" s="298"/>
      <c r="D2" s="298"/>
      <c r="E2" s="299"/>
      <c r="F2" s="301" t="s">
        <v>162</v>
      </c>
      <c r="G2" s="298"/>
      <c r="H2" s="303" t="s">
        <v>163</v>
      </c>
      <c r="I2" s="304"/>
      <c r="J2" s="305" t="s">
        <v>164</v>
      </c>
      <c r="K2" s="304"/>
      <c r="L2" s="128"/>
      <c r="M2" s="207"/>
      <c r="N2" s="207"/>
      <c r="O2" s="207"/>
    </row>
    <row r="3" spans="2:23" ht="63.6" customHeight="1" thickBot="1" x14ac:dyDescent="0.35">
      <c r="B3" s="129" t="s">
        <v>43</v>
      </c>
      <c r="C3" s="130" t="s">
        <v>166</v>
      </c>
      <c r="D3" s="130" t="s">
        <v>167</v>
      </c>
      <c r="E3" s="131" t="s">
        <v>168</v>
      </c>
      <c r="F3" s="130" t="s">
        <v>169</v>
      </c>
      <c r="G3" s="131" t="s">
        <v>170</v>
      </c>
      <c r="H3" s="130" t="s">
        <v>171</v>
      </c>
      <c r="I3" s="131" t="s">
        <v>172</v>
      </c>
      <c r="J3" s="130" t="s">
        <v>173</v>
      </c>
      <c r="K3" s="130" t="s">
        <v>174</v>
      </c>
      <c r="L3" s="130" t="s">
        <v>175</v>
      </c>
      <c r="M3" s="130" t="s">
        <v>176</v>
      </c>
      <c r="N3" s="130" t="s">
        <v>226</v>
      </c>
      <c r="O3" s="140" t="s">
        <v>124</v>
      </c>
      <c r="Q3" s="139" t="s">
        <v>43</v>
      </c>
      <c r="R3" s="140" t="s">
        <v>227</v>
      </c>
      <c r="S3" s="140" t="s">
        <v>273</v>
      </c>
      <c r="T3" s="140" t="s">
        <v>163</v>
      </c>
      <c r="U3" s="140" t="s">
        <v>164</v>
      </c>
      <c r="V3" s="140" t="s">
        <v>165</v>
      </c>
      <c r="W3" s="140" t="s">
        <v>228</v>
      </c>
    </row>
    <row r="4" spans="2:23" ht="15" thickBot="1" x14ac:dyDescent="0.35">
      <c r="B4" s="132" t="s">
        <v>45</v>
      </c>
      <c r="C4" s="133">
        <f>SUM('RPS Spend Model'!E3)</f>
        <v>30848359.600711424</v>
      </c>
      <c r="D4" s="133">
        <f>SUM('RPS Spend Model'!B3:D3)</f>
        <v>233271740.59499988</v>
      </c>
      <c r="E4" s="134">
        <f>SUM('RPS Spend Model'!I3)</f>
        <v>2851200</v>
      </c>
      <c r="F4" s="133">
        <f>SUM('Graph Pre-Plan In Progrss $'!J3:O3)</f>
        <v>0</v>
      </c>
      <c r="G4" s="133">
        <f>SUM('Graph Pre-Plan In Progrss $'!P3:R3)</f>
        <v>0</v>
      </c>
      <c r="H4" s="133">
        <f>SUM('Graph Proposed $'!J3:O3)</f>
        <v>0</v>
      </c>
      <c r="I4" s="133">
        <f>SUM('Graph Proposed $'!P3:R3)</f>
        <v>0</v>
      </c>
      <c r="J4" s="133">
        <f>SUM('Graph Future $'!J3:O3)</f>
        <v>0</v>
      </c>
      <c r="K4" s="133">
        <f>SUM('Graph Future $'!P3:R3)</f>
        <v>0</v>
      </c>
      <c r="L4" s="133">
        <f>SUM('RPS Spend Model'!F3:H3)</f>
        <v>18018880.058405567</v>
      </c>
      <c r="M4" s="134">
        <f t="shared" ref="M4:M26" si="0">SUM(C4:L4)</f>
        <v>284990180.25411689</v>
      </c>
      <c r="N4" s="134">
        <f>'RPS Spend Model'!U3</f>
        <v>685946682.99750829</v>
      </c>
      <c r="O4" s="135">
        <f>'RPS Spend Model'!W3</f>
        <v>400956502.74339139</v>
      </c>
      <c r="Q4" s="132" t="s">
        <v>45</v>
      </c>
      <c r="R4" s="135">
        <f t="shared" ref="R4:R14" si="1">SUM(C4:E4)</f>
        <v>266971300.19571131</v>
      </c>
      <c r="S4" s="135">
        <f t="shared" ref="S4:S14" si="2">SUM(F4:G4)</f>
        <v>0</v>
      </c>
      <c r="T4" s="135">
        <f t="shared" ref="T4:T14" si="3">SUM(H4:I4)</f>
        <v>0</v>
      </c>
      <c r="U4" s="135">
        <f t="shared" ref="U4:U14" si="4">SUM(J4:K4)</f>
        <v>0</v>
      </c>
      <c r="V4" s="135">
        <f t="shared" ref="V4:V14" si="5">L4</f>
        <v>18018880.058405567</v>
      </c>
      <c r="W4" s="135">
        <f t="shared" ref="W4:W14" si="6">N4</f>
        <v>685946682.99750829</v>
      </c>
    </row>
    <row r="5" spans="2:23" ht="15" thickBot="1" x14ac:dyDescent="0.35">
      <c r="B5" s="132" t="s">
        <v>46</v>
      </c>
      <c r="C5" s="133">
        <f>SUM('RPS Spend Model'!E4)</f>
        <v>24142255.383493654</v>
      </c>
      <c r="D5" s="133">
        <f>SUM('RPS Spend Model'!B4:D4)</f>
        <v>221444650.79400003</v>
      </c>
      <c r="E5" s="134">
        <f>SUM('RPS Spend Model'!I4)</f>
        <v>16714500.687020844</v>
      </c>
      <c r="F5" s="133">
        <f>SUM('Graph Pre-Plan In Progrss $'!J4:O4)</f>
        <v>0</v>
      </c>
      <c r="G5" s="133">
        <f>SUM('Graph Pre-Plan In Progrss $'!P4:R4)</f>
        <v>0</v>
      </c>
      <c r="H5" s="133">
        <f>SUM('Graph Proposed $'!J4:O4)</f>
        <v>0</v>
      </c>
      <c r="I5" s="133">
        <f>SUM('Graph Proposed $'!P4:R4)</f>
        <v>0</v>
      </c>
      <c r="J5" s="133">
        <f>SUM('Graph Future $'!J4:O4)</f>
        <v>0</v>
      </c>
      <c r="K5" s="133">
        <f>SUM('Graph Future $'!P4:R4)</f>
        <v>0</v>
      </c>
      <c r="L5" s="133">
        <f>SUM('RPS Spend Model'!F4:H4)</f>
        <v>73942135.092404008</v>
      </c>
      <c r="M5" s="134">
        <f t="shared" si="0"/>
        <v>336243541.95691854</v>
      </c>
      <c r="N5" s="134">
        <f>'RPS Spend Model'!U4</f>
        <v>865694339.15685856</v>
      </c>
      <c r="O5" s="135">
        <f>'RPS Spend Model'!W4</f>
        <v>529450797.19994003</v>
      </c>
      <c r="Q5" s="132" t="s">
        <v>46</v>
      </c>
      <c r="R5" s="135">
        <f t="shared" si="1"/>
        <v>262301406.86451453</v>
      </c>
      <c r="S5" s="135">
        <f t="shared" si="2"/>
        <v>0</v>
      </c>
      <c r="T5" s="135">
        <f t="shared" si="3"/>
        <v>0</v>
      </c>
      <c r="U5" s="135">
        <f t="shared" si="4"/>
        <v>0</v>
      </c>
      <c r="V5" s="135">
        <f t="shared" si="5"/>
        <v>73942135.092404008</v>
      </c>
      <c r="W5" s="135">
        <f t="shared" si="6"/>
        <v>865694339.15685856</v>
      </c>
    </row>
    <row r="6" spans="2:23" ht="15" thickBot="1" x14ac:dyDescent="0.35">
      <c r="B6" s="132" t="s">
        <v>47</v>
      </c>
      <c r="C6" s="133">
        <f>SUM('RPS Spend Model'!E5)</f>
        <v>22062344.595163539</v>
      </c>
      <c r="D6" s="133">
        <f>SUM('RPS Spend Model'!B5:D5)</f>
        <v>180228266.02149987</v>
      </c>
      <c r="E6" s="134">
        <f>SUM('RPS Spend Model'!I5)</f>
        <v>22070814.094250631</v>
      </c>
      <c r="F6" s="133">
        <f>SUM('Graph Pre-Plan In Progrss $'!J5:O5)</f>
        <v>150287241.57700732</v>
      </c>
      <c r="G6" s="133">
        <f>SUM('Graph Pre-Plan In Progrss $'!P5:R5)</f>
        <v>0</v>
      </c>
      <c r="H6" s="133">
        <f>SUM('Graph Proposed $'!J5:O5)</f>
        <v>260121892.075037</v>
      </c>
      <c r="I6" s="133">
        <f>SUM('Graph Proposed $'!P5:R5)</f>
        <v>0</v>
      </c>
      <c r="J6" s="133">
        <f>SUM('Graph Future $'!J5:O5)</f>
        <v>0</v>
      </c>
      <c r="K6" s="133">
        <f>SUM('Graph Future $'!P5:R5)</f>
        <v>0</v>
      </c>
      <c r="L6" s="133">
        <f>SUM('RPS Spend Model'!F5:H5)</f>
        <v>67623889.8279275</v>
      </c>
      <c r="M6" s="134">
        <f t="shared" si="0"/>
        <v>702394448.19088578</v>
      </c>
      <c r="N6" s="134">
        <f>'RPS Spend Model'!U5</f>
        <v>1116913791.4641902</v>
      </c>
      <c r="O6" s="135">
        <f>'RPS Spend Model'!W5</f>
        <v>414519343.27330434</v>
      </c>
      <c r="Q6" s="132" t="s">
        <v>47</v>
      </c>
      <c r="R6" s="135">
        <f t="shared" si="1"/>
        <v>224361424.71091402</v>
      </c>
      <c r="S6" s="135">
        <f t="shared" si="2"/>
        <v>150287241.57700732</v>
      </c>
      <c r="T6" s="135">
        <f t="shared" si="3"/>
        <v>260121892.075037</v>
      </c>
      <c r="U6" s="135">
        <f t="shared" si="4"/>
        <v>0</v>
      </c>
      <c r="V6" s="135">
        <f t="shared" si="5"/>
        <v>67623889.8279275</v>
      </c>
      <c r="W6" s="135">
        <f t="shared" si="6"/>
        <v>1116913791.4641902</v>
      </c>
    </row>
    <row r="7" spans="2:23" ht="15" thickBot="1" x14ac:dyDescent="0.35">
      <c r="B7" s="132" t="s">
        <v>48</v>
      </c>
      <c r="C7" s="133">
        <f>SUM('RPS Spend Model'!E6)</f>
        <v>17721007.415898785</v>
      </c>
      <c r="D7" s="133">
        <f>SUM('RPS Spend Model'!B6:D6)</f>
        <v>164555778.86299995</v>
      </c>
      <c r="E7" s="134">
        <f>SUM('RPS Spend Model'!I6)</f>
        <v>22070814.147020843</v>
      </c>
      <c r="F7" s="133">
        <f>SUM('Graph Pre-Plan In Progrss $'!J6:O6)</f>
        <v>34062072.644041948</v>
      </c>
      <c r="G7" s="133">
        <f>SUM('Graph Pre-Plan In Progrss $'!P6:R6)</f>
        <v>0</v>
      </c>
      <c r="H7" s="133">
        <f>SUM('Graph Proposed $'!J6:O6)</f>
        <v>268520103.00952864</v>
      </c>
      <c r="I7" s="133">
        <f>SUM('Graph Proposed $'!P6:R6)</f>
        <v>0</v>
      </c>
      <c r="J7" s="133">
        <f>SUM('Graph Future $'!J6:O6)</f>
        <v>0</v>
      </c>
      <c r="K7" s="133">
        <f>SUM('Graph Future $'!P6:R6)</f>
        <v>0</v>
      </c>
      <c r="L7" s="133">
        <f>SUM('RPS Spend Model'!F6:H6)</f>
        <v>67669653.536230862</v>
      </c>
      <c r="M7" s="134">
        <f t="shared" si="0"/>
        <v>574599429.61572099</v>
      </c>
      <c r="N7" s="134">
        <f>'RPS Spend Model'!U6</f>
        <v>1003507794.4809995</v>
      </c>
      <c r="O7" s="135">
        <f>'RPS Spend Model'!W6</f>
        <v>428908364.86527848</v>
      </c>
      <c r="Q7" s="132" t="s">
        <v>48</v>
      </c>
      <c r="R7" s="135">
        <f t="shared" si="1"/>
        <v>204347600.42591956</v>
      </c>
      <c r="S7" s="135">
        <f t="shared" si="2"/>
        <v>34062072.644041948</v>
      </c>
      <c r="T7" s="135">
        <f t="shared" si="3"/>
        <v>268520103.00952864</v>
      </c>
      <c r="U7" s="135">
        <f t="shared" si="4"/>
        <v>0</v>
      </c>
      <c r="V7" s="135">
        <f t="shared" si="5"/>
        <v>67669653.536230862</v>
      </c>
      <c r="W7" s="135">
        <f t="shared" si="6"/>
        <v>1003507794.4809995</v>
      </c>
    </row>
    <row r="8" spans="2:23" ht="15" thickBot="1" x14ac:dyDescent="0.35">
      <c r="B8" s="132" t="s">
        <v>49</v>
      </c>
      <c r="C8" s="133">
        <f>SUM('RPS Spend Model'!E7)</f>
        <v>17421541.685608782</v>
      </c>
      <c r="D8" s="133">
        <f>SUM('RPS Spend Model'!B7:D7)</f>
        <v>138663017.28299993</v>
      </c>
      <c r="E8" s="134">
        <f>SUM('RPS Spend Model'!I7)</f>
        <v>22070814.147020843</v>
      </c>
      <c r="F8" s="133">
        <f>SUM('Graph Pre-Plan In Progrss $'!J7:O7)</f>
        <v>33914405.114653029</v>
      </c>
      <c r="G8" s="133">
        <f>SUM('Graph Pre-Plan In Progrss $'!P7:R7)</f>
        <v>0</v>
      </c>
      <c r="H8" s="133">
        <f>SUM('Graph Proposed $'!J7:O7)</f>
        <v>133595444.74339308</v>
      </c>
      <c r="I8" s="133">
        <f>SUM('Graph Proposed $'!P7:R7)</f>
        <v>0</v>
      </c>
      <c r="J8" s="133">
        <f>SUM('Graph Future $'!J7:O7)</f>
        <v>178736474.90878087</v>
      </c>
      <c r="K8" s="133">
        <f>SUM('Graph Future $'!P7:R7)</f>
        <v>0</v>
      </c>
      <c r="L8" s="133">
        <f>SUM('RPS Spend Model'!F7:H7)</f>
        <v>77613455.16709587</v>
      </c>
      <c r="M8" s="134">
        <f t="shared" si="0"/>
        <v>602015153.04955244</v>
      </c>
      <c r="N8" s="134">
        <f>'RPS Spend Model'!U7</f>
        <v>1016023537.1018077</v>
      </c>
      <c r="O8" s="135">
        <f>'RPS Spend Model'!W7</f>
        <v>414008384.05225527</v>
      </c>
      <c r="Q8" s="132" t="s">
        <v>49</v>
      </c>
      <c r="R8" s="135">
        <f t="shared" si="1"/>
        <v>178155373.11562955</v>
      </c>
      <c r="S8" s="135">
        <f t="shared" si="2"/>
        <v>33914405.114653029</v>
      </c>
      <c r="T8" s="135">
        <f t="shared" si="3"/>
        <v>133595444.74339308</v>
      </c>
      <c r="U8" s="135">
        <f t="shared" si="4"/>
        <v>178736474.90878087</v>
      </c>
      <c r="V8" s="135">
        <f t="shared" si="5"/>
        <v>77613455.16709587</v>
      </c>
      <c r="W8" s="135">
        <f t="shared" si="6"/>
        <v>1016023537.1018077</v>
      </c>
    </row>
    <row r="9" spans="2:23" ht="15" thickBot="1" x14ac:dyDescent="0.35">
      <c r="B9" s="132" t="s">
        <v>50</v>
      </c>
      <c r="C9" s="133">
        <f>SUM('RPS Spend Model'!E8)</f>
        <v>11401431.694168944</v>
      </c>
      <c r="D9" s="133">
        <f>SUM('RPS Spend Model'!B8:D8)</f>
        <v>66068343.89200002</v>
      </c>
      <c r="E9" s="134">
        <f>SUM('RPS Spend Model'!I8)</f>
        <v>22070814.147020843</v>
      </c>
      <c r="F9" s="133">
        <f>SUM('Graph Pre-Plan In Progrss $'!J8:O8)</f>
        <v>33801616.020861797</v>
      </c>
      <c r="G9" s="133">
        <f>SUM('Graph Pre-Plan In Progrss $'!P8:R8)</f>
        <v>10832684.446607996</v>
      </c>
      <c r="H9" s="133">
        <f>SUM('Graph Proposed $'!J8:O8)</f>
        <v>132971920.78016761</v>
      </c>
      <c r="I9" s="133">
        <f>SUM('Graph Proposed $'!P8:R8)</f>
        <v>12084277.618483996</v>
      </c>
      <c r="J9" s="133">
        <f>SUM('Graph Future $'!J8:O8)</f>
        <v>221416152.35444039</v>
      </c>
      <c r="K9" s="133">
        <f>SUM('Graph Future $'!P8:R8)</f>
        <v>0</v>
      </c>
      <c r="L9" s="133">
        <f>SUM('RPS Spend Model'!F8:H8)</f>
        <v>67553355.712971777</v>
      </c>
      <c r="M9" s="134">
        <f t="shared" si="0"/>
        <v>578200596.66672337</v>
      </c>
      <c r="N9" s="134">
        <f>'RPS Spend Model'!U8</f>
        <v>999120241.1513145</v>
      </c>
      <c r="O9" s="135">
        <f>'RPS Spend Model'!W8</f>
        <v>420919644.48459113</v>
      </c>
      <c r="Q9" s="132" t="s">
        <v>50</v>
      </c>
      <c r="R9" s="135">
        <f t="shared" si="1"/>
        <v>99540589.733189806</v>
      </c>
      <c r="S9" s="135">
        <f t="shared" si="2"/>
        <v>44634300.467469797</v>
      </c>
      <c r="T9" s="135">
        <f t="shared" si="3"/>
        <v>145056198.3986516</v>
      </c>
      <c r="U9" s="135">
        <f t="shared" si="4"/>
        <v>221416152.35444039</v>
      </c>
      <c r="V9" s="135">
        <f t="shared" si="5"/>
        <v>67553355.712971777</v>
      </c>
      <c r="W9" s="135">
        <f t="shared" si="6"/>
        <v>999120241.1513145</v>
      </c>
    </row>
    <row r="10" spans="2:23" ht="15" thickBot="1" x14ac:dyDescent="0.35">
      <c r="B10" s="132" t="s">
        <v>51</v>
      </c>
      <c r="C10" s="133">
        <f>SUM('RPS Spend Model'!E9)</f>
        <v>8215431.7104763286</v>
      </c>
      <c r="D10" s="133">
        <f>SUM('RPS Spend Model'!B9:D9)</f>
        <v>5563437.5765000004</v>
      </c>
      <c r="E10" s="134">
        <f>SUM('RPS Spend Model'!I9)</f>
        <v>22070814.147020843</v>
      </c>
      <c r="F10" s="133">
        <f>SUM('Graph Pre-Plan In Progrss $'!J9:O9)</f>
        <v>33689390.872539528</v>
      </c>
      <c r="G10" s="133">
        <f>SUM('Graph Pre-Plan In Progrss $'!P9:R9)</f>
        <v>9327153.6094854493</v>
      </c>
      <c r="H10" s="133">
        <f>SUM('Graph Proposed $'!J9:O9)</f>
        <v>132709208.97876891</v>
      </c>
      <c r="I10" s="133">
        <f>SUM('Graph Proposed $'!P9:R9)</f>
        <v>28823768.959252205</v>
      </c>
      <c r="J10" s="133">
        <f>SUM('Graph Future $'!J9:O9)</f>
        <v>261937440.06868491</v>
      </c>
      <c r="K10" s="133">
        <f>SUM('Graph Future $'!P9:R9)</f>
        <v>0</v>
      </c>
      <c r="L10" s="133">
        <f>SUM('RPS Spend Model'!F9:H9)</f>
        <v>67572700.474246591</v>
      </c>
      <c r="M10" s="134">
        <f t="shared" si="0"/>
        <v>569909346.3969748</v>
      </c>
      <c r="N10" s="134">
        <f>'RPS Spend Model'!U9</f>
        <v>1006676326.9594773</v>
      </c>
      <c r="O10" s="135">
        <f>'RPS Spend Model'!W9</f>
        <v>436766980.5625025</v>
      </c>
      <c r="Q10" s="132" t="s">
        <v>51</v>
      </c>
      <c r="R10" s="135">
        <f t="shared" si="1"/>
        <v>35849683.433997169</v>
      </c>
      <c r="S10" s="135">
        <f t="shared" si="2"/>
        <v>43016544.482024975</v>
      </c>
      <c r="T10" s="135">
        <f t="shared" si="3"/>
        <v>161532977.93802112</v>
      </c>
      <c r="U10" s="135">
        <f t="shared" si="4"/>
        <v>261937440.06868491</v>
      </c>
      <c r="V10" s="135">
        <f t="shared" si="5"/>
        <v>67572700.474246591</v>
      </c>
      <c r="W10" s="135">
        <f t="shared" si="6"/>
        <v>1006676326.9594773</v>
      </c>
    </row>
    <row r="11" spans="2:23" ht="15" thickBot="1" x14ac:dyDescent="0.35">
      <c r="B11" s="132" t="s">
        <v>52</v>
      </c>
      <c r="C11" s="133">
        <f>SUM('RPS Spend Model'!E10)</f>
        <v>4480482.7749063233</v>
      </c>
      <c r="D11" s="133">
        <f>SUM('RPS Spend Model'!B10:D10)</f>
        <v>0</v>
      </c>
      <c r="E11" s="134">
        <f>SUM('RPS Spend Model'!I10)</f>
        <v>22070814.147020843</v>
      </c>
      <c r="F11" s="133">
        <f>SUM('Graph Pre-Plan In Progrss $'!J10:O10)</f>
        <v>33577726.849958874</v>
      </c>
      <c r="G11" s="133">
        <f>SUM('Graph Pre-Plan In Progrss $'!P10:R10)</f>
        <v>7802714.2697304636</v>
      </c>
      <c r="H11" s="133">
        <f>SUM('Graph Proposed $'!J10:O10)</f>
        <v>132447810.73637724</v>
      </c>
      <c r="I11" s="133">
        <f>SUM('Graph Proposed $'!P10:R10)</f>
        <v>22799499.339131385</v>
      </c>
      <c r="J11" s="133">
        <f>SUM('Graph Future $'!J10:O10)</f>
        <v>300732316.41426915</v>
      </c>
      <c r="K11" s="133">
        <f>SUM('Graph Future $'!P10:R10)</f>
        <v>15308930.14111197</v>
      </c>
      <c r="L11" s="133">
        <f>SUM('RPS Spend Model'!F10:H10)</f>
        <v>77625423.170190215</v>
      </c>
      <c r="M11" s="134">
        <f t="shared" si="0"/>
        <v>616845717.84269643</v>
      </c>
      <c r="N11" s="134">
        <f>'RPS Spend Model'!U10</f>
        <v>1024281086.23551</v>
      </c>
      <c r="O11" s="135">
        <f>'RPS Spend Model'!W10</f>
        <v>407435368.39281356</v>
      </c>
      <c r="Q11" s="132" t="s">
        <v>52</v>
      </c>
      <c r="R11" s="135">
        <f t="shared" si="1"/>
        <v>26551296.921927165</v>
      </c>
      <c r="S11" s="135">
        <f t="shared" si="2"/>
        <v>41380441.119689338</v>
      </c>
      <c r="T11" s="135">
        <f t="shared" si="3"/>
        <v>155247310.07550862</v>
      </c>
      <c r="U11" s="135">
        <f t="shared" si="4"/>
        <v>316041246.55538112</v>
      </c>
      <c r="V11" s="135">
        <f t="shared" si="5"/>
        <v>77625423.170190215</v>
      </c>
      <c r="W11" s="135">
        <f t="shared" si="6"/>
        <v>1024281086.23551</v>
      </c>
    </row>
    <row r="12" spans="2:23" ht="15" thickBot="1" x14ac:dyDescent="0.35">
      <c r="B12" s="136" t="s">
        <v>53</v>
      </c>
      <c r="C12" s="137">
        <f>SUM('RPS Spend Model'!E11)</f>
        <v>4478132.259204451</v>
      </c>
      <c r="D12" s="137">
        <f>SUM('RPS Spend Model'!B11:D11)</f>
        <v>0</v>
      </c>
      <c r="E12" s="138">
        <f>SUM('RPS Spend Model'!I11)</f>
        <v>22070814.147020843</v>
      </c>
      <c r="F12" s="137">
        <f>SUM('Graph Pre-Plan In Progrss $'!J11:O11)</f>
        <v>33466621.14749112</v>
      </c>
      <c r="G12" s="137">
        <f>SUM('Graph Pre-Plan In Progrss $'!P11:R11)</f>
        <v>6259006.6984658912</v>
      </c>
      <c r="H12" s="137">
        <f>SUM('Graph Proposed $'!J11:O11)</f>
        <v>132187719.48519748</v>
      </c>
      <c r="I12" s="137">
        <f>SUM('Graph Proposed $'!P11:R11)</f>
        <v>16680400.966340952</v>
      </c>
      <c r="J12" s="137">
        <f>SUM('Graph Future $'!J11:O11)</f>
        <v>337870365.64524007</v>
      </c>
      <c r="K12" s="137">
        <f>SUM('Graph Future $'!P11:R11)</f>
        <v>42173960.544583365</v>
      </c>
      <c r="L12" s="137">
        <f>SUM('RPS Spend Model'!F11:H11)</f>
        <v>67711714.835542694</v>
      </c>
      <c r="M12" s="138">
        <f t="shared" si="0"/>
        <v>662898735.72908688</v>
      </c>
      <c r="N12" s="134">
        <f>'RPS Spend Model'!U11</f>
        <v>997825862.91090333</v>
      </c>
      <c r="O12" s="135">
        <f>'RPS Spend Model'!W11</f>
        <v>334927127.18181634</v>
      </c>
      <c r="Q12" s="136" t="s">
        <v>53</v>
      </c>
      <c r="R12" s="135">
        <f t="shared" si="1"/>
        <v>26548946.406225294</v>
      </c>
      <c r="S12" s="135">
        <f t="shared" si="2"/>
        <v>39725627.845957011</v>
      </c>
      <c r="T12" s="135">
        <f t="shared" si="3"/>
        <v>148868120.45153844</v>
      </c>
      <c r="U12" s="135">
        <f t="shared" si="4"/>
        <v>380044326.18982345</v>
      </c>
      <c r="V12" s="135">
        <f t="shared" si="5"/>
        <v>67711714.835542694</v>
      </c>
      <c r="W12" s="135">
        <f t="shared" si="6"/>
        <v>997825862.91090333</v>
      </c>
    </row>
    <row r="13" spans="2:23" ht="15" thickBot="1" x14ac:dyDescent="0.35">
      <c r="B13" s="132" t="s">
        <v>54</v>
      </c>
      <c r="C13" s="133">
        <f>SUM('RPS Spend Model'!E12)</f>
        <v>4338008.6485485407</v>
      </c>
      <c r="D13" s="133">
        <f>SUM('RPS Spend Model'!B12:D12)</f>
        <v>0</v>
      </c>
      <c r="E13" s="134">
        <f>SUM('RPS Spend Model'!I12)</f>
        <v>22070814.147020843</v>
      </c>
      <c r="F13" s="133">
        <f>SUM('Graph Pre-Plan In Progrss $'!J12:O12)</f>
        <v>22582782.773070082</v>
      </c>
      <c r="G13" s="133">
        <f>SUM('Graph Pre-Plan In Progrss $'!P12:R12)</f>
        <v>4695664.9893621709</v>
      </c>
      <c r="H13" s="133">
        <f>SUM('Graph Proposed $'!J12:O12)</f>
        <v>89305174.613571405</v>
      </c>
      <c r="I13" s="133">
        <f>SUM('Graph Proposed $'!P12:R12)</f>
        <v>10464617.683851898</v>
      </c>
      <c r="J13" s="133">
        <f>SUM('Graph Future $'!J12:O12)</f>
        <v>373418386.00648606</v>
      </c>
      <c r="K13" s="133">
        <f>SUM('Graph Future $'!P12:R12)</f>
        <v>64217363.428725943</v>
      </c>
      <c r="L13" s="133">
        <f>SUM('RPS Spend Model'!F12:H12)</f>
        <v>67733678.133388445</v>
      </c>
      <c r="M13" s="134">
        <f t="shared" si="0"/>
        <v>658826490.4240253</v>
      </c>
      <c r="N13" s="134">
        <f>'RPS Spend Model'!U12</f>
        <v>926049731.62809789</v>
      </c>
      <c r="O13" s="135">
        <f>'RPS Spend Model'!W12</f>
        <v>267223241.20407259</v>
      </c>
      <c r="Q13" s="132" t="s">
        <v>54</v>
      </c>
      <c r="R13" s="135">
        <f t="shared" si="1"/>
        <v>26408822.795569383</v>
      </c>
      <c r="S13" s="135">
        <f t="shared" si="2"/>
        <v>27278447.762432255</v>
      </c>
      <c r="T13" s="135">
        <f t="shared" si="3"/>
        <v>99769792.297423303</v>
      </c>
      <c r="U13" s="135">
        <f t="shared" si="4"/>
        <v>437635749.43521202</v>
      </c>
      <c r="V13" s="135">
        <f t="shared" si="5"/>
        <v>67733678.133388445</v>
      </c>
      <c r="W13" s="135">
        <f t="shared" si="6"/>
        <v>926049731.62809789</v>
      </c>
    </row>
    <row r="14" spans="2:23" ht="15" thickBot="1" x14ac:dyDescent="0.35">
      <c r="B14" s="132" t="s">
        <v>55</v>
      </c>
      <c r="C14" s="133">
        <f>SUM('RPS Spend Model'!E13)</f>
        <v>4303453.6786395097</v>
      </c>
      <c r="D14" s="133">
        <f>SUM('RPS Spend Model'!B13:D13)</f>
        <v>0</v>
      </c>
      <c r="E14" s="134">
        <f>SUM('RPS Spend Model'!I13)</f>
        <v>22070814.147020843</v>
      </c>
      <c r="F14" s="133">
        <f>SUM('Graph Pre-Plan In Progrss $'!J13:O13)</f>
        <v>21889487.194041863</v>
      </c>
      <c r="G14" s="133">
        <f>SUM('Graph Pre-Plan In Progrss $'!P13:R13)</f>
        <v>3112316.9465317023</v>
      </c>
      <c r="H14" s="133">
        <f>SUM('Graph Proposed $'!J13:O13)</f>
        <v>57353235.383247793</v>
      </c>
      <c r="I14" s="133">
        <f>SUM('Graph Proposed $'!P13:R13)</f>
        <v>4150258.5230527604</v>
      </c>
      <c r="J14" s="133">
        <f>SUM('Graph Future $'!J13:O13)</f>
        <v>407440501.1872986</v>
      </c>
      <c r="K14" s="133">
        <f>SUM('Graph Future $'!P13:R13)</f>
        <v>81135056.84731023</v>
      </c>
      <c r="L14" s="133">
        <f>SUM('RPS Spend Model'!F13:H13)</f>
        <v>77789447.893524989</v>
      </c>
      <c r="M14" s="134">
        <f t="shared" si="0"/>
        <v>679244571.80066824</v>
      </c>
      <c r="N14" s="134">
        <f>'RPS Spend Model'!U13</f>
        <v>860204837.65490556</v>
      </c>
      <c r="O14" s="135">
        <f>'RPS Spend Model'!W13</f>
        <v>180960265.8542372</v>
      </c>
      <c r="Q14" s="132" t="s">
        <v>55</v>
      </c>
      <c r="R14" s="135">
        <f t="shared" si="1"/>
        <v>26374267.825660352</v>
      </c>
      <c r="S14" s="135">
        <f t="shared" si="2"/>
        <v>25001804.140573565</v>
      </c>
      <c r="T14" s="135">
        <f t="shared" si="3"/>
        <v>61503493.906300552</v>
      </c>
      <c r="U14" s="135">
        <f t="shared" si="4"/>
        <v>488575558.03460884</v>
      </c>
      <c r="V14" s="135">
        <f t="shared" si="5"/>
        <v>77789447.893524989</v>
      </c>
      <c r="W14" s="135">
        <f t="shared" si="6"/>
        <v>860204837.65490556</v>
      </c>
    </row>
    <row r="15" spans="2:23" ht="15" thickBot="1" x14ac:dyDescent="0.35">
      <c r="B15" s="132" t="s">
        <v>56</v>
      </c>
      <c r="C15" s="133">
        <f>SUM('RPS Spend Model'!E14)</f>
        <v>4261079.6921323007</v>
      </c>
      <c r="D15" s="133">
        <f>SUM('RPS Spend Model'!B14:D14)</f>
        <v>0</v>
      </c>
      <c r="E15" s="134">
        <f>SUM('RPS Spend Model'!I14)</f>
        <v>22070814.147020843</v>
      </c>
      <c r="F15" s="133">
        <f>SUM('Graph Pre-Plan In Progrss $'!J14:O14)</f>
        <v>21780039.758071654</v>
      </c>
      <c r="G15" s="133">
        <f>SUM('Graph Pre-Plan In Progrss $'!P14:R14)</f>
        <v>1508583.9703701469</v>
      </c>
      <c r="H15" s="133">
        <f>SUM('Graph Proposed $'!J14:O14)</f>
        <v>50985661.992150486</v>
      </c>
      <c r="I15" s="133">
        <f>SUM('Graph Proposed $'!P14:R14)</f>
        <v>-2264602.9665864948</v>
      </c>
      <c r="J15" s="133">
        <f>SUM('Graph Future $'!J14:O14)</f>
        <v>283288141.6832273</v>
      </c>
      <c r="K15" s="133">
        <f>SUM('Graph Future $'!P14:R14)</f>
        <v>92614857.500289857</v>
      </c>
      <c r="L15" s="133">
        <f>SUM('RPS Spend Model'!F14:H14)</f>
        <v>67855534.640602186</v>
      </c>
      <c r="M15" s="134">
        <f t="shared" si="0"/>
        <v>542100110.41727829</v>
      </c>
      <c r="N15" s="134">
        <f>'RPS Spend Model'!U14</f>
        <v>776144753.87431026</v>
      </c>
      <c r="O15" s="135">
        <f>'RPS Spend Model'!W14</f>
        <v>99733570.140886068</v>
      </c>
      <c r="Q15" s="132" t="s">
        <v>56</v>
      </c>
      <c r="R15" s="135">
        <f t="shared" ref="R15:R26" si="7">SUM(C15:E15)</f>
        <v>26331893.839153145</v>
      </c>
      <c r="S15" s="135">
        <f t="shared" ref="S15:S26" si="8">SUM(F15:G15)</f>
        <v>23288623.728441801</v>
      </c>
      <c r="T15" s="135">
        <f t="shared" ref="T15:T26" si="9">SUM(H15:I15)</f>
        <v>48721059.025563993</v>
      </c>
      <c r="U15" s="135">
        <f t="shared" ref="U15:U26" si="10">SUM(J15:K15)</f>
        <v>375902999.18351716</v>
      </c>
      <c r="V15" s="135">
        <f t="shared" ref="V15:V26" si="11">L15</f>
        <v>67855534.640602186</v>
      </c>
      <c r="W15" s="135">
        <f t="shared" ref="W15:W26" si="12">N15</f>
        <v>776144753.87431026</v>
      </c>
    </row>
    <row r="16" spans="2:23" ht="15" thickBot="1" x14ac:dyDescent="0.35">
      <c r="B16" s="132" t="s">
        <v>57</v>
      </c>
      <c r="C16" s="133">
        <f>SUM('RPS Spend Model'!E15)</f>
        <v>0</v>
      </c>
      <c r="D16" s="133">
        <f>SUM('RPS Spend Model'!B15:D15)</f>
        <v>0</v>
      </c>
      <c r="E16" s="134">
        <f>SUM('RPS Spend Model'!I15)</f>
        <v>22070814.147020843</v>
      </c>
      <c r="F16" s="133">
        <f>SUM('Graph Pre-Plan In Progrss $'!J15:O15)</f>
        <v>21671139.559281297</v>
      </c>
      <c r="G16" s="133">
        <f>SUM('Graph Pre-Plan In Progrss $'!P15:R15)</f>
        <v>-115919.05869363499</v>
      </c>
      <c r="H16" s="133">
        <f>SUM('Graph Proposed $'!J15:O15)</f>
        <v>50730733.682189733</v>
      </c>
      <c r="I16" s="133">
        <f>SUM('Graph Proposed $'!P15:R15)</f>
        <v>-8781929.4008286558</v>
      </c>
      <c r="J16" s="133">
        <f>SUM('Graph Future $'!J15:O15)</f>
        <v>254999114.36489654</v>
      </c>
      <c r="K16" s="133">
        <f>SUM('Graph Future $'!P15:R15)</f>
        <v>98336278.301984072</v>
      </c>
      <c r="L16" s="133">
        <f>SUM('RPS Spend Model'!F15:H15)</f>
        <v>67977997.445554465</v>
      </c>
      <c r="M16" s="134">
        <f t="shared" si="0"/>
        <v>506888229.0414046</v>
      </c>
      <c r="N16" s="134">
        <f>'RPS Spend Model'!U15</f>
        <v>699000151.65936828</v>
      </c>
      <c r="O16" s="135">
        <f>'RPS Spend Model'!W15</f>
        <v>25729313.318807364</v>
      </c>
      <c r="Q16" s="132" t="s">
        <v>57</v>
      </c>
      <c r="R16" s="135">
        <f t="shared" si="7"/>
        <v>22070814.147020843</v>
      </c>
      <c r="S16" s="135">
        <f t="shared" si="8"/>
        <v>21555220.500587661</v>
      </c>
      <c r="T16" s="135">
        <f t="shared" si="9"/>
        <v>41948804.281361073</v>
      </c>
      <c r="U16" s="135">
        <f t="shared" si="10"/>
        <v>353335392.66688061</v>
      </c>
      <c r="V16" s="135">
        <f t="shared" si="11"/>
        <v>67977997.445554465</v>
      </c>
      <c r="W16" s="135">
        <f t="shared" si="12"/>
        <v>699000151.65936828</v>
      </c>
    </row>
    <row r="17" spans="2:23" ht="15" thickBot="1" x14ac:dyDescent="0.35">
      <c r="B17" s="132" t="s">
        <v>58</v>
      </c>
      <c r="C17" s="133">
        <f>SUM('RPS Spend Model'!E16)</f>
        <v>0</v>
      </c>
      <c r="D17" s="133">
        <f>SUM('RPS Spend Model'!B16:D16)</f>
        <v>0</v>
      </c>
      <c r="E17" s="134">
        <f>SUM('RPS Spend Model'!I16)</f>
        <v>20416994.263402294</v>
      </c>
      <c r="F17" s="133">
        <f>SUM('Graph Pre-Plan In Progrss $'!J16:O16)</f>
        <v>21562783.861484893</v>
      </c>
      <c r="G17" s="133">
        <f>SUM('Graph Pre-Plan In Progrss $'!P16:R16)</f>
        <v>-1761583.898578112</v>
      </c>
      <c r="H17" s="133">
        <f>SUM('Graph Proposed $'!J16:O16)</f>
        <v>50477080.013778783</v>
      </c>
      <c r="I17" s="133">
        <f>SUM('Graph Proposed $'!P16:R16)</f>
        <v>-15403720.257215079</v>
      </c>
      <c r="J17" s="133">
        <f>SUM('Graph Future $'!J16:O16)</f>
        <v>228078270.83410165</v>
      </c>
      <c r="K17" s="133">
        <f>SUM('Graph Future $'!P16:R16)</f>
        <v>97970321.092483461</v>
      </c>
      <c r="L17" s="133">
        <f>SUM('RPS Spend Model'!F16:H16)</f>
        <v>68007164.753511429</v>
      </c>
      <c r="M17" s="134">
        <f t="shared" si="0"/>
        <v>469347310.66296929</v>
      </c>
      <c r="N17" s="134">
        <f>'RPS Spend Model'!U16</f>
        <v>625968138.43585515</v>
      </c>
      <c r="O17" s="135">
        <f>'RPS Spend Model'!W16</f>
        <v>21679141.595245361</v>
      </c>
      <c r="Q17" s="132" t="s">
        <v>58</v>
      </c>
      <c r="R17" s="135">
        <f t="shared" si="7"/>
        <v>20416994.263402294</v>
      </c>
      <c r="S17" s="135">
        <f t="shared" si="8"/>
        <v>19801199.962906782</v>
      </c>
      <c r="T17" s="135">
        <f t="shared" si="9"/>
        <v>35073359.756563708</v>
      </c>
      <c r="U17" s="135">
        <f t="shared" si="10"/>
        <v>326048591.92658508</v>
      </c>
      <c r="V17" s="135">
        <f t="shared" si="11"/>
        <v>68007164.753511429</v>
      </c>
      <c r="W17" s="135">
        <f t="shared" si="12"/>
        <v>625968138.43585515</v>
      </c>
    </row>
    <row r="18" spans="2:23" ht="15" thickBot="1" x14ac:dyDescent="0.35">
      <c r="B18" s="132" t="s">
        <v>59</v>
      </c>
      <c r="C18" s="133">
        <f>SUM('RPS Spend Model'!E17)</f>
        <v>0</v>
      </c>
      <c r="D18" s="133">
        <f>SUM('RPS Spend Model'!B17:D17)</f>
        <v>0</v>
      </c>
      <c r="E18" s="134">
        <f>SUM('RPS Spend Model'!I17)</f>
        <v>20416994.263402294</v>
      </c>
      <c r="F18" s="133">
        <f>SUM('Graph Pre-Plan In Progrss $'!J17:O17)</f>
        <v>21454969.942177463</v>
      </c>
      <c r="G18" s="133">
        <f>SUM('Graph Pre-Plan In Progrss $'!P17:R17)</f>
        <v>-3428809.0660998547</v>
      </c>
      <c r="H18" s="133">
        <f>SUM('Graph Proposed $'!J17:O17)</f>
        <v>50224694.613709889</v>
      </c>
      <c r="I18" s="133">
        <f>SUM('Graph Proposed $'!P17:R17)</f>
        <v>-22132012.585101333</v>
      </c>
      <c r="J18" s="133">
        <f>SUM('Graph Future $'!J17:O17)</f>
        <v>202211663.51080137</v>
      </c>
      <c r="K18" s="133">
        <f>SUM('Graph Future $'!P17:R17)</f>
        <v>61118739.421790615</v>
      </c>
      <c r="L18" s="133">
        <f>SUM('RPS Spend Model'!F17:H17)</f>
        <v>68057703.345901966</v>
      </c>
      <c r="M18" s="134">
        <f t="shared" si="0"/>
        <v>397923943.44658244</v>
      </c>
      <c r="N18" s="134">
        <f>'RPS Spend Model'!U17</f>
        <v>623602586.45864403</v>
      </c>
      <c r="O18" s="135">
        <f>'RPS Spend Model'!W17</f>
        <v>46302683.664796114</v>
      </c>
      <c r="Q18" s="132" t="s">
        <v>59</v>
      </c>
      <c r="R18" s="135">
        <f t="shared" si="7"/>
        <v>20416994.263402294</v>
      </c>
      <c r="S18" s="135">
        <f t="shared" si="8"/>
        <v>18026160.876077607</v>
      </c>
      <c r="T18" s="135">
        <f t="shared" si="9"/>
        <v>28092682.028608557</v>
      </c>
      <c r="U18" s="135">
        <f t="shared" si="10"/>
        <v>263330402.93259197</v>
      </c>
      <c r="V18" s="135">
        <f t="shared" si="11"/>
        <v>68057703.345901966</v>
      </c>
      <c r="W18" s="135">
        <f t="shared" si="12"/>
        <v>623602586.45864403</v>
      </c>
    </row>
    <row r="19" spans="2:23" ht="15" thickBot="1" x14ac:dyDescent="0.35">
      <c r="B19" s="132" t="s">
        <v>60</v>
      </c>
      <c r="C19" s="133">
        <f>SUM('RPS Spend Model'!E18)</f>
        <v>0</v>
      </c>
      <c r="D19" s="133">
        <f>SUM('RPS Spend Model'!B18:D18)</f>
        <v>0</v>
      </c>
      <c r="E19" s="134">
        <f>SUM('RPS Spend Model'!I18)</f>
        <v>16969444.263402298</v>
      </c>
      <c r="F19" s="133">
        <f>SUM('Graph Pre-Plan In Progrss $'!J18:O18)</f>
        <v>21347695.092466578</v>
      </c>
      <c r="G19" s="133">
        <f>SUM('Graph Pre-Plan In Progrss $'!P18:R18)</f>
        <v>-5117999.9597350946</v>
      </c>
      <c r="H19" s="133">
        <f>SUM('Graph Proposed $'!J18:O18)</f>
        <v>49973571.140641347</v>
      </c>
      <c r="I19" s="133">
        <f>SUM('Graph Proposed $'!P18:R18)</f>
        <v>-28968881.729446217</v>
      </c>
      <c r="J19" s="133">
        <f>SUM('Graph Future $'!J18:O18)</f>
        <v>177357235.93436453</v>
      </c>
      <c r="K19" s="133">
        <f>SUM('Graph Future $'!P18:R18)</f>
        <v>23543458.078464203</v>
      </c>
      <c r="L19" s="133">
        <f>SUM('RPS Spend Model'!F18:H18)</f>
        <v>68118553.768141374</v>
      </c>
      <c r="M19" s="134">
        <f t="shared" si="0"/>
        <v>323223076.58829904</v>
      </c>
      <c r="N19" s="134">
        <f>'RPS Spend Model'!U18</f>
        <v>650254475.93617535</v>
      </c>
      <c r="O19" s="135">
        <f>'RPS Spend Model'!W18</f>
        <v>109766868.25701404</v>
      </c>
      <c r="Q19" s="132" t="s">
        <v>60</v>
      </c>
      <c r="R19" s="135">
        <f t="shared" si="7"/>
        <v>16969444.263402298</v>
      </c>
      <c r="S19" s="135">
        <f t="shared" si="8"/>
        <v>16229695.132731482</v>
      </c>
      <c r="T19" s="135">
        <f t="shared" si="9"/>
        <v>21004689.411195129</v>
      </c>
      <c r="U19" s="135">
        <f t="shared" si="10"/>
        <v>200900694.01282874</v>
      </c>
      <c r="V19" s="135">
        <f t="shared" si="11"/>
        <v>68118553.768141374</v>
      </c>
      <c r="W19" s="135">
        <f t="shared" si="12"/>
        <v>650254475.93617535</v>
      </c>
    </row>
    <row r="20" spans="2:23" ht="15" thickBot="1" x14ac:dyDescent="0.35">
      <c r="B20" s="132" t="s">
        <v>61</v>
      </c>
      <c r="C20" s="133">
        <f>SUM('RPS Spend Model'!E19)</f>
        <v>0</v>
      </c>
      <c r="D20" s="133">
        <f>SUM('RPS Spend Model'!B19:D19)</f>
        <v>0</v>
      </c>
      <c r="E20" s="134">
        <f>SUM('RPS Spend Model'!I19)</f>
        <v>0</v>
      </c>
      <c r="F20" s="133">
        <f>SUM('Graph Pre-Plan In Progrss $'!J19:O19)</f>
        <v>21240956.617004246</v>
      </c>
      <c r="G20" s="133">
        <f>SUM('Graph Pre-Plan In Progrss $'!P19:R19)</f>
        <v>-6829568.9846334243</v>
      </c>
      <c r="H20" s="133">
        <f>SUM('Graph Proposed $'!J19:O19)</f>
        <v>49723703.284938134</v>
      </c>
      <c r="I20" s="133">
        <f>SUM('Graph Proposed $'!P19:R19)</f>
        <v>-35916442.068622626</v>
      </c>
      <c r="J20" s="133">
        <f>SUM('Graph Future $'!J19:O19)</f>
        <v>153474613.33764696</v>
      </c>
      <c r="K20" s="133">
        <f>SUM('Graph Future $'!P19:R19)</f>
        <v>-14769969.349458121</v>
      </c>
      <c r="L20" s="133">
        <f>SUM('RPS Spend Model'!F19:H19)</f>
        <v>68198134.165855765</v>
      </c>
      <c r="M20" s="134">
        <f t="shared" si="0"/>
        <v>235121427.00273094</v>
      </c>
      <c r="N20" s="134">
        <f>'RPS Spend Model'!U19</f>
        <v>716371340.45220613</v>
      </c>
      <c r="O20" s="135">
        <f>'RPS Spend Model'!W19</f>
        <v>247698229.2344963</v>
      </c>
      <c r="Q20" s="132" t="s">
        <v>61</v>
      </c>
      <c r="R20" s="135">
        <f t="shared" si="7"/>
        <v>0</v>
      </c>
      <c r="S20" s="135">
        <f t="shared" si="8"/>
        <v>14411387.632370822</v>
      </c>
      <c r="T20" s="135">
        <f t="shared" si="9"/>
        <v>13807261.216315508</v>
      </c>
      <c r="U20" s="135">
        <f t="shared" si="10"/>
        <v>138704643.98818883</v>
      </c>
      <c r="V20" s="135">
        <f t="shared" si="11"/>
        <v>68198134.165855765</v>
      </c>
      <c r="W20" s="135">
        <f t="shared" si="12"/>
        <v>716371340.45220613</v>
      </c>
    </row>
    <row r="21" spans="2:23" ht="15" thickBot="1" x14ac:dyDescent="0.35">
      <c r="B21" s="132" t="s">
        <v>62</v>
      </c>
      <c r="C21" s="133">
        <f>SUM('RPS Spend Model'!E20)</f>
        <v>0</v>
      </c>
      <c r="D21" s="133">
        <f>SUM('RPS Spend Model'!B20:D20)</f>
        <v>0</v>
      </c>
      <c r="E21" s="134">
        <f>SUM('RPS Spend Model'!I20)</f>
        <v>0</v>
      </c>
      <c r="F21" s="133">
        <f>SUM('Graph Pre-Plan In Progrss $'!J20:O20)</f>
        <v>21134751.833919227</v>
      </c>
      <c r="G21" s="133">
        <f>SUM('Graph Pre-Plan In Progrss $'!P20:R20)</f>
        <v>-8563935.6799257435</v>
      </c>
      <c r="H21" s="133">
        <f>SUM('Graph Proposed $'!J20:O20)</f>
        <v>49475084.768513449</v>
      </c>
      <c r="I21" s="133">
        <f>SUM('Graph Proposed $'!P20:R20)</f>
        <v>-42976847.766524494</v>
      </c>
      <c r="J21" s="133">
        <f>SUM('Graph Future $'!J20:O20)</f>
        <v>130525035.38207659</v>
      </c>
      <c r="K21" s="133">
        <f>SUM('Graph Future $'!P20:R20)</f>
        <v>-53836276.935890459</v>
      </c>
      <c r="L21" s="133">
        <f>SUM('RPS Spend Model'!F20:H20)</f>
        <v>68209514.676376209</v>
      </c>
      <c r="M21" s="134">
        <f t="shared" si="0"/>
        <v>163967326.27854478</v>
      </c>
      <c r="N21" s="134">
        <f>'RPS Spend Model'!U20</f>
        <v>854682051.78037</v>
      </c>
      <c r="O21" s="135">
        <f>'RPS Spend Model'!W20</f>
        <v>444934851.7719872</v>
      </c>
      <c r="Q21" s="132" t="s">
        <v>62</v>
      </c>
      <c r="R21" s="135">
        <f t="shared" si="7"/>
        <v>0</v>
      </c>
      <c r="S21" s="135">
        <f t="shared" si="8"/>
        <v>12570816.153993484</v>
      </c>
      <c r="T21" s="135">
        <f t="shared" si="9"/>
        <v>6498237.0019889548</v>
      </c>
      <c r="U21" s="135">
        <f t="shared" si="10"/>
        <v>76688758.446186125</v>
      </c>
      <c r="V21" s="135">
        <f t="shared" si="11"/>
        <v>68209514.676376209</v>
      </c>
      <c r="W21" s="135">
        <f t="shared" si="12"/>
        <v>854682051.78037</v>
      </c>
    </row>
    <row r="22" spans="2:23" ht="15" thickBot="1" x14ac:dyDescent="0.35">
      <c r="B22" s="132" t="s">
        <v>63</v>
      </c>
      <c r="C22" s="133">
        <f>SUM('RPS Spend Model'!E21)</f>
        <v>0</v>
      </c>
      <c r="D22" s="133">
        <f>SUM('RPS Spend Model'!B21:D21)</f>
        <v>0</v>
      </c>
      <c r="E22" s="134">
        <f>SUM('RPS Spend Model'!I21)</f>
        <v>0</v>
      </c>
      <c r="F22" s="133">
        <f>SUM('Graph Pre-Plan In Progrss $'!J21:O21)</f>
        <v>21029078.074749626</v>
      </c>
      <c r="G22" s="133">
        <f>SUM('Graph Pre-Plan In Progrss $'!P21:R21)</f>
        <v>-10321526.848369312</v>
      </c>
      <c r="H22" s="133">
        <f>SUM('Graph Proposed $'!J21:O21)</f>
        <v>49227709.344670877</v>
      </c>
      <c r="I22" s="133">
        <f>SUM('Graph Proposed $'!P21:R21)</f>
        <v>-50152293.539248504</v>
      </c>
      <c r="J22" s="133">
        <f>SUM('Graph Future $'!J21:O21)</f>
        <v>125303002.95920792</v>
      </c>
      <c r="K22" s="133">
        <f>SUM('Graph Future $'!P21:R21)</f>
        <v>-93670492.155345812</v>
      </c>
      <c r="L22" s="133">
        <f>SUM('RPS Spend Model'!F21:H21)</f>
        <v>68264106.623428315</v>
      </c>
      <c r="M22" s="134">
        <f t="shared" si="0"/>
        <v>109679584.45909311</v>
      </c>
      <c r="N22" s="134">
        <f>'RPS Spend Model'!U21</f>
        <v>1053738405.8862642</v>
      </c>
      <c r="O22" s="135">
        <f>'RPS Spend Model'!W21</f>
        <v>709500047.59962785</v>
      </c>
      <c r="Q22" s="132" t="s">
        <v>63</v>
      </c>
      <c r="R22" s="135">
        <f t="shared" si="7"/>
        <v>0</v>
      </c>
      <c r="S22" s="135">
        <f t="shared" si="8"/>
        <v>10707551.226380315</v>
      </c>
      <c r="T22" s="135">
        <f t="shared" si="9"/>
        <v>-924584.19457762688</v>
      </c>
      <c r="U22" s="135">
        <f t="shared" si="10"/>
        <v>31632510.80386211</v>
      </c>
      <c r="V22" s="135">
        <f t="shared" si="11"/>
        <v>68264106.623428315</v>
      </c>
      <c r="W22" s="135">
        <f t="shared" si="12"/>
        <v>1053738405.8862642</v>
      </c>
    </row>
    <row r="23" spans="2:23" ht="15" thickBot="1" x14ac:dyDescent="0.35">
      <c r="B23" s="132" t="s">
        <v>64</v>
      </c>
      <c r="C23" s="133">
        <f>SUM('RPS Spend Model'!E22)</f>
        <v>0</v>
      </c>
      <c r="D23" s="133">
        <f>SUM('RPS Spend Model'!B22:D22)</f>
        <v>0</v>
      </c>
      <c r="E23" s="134">
        <f>SUM('RPS Spend Model'!I22)</f>
        <v>0</v>
      </c>
      <c r="F23" s="133">
        <f>SUM('Graph Pre-Plan In Progrss $'!J22:O22)</f>
        <v>20923932.684375878</v>
      </c>
      <c r="G23" s="133">
        <f>SUM('Graph Pre-Plan In Progrss $'!P22:R22)</f>
        <v>-12102776.688373692</v>
      </c>
      <c r="H23" s="133">
        <f>SUM('Graph Proposed $'!J22:O22)</f>
        <v>48981570.797947526</v>
      </c>
      <c r="I23" s="133">
        <f>SUM('Graph Proposed $'!P22:R22)</f>
        <v>-57445015.436635971</v>
      </c>
      <c r="J23" s="133">
        <f>SUM('Graph Future $'!J22:O22)</f>
        <v>124676487.9444119</v>
      </c>
      <c r="K23" s="133">
        <f>SUM('Graph Future $'!P22:R22)</f>
        <v>-134287941.73611903</v>
      </c>
      <c r="L23" s="133">
        <f>SUM('RPS Spend Model'!F22:H22)</f>
        <v>68264106.623428315</v>
      </c>
      <c r="M23" s="134">
        <f t="shared" si="0"/>
        <v>59010364.189034924</v>
      </c>
      <c r="N23" s="134">
        <f>'RPS Spend Model'!U22</f>
        <v>1318303601.7139049</v>
      </c>
      <c r="O23" s="135">
        <f>'RPS Spend Model'!W22</f>
        <v>1041674379.0010352</v>
      </c>
      <c r="Q23" s="132" t="s">
        <v>64</v>
      </c>
      <c r="R23" s="135">
        <f t="shared" si="7"/>
        <v>0</v>
      </c>
      <c r="S23" s="135">
        <f t="shared" si="8"/>
        <v>8821155.9960021861</v>
      </c>
      <c r="T23" s="135">
        <f t="shared" si="9"/>
        <v>-8463444.6386884451</v>
      </c>
      <c r="U23" s="135">
        <f t="shared" si="10"/>
        <v>-9611453.7917071283</v>
      </c>
      <c r="V23" s="135">
        <f t="shared" si="11"/>
        <v>68264106.623428315</v>
      </c>
      <c r="W23" s="135">
        <f t="shared" si="12"/>
        <v>1318303601.7139049</v>
      </c>
    </row>
    <row r="24" spans="2:23" ht="15" thickBot="1" x14ac:dyDescent="0.35">
      <c r="B24" s="132" t="s">
        <v>65</v>
      </c>
      <c r="C24" s="133">
        <f>SUM('RPS Spend Model'!E23)</f>
        <v>0</v>
      </c>
      <c r="D24" s="133">
        <f>SUM('RPS Spend Model'!B23:D23)</f>
        <v>0</v>
      </c>
      <c r="E24" s="134">
        <f>SUM('RPS Spend Model'!I23)</f>
        <v>0</v>
      </c>
      <c r="F24" s="133">
        <f>SUM('Graph Pre-Plan In Progrss $'!J23:O23)</f>
        <v>20819313.020953998</v>
      </c>
      <c r="G24" s="133">
        <f>SUM('Graph Pre-Plan In Progrss $'!P23:R23)</f>
        <v>-13908126.928452093</v>
      </c>
      <c r="H24" s="133">
        <f>SUM('Graph Proposed $'!J23:O23)</f>
        <v>48736662.943957791</v>
      </c>
      <c r="I24" s="133">
        <f>SUM('Graph Proposed $'!P23:R23)</f>
        <v>-64857291.638964728</v>
      </c>
      <c r="J24" s="133">
        <f>SUM('Graph Future $'!J23:O23)</f>
        <v>124053105.50468983</v>
      </c>
      <c r="K24" s="133">
        <f>SUM('Graph Future $'!P23:R23)</f>
        <v>-175704257.63028982</v>
      </c>
      <c r="L24" s="133">
        <f>SUM('RPS Spend Model'!F23:H23)</f>
        <v>68264106.623428315</v>
      </c>
      <c r="M24" s="134">
        <f t="shared" si="0"/>
        <v>7403511.8953232914</v>
      </c>
      <c r="N24" s="134">
        <f>'RPS Spend Model'!U23</f>
        <v>1650477933.1153121</v>
      </c>
      <c r="O24" s="135">
        <f>'RPS Spend Model'!W23</f>
        <v>1438370356.9779084</v>
      </c>
      <c r="Q24" s="132" t="s">
        <v>65</v>
      </c>
      <c r="R24" s="135">
        <f t="shared" si="7"/>
        <v>0</v>
      </c>
      <c r="S24" s="135">
        <f t="shared" si="8"/>
        <v>6911186.0925019048</v>
      </c>
      <c r="T24" s="135">
        <f t="shared" si="9"/>
        <v>-16120628.695006937</v>
      </c>
      <c r="U24" s="135">
        <f t="shared" si="10"/>
        <v>-51651152.125599995</v>
      </c>
      <c r="V24" s="135">
        <f t="shared" si="11"/>
        <v>68264106.623428315</v>
      </c>
      <c r="W24" s="135">
        <f t="shared" si="12"/>
        <v>1650477933.1153121</v>
      </c>
    </row>
    <row r="25" spans="2:23" ht="15" thickBot="1" x14ac:dyDescent="0.35">
      <c r="B25" s="132" t="s">
        <v>66</v>
      </c>
      <c r="C25" s="133">
        <f>SUM('RPS Spend Model'!E24)</f>
        <v>0</v>
      </c>
      <c r="D25" s="133">
        <f>SUM('RPS Spend Model'!B24:D24)</f>
        <v>0</v>
      </c>
      <c r="E25" s="134">
        <f>SUM('RPS Spend Model'!I24)</f>
        <v>0</v>
      </c>
      <c r="F25" s="133">
        <f>SUM('Graph Pre-Plan In Progrss $'!J24:O24)</f>
        <v>20715216.45584923</v>
      </c>
      <c r="G25" s="133">
        <f>SUM('Graph Pre-Plan In Progrss $'!P24:R24)</f>
        <v>-15738026.964143483</v>
      </c>
      <c r="H25" s="133">
        <f>SUM('Graph Proposed $'!J24:O24)</f>
        <v>48492979.629238002</v>
      </c>
      <c r="I25" s="133">
        <f>SUM('Graph Proposed $'!P24:R24)</f>
        <v>-72391443.269087315</v>
      </c>
      <c r="J25" s="133">
        <f>SUM('Graph Future $'!J24:O24)</f>
        <v>123432839.97716638</v>
      </c>
      <c r="K25" s="133">
        <f>SUM('Graph Future $'!P24:R24)</f>
        <v>-217935383.10288098</v>
      </c>
      <c r="L25" s="133">
        <f>SUM('RPS Spend Model'!F24:H24)</f>
        <v>68264106.623428315</v>
      </c>
      <c r="M25" s="134">
        <f t="shared" si="0"/>
        <v>-45159710.650429845</v>
      </c>
      <c r="N25" s="134">
        <f>'RPS Spend Model'!U24</f>
        <v>2047173911.0921855</v>
      </c>
      <c r="O25" s="135">
        <f>'RPS Spend Model'!W24</f>
        <v>1947410727.7357526</v>
      </c>
      <c r="Q25" s="132" t="s">
        <v>66</v>
      </c>
      <c r="R25" s="135">
        <f t="shared" si="7"/>
        <v>0</v>
      </c>
      <c r="S25" s="135">
        <f t="shared" si="8"/>
        <v>4977189.4917057473</v>
      </c>
      <c r="T25" s="135">
        <f t="shared" si="9"/>
        <v>-23898463.639849313</v>
      </c>
      <c r="U25" s="135">
        <f t="shared" si="10"/>
        <v>-94502543.1257146</v>
      </c>
      <c r="V25" s="135">
        <f t="shared" si="11"/>
        <v>68264106.623428315</v>
      </c>
      <c r="W25" s="135">
        <f t="shared" si="12"/>
        <v>2047173911.0921855</v>
      </c>
    </row>
    <row r="26" spans="2:23" ht="15" thickBot="1" x14ac:dyDescent="0.35">
      <c r="B26" s="132" t="s">
        <v>67</v>
      </c>
      <c r="C26" s="133">
        <f>SUM('RPS Spend Model'!E25)</f>
        <v>0</v>
      </c>
      <c r="D26" s="133">
        <f>SUM('RPS Spend Model'!B25:D25)</f>
        <v>0</v>
      </c>
      <c r="E26" s="134">
        <f>SUM('RPS Spend Model'!I25)</f>
        <v>0</v>
      </c>
      <c r="F26" s="133">
        <f>SUM('Graph Pre-Plan In Progrss $'!J25:O25)</f>
        <v>20572634.555911593</v>
      </c>
      <c r="G26" s="133">
        <f>SUM('Graph Pre-Plan In Progrss $'!P25:R25)</f>
        <v>-17592933.997451767</v>
      </c>
      <c r="H26" s="133">
        <f>SUM('Graph Proposed $'!J25:O25)</f>
        <v>31882117.435695674</v>
      </c>
      <c r="I26" s="133">
        <f>SUM('Graph Proposed $'!P25:R25)</f>
        <v>-80049835.220317334</v>
      </c>
      <c r="J26" s="133">
        <f>SUM('Graph Future $'!J25:O25)</f>
        <v>122815675.77728054</v>
      </c>
      <c r="K26" s="133">
        <f>SUM('Graph Future $'!P25:R25)</f>
        <v>-260997578.94254979</v>
      </c>
      <c r="L26" s="133">
        <f>SUM('RPS Spend Model'!F25:H25)</f>
        <v>68264106.623428315</v>
      </c>
      <c r="M26" s="134">
        <f t="shared" si="0"/>
        <v>-115105813.76800278</v>
      </c>
      <c r="N26" s="134">
        <f>'RPS Spend Model'!U25</f>
        <v>2556214281.8500295</v>
      </c>
      <c r="O26" s="135">
        <f>'RPS Spend Model'!W25</f>
        <v>2556726060.8057461</v>
      </c>
      <c r="Q26" s="132" t="s">
        <v>67</v>
      </c>
      <c r="R26" s="135">
        <f t="shared" si="7"/>
        <v>0</v>
      </c>
      <c r="S26" s="135">
        <f t="shared" si="8"/>
        <v>2979700.5584598258</v>
      </c>
      <c r="T26" s="135">
        <f t="shared" si="9"/>
        <v>-48167717.784621656</v>
      </c>
      <c r="U26" s="135">
        <f t="shared" si="10"/>
        <v>-138181903.16526926</v>
      </c>
      <c r="V26" s="135">
        <f t="shared" si="11"/>
        <v>68264106.623428315</v>
      </c>
      <c r="W26" s="135">
        <f t="shared" si="12"/>
        <v>2556214281.8500295</v>
      </c>
    </row>
    <row r="31" spans="2:23" ht="15" thickBot="1" x14ac:dyDescent="0.35">
      <c r="B31" s="125" t="s">
        <v>94</v>
      </c>
    </row>
    <row r="32" spans="2:23" ht="15" thickBot="1" x14ac:dyDescent="0.35">
      <c r="B32" s="300" t="s">
        <v>161</v>
      </c>
      <c r="C32" s="298"/>
      <c r="D32" s="298"/>
      <c r="E32" s="299"/>
      <c r="F32" s="301" t="s">
        <v>162</v>
      </c>
      <c r="G32" s="298"/>
      <c r="H32" s="303" t="s">
        <v>163</v>
      </c>
      <c r="I32" s="304"/>
      <c r="J32" s="305" t="s">
        <v>164</v>
      </c>
      <c r="K32" s="304"/>
      <c r="L32" s="128"/>
      <c r="M32" s="207"/>
      <c r="N32" s="207"/>
      <c r="O32" s="207"/>
    </row>
    <row r="33" spans="2:23" ht="31.2" thickBot="1" x14ac:dyDescent="0.35">
      <c r="B33" s="129" t="s">
        <v>43</v>
      </c>
      <c r="C33" s="130" t="s">
        <v>166</v>
      </c>
      <c r="D33" s="130" t="s">
        <v>167</v>
      </c>
      <c r="E33" s="131" t="s">
        <v>168</v>
      </c>
      <c r="F33" s="130" t="s">
        <v>169</v>
      </c>
      <c r="G33" s="131" t="s">
        <v>170</v>
      </c>
      <c r="H33" s="130" t="s">
        <v>171</v>
      </c>
      <c r="I33" s="131" t="s">
        <v>172</v>
      </c>
      <c r="J33" s="130" t="s">
        <v>173</v>
      </c>
      <c r="K33" s="130" t="s">
        <v>174</v>
      </c>
      <c r="L33" s="130" t="s">
        <v>175</v>
      </c>
      <c r="M33" s="130" t="s">
        <v>176</v>
      </c>
      <c r="N33" s="130" t="s">
        <v>226</v>
      </c>
      <c r="O33" s="140" t="s">
        <v>124</v>
      </c>
      <c r="Q33" s="139" t="s">
        <v>43</v>
      </c>
      <c r="R33" s="140" t="s">
        <v>161</v>
      </c>
      <c r="S33" s="140" t="s">
        <v>162</v>
      </c>
      <c r="T33" s="140" t="s">
        <v>163</v>
      </c>
      <c r="U33" s="140" t="s">
        <v>164</v>
      </c>
      <c r="V33" s="140" t="s">
        <v>175</v>
      </c>
      <c r="W33" s="140" t="s">
        <v>226</v>
      </c>
    </row>
    <row r="34" spans="2:23" ht="15" thickBot="1" x14ac:dyDescent="0.35">
      <c r="B34" s="132" t="s">
        <v>45</v>
      </c>
      <c r="C34" s="134">
        <f>'RPS Spend Model'!E32</f>
        <v>7753000</v>
      </c>
      <c r="D34" s="133">
        <f>SUM('RPS Spend Model'!B32:D32)</f>
        <v>63725174.095742077</v>
      </c>
      <c r="E34" s="134">
        <f>'RPS Spend Model'!I32</f>
        <v>836256.96</v>
      </c>
      <c r="F34" s="133">
        <f>SUM('Graph Pre-Plan In Progrss $'!J32:O32)</f>
        <v>0</v>
      </c>
      <c r="G34" s="133">
        <f>SUM('Graph Pre-Plan In Progrss $'!J32:O32)</f>
        <v>0</v>
      </c>
      <c r="H34" s="133">
        <f>SUM('Graph Proposed $'!J32:O32)</f>
        <v>0</v>
      </c>
      <c r="I34" s="133">
        <f>SUM('Graph Proposed $'!P32:R32)</f>
        <v>0</v>
      </c>
      <c r="J34" s="133">
        <f>SUM('Graph Future $'!J32:O32)</f>
        <v>0</v>
      </c>
      <c r="K34" s="133">
        <f>SUM('Graph Future $'!P32:R32)</f>
        <v>0</v>
      </c>
      <c r="L34" s="133">
        <f>SUM('RPS Spend Model'!F32:H32)</f>
        <v>4922397.6543552326</v>
      </c>
      <c r="M34" s="134">
        <f>'RPS Spend Model'!V32</f>
        <v>77236828.710097313</v>
      </c>
      <c r="N34" s="134">
        <f>'RPS Spend Model'!U32</f>
        <v>228524686.92596281</v>
      </c>
      <c r="O34" s="134">
        <f>'RPS Spend Model'!W32</f>
        <v>151287858.21586549</v>
      </c>
      <c r="P34" s="143"/>
      <c r="Q34" s="132" t="s">
        <v>45</v>
      </c>
      <c r="R34" s="135">
        <f t="shared" ref="R34:R44" si="13">SUM(C34:E34)</f>
        <v>72314431.05574207</v>
      </c>
      <c r="S34" s="135">
        <f t="shared" ref="S34:S44" si="14">SUM(F34:G34)</f>
        <v>0</v>
      </c>
      <c r="T34" s="135">
        <f t="shared" ref="T34:T44" si="15">SUM(H34:I34)</f>
        <v>0</v>
      </c>
      <c r="U34" s="135">
        <f t="shared" ref="U34:U44" si="16">SUM(J34:K34)</f>
        <v>0</v>
      </c>
      <c r="V34" s="135">
        <f t="shared" ref="V34:V44" si="17">L34</f>
        <v>4922397.6543552326</v>
      </c>
      <c r="W34" s="135">
        <f t="shared" ref="W34:W44" si="18">N34</f>
        <v>228524686.92596281</v>
      </c>
    </row>
    <row r="35" spans="2:23" ht="15" thickBot="1" x14ac:dyDescent="0.35">
      <c r="B35" s="132" t="s">
        <v>46</v>
      </c>
      <c r="C35" s="134">
        <f>'RPS Spend Model'!E33</f>
        <v>5554000</v>
      </c>
      <c r="D35" s="133">
        <f>SUM('RPS Spend Model'!B33:D33)</f>
        <v>60494249.703904912</v>
      </c>
      <c r="E35" s="134">
        <f>'RPS Spend Model'!I33</f>
        <v>4902346.6171698067</v>
      </c>
      <c r="F35" s="133">
        <f>SUM('Graph Pre-Plan In Progrss $'!J33:O33)</f>
        <v>0</v>
      </c>
      <c r="G35" s="133">
        <f>SUM('Graph Pre-Plan In Progrss $'!P33:R33)</f>
        <v>0</v>
      </c>
      <c r="H35" s="133">
        <f>SUM('Graph Proposed $'!J33:O33)</f>
        <v>0</v>
      </c>
      <c r="I35" s="133">
        <f>SUM('Graph Proposed $'!P33:R33)</f>
        <v>0</v>
      </c>
      <c r="J35" s="133">
        <f>SUM('Graph Future $'!J33:O33)</f>
        <v>0</v>
      </c>
      <c r="K35" s="133">
        <f>SUM('Graph Future $'!P33:R33)</f>
        <v>0</v>
      </c>
      <c r="L35" s="133">
        <f>SUM('RPS Spend Model'!F33:H33)</f>
        <v>17467712.464542925</v>
      </c>
      <c r="M35" s="134">
        <f>'RPS Spend Model'!V33</f>
        <v>88418308.78561765</v>
      </c>
      <c r="N35" s="134">
        <f>'RPS Spend Model'!U33</f>
        <v>280787433.4026655</v>
      </c>
      <c r="O35" s="134">
        <f>'RPS Spend Model'!W33</f>
        <v>192369124.61704785</v>
      </c>
      <c r="P35" s="143"/>
      <c r="Q35" s="132" t="s">
        <v>46</v>
      </c>
      <c r="R35" s="135">
        <f t="shared" si="13"/>
        <v>70950596.321074724</v>
      </c>
      <c r="S35" s="135">
        <f t="shared" si="14"/>
        <v>0</v>
      </c>
      <c r="T35" s="135">
        <f t="shared" si="15"/>
        <v>0</v>
      </c>
      <c r="U35" s="135">
        <f t="shared" si="16"/>
        <v>0</v>
      </c>
      <c r="V35" s="135">
        <f t="shared" si="17"/>
        <v>17467712.464542925</v>
      </c>
      <c r="W35" s="135">
        <f t="shared" si="18"/>
        <v>280787433.4026655</v>
      </c>
    </row>
    <row r="36" spans="2:23" ht="15" thickBot="1" x14ac:dyDescent="0.35">
      <c r="B36" s="132" t="s">
        <v>47</v>
      </c>
      <c r="C36" s="134">
        <f>'RPS Spend Model'!E34</f>
        <v>4842000</v>
      </c>
      <c r="D36" s="133">
        <f>SUM('RPS Spend Model'!B34:D34)</f>
        <v>49234757.711753331</v>
      </c>
      <c r="E36" s="134">
        <f>'RPS Spend Model'!I34</f>
        <v>6473351.8471698072</v>
      </c>
      <c r="F36" s="133">
        <f>SUM('Graph Pre-Plan In Progrss $'!J34:O34)</f>
        <v>41055468.654006854</v>
      </c>
      <c r="G36" s="133">
        <f>SUM('Graph Pre-Plan In Progrss $'!P34:R34)</f>
        <v>0</v>
      </c>
      <c r="H36" s="133">
        <f>SUM('Graph Proposed $'!J34:O34)</f>
        <v>71060098.477058604</v>
      </c>
      <c r="I36" s="133">
        <f>SUM('Graph Proposed $'!P34:R34)</f>
        <v>0</v>
      </c>
      <c r="J36" s="133">
        <f>SUM('Graph Future $'!J34:O34)</f>
        <v>0</v>
      </c>
      <c r="K36" s="133">
        <f>SUM('Graph Future $'!P34:R34)</f>
        <v>0</v>
      </c>
      <c r="L36" s="133">
        <f>SUM('RPS Spend Model'!F34:H34)</f>
        <v>18473494.223193232</v>
      </c>
      <c r="M36" s="134">
        <f>'RPS Spend Model'!V34</f>
        <v>191139170.91318181</v>
      </c>
      <c r="N36" s="134">
        <f>'RPS Spend Model'!U34</f>
        <v>352852467.33854783</v>
      </c>
      <c r="O36" s="134">
        <f>'RPS Spend Model'!W34</f>
        <v>161713296.42536601</v>
      </c>
      <c r="P36" s="143"/>
      <c r="Q36" s="132" t="s">
        <v>47</v>
      </c>
      <c r="R36" s="135">
        <f t="shared" si="13"/>
        <v>60550109.55892314</v>
      </c>
      <c r="S36" s="135">
        <f t="shared" si="14"/>
        <v>41055468.654006854</v>
      </c>
      <c r="T36" s="135">
        <f t="shared" si="15"/>
        <v>71060098.477058604</v>
      </c>
      <c r="U36" s="135">
        <f t="shared" si="16"/>
        <v>0</v>
      </c>
      <c r="V36" s="135">
        <f t="shared" si="17"/>
        <v>18473494.223193232</v>
      </c>
      <c r="W36" s="135">
        <f t="shared" si="18"/>
        <v>352852467.33854783</v>
      </c>
    </row>
    <row r="37" spans="2:23" ht="15" thickBot="1" x14ac:dyDescent="0.35">
      <c r="B37" s="132" t="s">
        <v>48</v>
      </c>
      <c r="C37" s="134">
        <f>'RPS Spend Model'!E35</f>
        <v>3400999.9999999995</v>
      </c>
      <c r="D37" s="133">
        <f>SUM('RPS Spend Model'!B35:D35)</f>
        <v>44953347.669794321</v>
      </c>
      <c r="E37" s="134">
        <f>'RPS Spend Model'!I35</f>
        <v>6473353.6325620227</v>
      </c>
      <c r="F37" s="133">
        <f>SUM('Graph Pre-Plan In Progrss $'!J35:O35)</f>
        <v>9305077.004899377</v>
      </c>
      <c r="G37" s="133">
        <f>SUM('Graph Pre-Plan In Progrss $'!P35:R35)</f>
        <v>0</v>
      </c>
      <c r="H37" s="133">
        <f>SUM('Graph Proposed $'!J35:O35)</f>
        <v>73354321.740143016</v>
      </c>
      <c r="I37" s="133">
        <f>SUM('Graph Proposed $'!P35:R35)</f>
        <v>0</v>
      </c>
      <c r="J37" s="133">
        <f>SUM('Graph Future $'!J35:O35)</f>
        <v>0</v>
      </c>
      <c r="K37" s="133">
        <f>SUM('Graph Future $'!P35:R35)</f>
        <v>0</v>
      </c>
      <c r="L37" s="133">
        <f>SUM('RPS Spend Model'!F35:H35)</f>
        <v>18485995.953027543</v>
      </c>
      <c r="M37" s="134">
        <f>'RPS Spend Model'!V35</f>
        <v>155973096.00042632</v>
      </c>
      <c r="N37" s="134">
        <f>'RPS Spend Model'!U35</f>
        <v>321511915.57186604</v>
      </c>
      <c r="O37" s="134">
        <f>'RPS Spend Model'!W35</f>
        <v>165538819.57143971</v>
      </c>
      <c r="P37" s="143"/>
      <c r="Q37" s="132" t="s">
        <v>48</v>
      </c>
      <c r="R37" s="135">
        <f t="shared" si="13"/>
        <v>54827701.302356347</v>
      </c>
      <c r="S37" s="135">
        <f t="shared" si="14"/>
        <v>9305077.004899377</v>
      </c>
      <c r="T37" s="135">
        <f t="shared" si="15"/>
        <v>73354321.740143016</v>
      </c>
      <c r="U37" s="135">
        <f t="shared" si="16"/>
        <v>0</v>
      </c>
      <c r="V37" s="135">
        <f t="shared" si="17"/>
        <v>18485995.953027543</v>
      </c>
      <c r="W37" s="135">
        <f t="shared" si="18"/>
        <v>321511915.57186604</v>
      </c>
    </row>
    <row r="38" spans="2:23" ht="15" thickBot="1" x14ac:dyDescent="0.35">
      <c r="B38" s="132" t="s">
        <v>49</v>
      </c>
      <c r="C38" s="134">
        <f>'RPS Spend Model'!E36</f>
        <v>3259000</v>
      </c>
      <c r="D38" s="133">
        <f>SUM('RPS Spend Model'!B36:D36)</f>
        <v>37879963.061369918</v>
      </c>
      <c r="E38" s="134">
        <f>'RPS Spend Model'!I36</f>
        <v>6473353.6325620227</v>
      </c>
      <c r="F38" s="133">
        <f>SUM('Graph Pre-Plan In Progrss $'!J36:O36)</f>
        <v>9264737.1892209128</v>
      </c>
      <c r="G38" s="133">
        <f>SUM('Graph Pre-Plan In Progrss $'!P36:R36)</f>
        <v>0</v>
      </c>
      <c r="H38" s="133">
        <f>SUM('Graph Proposed $'!J36:O36)</f>
        <v>36495603.595000118</v>
      </c>
      <c r="I38" s="133">
        <f>SUM('Graph Proposed $'!P36:R36)</f>
        <v>0</v>
      </c>
      <c r="J38" s="133">
        <f>SUM('Graph Future $'!J36:O36)</f>
        <v>48827230.215580754</v>
      </c>
      <c r="K38" s="133">
        <f>SUM('Graph Future $'!P36:R36)</f>
        <v>0</v>
      </c>
      <c r="L38" s="133">
        <f>SUM('RPS Spend Model'!F36:H36)</f>
        <v>18470643.682547249</v>
      </c>
      <c r="M38" s="134">
        <f>'RPS Spend Model'!V36</f>
        <v>160670531.37628099</v>
      </c>
      <c r="N38" s="134">
        <f>'RPS Spend Model'!U36</f>
        <v>323478920.94843972</v>
      </c>
      <c r="O38" s="134">
        <f>'RPS Spend Model'!W36</f>
        <v>162808389.57215872</v>
      </c>
      <c r="P38" s="143"/>
      <c r="Q38" s="132" t="s">
        <v>49</v>
      </c>
      <c r="R38" s="135">
        <f t="shared" si="13"/>
        <v>47612316.693931937</v>
      </c>
      <c r="S38" s="135">
        <f t="shared" si="14"/>
        <v>9264737.1892209128</v>
      </c>
      <c r="T38" s="135">
        <f t="shared" si="15"/>
        <v>36495603.595000118</v>
      </c>
      <c r="U38" s="135">
        <f t="shared" si="16"/>
        <v>48827230.215580754</v>
      </c>
      <c r="V38" s="135">
        <f t="shared" si="17"/>
        <v>18470643.682547249</v>
      </c>
      <c r="W38" s="135">
        <f t="shared" si="18"/>
        <v>323478920.94843972</v>
      </c>
    </row>
    <row r="39" spans="2:23" ht="15" thickBot="1" x14ac:dyDescent="0.35">
      <c r="B39" s="132" t="s">
        <v>50</v>
      </c>
      <c r="C39" s="134">
        <f>'RPS Spend Model'!E37</f>
        <v>1276000</v>
      </c>
      <c r="D39" s="133">
        <f>SUM('RPS Spend Model'!B37:D37)</f>
        <v>18048550.184416566</v>
      </c>
      <c r="E39" s="134">
        <f>'RPS Spend Model'!I37</f>
        <v>6473353.6325620227</v>
      </c>
      <c r="F39" s="133">
        <f>SUM('Graph Pre-Plan In Progrss $'!J37:O37)</f>
        <v>9233925.4645790271</v>
      </c>
      <c r="G39" s="133">
        <f>SUM('Graph Pre-Plan In Progrss $'!P37:R37)</f>
        <v>2959272.7371243718</v>
      </c>
      <c r="H39" s="133">
        <f>SUM('Graph Proposed $'!J37:O37)</f>
        <v>36325269.318726182</v>
      </c>
      <c r="I39" s="133">
        <f>SUM('Graph Proposed $'!P37:R37)</f>
        <v>3301182.9598174579</v>
      </c>
      <c r="J39" s="133">
        <f>SUM('Graph Future $'!J37:O37)</f>
        <v>60486464.500186019</v>
      </c>
      <c r="K39" s="133">
        <f>SUM('Graph Future $'!P37:R37)</f>
        <v>0</v>
      </c>
      <c r="L39" s="133">
        <f>SUM('RPS Spend Model'!F37:H37)</f>
        <v>18454225.713669628</v>
      </c>
      <c r="M39" s="134">
        <f>'RPS Spend Model'!V37</f>
        <v>156558244.51108128</v>
      </c>
      <c r="N39" s="134">
        <f>'RPS Spend Model'!U37</f>
        <v>319884046.30965871</v>
      </c>
      <c r="O39" s="134">
        <f>'RPS Spend Model'!W37</f>
        <v>163325801.79857743</v>
      </c>
      <c r="P39" s="143"/>
      <c r="Q39" s="132" t="s">
        <v>50</v>
      </c>
      <c r="R39" s="135">
        <f t="shared" si="13"/>
        <v>25797903.816978589</v>
      </c>
      <c r="S39" s="135">
        <f t="shared" si="14"/>
        <v>12193198.201703399</v>
      </c>
      <c r="T39" s="135">
        <f t="shared" si="15"/>
        <v>39626452.278543636</v>
      </c>
      <c r="U39" s="135">
        <f t="shared" si="16"/>
        <v>60486464.500186019</v>
      </c>
      <c r="V39" s="135">
        <f t="shared" si="17"/>
        <v>18454225.713669628</v>
      </c>
      <c r="W39" s="135">
        <f t="shared" si="18"/>
        <v>319884046.30965871</v>
      </c>
    </row>
    <row r="40" spans="2:23" ht="15" thickBot="1" x14ac:dyDescent="0.35">
      <c r="B40" s="132" t="s">
        <v>51</v>
      </c>
      <c r="C40" s="134">
        <f>'RPS Spend Model'!E38</f>
        <v>202999.99999999997</v>
      </c>
      <c r="D40" s="133">
        <f>SUM('RPS Spend Model'!B38:D38)</f>
        <v>1519819.8771482699</v>
      </c>
      <c r="E40" s="134">
        <f>'RPS Spend Model'!I38</f>
        <v>6473353.6325620227</v>
      </c>
      <c r="F40" s="133">
        <f>SUM('Graph Pre-Plan In Progrss $'!J38:O38)</f>
        <v>9203267.7985603493</v>
      </c>
      <c r="G40" s="133">
        <f>SUM('Graph Pre-Plan In Progrss $'!P38:R38)</f>
        <v>2547991.8230392346</v>
      </c>
      <c r="H40" s="133">
        <f>SUM('Graph Proposed $'!J38:O38)</f>
        <v>36253501.70882009</v>
      </c>
      <c r="I40" s="133">
        <f>SUM('Graph Proposed $'!P38:R38)</f>
        <v>7874077.2042885162</v>
      </c>
      <c r="J40" s="133">
        <f>SUM('Graph Future $'!J38:O38)</f>
        <v>71556069.877963334</v>
      </c>
      <c r="K40" s="133">
        <f>SUM('Graph Future $'!P38:R38)</f>
        <v>0</v>
      </c>
      <c r="L40" s="133">
        <f>SUM('RPS Spend Model'!F38:H38)</f>
        <v>18459510.315554678</v>
      </c>
      <c r="M40" s="134">
        <f>'RPS Spend Model'!V38</f>
        <v>154090592.23793653</v>
      </c>
      <c r="N40" s="134">
        <f>'RPS Spend Model'!U38</f>
        <v>320401458.53607738</v>
      </c>
      <c r="O40" s="134">
        <f>'RPS Spend Model'!W38</f>
        <v>166310866.29814085</v>
      </c>
      <c r="P40" s="143"/>
      <c r="Q40" s="132" t="s">
        <v>51</v>
      </c>
      <c r="R40" s="135">
        <f t="shared" si="13"/>
        <v>8196173.5097102923</v>
      </c>
      <c r="S40" s="135">
        <f t="shared" si="14"/>
        <v>11751259.621599585</v>
      </c>
      <c r="T40" s="135">
        <f t="shared" si="15"/>
        <v>44127578.913108602</v>
      </c>
      <c r="U40" s="135">
        <f t="shared" si="16"/>
        <v>71556069.877963334</v>
      </c>
      <c r="V40" s="135">
        <f t="shared" si="17"/>
        <v>18459510.315554678</v>
      </c>
      <c r="W40" s="135">
        <f t="shared" si="18"/>
        <v>320401458.53607738</v>
      </c>
    </row>
    <row r="41" spans="2:23" ht="15" thickBot="1" x14ac:dyDescent="0.35">
      <c r="B41" s="132" t="s">
        <v>52</v>
      </c>
      <c r="C41" s="134">
        <f>'RPS Spend Model'!E39</f>
        <v>202999.99999999997</v>
      </c>
      <c r="D41" s="133">
        <f>SUM('RPS Spend Model'!B39:D39)</f>
        <v>0</v>
      </c>
      <c r="E41" s="134">
        <f>'RPS Spend Model'!I39</f>
        <v>6473353.6325620227</v>
      </c>
      <c r="F41" s="133">
        <f>SUM('Graph Pre-Plan In Progrss $'!J39:O39)</f>
        <v>9172763.4208717644</v>
      </c>
      <c r="G41" s="133">
        <f>SUM('Graph Pre-Plan In Progrss $'!P39:R39)</f>
        <v>2131545.484204968</v>
      </c>
      <c r="H41" s="133">
        <f>SUM('Graph Proposed $'!J39:O39)</f>
        <v>36182092.936963521</v>
      </c>
      <c r="I41" s="133">
        <f>SUM('Graph Proposed $'!P39:R39)</f>
        <v>6228367.2294639107</v>
      </c>
      <c r="J41" s="133">
        <f>SUM('Graph Future $'!J39:O39)</f>
        <v>82154054.198050052</v>
      </c>
      <c r="K41" s="133">
        <f>SUM('Graph Future $'!P39:R39)</f>
        <v>4182093.535948968</v>
      </c>
      <c r="L41" s="133">
        <f>SUM('RPS Spend Model'!F39:H39)</f>
        <v>18473913.101632562</v>
      </c>
      <c r="M41" s="134">
        <f>'RPS Spend Model'!V39</f>
        <v>165201183.5396978</v>
      </c>
      <c r="N41" s="134">
        <f>'RPS Spend Model'!U39</f>
        <v>323386523.03564084</v>
      </c>
      <c r="O41" s="134">
        <f>'RPS Spend Model'!W39</f>
        <v>158185339.49594304</v>
      </c>
      <c r="P41" s="143"/>
      <c r="Q41" s="132" t="s">
        <v>52</v>
      </c>
      <c r="R41" s="135">
        <f t="shared" si="13"/>
        <v>6676353.6325620227</v>
      </c>
      <c r="S41" s="135">
        <f t="shared" si="14"/>
        <v>11304308.905076733</v>
      </c>
      <c r="T41" s="135">
        <f t="shared" si="15"/>
        <v>42410460.166427433</v>
      </c>
      <c r="U41" s="135">
        <f t="shared" si="16"/>
        <v>86336147.733999014</v>
      </c>
      <c r="V41" s="135">
        <f t="shared" si="17"/>
        <v>18473913.101632562</v>
      </c>
      <c r="W41" s="135">
        <f t="shared" si="18"/>
        <v>323386523.03564084</v>
      </c>
    </row>
    <row r="42" spans="2:23" ht="15" thickBot="1" x14ac:dyDescent="0.35">
      <c r="B42" s="136" t="s">
        <v>53</v>
      </c>
      <c r="C42" s="134">
        <f>'RPS Spend Model'!E40</f>
        <v>202999.99999999997</v>
      </c>
      <c r="D42" s="133">
        <f>SUM('RPS Spend Model'!B40:D40)</f>
        <v>0</v>
      </c>
      <c r="E42" s="134">
        <f>'RPS Spend Model'!I40</f>
        <v>6473353.6325620227</v>
      </c>
      <c r="F42" s="133">
        <f>SUM('Graph Pre-Plan In Progrss $'!J40:O40)</f>
        <v>9142411.5650716219</v>
      </c>
      <c r="G42" s="133">
        <f>SUM('Graph Pre-Plan In Progrss $'!P40:R40)</f>
        <v>1709835.449886912</v>
      </c>
      <c r="H42" s="133">
        <f>SUM('Graph Proposed $'!J40:O40)</f>
        <v>36111041.20896624</v>
      </c>
      <c r="I42" s="133">
        <f>SUM('Graph Proposed $'!P40:R40)</f>
        <v>4556751.9359850204</v>
      </c>
      <c r="J42" s="133">
        <f>SUM('Graph Future $'!J40:O40)</f>
        <v>92299426.486966684</v>
      </c>
      <c r="K42" s="133">
        <f>SUM('Graph Future $'!P40:R40)</f>
        <v>11521082.541569281</v>
      </c>
      <c r="L42" s="133">
        <f>SUM('RPS Spend Model'!F40:H40)</f>
        <v>18497486.25877355</v>
      </c>
      <c r="M42" s="134">
        <f>'RPS Spend Model'!V40</f>
        <v>180514389.07978135</v>
      </c>
      <c r="N42" s="134">
        <f>'RPS Spend Model'!U40</f>
        <v>315260996.23344302</v>
      </c>
      <c r="O42" s="134">
        <f>'RPS Spend Model'!W40</f>
        <v>134746607.15366167</v>
      </c>
      <c r="P42" s="143"/>
      <c r="Q42" s="136" t="s">
        <v>53</v>
      </c>
      <c r="R42" s="135">
        <f t="shared" si="13"/>
        <v>6676353.6325620227</v>
      </c>
      <c r="S42" s="135">
        <f t="shared" si="14"/>
        <v>10852247.014958534</v>
      </c>
      <c r="T42" s="135">
        <f t="shared" si="15"/>
        <v>40667793.144951262</v>
      </c>
      <c r="U42" s="135">
        <f t="shared" si="16"/>
        <v>103820509.02853596</v>
      </c>
      <c r="V42" s="135">
        <f t="shared" si="17"/>
        <v>18497486.25877355</v>
      </c>
      <c r="W42" s="135">
        <f t="shared" si="18"/>
        <v>315260996.23344302</v>
      </c>
    </row>
    <row r="43" spans="2:23" ht="15" thickBot="1" x14ac:dyDescent="0.35">
      <c r="B43" s="132" t="s">
        <v>54</v>
      </c>
      <c r="C43" s="134">
        <f>'RPS Spend Model'!E41</f>
        <v>202999.99999999997</v>
      </c>
      <c r="D43" s="133">
        <f>SUM('RPS Spend Model'!B41:D41)</f>
        <v>0</v>
      </c>
      <c r="E43" s="134">
        <f>'RPS Spend Model'!I41</f>
        <v>6473353.6325620227</v>
      </c>
      <c r="F43" s="133">
        <f>SUM('Graph Pre-Plan In Progrss $'!J41:O41)</f>
        <v>6169164.5979472836</v>
      </c>
      <c r="G43" s="133">
        <f>SUM('Graph Pre-Plan In Progrss $'!P41:R41)</f>
        <v>1282761.7617939578</v>
      </c>
      <c r="H43" s="133">
        <f>SUM('Graph Proposed $'!J41:O41)</f>
        <v>24396387.600935437</v>
      </c>
      <c r="I43" s="133">
        <f>SUM('Graph Proposed $'!P41:R41)</f>
        <v>2858724.2588746613</v>
      </c>
      <c r="J43" s="133">
        <f>SUM('Graph Future $'!J41:O41)</f>
        <v>102010434.68925186</v>
      </c>
      <c r="K43" s="133">
        <f>SUM('Graph Future $'!P41:R41)</f>
        <v>17542899.341459353</v>
      </c>
      <c r="L43" s="133">
        <f>SUM('RPS Spend Model'!F41:H41)</f>
        <v>18503486.192479052</v>
      </c>
      <c r="M43" s="134">
        <f>'RPS Spend Model'!V41</f>
        <v>179440212.07530361</v>
      </c>
      <c r="N43" s="134">
        <f>'RPS Spend Model'!U41</f>
        <v>291822263.89116168</v>
      </c>
      <c r="O43" s="134">
        <f>'RPS Spend Model'!W41</f>
        <v>112382051.81585807</v>
      </c>
      <c r="P43" s="143"/>
      <c r="Q43" s="132" t="s">
        <v>54</v>
      </c>
      <c r="R43" s="135">
        <f t="shared" si="13"/>
        <v>6676353.6325620227</v>
      </c>
      <c r="S43" s="135">
        <f t="shared" si="14"/>
        <v>7451926.3597412417</v>
      </c>
      <c r="T43" s="135">
        <f t="shared" si="15"/>
        <v>27255111.859810099</v>
      </c>
      <c r="U43" s="135">
        <f t="shared" si="16"/>
        <v>119553334.0307112</v>
      </c>
      <c r="V43" s="135">
        <f t="shared" si="17"/>
        <v>18503486.192479052</v>
      </c>
      <c r="W43" s="135">
        <f t="shared" si="18"/>
        <v>291822263.89116168</v>
      </c>
    </row>
    <row r="44" spans="2:23" ht="15" thickBot="1" x14ac:dyDescent="0.35">
      <c r="B44" s="132" t="s">
        <v>55</v>
      </c>
      <c r="C44" s="134">
        <f>'RPS Spend Model'!E42</f>
        <v>202999.99999999997</v>
      </c>
      <c r="D44" s="133">
        <f>SUM('RPS Spend Model'!B42:D42)</f>
        <v>0</v>
      </c>
      <c r="E44" s="134">
        <f>'RPS Spend Model'!I42</f>
        <v>6473353.6325620227</v>
      </c>
      <c r="F44" s="133">
        <f>SUM('Graph Pre-Plan In Progrss $'!J42:O42)</f>
        <v>5979770.1116683567</v>
      </c>
      <c r="G44" s="133">
        <f>SUM('Graph Pre-Plan In Progrss $'!P42:R42)</f>
        <v>850222.74345353048</v>
      </c>
      <c r="H44" s="133">
        <f>SUM('Graph Proposed $'!J42:O42)</f>
        <v>15667756.841995632</v>
      </c>
      <c r="I44" s="133">
        <f>SUM('Graph Proposed $'!P42:R42)</f>
        <v>1133767.6233275526</v>
      </c>
      <c r="J44" s="133">
        <f>SUM('Graph Future $'!J42:O42)</f>
        <v>111304596.11434621</v>
      </c>
      <c r="K44" s="133">
        <f>SUM('Graph Future $'!P42:R42)</f>
        <v>22164474.829548206</v>
      </c>
      <c r="L44" s="133">
        <f>SUM('RPS Spend Model'!F42:H42)</f>
        <v>18518721.375553153</v>
      </c>
      <c r="M44" s="134">
        <f>'RPS Spend Model'!V42</f>
        <v>182295663.27245468</v>
      </c>
      <c r="N44" s="134">
        <f>'RPS Spend Model'!U42</f>
        <v>269457708.55335808</v>
      </c>
      <c r="O44" s="134">
        <f>'RPS Spend Model'!W42</f>
        <v>87162045.280903399</v>
      </c>
      <c r="P44" s="143"/>
      <c r="Q44" s="132" t="s">
        <v>55</v>
      </c>
      <c r="R44" s="135">
        <f t="shared" si="13"/>
        <v>6676353.6325620227</v>
      </c>
      <c r="S44" s="135">
        <f t="shared" si="14"/>
        <v>6829992.8551218873</v>
      </c>
      <c r="T44" s="135">
        <f t="shared" si="15"/>
        <v>16801524.465323184</v>
      </c>
      <c r="U44" s="135">
        <f t="shared" si="16"/>
        <v>133469070.94389442</v>
      </c>
      <c r="V44" s="135">
        <f t="shared" si="17"/>
        <v>18518721.375553153</v>
      </c>
      <c r="W44" s="135">
        <f t="shared" si="18"/>
        <v>269457708.55335808</v>
      </c>
    </row>
    <row r="45" spans="2:23" ht="15" thickBot="1" x14ac:dyDescent="0.35">
      <c r="B45" s="132" t="s">
        <v>56</v>
      </c>
      <c r="C45" s="134">
        <f>'RPS Spend Model'!E43</f>
        <v>202999.99999999997</v>
      </c>
      <c r="D45" s="133">
        <f>SUM('RPS Spend Model'!B43:D43)</f>
        <v>0</v>
      </c>
      <c r="E45" s="134">
        <f>'RPS Spend Model'!I43</f>
        <v>6473353.6325620227</v>
      </c>
      <c r="F45" s="133">
        <f>SUM('Graph Pre-Plan In Progrss $'!J43:O43)</f>
        <v>5949871.2611100134</v>
      </c>
      <c r="G45" s="133">
        <f>SUM('Graph Pre-Plan In Progrss $'!P43:R43)</f>
        <v>412114.96902571665</v>
      </c>
      <c r="H45" s="133">
        <f>SUM('Graph Proposed $'!J43:O43)</f>
        <v>13928263.143015668</v>
      </c>
      <c r="I45" s="133">
        <f>SUM('Graph Proposed $'!P43:R43)</f>
        <v>-618644.23841209919</v>
      </c>
      <c r="J45" s="133">
        <f>SUM('Graph Future $'!J43:O43)</f>
        <v>77388654.545024037</v>
      </c>
      <c r="K45" s="133">
        <f>SUM('Graph Future $'!P43:R43)</f>
        <v>25300526.771929186</v>
      </c>
      <c r="L45" s="133">
        <f>SUM('RPS Spend Model'!F43:H43)</f>
        <v>18536774.953119703</v>
      </c>
      <c r="M45" s="134">
        <f>'RPS Spend Model'!V43</f>
        <v>184265014.04587898</v>
      </c>
      <c r="N45" s="134">
        <f>'RPS Spend Model'!U43</f>
        <v>244237702.01840338</v>
      </c>
      <c r="O45" s="134">
        <f>'RPS Spend Model'!W43</f>
        <v>59972687.972524405</v>
      </c>
      <c r="Q45" s="132" t="s">
        <v>56</v>
      </c>
      <c r="R45" s="135">
        <f t="shared" ref="R45:R56" si="19">SUM(C45:E45)</f>
        <v>6676353.6325620227</v>
      </c>
      <c r="S45" s="135">
        <f t="shared" ref="S45:S56" si="20">SUM(F45:G45)</f>
        <v>6361986.2301357295</v>
      </c>
      <c r="T45" s="135">
        <f t="shared" ref="T45:T56" si="21">SUM(H45:I45)</f>
        <v>13309618.904603569</v>
      </c>
      <c r="U45" s="135">
        <f t="shared" ref="U45:U56" si="22">SUM(J45:K45)</f>
        <v>102689181.31695323</v>
      </c>
      <c r="V45" s="135">
        <f t="shared" ref="V45:V56" si="23">L45</f>
        <v>18536774.953119703</v>
      </c>
      <c r="W45" s="135">
        <f t="shared" ref="W45:W56" si="24">N45</f>
        <v>244237702.01840338</v>
      </c>
    </row>
    <row r="46" spans="2:23" ht="15" thickBot="1" x14ac:dyDescent="0.35">
      <c r="B46" s="132" t="s">
        <v>57</v>
      </c>
      <c r="C46" s="134">
        <f>'RPS Spend Model'!E44</f>
        <v>202999.99999999997</v>
      </c>
      <c r="D46" s="133">
        <f>SUM('RPS Spend Model'!B44:D44)</f>
        <v>0</v>
      </c>
      <c r="E46" s="134">
        <f>'RPS Spend Model'!I44</f>
        <v>6473353.6325620227</v>
      </c>
      <c r="F46" s="133">
        <f>SUM('Graph Pre-Plan In Progrss $'!J44:O44)</f>
        <v>5920121.9048044644</v>
      </c>
      <c r="G46" s="133">
        <f>SUM('Graph Pre-Plan In Progrss $'!P44:R44)</f>
        <v>-31666.76845392723</v>
      </c>
      <c r="H46" s="133">
        <f>SUM('Graph Proposed $'!J44:O44)</f>
        <v>13858621.82730059</v>
      </c>
      <c r="I46" s="133">
        <f>SUM('Graph Proposed $'!P44:R44)</f>
        <v>-2399047.4737183722</v>
      </c>
      <c r="J46" s="133">
        <f>SUM('Graph Future $'!J44:O44)</f>
        <v>69660658.062202424</v>
      </c>
      <c r="K46" s="133">
        <f>SUM('Graph Future $'!P44:R44)</f>
        <v>26863504.506536007</v>
      </c>
      <c r="L46" s="133">
        <f>SUM('RPS Spend Model'!F44:H44)</f>
        <v>18570229.342176568</v>
      </c>
      <c r="M46" s="134">
        <f>'RPS Spend Model'!V44</f>
        <v>184571176.24175328</v>
      </c>
      <c r="N46" s="134">
        <f>'RPS Spend Model'!U44</f>
        <v>217048344.71002439</v>
      </c>
      <c r="O46" s="134">
        <f>'RPS Spend Model'!W44</f>
        <v>32477168.468271106</v>
      </c>
      <c r="Q46" s="132" t="s">
        <v>57</v>
      </c>
      <c r="R46" s="135">
        <f t="shared" si="19"/>
        <v>6676353.6325620227</v>
      </c>
      <c r="S46" s="135">
        <f t="shared" si="20"/>
        <v>5888455.1363505377</v>
      </c>
      <c r="T46" s="135">
        <f t="shared" si="21"/>
        <v>11459574.353582218</v>
      </c>
      <c r="U46" s="135">
        <f t="shared" si="22"/>
        <v>96524162.568738431</v>
      </c>
      <c r="V46" s="135">
        <f t="shared" si="23"/>
        <v>18570229.342176568</v>
      </c>
      <c r="W46" s="135">
        <f t="shared" si="24"/>
        <v>217048344.71002439</v>
      </c>
    </row>
    <row r="47" spans="2:23" ht="15" thickBot="1" x14ac:dyDescent="0.35">
      <c r="B47" s="132" t="s">
        <v>58</v>
      </c>
      <c r="C47" s="134">
        <f>'RPS Spend Model'!E45</f>
        <v>202999.99999999997</v>
      </c>
      <c r="D47" s="133">
        <f>SUM('RPS Spend Model'!B45:D45)</f>
        <v>0</v>
      </c>
      <c r="E47" s="134">
        <f>'RPS Spend Model'!I45</f>
        <v>5988288.2606967036</v>
      </c>
      <c r="F47" s="133">
        <f>SUM('Graph Pre-Plan In Progrss $'!J45:O45)</f>
        <v>5890521.2952804426</v>
      </c>
      <c r="G47" s="133">
        <f>SUM('Graph Pre-Plan In Progrss $'!P45:R45)</f>
        <v>-481229.48941356869</v>
      </c>
      <c r="H47" s="133">
        <f>SUM('Graph Proposed $'!J45:O45)</f>
        <v>13789328.718164086</v>
      </c>
      <c r="I47" s="133">
        <f>SUM('Graph Proposed $'!P45:R45)</f>
        <v>-4207988.2998660132</v>
      </c>
      <c r="J47" s="133">
        <f>SUM('Graph Future $'!J45:O45)</f>
        <v>62306422.026459895</v>
      </c>
      <c r="K47" s="133">
        <f>SUM('Graph Future $'!P45:R45)</f>
        <v>26763532.316044629</v>
      </c>
      <c r="L47" s="133">
        <f>SUM('RPS Spend Model'!F45:H45)</f>
        <v>18578197.267364249</v>
      </c>
      <c r="M47" s="134">
        <f>'RPS Spend Model'!V45</f>
        <v>165693441.92473826</v>
      </c>
      <c r="N47" s="134">
        <f>'RPS Spend Model'!U45</f>
        <v>189552825.20577109</v>
      </c>
      <c r="O47" s="134">
        <f>'RPS Spend Model'!W45</f>
        <v>23859383.28103283</v>
      </c>
      <c r="Q47" s="132" t="s">
        <v>58</v>
      </c>
      <c r="R47" s="135">
        <f t="shared" si="19"/>
        <v>6191288.2606967036</v>
      </c>
      <c r="S47" s="135">
        <f t="shared" si="20"/>
        <v>5409291.8058668738</v>
      </c>
      <c r="T47" s="135">
        <f t="shared" si="21"/>
        <v>9581340.4182980731</v>
      </c>
      <c r="U47" s="135">
        <f t="shared" si="22"/>
        <v>89069954.342504531</v>
      </c>
      <c r="V47" s="135">
        <f t="shared" si="23"/>
        <v>18578197.267364249</v>
      </c>
      <c r="W47" s="135">
        <f t="shared" si="24"/>
        <v>189552825.20577109</v>
      </c>
    </row>
    <row r="48" spans="2:23" ht="15" thickBot="1" x14ac:dyDescent="0.35">
      <c r="B48" s="132" t="s">
        <v>59</v>
      </c>
      <c r="C48" s="134">
        <f>'RPS Spend Model'!E46</f>
        <v>202999.99999999997</v>
      </c>
      <c r="D48" s="133">
        <f>SUM('RPS Spend Model'!B46:D46)</f>
        <v>0</v>
      </c>
      <c r="E48" s="134">
        <f>'RPS Spend Model'!I46</f>
        <v>5988288.2606967036</v>
      </c>
      <c r="F48" s="133">
        <f>SUM('Graph Pre-Plan In Progrss $'!J46:O46)</f>
        <v>5861068.6888040397</v>
      </c>
      <c r="G48" s="133">
        <f>SUM('Graph Pre-Plan In Progrss $'!P46:R46)</f>
        <v>-936682.06067715818</v>
      </c>
      <c r="H48" s="133">
        <f>SUM('Graph Proposed $'!J46:O46)</f>
        <v>13720382.074573267</v>
      </c>
      <c r="I48" s="133">
        <f>SUM('Graph Proposed $'!P46:R46)</f>
        <v>-6046023.1979979826</v>
      </c>
      <c r="J48" s="133">
        <f>SUM('Graph Future $'!J46:O46)</f>
        <v>55240182.237880714</v>
      </c>
      <c r="K48" s="133">
        <f>SUM('Graph Future $'!P46:R46)</f>
        <v>16696417.235244758</v>
      </c>
      <c r="L48" s="133">
        <f>SUM('RPS Spend Model'!F46:H46)</f>
        <v>18592003.400033496</v>
      </c>
      <c r="M48" s="134">
        <f>'RPS Spend Model'!V46</f>
        <v>158320561.21304381</v>
      </c>
      <c r="N48" s="134">
        <f>'RPS Spend Model'!U46</f>
        <v>180935040.01853281</v>
      </c>
      <c r="O48" s="134">
        <f>'RPS Spend Model'!W46</f>
        <v>22614478.805489004</v>
      </c>
      <c r="Q48" s="132" t="s">
        <v>59</v>
      </c>
      <c r="R48" s="135">
        <f t="shared" si="19"/>
        <v>6191288.2606967036</v>
      </c>
      <c r="S48" s="135">
        <f t="shared" si="20"/>
        <v>4924386.628126882</v>
      </c>
      <c r="T48" s="135">
        <f t="shared" si="21"/>
        <v>7674358.8765752846</v>
      </c>
      <c r="U48" s="135">
        <f t="shared" si="22"/>
        <v>71936599.473125473</v>
      </c>
      <c r="V48" s="135">
        <f t="shared" si="23"/>
        <v>18592003.400033496</v>
      </c>
      <c r="W48" s="135">
        <f t="shared" si="24"/>
        <v>180935040.01853281</v>
      </c>
    </row>
    <row r="49" spans="2:23" ht="15" thickBot="1" x14ac:dyDescent="0.35">
      <c r="B49" s="132" t="s">
        <v>60</v>
      </c>
      <c r="C49" s="134">
        <f>'RPS Spend Model'!E47</f>
        <v>202999.99999999997</v>
      </c>
      <c r="D49" s="133">
        <f>SUM('RPS Spend Model'!B47:D47)</f>
        <v>0</v>
      </c>
      <c r="E49" s="134">
        <f>'RPS Spend Model'!I47</f>
        <v>4977123.6319920402</v>
      </c>
      <c r="F49" s="133">
        <f>SUM('Graph Pre-Plan In Progrss $'!J47:O47)</f>
        <v>5831763.3453600192</v>
      </c>
      <c r="G49" s="133">
        <f>SUM('Graph Pre-Plan In Progrss $'!P47:R47)</f>
        <v>-1398135.2290004331</v>
      </c>
      <c r="H49" s="133">
        <f>SUM('Graph Proposed $'!J47:O47)</f>
        <v>13651780.164200401</v>
      </c>
      <c r="I49" s="133">
        <f>SUM('Graph Proposed $'!P47:R47)</f>
        <v>-7913719.1108501162</v>
      </c>
      <c r="J49" s="133">
        <f>SUM('Graph Future $'!J47:O47)</f>
        <v>48450449.712549694</v>
      </c>
      <c r="K49" s="133">
        <f>SUM('Graph Future $'!P47:R47)</f>
        <v>6431601.8778748494</v>
      </c>
      <c r="L49" s="133">
        <f>SUM('RPS Spend Model'!F47:H47)</f>
        <v>18608626.518380858</v>
      </c>
      <c r="M49" s="134">
        <f>'RPS Spend Model'!V47</f>
        <v>148194815.51390907</v>
      </c>
      <c r="N49" s="134">
        <f>'RPS Spend Model'!U47</f>
        <v>179690135.54298899</v>
      </c>
      <c r="O49" s="134">
        <f>'RPS Spend Model'!W47</f>
        <v>31495320.029079914</v>
      </c>
      <c r="Q49" s="132" t="s">
        <v>60</v>
      </c>
      <c r="R49" s="135">
        <f t="shared" si="19"/>
        <v>5180123.6319920402</v>
      </c>
      <c r="S49" s="135">
        <f t="shared" si="20"/>
        <v>4433628.1163595859</v>
      </c>
      <c r="T49" s="135">
        <f t="shared" si="21"/>
        <v>5738061.0533502847</v>
      </c>
      <c r="U49" s="135">
        <f t="shared" si="22"/>
        <v>54882051.590424545</v>
      </c>
      <c r="V49" s="135">
        <f t="shared" si="23"/>
        <v>18608626.518380858</v>
      </c>
      <c r="W49" s="135">
        <f t="shared" si="24"/>
        <v>179690135.54298899</v>
      </c>
    </row>
    <row r="50" spans="2:23" ht="15" thickBot="1" x14ac:dyDescent="0.35">
      <c r="B50" s="132" t="s">
        <v>61</v>
      </c>
      <c r="C50" s="134">
        <f>'RPS Spend Model'!E48</f>
        <v>202999.99999999997</v>
      </c>
      <c r="D50" s="133">
        <f>SUM('RPS Spend Model'!B48:D48)</f>
        <v>0</v>
      </c>
      <c r="E50" s="134">
        <f>'RPS Spend Model'!I48</f>
        <v>0</v>
      </c>
      <c r="F50" s="133">
        <f>SUM('Graph Pre-Plan In Progrss $'!J48:O48)</f>
        <v>5802604.5286332183</v>
      </c>
      <c r="G50" s="133">
        <f>SUM('Graph Pre-Plan In Progrss $'!P48:R48)</f>
        <v>-1865701.6552221586</v>
      </c>
      <c r="H50" s="133">
        <f>SUM('Graph Proposed $'!J48:O48)</f>
        <v>13583521.263379399</v>
      </c>
      <c r="I50" s="133">
        <f>SUM('Graph Proposed $'!P48:R48)</f>
        <v>-9811653.6443063281</v>
      </c>
      <c r="J50" s="133">
        <f>SUM('Graph Future $'!J48:O48)</f>
        <v>41926194.871578395</v>
      </c>
      <c r="K50" s="133">
        <f>SUM('Graph Future $'!P48:R48)</f>
        <v>-4034860.2268849686</v>
      </c>
      <c r="L50" s="133">
        <f>SUM('RPS Spend Model'!F48:H48)</f>
        <v>18630366.291428477</v>
      </c>
      <c r="M50" s="134">
        <f>'RPS Spend Model'!V48</f>
        <v>128235120.52245399</v>
      </c>
      <c r="N50" s="134">
        <f>'RPS Spend Model'!U48</f>
        <v>188570976.7665799</v>
      </c>
      <c r="O50" s="134">
        <f>'RPS Spend Model'!W48</f>
        <v>60335856.244125903</v>
      </c>
      <c r="Q50" s="132" t="s">
        <v>61</v>
      </c>
      <c r="R50" s="135">
        <f t="shared" si="19"/>
        <v>202999.99999999997</v>
      </c>
      <c r="S50" s="135">
        <f t="shared" si="20"/>
        <v>3936902.8734110594</v>
      </c>
      <c r="T50" s="135">
        <f t="shared" si="21"/>
        <v>3771867.6190730706</v>
      </c>
      <c r="U50" s="135">
        <f t="shared" si="22"/>
        <v>37891334.644693427</v>
      </c>
      <c r="V50" s="135">
        <f t="shared" si="23"/>
        <v>18630366.291428477</v>
      </c>
      <c r="W50" s="135">
        <f t="shared" si="24"/>
        <v>188570976.7665799</v>
      </c>
    </row>
    <row r="51" spans="2:23" ht="15" thickBot="1" x14ac:dyDescent="0.35">
      <c r="B51" s="132" t="s">
        <v>62</v>
      </c>
      <c r="C51" s="134">
        <f>'RPS Spend Model'!E49</f>
        <v>202999.99999999997</v>
      </c>
      <c r="D51" s="133">
        <f>SUM('RPS Spend Model'!B49:D49)</f>
        <v>0</v>
      </c>
      <c r="E51" s="134">
        <f>'RPS Spend Model'!I49</f>
        <v>0</v>
      </c>
      <c r="F51" s="133">
        <f>SUM('Graph Pre-Plan In Progrss $'!J49:O49)</f>
        <v>5773591.5059900535</v>
      </c>
      <c r="G51" s="133">
        <f>SUM('Graph Pre-Plan In Progrss $'!P49:R49)</f>
        <v>-2339495.9490421144</v>
      </c>
      <c r="H51" s="133">
        <f>SUM('Graph Proposed $'!J49:O49)</f>
        <v>13515603.657062504</v>
      </c>
      <c r="I51" s="133">
        <f>SUM('Graph Proposed $'!P49:R49)</f>
        <v>-11740415.27285916</v>
      </c>
      <c r="J51" s="133">
        <f>SUM('Graph Future $'!J49:O49)</f>
        <v>35656829.165675677</v>
      </c>
      <c r="K51" s="133">
        <f>SUM('Graph Future $'!P49:R49)</f>
        <v>-14706994.133346556</v>
      </c>
      <c r="L51" s="133">
        <f>SUM('RPS Spend Model'!F49:H49)</f>
        <v>18633475.219292451</v>
      </c>
      <c r="M51" s="134">
        <f>'RPS Spend Model'!V49</f>
        <v>112137740.09828998</v>
      </c>
      <c r="N51" s="134">
        <f>'RPS Spend Model'!U49</f>
        <v>217411512.98162588</v>
      </c>
      <c r="O51" s="134">
        <f>'RPS Spend Model'!W49</f>
        <v>105273772.8833359</v>
      </c>
      <c r="Q51" s="132" t="s">
        <v>62</v>
      </c>
      <c r="R51" s="135">
        <f t="shared" si="19"/>
        <v>202999.99999999997</v>
      </c>
      <c r="S51" s="135">
        <f t="shared" si="20"/>
        <v>3434095.5569479391</v>
      </c>
      <c r="T51" s="135">
        <f t="shared" si="21"/>
        <v>1775188.3842033446</v>
      </c>
      <c r="U51" s="135">
        <f t="shared" si="22"/>
        <v>20949835.03232912</v>
      </c>
      <c r="V51" s="135">
        <f t="shared" si="23"/>
        <v>18633475.219292451</v>
      </c>
      <c r="W51" s="135">
        <f t="shared" si="24"/>
        <v>217411512.98162588</v>
      </c>
    </row>
    <row r="52" spans="2:23" ht="15" thickBot="1" x14ac:dyDescent="0.35">
      <c r="B52" s="132" t="s">
        <v>63</v>
      </c>
      <c r="C52" s="134">
        <f>'RPS Spend Model'!E50</f>
        <v>202999.99999999997</v>
      </c>
      <c r="D52" s="133">
        <f>SUM('RPS Spend Model'!B50:D50)</f>
        <v>0</v>
      </c>
      <c r="E52" s="134">
        <f>'RPS Spend Model'!I50</f>
        <v>0</v>
      </c>
      <c r="F52" s="133">
        <f>SUM('Graph Pre-Plan In Progrss $'!J50:O50)</f>
        <v>5744723.5484601026</v>
      </c>
      <c r="G52" s="133">
        <f>SUM('Graph Pre-Plan In Progrss $'!P50:R50)</f>
        <v>-2819634.7044375283</v>
      </c>
      <c r="H52" s="133">
        <f>SUM('Graph Proposed $'!J50:O50)</f>
        <v>13448025.638777191</v>
      </c>
      <c r="I52" s="133">
        <f>SUM('Graph Proposed $'!P50:R50)</f>
        <v>-13700603.549051905</v>
      </c>
      <c r="J52" s="133">
        <f>SUM('Graph Future $'!J50:O50)</f>
        <v>34230274.34839642</v>
      </c>
      <c r="K52" s="133">
        <f>SUM('Graph Future $'!P50:R50)</f>
        <v>-25588905.046997368</v>
      </c>
      <c r="L52" s="133">
        <f>SUM('RPS Spend Model'!F50:H50)</f>
        <v>4989388.6473881453</v>
      </c>
      <c r="M52" s="134">
        <f>'RPS Spend Model'!V50</f>
        <v>80583034.71674329</v>
      </c>
      <c r="N52" s="134">
        <f>'RPS Spend Model'!U50</f>
        <v>262349429.6208359</v>
      </c>
      <c r="O52" s="134">
        <f>'RPS Spend Model'!W50</f>
        <v>181766394.90409261</v>
      </c>
      <c r="Q52" s="132" t="s">
        <v>63</v>
      </c>
      <c r="R52" s="135">
        <f t="shared" si="19"/>
        <v>202999.99999999997</v>
      </c>
      <c r="S52" s="135">
        <f t="shared" si="20"/>
        <v>2925088.8440225744</v>
      </c>
      <c r="T52" s="135">
        <f t="shared" si="21"/>
        <v>-252577.91027471423</v>
      </c>
      <c r="U52" s="135">
        <f t="shared" si="22"/>
        <v>8641369.3013990521</v>
      </c>
      <c r="V52" s="135">
        <f t="shared" si="23"/>
        <v>4989388.6473881453</v>
      </c>
      <c r="W52" s="135">
        <f t="shared" si="24"/>
        <v>262349429.6208359</v>
      </c>
    </row>
    <row r="53" spans="2:23" ht="15" thickBot="1" x14ac:dyDescent="0.35">
      <c r="B53" s="132" t="s">
        <v>64</v>
      </c>
      <c r="C53" s="134">
        <f>'RPS Spend Model'!E51</f>
        <v>202999.99999999997</v>
      </c>
      <c r="D53" s="133">
        <f>SUM('RPS Spend Model'!B51:D51)</f>
        <v>0</v>
      </c>
      <c r="E53" s="134">
        <f>'RPS Spend Model'!I51</f>
        <v>0</v>
      </c>
      <c r="F53" s="133">
        <f>SUM('Graph Pre-Plan In Progrss $'!J51:O51)</f>
        <v>5715999.9307178026</v>
      </c>
      <c r="G53" s="133">
        <f>SUM('Graph Pre-Plan In Progrss $'!P51:R51)</f>
        <v>-3306236.5357299251</v>
      </c>
      <c r="H53" s="133">
        <f>SUM('Graph Proposed $'!J51:O51)</f>
        <v>13380785.510583304</v>
      </c>
      <c r="I53" s="133">
        <f>SUM('Graph Proposed $'!P51:R51)</f>
        <v>-15692829.316980213</v>
      </c>
      <c r="J53" s="133">
        <f>SUM('Graph Future $'!J51:O51)</f>
        <v>34059122.97665444</v>
      </c>
      <c r="K53" s="133">
        <f>SUM('Graph Future $'!P51:R51)</f>
        <v>-36684779.923472993</v>
      </c>
      <c r="L53" s="133">
        <f>SUM('RPS Spend Model'!F51:H51)</f>
        <v>4989388.6473881453</v>
      </c>
      <c r="M53" s="134">
        <f>'RPS Spend Model'!V51</f>
        <v>62113571.060701698</v>
      </c>
      <c r="N53" s="134">
        <f>'RPS Spend Model'!U51</f>
        <v>338842051.64159262</v>
      </c>
      <c r="O53" s="134">
        <f>'RPS Spend Model'!W51</f>
        <v>276728480.58089089</v>
      </c>
      <c r="Q53" s="132" t="s">
        <v>64</v>
      </c>
      <c r="R53" s="135">
        <f t="shared" si="19"/>
        <v>202999.99999999997</v>
      </c>
      <c r="S53" s="135">
        <f t="shared" si="20"/>
        <v>2409763.3949878775</v>
      </c>
      <c r="T53" s="135">
        <f t="shared" si="21"/>
        <v>-2312043.8063969091</v>
      </c>
      <c r="U53" s="135">
        <f t="shared" si="22"/>
        <v>-2625656.9468185529</v>
      </c>
      <c r="V53" s="135">
        <f t="shared" si="23"/>
        <v>4989388.6473881453</v>
      </c>
      <c r="W53" s="135">
        <f t="shared" si="24"/>
        <v>338842051.64159262</v>
      </c>
    </row>
    <row r="54" spans="2:23" ht="15" thickBot="1" x14ac:dyDescent="0.35">
      <c r="B54" s="132" t="s">
        <v>65</v>
      </c>
      <c r="C54" s="134">
        <f>'RPS Spend Model'!E52</f>
        <v>202999.99999999997</v>
      </c>
      <c r="D54" s="133">
        <f>SUM('RPS Spend Model'!B52:D52)</f>
        <v>0</v>
      </c>
      <c r="E54" s="134">
        <f>'RPS Spend Model'!I52</f>
        <v>0</v>
      </c>
      <c r="F54" s="133">
        <f>SUM('Graph Pre-Plan In Progrss $'!J52:O52)</f>
        <v>5687419.9310642136</v>
      </c>
      <c r="G54" s="133">
        <f>SUM('Graph Pre-Plan In Progrss $'!P52:R52)</f>
        <v>-3799422.1143145422</v>
      </c>
      <c r="H54" s="133">
        <f>SUM('Graph Proposed $'!J52:O52)</f>
        <v>13313881.583030388</v>
      </c>
      <c r="I54" s="133">
        <f>SUM('Graph Proposed $'!P52:R52)</f>
        <v>-17717714.929932382</v>
      </c>
      <c r="J54" s="133">
        <f>SUM('Graph Future $'!J52:O52)</f>
        <v>33888827.361771166</v>
      </c>
      <c r="K54" s="133">
        <f>SUM('Graph Future $'!P52:R52)</f>
        <v>-47998889.099442571</v>
      </c>
      <c r="L54" s="133">
        <f>SUM('RPS Spend Model'!F52:H52)</f>
        <v>4989388.6473881453</v>
      </c>
      <c r="M54" s="134">
        <f>'RPS Spend Model'!V52</f>
        <v>44487547.649215937</v>
      </c>
      <c r="N54" s="134">
        <f>'RPS Spend Model'!U52</f>
        <v>433804137.31839085</v>
      </c>
      <c r="O54" s="134">
        <f>'RPS Spend Model'!W52</f>
        <v>389316589.66917491</v>
      </c>
      <c r="Q54" s="132" t="s">
        <v>65</v>
      </c>
      <c r="R54" s="135">
        <f t="shared" si="19"/>
        <v>202999.99999999997</v>
      </c>
      <c r="S54" s="135">
        <f t="shared" si="20"/>
        <v>1887997.8167496715</v>
      </c>
      <c r="T54" s="135">
        <f t="shared" si="21"/>
        <v>-4403833.3469019942</v>
      </c>
      <c r="U54" s="135">
        <f t="shared" si="22"/>
        <v>-14110061.737671405</v>
      </c>
      <c r="V54" s="135">
        <f t="shared" si="23"/>
        <v>4989388.6473881453</v>
      </c>
      <c r="W54" s="135">
        <f t="shared" si="24"/>
        <v>433804137.31839085</v>
      </c>
    </row>
    <row r="55" spans="2:23" ht="15" thickBot="1" x14ac:dyDescent="0.35">
      <c r="B55" s="132" t="s">
        <v>66</v>
      </c>
      <c r="C55" s="134">
        <f>'RPS Spend Model'!E53</f>
        <v>202999.99999999997</v>
      </c>
      <c r="D55" s="133">
        <f>SUM('RPS Spend Model'!B53:D53)</f>
        <v>0</v>
      </c>
      <c r="E55" s="134">
        <f>'RPS Spend Model'!I53</f>
        <v>0</v>
      </c>
      <c r="F55" s="133">
        <f>SUM('Graph Pre-Plan In Progrss $'!J53:O53)</f>
        <v>5658982.8314088918</v>
      </c>
      <c r="G55" s="133">
        <f>SUM('Graph Pre-Plan In Progrss $'!P53:R53)</f>
        <v>-4299314.206064716</v>
      </c>
      <c r="H55" s="133">
        <f>SUM('Graph Proposed $'!J53:O53)</f>
        <v>13247312.175115237</v>
      </c>
      <c r="I55" s="133">
        <f>SUM('Graph Proposed $'!P53:R53)</f>
        <v>-19775894.472249273</v>
      </c>
      <c r="J55" s="133">
        <f>SUM('Graph Future $'!J53:O53)</f>
        <v>33719383.224962309</v>
      </c>
      <c r="K55" s="133">
        <f>SUM('Graph Future $'!P53:R53)</f>
        <v>-59535587.956045017</v>
      </c>
      <c r="L55" s="133">
        <f>SUM('RPS Spend Model'!F53:H53)</f>
        <v>4989388.6473881453</v>
      </c>
      <c r="M55" s="134">
        <f>'RPS Spend Model'!V53</f>
        <v>13797306.429310312</v>
      </c>
      <c r="N55" s="134">
        <f>'RPS Spend Model'!U53</f>
        <v>546392246.40667486</v>
      </c>
      <c r="O55" s="134">
        <f>'RPS Spend Model'!W53</f>
        <v>532594939.97736454</v>
      </c>
      <c r="Q55" s="132" t="s">
        <v>66</v>
      </c>
      <c r="R55" s="135">
        <f t="shared" si="19"/>
        <v>202999.99999999997</v>
      </c>
      <c r="S55" s="135">
        <f t="shared" si="20"/>
        <v>1359668.6253441758</v>
      </c>
      <c r="T55" s="135">
        <f t="shared" si="21"/>
        <v>-6528582.2971340362</v>
      </c>
      <c r="U55" s="135">
        <f t="shared" si="22"/>
        <v>-25816204.731082708</v>
      </c>
      <c r="V55" s="135">
        <f t="shared" si="23"/>
        <v>4989388.6473881453</v>
      </c>
      <c r="W55" s="135">
        <f t="shared" si="24"/>
        <v>546392246.40667486</v>
      </c>
    </row>
    <row r="56" spans="2:23" ht="15" thickBot="1" x14ac:dyDescent="0.35">
      <c r="B56" s="132" t="s">
        <v>67</v>
      </c>
      <c r="C56" s="134">
        <f>'RPS Spend Model'!E54</f>
        <v>202999.99999999997</v>
      </c>
      <c r="D56" s="133">
        <f>SUM('RPS Spend Model'!B54:D54)</f>
        <v>0</v>
      </c>
      <c r="E56" s="134">
        <f>'RPS Spend Model'!I54</f>
        <v>0</v>
      </c>
      <c r="F56" s="133">
        <f>SUM('Graph Pre-Plan In Progrss $'!J54:O54)</f>
        <v>5620032.3079839284</v>
      </c>
      <c r="G56" s="133">
        <f>SUM('Graph Pre-Plan In Progrss $'!P54:R54)</f>
        <v>-4806037.7094238736</v>
      </c>
      <c r="H56" s="133">
        <f>SUM('Graph Proposed $'!J54:O54)</f>
        <v>8709556.8410833441</v>
      </c>
      <c r="I56" s="133">
        <f>SUM('Graph Proposed $'!P54:R54)</f>
        <v>-21868013.98548628</v>
      </c>
      <c r="J56" s="133">
        <f>SUM('Graph Future $'!J54:O54)</f>
        <v>33550786.308837496</v>
      </c>
      <c r="K56" s="133">
        <f>SUM('Graph Future $'!P54:R54)</f>
        <v>-71299318.615525752</v>
      </c>
      <c r="L56" s="133">
        <f>SUM('RPS Spend Model'!F54:H54)</f>
        <v>4989388.6473881453</v>
      </c>
      <c r="M56" s="134">
        <f>'RPS Spend Model'!V54</f>
        <v>-13595807.775122639</v>
      </c>
      <c r="N56" s="134">
        <f>'RPS Spend Model'!U54</f>
        <v>689670596.71486449</v>
      </c>
      <c r="O56" s="134">
        <f>'RPS Spend Model'!W54</f>
        <v>703266404.48998713</v>
      </c>
      <c r="Q56" s="132" t="s">
        <v>67</v>
      </c>
      <c r="R56" s="135">
        <f t="shared" si="19"/>
        <v>202999.99999999997</v>
      </c>
      <c r="S56" s="135">
        <f t="shared" si="20"/>
        <v>813994.59856005479</v>
      </c>
      <c r="T56" s="135">
        <f t="shared" si="21"/>
        <v>-13158457.144402936</v>
      </c>
      <c r="U56" s="135">
        <f t="shared" si="22"/>
        <v>-37748532.306688257</v>
      </c>
      <c r="V56" s="135">
        <f t="shared" si="23"/>
        <v>4989388.6473881453</v>
      </c>
      <c r="W56" s="135">
        <f t="shared" si="24"/>
        <v>689670596.71486449</v>
      </c>
    </row>
    <row r="59" spans="2:23" ht="15" thickBot="1" x14ac:dyDescent="0.35">
      <c r="B59" s="125" t="s">
        <v>106</v>
      </c>
    </row>
    <row r="60" spans="2:23" ht="15" thickBot="1" x14ac:dyDescent="0.35">
      <c r="B60" s="300" t="s">
        <v>161</v>
      </c>
      <c r="C60" s="298"/>
      <c r="D60" s="298"/>
      <c r="E60" s="299"/>
      <c r="F60" s="301" t="s">
        <v>162</v>
      </c>
      <c r="G60" s="298"/>
      <c r="H60" s="303" t="s">
        <v>163</v>
      </c>
      <c r="I60" s="304"/>
      <c r="J60" s="305" t="s">
        <v>164</v>
      </c>
      <c r="K60" s="304"/>
      <c r="L60" s="128"/>
      <c r="M60" s="207"/>
      <c r="N60" s="207"/>
      <c r="O60" s="207"/>
    </row>
    <row r="61" spans="2:23" ht="31.2" thickBot="1" x14ac:dyDescent="0.35">
      <c r="B61" s="129" t="s">
        <v>43</v>
      </c>
      <c r="C61" s="130" t="s">
        <v>166</v>
      </c>
      <c r="D61" s="130" t="s">
        <v>167</v>
      </c>
      <c r="E61" s="131" t="s">
        <v>168</v>
      </c>
      <c r="F61" s="130" t="s">
        <v>169</v>
      </c>
      <c r="G61" s="131" t="s">
        <v>170</v>
      </c>
      <c r="H61" s="130" t="s">
        <v>171</v>
      </c>
      <c r="I61" s="131" t="s">
        <v>172</v>
      </c>
      <c r="J61" s="130" t="s">
        <v>173</v>
      </c>
      <c r="K61" s="130" t="s">
        <v>174</v>
      </c>
      <c r="L61" s="130" t="s">
        <v>175</v>
      </c>
      <c r="M61" s="130" t="s">
        <v>176</v>
      </c>
      <c r="N61" s="130" t="s">
        <v>226</v>
      </c>
      <c r="O61" s="140" t="s">
        <v>124</v>
      </c>
      <c r="Q61" s="139" t="s">
        <v>43</v>
      </c>
      <c r="R61" s="140" t="s">
        <v>161</v>
      </c>
      <c r="S61" s="140" t="s">
        <v>162</v>
      </c>
      <c r="T61" s="140" t="s">
        <v>163</v>
      </c>
      <c r="U61" s="140" t="s">
        <v>164</v>
      </c>
      <c r="V61" s="140" t="s">
        <v>175</v>
      </c>
      <c r="W61" s="140" t="s">
        <v>226</v>
      </c>
    </row>
    <row r="62" spans="2:23" ht="15" thickBot="1" x14ac:dyDescent="0.35">
      <c r="B62" s="132" t="s">
        <v>45</v>
      </c>
      <c r="C62" s="133">
        <f>'RPS Spend Model'!E60</f>
        <v>23095359.600711424</v>
      </c>
      <c r="D62" s="133">
        <f>SUM('RPS Spend Model'!B60:D60)</f>
        <v>168993712.47404769</v>
      </c>
      <c r="E62" s="142">
        <f>'RPS Spend Model'!I60</f>
        <v>2005534.0799999998</v>
      </c>
      <c r="F62" s="133">
        <f>SUM('Graph Pre-Plan In Progrss $'!J60:O60)</f>
        <v>0</v>
      </c>
      <c r="G62" s="133">
        <f>SUM('Graph Pre-Plan In Progrss $'!J60:O60)</f>
        <v>0</v>
      </c>
      <c r="H62" s="133">
        <f>SUM('Graph Proposed $'!J60:O60)</f>
        <v>0</v>
      </c>
      <c r="I62" s="133">
        <f>SUM('Graph Proposed $'!P60:R60)</f>
        <v>0</v>
      </c>
      <c r="J62" s="133">
        <f>SUM('Graph Future $'!J60:O60)</f>
        <v>0</v>
      </c>
      <c r="K62" s="133">
        <f>SUM('Graph Future $'!P60:R60)</f>
        <v>0</v>
      </c>
      <c r="L62" s="133">
        <f>SUM('RPS Spend Model'!F60:H60)</f>
        <v>13053777.658311913</v>
      </c>
      <c r="M62" s="134">
        <f>'RPS Spend Model'!V60</f>
        <v>207148383.81307104</v>
      </c>
      <c r="N62" s="134">
        <f>'RPS Spend Model'!U60</f>
        <v>456348757.4391799</v>
      </c>
      <c r="O62" s="134">
        <f>'RPS Spend Model'!W60</f>
        <v>249200373.62610886</v>
      </c>
      <c r="Q62" s="132" t="s">
        <v>45</v>
      </c>
      <c r="R62" s="135">
        <f t="shared" ref="R62:R72" si="25">SUM(C62:E62)</f>
        <v>194094606.15475914</v>
      </c>
      <c r="S62" s="135">
        <f t="shared" ref="S62:S72" si="26">SUM(F62:G62)</f>
        <v>0</v>
      </c>
      <c r="T62" s="135">
        <f t="shared" ref="T62:T72" si="27">SUM(H62:I62)</f>
        <v>0</v>
      </c>
      <c r="U62" s="135">
        <f t="shared" ref="U62:U72" si="28">SUM(J62:K62)</f>
        <v>0</v>
      </c>
      <c r="V62" s="135">
        <f t="shared" ref="V62:V72" si="29">L62</f>
        <v>13053777.658311913</v>
      </c>
      <c r="W62" s="135">
        <f t="shared" ref="W62:W72" si="30">N62</f>
        <v>456348757.4391799</v>
      </c>
    </row>
    <row r="63" spans="2:23" ht="15" thickBot="1" x14ac:dyDescent="0.35">
      <c r="B63" s="132" t="s">
        <v>46</v>
      </c>
      <c r="C63" s="133">
        <f>'RPS Spend Model'!E61</f>
        <v>18588255.383493654</v>
      </c>
      <c r="D63" s="133">
        <f>SUM('RPS Spend Model'!B61:D61)</f>
        <v>160425577.26771331</v>
      </c>
      <c r="E63" s="142">
        <f>'RPS Spend Model'!I61</f>
        <v>11756993.128173925</v>
      </c>
      <c r="F63" s="133">
        <f>SUM('Graph Pre-Plan In Progrss $'!J61:O61)</f>
        <v>0</v>
      </c>
      <c r="G63" s="133">
        <f>SUM('Graph Pre-Plan In Progrss $'!J61:O61)</f>
        <v>0</v>
      </c>
      <c r="H63" s="133">
        <f>SUM('Graph Proposed $'!J61:O61)</f>
        <v>0</v>
      </c>
      <c r="I63" s="133">
        <f>SUM('Graph Proposed $'!P61:R61)</f>
        <v>0</v>
      </c>
      <c r="J63" s="133">
        <f>SUM('Graph Future $'!J61:O61)</f>
        <v>0</v>
      </c>
      <c r="K63" s="133">
        <f>SUM('Graph Future $'!P61:R61)</f>
        <v>0</v>
      </c>
      <c r="L63" s="133">
        <f>SUM('RPS Spend Model'!F61:H61)</f>
        <v>56322879.767692089</v>
      </c>
      <c r="M63" s="134">
        <f>'RPS Spend Model'!V61</f>
        <v>247093705.54707298</v>
      </c>
      <c r="N63" s="134">
        <f>'RPS Spend Model'!U61</f>
        <v>583285201.33060932</v>
      </c>
      <c r="O63" s="134">
        <f>'RPS Spend Model'!W61</f>
        <v>336191495.78353631</v>
      </c>
      <c r="Q63" s="132" t="s">
        <v>46</v>
      </c>
      <c r="R63" s="135">
        <f t="shared" si="25"/>
        <v>190770825.77938089</v>
      </c>
      <c r="S63" s="135">
        <f t="shared" si="26"/>
        <v>0</v>
      </c>
      <c r="T63" s="135">
        <f t="shared" si="27"/>
        <v>0</v>
      </c>
      <c r="U63" s="135">
        <f t="shared" si="28"/>
        <v>0</v>
      </c>
      <c r="V63" s="135">
        <f t="shared" si="29"/>
        <v>56322879.767692089</v>
      </c>
      <c r="W63" s="135">
        <f t="shared" si="30"/>
        <v>583285201.33060932</v>
      </c>
    </row>
    <row r="64" spans="2:23" ht="15" thickBot="1" x14ac:dyDescent="0.35">
      <c r="B64" s="132" t="s">
        <v>47</v>
      </c>
      <c r="C64" s="133">
        <f>'RPS Spend Model'!E62</f>
        <v>17220344.595163539</v>
      </c>
      <c r="D64" s="133">
        <f>SUM('RPS Spend Model'!B62:D62)</f>
        <v>130566367.31927559</v>
      </c>
      <c r="E64" s="142">
        <f>'RPS Spend Model'!I62</f>
        <v>15524623.835403711</v>
      </c>
      <c r="F64" s="133">
        <f>SUM('Graph Pre-Plan In Progrss $'!J62:O62)</f>
        <v>108875592.16046296</v>
      </c>
      <c r="G64" s="133">
        <f>SUM('Graph Pre-Plan In Progrss $'!J62:O62)</f>
        <v>108875592.16046296</v>
      </c>
      <c r="H64" s="133">
        <f>SUM('Graph Proposed $'!J62:O62)</f>
        <v>188445304.71376055</v>
      </c>
      <c r="I64" s="133">
        <f>SUM('Graph Proposed $'!P62:R62)</f>
        <v>0</v>
      </c>
      <c r="J64" s="133">
        <f>SUM('Graph Future $'!J62:O62)</f>
        <v>0</v>
      </c>
      <c r="K64" s="133">
        <f>SUM('Graph Future $'!P62:R62)</f>
        <v>0</v>
      </c>
      <c r="L64" s="133">
        <f>SUM('RPS Spend Model'!F62:H62)</f>
        <v>48990126.985842079</v>
      </c>
      <c r="M64" s="134">
        <f>'RPS Spend Model'!V62</f>
        <v>509622359.6099084</v>
      </c>
      <c r="N64" s="134">
        <f>'RPS Spend Model'!U62</f>
        <v>761778498.20128655</v>
      </c>
      <c r="O64" s="134">
        <f>'RPS Spend Model'!W62</f>
        <v>252156138.59137815</v>
      </c>
      <c r="Q64" s="132" t="s">
        <v>47</v>
      </c>
      <c r="R64" s="135">
        <f t="shared" si="25"/>
        <v>163311335.74984285</v>
      </c>
      <c r="S64" s="135">
        <f t="shared" si="26"/>
        <v>217751184.32092592</v>
      </c>
      <c r="T64" s="135">
        <f t="shared" si="27"/>
        <v>188445304.71376055</v>
      </c>
      <c r="U64" s="135">
        <f t="shared" si="28"/>
        <v>0</v>
      </c>
      <c r="V64" s="135">
        <f t="shared" si="29"/>
        <v>48990126.985842079</v>
      </c>
      <c r="W64" s="135">
        <f t="shared" si="30"/>
        <v>761778498.20128655</v>
      </c>
    </row>
    <row r="65" spans="2:23" ht="15" thickBot="1" x14ac:dyDescent="0.35">
      <c r="B65" s="132" t="s">
        <v>48</v>
      </c>
      <c r="C65" s="133">
        <f>'RPS Spend Model'!E63</f>
        <v>14320007.415898787</v>
      </c>
      <c r="D65" s="133">
        <f>SUM('RPS Spend Model'!B63:D63)</f>
        <v>119212433.9973003</v>
      </c>
      <c r="E65" s="142">
        <f>'RPS Spend Model'!I63</f>
        <v>15524623.835403711</v>
      </c>
      <c r="F65" s="133">
        <f>SUM('Graph Pre-Plan In Progrss $'!J63:O63)</f>
        <v>24676268.526976191</v>
      </c>
      <c r="G65" s="133">
        <f>SUM('Graph Pre-Plan In Progrss $'!J63:O63)</f>
        <v>24676268.526976191</v>
      </c>
      <c r="H65" s="133">
        <f>SUM('Graph Proposed $'!J63:O63)</f>
        <v>194529388.62525302</v>
      </c>
      <c r="I65" s="133">
        <f>SUM('Graph Proposed $'!P63:R63)</f>
        <v>0</v>
      </c>
      <c r="J65" s="133">
        <f>SUM('Graph Future $'!J63:O63)</f>
        <v>0</v>
      </c>
      <c r="K65" s="133">
        <f>SUM('Graph Future $'!P63:R63)</f>
        <v>0</v>
      </c>
      <c r="L65" s="133">
        <f>SUM('RPS Spend Model'!F63:H63)</f>
        <v>49023280.504322439</v>
      </c>
      <c r="M65" s="134">
        <f>'RPS Spend Model'!V63</f>
        <v>417286002.90515447</v>
      </c>
      <c r="N65" s="134">
        <f>'RPS Spend Model'!U63</f>
        <v>679952229.52757335</v>
      </c>
      <c r="O65" s="134">
        <f>'RPS Spend Model'!W63</f>
        <v>262666226.62241888</v>
      </c>
      <c r="Q65" s="132" t="s">
        <v>48</v>
      </c>
      <c r="R65" s="135">
        <f t="shared" si="25"/>
        <v>149057065.24860281</v>
      </c>
      <c r="S65" s="135">
        <f t="shared" si="26"/>
        <v>49352537.053952381</v>
      </c>
      <c r="T65" s="135">
        <f t="shared" si="27"/>
        <v>194529388.62525302</v>
      </c>
      <c r="U65" s="135">
        <f t="shared" si="28"/>
        <v>0</v>
      </c>
      <c r="V65" s="135">
        <f t="shared" si="29"/>
        <v>49023280.504322439</v>
      </c>
      <c r="W65" s="135">
        <f t="shared" si="30"/>
        <v>679952229.52757335</v>
      </c>
    </row>
    <row r="66" spans="2:23" ht="15" thickBot="1" x14ac:dyDescent="0.35">
      <c r="B66" s="132" t="s">
        <v>49</v>
      </c>
      <c r="C66" s="133">
        <f>'RPS Spend Model'!E64</f>
        <v>14162541.685608782</v>
      </c>
      <c r="D66" s="133">
        <f>SUM('RPS Spend Model'!B64:D64)</f>
        <v>100454422.87066931</v>
      </c>
      <c r="E66" s="142">
        <f>'RPS Spend Model'!I64</f>
        <v>15524623.835403711</v>
      </c>
      <c r="F66" s="133">
        <f>SUM('Graph Pre-Plan In Progrss $'!J64:O64)</f>
        <v>24569290.785310384</v>
      </c>
      <c r="G66" s="133">
        <f>SUM('Graph Pre-Plan In Progrss $'!J64:O64)</f>
        <v>24569290.785310384</v>
      </c>
      <c r="H66" s="133">
        <f>SUM('Graph Proposed $'!J64:O64)</f>
        <v>96783219.944351122</v>
      </c>
      <c r="I66" s="133">
        <f>SUM('Graph Proposed $'!P64:R64)</f>
        <v>0</v>
      </c>
      <c r="J66" s="133">
        <f>SUM('Graph Future $'!J64:O64)</f>
        <v>129485639.2476663</v>
      </c>
      <c r="K66" s="133">
        <f>SUM('Graph Future $'!P64:R64)</f>
        <v>0</v>
      </c>
      <c r="L66" s="133">
        <f>SUM('RPS Spend Model'!F64:H64)</f>
        <v>58982567.595802605</v>
      </c>
      <c r="M66" s="134">
        <f>'RPS Spend Model'!V64</f>
        <v>439962305.96481216</v>
      </c>
      <c r="N66" s="134">
        <f>'RPS Spend Model'!U64</f>
        <v>690448790.10694814</v>
      </c>
      <c r="O66" s="134">
        <f>'RPS Spend Model'!W64</f>
        <v>250486484.14213598</v>
      </c>
      <c r="Q66" s="132" t="s">
        <v>49</v>
      </c>
      <c r="R66" s="135">
        <f t="shared" si="25"/>
        <v>130141588.39168179</v>
      </c>
      <c r="S66" s="135">
        <f t="shared" si="26"/>
        <v>49138581.570620768</v>
      </c>
      <c r="T66" s="135">
        <f t="shared" si="27"/>
        <v>96783219.944351122</v>
      </c>
      <c r="U66" s="135">
        <f t="shared" si="28"/>
        <v>129485639.2476663</v>
      </c>
      <c r="V66" s="135">
        <f t="shared" si="29"/>
        <v>58982567.595802605</v>
      </c>
      <c r="W66" s="135">
        <f t="shared" si="30"/>
        <v>690448790.10694814</v>
      </c>
    </row>
    <row r="67" spans="2:23" ht="15" thickBot="1" x14ac:dyDescent="0.35">
      <c r="B67" s="132" t="s">
        <v>50</v>
      </c>
      <c r="C67" s="133">
        <f>'RPS Spend Model'!E65</f>
        <v>10125431.694168944</v>
      </c>
      <c r="D67" s="133">
        <f>SUM('RPS Spend Model'!B65:D65)</f>
        <v>47863211.732559413</v>
      </c>
      <c r="E67" s="142">
        <f>'RPS Spend Model'!I65</f>
        <v>15524623.835403711</v>
      </c>
      <c r="F67" s="133">
        <f>SUM('Graph Pre-Plan In Progrss $'!J65:O65)</f>
        <v>24487580.72631333</v>
      </c>
      <c r="G67" s="133">
        <f>SUM('Graph Pre-Plan In Progrss $'!J65:O65)</f>
        <v>24487580.72631333</v>
      </c>
      <c r="H67" s="133">
        <f>SUM('Graph Proposed $'!J65:O65)</f>
        <v>96331508.009192437</v>
      </c>
      <c r="I67" s="133">
        <f>SUM('Graph Proposed $'!P65:R65)</f>
        <v>8754454.9207107313</v>
      </c>
      <c r="J67" s="133">
        <f>SUM('Graph Future $'!J65:O65)</f>
        <v>160404931.57317433</v>
      </c>
      <c r="K67" s="133">
        <f>SUM('Graph Future $'!P65:R65)</f>
        <v>0</v>
      </c>
      <c r="L67" s="133">
        <f>SUM('RPS Spend Model'!F65:H65)</f>
        <v>48939028.546262406</v>
      </c>
      <c r="M67" s="134">
        <f>'RPS Spend Model'!V65</f>
        <v>420278509.2851305</v>
      </c>
      <c r="N67" s="134">
        <f>'RPS Spend Model'!U65</f>
        <v>677130649.62869525</v>
      </c>
      <c r="O67" s="134">
        <f>'RPS Spend Model'!W65</f>
        <v>256852140.34356475</v>
      </c>
      <c r="Q67" s="132" t="s">
        <v>50</v>
      </c>
      <c r="R67" s="135">
        <f t="shared" si="25"/>
        <v>73513267.262132064</v>
      </c>
      <c r="S67" s="135">
        <f t="shared" si="26"/>
        <v>48975161.45262666</v>
      </c>
      <c r="T67" s="135">
        <f t="shared" si="27"/>
        <v>105085962.92990316</v>
      </c>
      <c r="U67" s="135">
        <f t="shared" si="28"/>
        <v>160404931.57317433</v>
      </c>
      <c r="V67" s="135">
        <f t="shared" si="29"/>
        <v>48939028.546262406</v>
      </c>
      <c r="W67" s="135">
        <f t="shared" si="30"/>
        <v>677130649.62869525</v>
      </c>
    </row>
    <row r="68" spans="2:23" ht="15" thickBot="1" x14ac:dyDescent="0.35">
      <c r="B68" s="132" t="s">
        <v>51</v>
      </c>
      <c r="C68" s="133">
        <f>'RPS Spend Model'!E66</f>
        <v>8012431.7104763286</v>
      </c>
      <c r="D68" s="133">
        <f>SUM('RPS Spend Model'!B66:D66)</f>
        <v>4030432.3522954253</v>
      </c>
      <c r="E68" s="142">
        <f>'RPS Spend Model'!I66</f>
        <v>15524623.835403711</v>
      </c>
      <c r="F68" s="133">
        <f>SUM('Graph Pre-Plan In Progrss $'!J66:O66)</f>
        <v>24406279.217611264</v>
      </c>
      <c r="G68" s="133">
        <f>SUM('Graph Pre-Plan In Progrss $'!J66:O66)</f>
        <v>24406279.217611264</v>
      </c>
      <c r="H68" s="133">
        <f>SUM('Graph Proposed $'!J66:O66)</f>
        <v>96141186.444669157</v>
      </c>
      <c r="I68" s="133">
        <f>SUM('Graph Proposed $'!P66:R66)</f>
        <v>20881379.422530264</v>
      </c>
      <c r="J68" s="133">
        <f>SUM('Graph Future $'!J66:O66)</f>
        <v>189760578.45775881</v>
      </c>
      <c r="K68" s="133">
        <f>SUM('Graph Future $'!P66:R66)</f>
        <v>0</v>
      </c>
      <c r="L68" s="133">
        <f>SUM('RPS Spend Model'!F66:H66)</f>
        <v>48953042.858567938</v>
      </c>
      <c r="M68" s="134">
        <f>'RPS Spend Model'!V66</f>
        <v>414467010.73170465</v>
      </c>
      <c r="N68" s="134">
        <f>'RPS Spend Model'!U66</f>
        <v>684140915.95595098</v>
      </c>
      <c r="O68" s="134">
        <f>'RPS Spend Model'!W66</f>
        <v>269673905.22424632</v>
      </c>
      <c r="Q68" s="132" t="s">
        <v>51</v>
      </c>
      <c r="R68" s="135">
        <f t="shared" si="25"/>
        <v>27567487.898175463</v>
      </c>
      <c r="S68" s="135">
        <f t="shared" si="26"/>
        <v>48812558.435222529</v>
      </c>
      <c r="T68" s="135">
        <f t="shared" si="27"/>
        <v>117022565.86719942</v>
      </c>
      <c r="U68" s="135">
        <f t="shared" si="28"/>
        <v>189760578.45775881</v>
      </c>
      <c r="V68" s="135">
        <f t="shared" si="29"/>
        <v>48953042.858567938</v>
      </c>
      <c r="W68" s="135">
        <f t="shared" si="30"/>
        <v>684140915.95595098</v>
      </c>
    </row>
    <row r="69" spans="2:23" ht="15" thickBot="1" x14ac:dyDescent="0.35">
      <c r="B69" s="132" t="s">
        <v>52</v>
      </c>
      <c r="C69" s="133">
        <f>'RPS Spend Model'!E67</f>
        <v>4480482.7749063233</v>
      </c>
      <c r="D69" s="133">
        <f>SUM('RPS Spend Model'!B67:D67)</f>
        <v>0</v>
      </c>
      <c r="E69" s="142">
        <f>'RPS Spend Model'!I67</f>
        <v>15524623.835403711</v>
      </c>
      <c r="F69" s="133">
        <f>SUM('Graph Pre-Plan In Progrss $'!J67:O67)</f>
        <v>24325384.216452707</v>
      </c>
      <c r="G69" s="133">
        <f>SUM('Graph Pre-Plan In Progrss $'!J67:O67)</f>
        <v>24325384.216452707</v>
      </c>
      <c r="H69" s="133">
        <f>SUM('Graph Proposed $'!J67:O67)</f>
        <v>95951816.48796849</v>
      </c>
      <c r="I69" s="133">
        <f>SUM('Graph Proposed $'!P67:R67)</f>
        <v>16517097.29623373</v>
      </c>
      <c r="J69" s="133">
        <f>SUM('Graph Future $'!J67:O67)</f>
        <v>217865526.62631732</v>
      </c>
      <c r="K69" s="133">
        <f>SUM('Graph Future $'!P67:R67)</f>
        <v>11090554.440728568</v>
      </c>
      <c r="L69" s="133">
        <f>SUM('RPS Spend Model'!F67:H67)</f>
        <v>58991237.815644309</v>
      </c>
      <c r="M69" s="134">
        <f>'RPS Spend Model'!V67</f>
        <v>450399399.84636134</v>
      </c>
      <c r="N69" s="134">
        <f>'RPS Spend Model'!U67</f>
        <v>698719009.4097538</v>
      </c>
      <c r="O69" s="134">
        <f>'RPS Spend Model'!W67</f>
        <v>248319609.56339246</v>
      </c>
      <c r="Q69" s="132" t="s">
        <v>52</v>
      </c>
      <c r="R69" s="135">
        <f t="shared" si="25"/>
        <v>20005106.610310033</v>
      </c>
      <c r="S69" s="135">
        <f t="shared" si="26"/>
        <v>48650768.432905413</v>
      </c>
      <c r="T69" s="135">
        <f t="shared" si="27"/>
        <v>112468913.78420222</v>
      </c>
      <c r="U69" s="135">
        <f t="shared" si="28"/>
        <v>228956081.0670459</v>
      </c>
      <c r="V69" s="135">
        <f t="shared" si="29"/>
        <v>58991237.815644309</v>
      </c>
      <c r="W69" s="135">
        <f t="shared" si="30"/>
        <v>698719009.4097538</v>
      </c>
    </row>
    <row r="70" spans="2:23" ht="15" thickBot="1" x14ac:dyDescent="0.35">
      <c r="B70" s="136" t="s">
        <v>53</v>
      </c>
      <c r="C70" s="133">
        <f>'RPS Spend Model'!E68</f>
        <v>4478132.259204451</v>
      </c>
      <c r="D70" s="133">
        <f>SUM('RPS Spend Model'!B68:D68)</f>
        <v>0</v>
      </c>
      <c r="E70" s="142">
        <f>'RPS Spend Model'!I68</f>
        <v>15524623.835403711</v>
      </c>
      <c r="F70" s="133">
        <f>SUM('Graph Pre-Plan In Progrss $'!J68:O68)</f>
        <v>24244893.690299939</v>
      </c>
      <c r="G70" s="133">
        <f>SUM('Graph Pre-Plan In Progrss $'!J68:O68)</f>
        <v>24244893.690299939</v>
      </c>
      <c r="H70" s="133">
        <f>SUM('Graph Proposed $'!J68:O68)</f>
        <v>95763393.381051332</v>
      </c>
      <c r="I70" s="133">
        <f>SUM('Graph Proposed $'!P68:R68)</f>
        <v>12084116.480065703</v>
      </c>
      <c r="J70" s="133">
        <f>SUM('Graph Future $'!J68:O68)</f>
        <v>244770186.39169419</v>
      </c>
      <c r="K70" s="133">
        <f>SUM('Graph Future $'!P68:R68)</f>
        <v>30552925.71652342</v>
      </c>
      <c r="L70" s="133">
        <f>SUM('RPS Spend Model'!F68:H68)</f>
        <v>49053751.812608905</v>
      </c>
      <c r="M70" s="134">
        <f>'RPS Spend Model'!V68</f>
        <v>481006360.96955532</v>
      </c>
      <c r="N70" s="134">
        <f>'RPS Spend Model'!U68</f>
        <v>680240296.71898222</v>
      </c>
      <c r="O70" s="134">
        <f>'RPS Spend Model'!W68</f>
        <v>199233935.7494269</v>
      </c>
      <c r="Q70" s="136" t="s">
        <v>53</v>
      </c>
      <c r="R70" s="135">
        <f t="shared" si="25"/>
        <v>20002756.094608162</v>
      </c>
      <c r="S70" s="135">
        <f t="shared" si="26"/>
        <v>48489787.380599879</v>
      </c>
      <c r="T70" s="135">
        <f t="shared" si="27"/>
        <v>107847509.86111704</v>
      </c>
      <c r="U70" s="135">
        <f t="shared" si="28"/>
        <v>275323112.1082176</v>
      </c>
      <c r="V70" s="135">
        <f t="shared" si="29"/>
        <v>49053751.812608905</v>
      </c>
      <c r="W70" s="135">
        <f t="shared" si="30"/>
        <v>680240296.71898222</v>
      </c>
    </row>
    <row r="71" spans="2:23" ht="15" thickBot="1" x14ac:dyDescent="0.35">
      <c r="B71" s="132" t="s">
        <v>54</v>
      </c>
      <c r="C71" s="133">
        <f>'RPS Spend Model'!E69</f>
        <v>4338008.6485485407</v>
      </c>
      <c r="D71" s="133">
        <f>SUM('RPS Spend Model'!B69:D69)</f>
        <v>0</v>
      </c>
      <c r="E71" s="142">
        <f>'RPS Spend Model'!I69</f>
        <v>15524623.835403711</v>
      </c>
      <c r="F71" s="133">
        <f>SUM('Graph Pre-Plan In Progrss $'!J69:O69)</f>
        <v>16360096.979950622</v>
      </c>
      <c r="G71" s="133">
        <f>SUM('Graph Pre-Plan In Progrss $'!J69:O69)</f>
        <v>16360096.979950622</v>
      </c>
      <c r="H71" s="133">
        <f>SUM('Graph Proposed $'!J69:O69)</f>
        <v>64697133.74880182</v>
      </c>
      <c r="I71" s="133">
        <f>SUM('Graph Proposed $'!P69:R69)</f>
        <v>7581092.281066508</v>
      </c>
      <c r="J71" s="133">
        <f>SUM('Graph Future $'!J69:O69)</f>
        <v>270522949.74239886</v>
      </c>
      <c r="K71" s="133">
        <f>SUM('Graph Future $'!P69:R69)</f>
        <v>46522268.935940512</v>
      </c>
      <c r="L71" s="133">
        <f>SUM('RPS Spend Model'!F69:H69)</f>
        <v>49069663.12373326</v>
      </c>
      <c r="M71" s="134">
        <f>'RPS Spend Model'!V69</f>
        <v>478017611.79738718</v>
      </c>
      <c r="N71" s="134">
        <f>'RPS Spend Model'!U69</f>
        <v>631885824.58320844</v>
      </c>
      <c r="O71" s="134">
        <f>'RPS Spend Model'!W69</f>
        <v>153868212.78582126</v>
      </c>
      <c r="Q71" s="132" t="s">
        <v>54</v>
      </c>
      <c r="R71" s="135">
        <f t="shared" si="25"/>
        <v>19862632.48395225</v>
      </c>
      <c r="S71" s="135">
        <f t="shared" si="26"/>
        <v>32720193.959901243</v>
      </c>
      <c r="T71" s="135">
        <f t="shared" si="27"/>
        <v>72278226.029868335</v>
      </c>
      <c r="U71" s="135">
        <f t="shared" si="28"/>
        <v>317045218.67833936</v>
      </c>
      <c r="V71" s="135">
        <f t="shared" si="29"/>
        <v>49069663.12373326</v>
      </c>
      <c r="W71" s="135">
        <f t="shared" si="30"/>
        <v>631885824.58320844</v>
      </c>
    </row>
    <row r="72" spans="2:23" ht="15" thickBot="1" x14ac:dyDescent="0.35">
      <c r="B72" s="132" t="s">
        <v>55</v>
      </c>
      <c r="C72" s="133">
        <f>'RPS Spend Model'!E70</f>
        <v>4303453.6786395097</v>
      </c>
      <c r="D72" s="133">
        <f>SUM('RPS Spend Model'!B70:D70)</f>
        <v>0</v>
      </c>
      <c r="E72" s="142">
        <f>'RPS Spend Model'!I70</f>
        <v>15524623.835403711</v>
      </c>
      <c r="F72" s="133">
        <f>SUM('Graph Pre-Plan In Progrss $'!J70:O70)</f>
        <v>15857838.99772363</v>
      </c>
      <c r="G72" s="133">
        <f>SUM('Graph Pre-Plan In Progrss $'!J70:O70)</f>
        <v>15857838.99772363</v>
      </c>
      <c r="H72" s="133">
        <f>SUM('Graph Proposed $'!J70:O70)</f>
        <v>41549551.373393871</v>
      </c>
      <c r="I72" s="133">
        <f>SUM('Graph Proposed $'!P70:R70)</f>
        <v>3006654.7870255718</v>
      </c>
      <c r="J72" s="133">
        <f>SUM('Graph Future $'!J70:O70)</f>
        <v>295170271.0851385</v>
      </c>
      <c r="K72" s="133">
        <f>SUM('Graph Future $'!P70:R70)</f>
        <v>58778291.933033898</v>
      </c>
      <c r="L72" s="133">
        <f>SUM('RPS Spend Model'!F70:H70)</f>
        <v>59110065.526464179</v>
      </c>
      <c r="M72" s="134">
        <f>'RPS Spend Model'!V70</f>
        <v>495555469.22873777</v>
      </c>
      <c r="N72" s="134">
        <f>'RPS Spend Model'!U70</f>
        <v>588378085.62415421</v>
      </c>
      <c r="O72" s="134">
        <f>'RPS Spend Model'!W70</f>
        <v>92822616.395416439</v>
      </c>
      <c r="Q72" s="132" t="s">
        <v>55</v>
      </c>
      <c r="R72" s="135">
        <f t="shared" si="25"/>
        <v>19828077.514043219</v>
      </c>
      <c r="S72" s="135">
        <f t="shared" si="26"/>
        <v>31715677.995447259</v>
      </c>
      <c r="T72" s="135">
        <f t="shared" si="27"/>
        <v>44556206.160419442</v>
      </c>
      <c r="U72" s="135">
        <f t="shared" si="28"/>
        <v>353948563.01817238</v>
      </c>
      <c r="V72" s="135">
        <f t="shared" si="29"/>
        <v>59110065.526464179</v>
      </c>
      <c r="W72" s="135">
        <f t="shared" si="30"/>
        <v>588378085.62415421</v>
      </c>
    </row>
    <row r="73" spans="2:23" ht="15" thickBot="1" x14ac:dyDescent="0.35">
      <c r="B73" s="132" t="s">
        <v>56</v>
      </c>
      <c r="C73" s="133">
        <f>'RPS Spend Model'!E71</f>
        <v>4261079.6921323007</v>
      </c>
      <c r="D73" s="133">
        <f>SUM('RPS Spend Model'!B71:D71)</f>
        <v>0</v>
      </c>
      <c r="E73" s="142">
        <f>'RPS Spend Model'!I71</f>
        <v>15524623.835403711</v>
      </c>
      <c r="F73" s="133">
        <f>SUM('Graph Pre-Plan In Progrss $'!J71:O71)</f>
        <v>15778549.80273501</v>
      </c>
      <c r="G73" s="133">
        <f>SUM('Graph Pre-Plan In Progrss $'!J71:O71)</f>
        <v>15778549.80273501</v>
      </c>
      <c r="H73" s="133">
        <f>SUM('Graph Proposed $'!J71:O71)</f>
        <v>36936562.83021342</v>
      </c>
      <c r="I73" s="133">
        <f>SUM('Graph Proposed $'!P71:R71)</f>
        <v>-1640591.6191435871</v>
      </c>
      <c r="J73" s="133">
        <f>SUM('Graph Future $'!J71:O71)</f>
        <v>205228094.24241403</v>
      </c>
      <c r="K73" s="133">
        <f>SUM('Graph Future $'!P71:R71)</f>
        <v>67094833.516084999</v>
      </c>
      <c r="L73" s="133">
        <f>SUM('RPS Spend Model'!F71:H71)</f>
        <v>49157942.070384257</v>
      </c>
      <c r="M73" s="134">
        <f>'RPS Spend Model'!V71</f>
        <v>490735645.09144068</v>
      </c>
      <c r="N73" s="134">
        <f>'RPS Spend Model'!U71</f>
        <v>529534357.05298954</v>
      </c>
      <c r="O73" s="134">
        <f>'RPS Spend Model'!W71</f>
        <v>38798711.961548865</v>
      </c>
      <c r="Q73" s="132" t="s">
        <v>56</v>
      </c>
      <c r="R73" s="135">
        <f t="shared" ref="R73:R84" si="31">SUM(C73:E73)</f>
        <v>19785703.527536012</v>
      </c>
      <c r="S73" s="135">
        <f t="shared" ref="S73:S84" si="32">SUM(F73:G73)</f>
        <v>31557099.60547002</v>
      </c>
      <c r="T73" s="135">
        <f t="shared" ref="T73:T84" si="33">SUM(H73:I73)</f>
        <v>35295971.21106983</v>
      </c>
      <c r="U73" s="135">
        <f t="shared" ref="U73:U84" si="34">SUM(J73:K73)</f>
        <v>272322927.75849903</v>
      </c>
      <c r="V73" s="135">
        <f t="shared" ref="V73:V84" si="35">L73</f>
        <v>49157942.070384257</v>
      </c>
      <c r="W73" s="135">
        <f t="shared" ref="W73:W84" si="36">N73</f>
        <v>529534357.05298954</v>
      </c>
    </row>
    <row r="74" spans="2:23" ht="15" thickBot="1" x14ac:dyDescent="0.35">
      <c r="B74" s="132" t="s">
        <v>57</v>
      </c>
      <c r="C74" s="133">
        <f>'RPS Spend Model'!E72</f>
        <v>4261079.6921323007</v>
      </c>
      <c r="D74" s="133">
        <f>SUM('RPS Spend Model'!B72:D72)</f>
        <v>0</v>
      </c>
      <c r="E74" s="142">
        <f>'RPS Spend Model'!I72</f>
        <v>15524623.835403711</v>
      </c>
      <c r="F74" s="133">
        <f>SUM('Graph Pre-Plan In Progrss $'!J72:O72)</f>
        <v>15699657.053721335</v>
      </c>
      <c r="G74" s="133">
        <f>SUM('Graph Pre-Plan In Progrss $'!J72:O72)</f>
        <v>15699657.053721335</v>
      </c>
      <c r="H74" s="133">
        <f>SUM('Graph Proposed $'!J72:O72)</f>
        <v>36751880.016062349</v>
      </c>
      <c r="I74" s="133">
        <f>SUM('Graph Proposed $'!P72:R72)</f>
        <v>-6362068.7544303201</v>
      </c>
      <c r="J74" s="133">
        <f>SUM('Graph Future $'!J72:O72)</f>
        <v>184734108.4016493</v>
      </c>
      <c r="K74" s="133">
        <f>SUM('Graph Future $'!P72:R72)</f>
        <v>71239716.815872371</v>
      </c>
      <c r="L74" s="133">
        <f>SUM('RPS Spend Model'!F72:H72)</f>
        <v>49246660.24943193</v>
      </c>
      <c r="M74" s="134">
        <f>'RPS Spend Model'!V72</f>
        <v>491547561.05454612</v>
      </c>
      <c r="N74" s="134">
        <f>'RPS Spend Model'!U72</f>
        <v>479591934.49253112</v>
      </c>
      <c r="O74" s="134">
        <f>'RPS Spend Model'!W72</f>
        <v>-11955626.562014997</v>
      </c>
      <c r="Q74" s="132" t="s">
        <v>57</v>
      </c>
      <c r="R74" s="135">
        <f t="shared" si="31"/>
        <v>19785703.527536012</v>
      </c>
      <c r="S74" s="135">
        <f t="shared" si="32"/>
        <v>31399314.10744267</v>
      </c>
      <c r="T74" s="135">
        <f t="shared" si="33"/>
        <v>30389811.261632029</v>
      </c>
      <c r="U74" s="135">
        <f t="shared" si="34"/>
        <v>255973825.21752167</v>
      </c>
      <c r="V74" s="135">
        <f t="shared" si="35"/>
        <v>49246660.24943193</v>
      </c>
      <c r="W74" s="135">
        <f t="shared" si="36"/>
        <v>479591934.49253112</v>
      </c>
    </row>
    <row r="75" spans="2:23" ht="15" thickBot="1" x14ac:dyDescent="0.35">
      <c r="B75" s="132" t="s">
        <v>58</v>
      </c>
      <c r="C75" s="133">
        <f>'RPS Spend Model'!E73</f>
        <v>4261079.6921323007</v>
      </c>
      <c r="D75" s="133">
        <f>SUM('RPS Spend Model'!B73:D73)</f>
        <v>0</v>
      </c>
      <c r="E75" s="142">
        <f>'RPS Spend Model'!I73</f>
        <v>14361326.929266423</v>
      </c>
      <c r="F75" s="133">
        <f>SUM('Graph Pre-Plan In Progrss $'!J73:O73)</f>
        <v>15621158.76845273</v>
      </c>
      <c r="G75" s="133">
        <f>SUM('Graph Pre-Plan In Progrss $'!J73:O73)</f>
        <v>15621158.76845273</v>
      </c>
      <c r="H75" s="133">
        <f>SUM('Graph Proposed $'!J73:O73)</f>
        <v>36568120.615982041</v>
      </c>
      <c r="I75" s="133">
        <f>SUM('Graph Proposed $'!P73:R73)</f>
        <v>-11159225.140339464</v>
      </c>
      <c r="J75" s="133">
        <f>SUM('Graph Future $'!J73:O73)</f>
        <v>165231303.30576497</v>
      </c>
      <c r="K75" s="133">
        <f>SUM('Graph Future $'!P73:R73)</f>
        <v>70974599.115449652</v>
      </c>
      <c r="L75" s="133">
        <f>SUM('RPS Spend Model'!F73:H73)</f>
        <v>49267790.505681358</v>
      </c>
      <c r="M75" s="134">
        <f>'RPS Spend Model'!V73</f>
        <v>441608478.88845676</v>
      </c>
      <c r="N75" s="134">
        <f>'RPS Spend Model'!U73</f>
        <v>429809193.81753284</v>
      </c>
      <c r="O75" s="134">
        <f>'RPS Spend Model'!W73</f>
        <v>-11799285.070923924</v>
      </c>
      <c r="Q75" s="132" t="s">
        <v>58</v>
      </c>
      <c r="R75" s="135">
        <f t="shared" si="31"/>
        <v>18622406.621398725</v>
      </c>
      <c r="S75" s="135">
        <f t="shared" si="32"/>
        <v>31242317.53690546</v>
      </c>
      <c r="T75" s="135">
        <f t="shared" si="33"/>
        <v>25408895.475642577</v>
      </c>
      <c r="U75" s="135">
        <f t="shared" si="34"/>
        <v>236205902.42121464</v>
      </c>
      <c r="V75" s="135">
        <f t="shared" si="35"/>
        <v>49267790.505681358</v>
      </c>
      <c r="W75" s="135">
        <f t="shared" si="36"/>
        <v>429809193.81753284</v>
      </c>
    </row>
    <row r="76" spans="2:23" ht="15" thickBot="1" x14ac:dyDescent="0.35">
      <c r="B76" s="132" t="s">
        <v>59</v>
      </c>
      <c r="C76" s="133">
        <f>'RPS Spend Model'!E74</f>
        <v>4261079.6921323007</v>
      </c>
      <c r="D76" s="133">
        <f>SUM('RPS Spend Model'!B74:D74)</f>
        <v>0</v>
      </c>
      <c r="E76" s="142">
        <f>'RPS Spend Model'!I74</f>
        <v>14361326.929266423</v>
      </c>
      <c r="F76" s="133">
        <f>SUM('Graph Pre-Plan In Progrss $'!J74:O74)</f>
        <v>15543052.974610465</v>
      </c>
      <c r="G76" s="133">
        <f>SUM('Graph Pre-Plan In Progrss $'!J74:O74)</f>
        <v>15543052.974610465</v>
      </c>
      <c r="H76" s="133">
        <f>SUM('Graph Proposed $'!J74:O74)</f>
        <v>36385280.012902126</v>
      </c>
      <c r="I76" s="133">
        <f>SUM('Graph Proposed $'!P74:R74)</f>
        <v>-16033536.517276661</v>
      </c>
      <c r="J76" s="133">
        <f>SUM('Graph Future $'!J74:O74)</f>
        <v>146492239.63040006</v>
      </c>
      <c r="K76" s="133">
        <f>SUM('Graph Future $'!P74:R74)</f>
        <v>44277470.774116218</v>
      </c>
      <c r="L76" s="133">
        <f>SUM('RPS Spend Model'!F74:H74)</f>
        <v>49304403.188938677</v>
      </c>
      <c r="M76" s="134">
        <f>'RPS Spend Model'!V74</f>
        <v>422056229.70627999</v>
      </c>
      <c r="N76" s="134">
        <f>'RPS Spend Model'!U74</f>
        <v>431649813.80497473</v>
      </c>
      <c r="O76" s="134">
        <f>'RPS Spend Model'!W74</f>
        <v>9593584.0986947417</v>
      </c>
      <c r="Q76" s="132" t="s">
        <v>59</v>
      </c>
      <c r="R76" s="135">
        <f t="shared" si="31"/>
        <v>18622406.621398725</v>
      </c>
      <c r="S76" s="135">
        <f t="shared" si="32"/>
        <v>31086105.949220929</v>
      </c>
      <c r="T76" s="135">
        <f t="shared" si="33"/>
        <v>20351743.495625466</v>
      </c>
      <c r="U76" s="135">
        <f t="shared" si="34"/>
        <v>190769710.40451628</v>
      </c>
      <c r="V76" s="135">
        <f t="shared" si="35"/>
        <v>49304403.188938677</v>
      </c>
      <c r="W76" s="135">
        <f t="shared" si="36"/>
        <v>431649813.80497473</v>
      </c>
    </row>
    <row r="77" spans="2:23" ht="15" thickBot="1" x14ac:dyDescent="0.35">
      <c r="B77" s="132" t="s">
        <v>60</v>
      </c>
      <c r="C77" s="133">
        <f>'RPS Spend Model'!E75</f>
        <v>4261079.6921323007</v>
      </c>
      <c r="D77" s="133">
        <f>SUM('RPS Spend Model'!B75:D75)</f>
        <v>0</v>
      </c>
      <c r="E77" s="142">
        <f>'RPS Spend Model'!I75</f>
        <v>11936316.68667575</v>
      </c>
      <c r="F77" s="133">
        <f>SUM('Graph Pre-Plan In Progrss $'!J75:O75)</f>
        <v>15465337.709737413</v>
      </c>
      <c r="G77" s="133">
        <f>SUM('Graph Pre-Plan In Progrss $'!J75:O75)</f>
        <v>15465337.709737413</v>
      </c>
      <c r="H77" s="133">
        <f>SUM('Graph Proposed $'!J75:O75)</f>
        <v>36203353.61283762</v>
      </c>
      <c r="I77" s="133">
        <f>SUM('Graph Proposed $'!P75:R75)</f>
        <v>-20986506.368897311</v>
      </c>
      <c r="J77" s="133">
        <f>SUM('Graph Future $'!J75:O75)</f>
        <v>128486449.57265039</v>
      </c>
      <c r="K77" s="133">
        <f>SUM('Graph Future $'!P75:R75)</f>
        <v>17056058.204943396</v>
      </c>
      <c r="L77" s="133">
        <f>SUM('RPS Spend Model'!F75:H75)</f>
        <v>13125986.277330022</v>
      </c>
      <c r="M77" s="134">
        <f>'RPS Spend Model'!V75</f>
        <v>359237629.86535466</v>
      </c>
      <c r="N77" s="134">
        <f>'RPS Spend Model'!U75</f>
        <v>455070308.50757402</v>
      </c>
      <c r="O77" s="134">
        <f>'RPS Spend Model'!W75</f>
        <v>95832678.642219365</v>
      </c>
      <c r="Q77" s="132" t="s">
        <v>60</v>
      </c>
      <c r="R77" s="135">
        <f t="shared" si="31"/>
        <v>16197396.378808051</v>
      </c>
      <c r="S77" s="135">
        <f t="shared" si="32"/>
        <v>30930675.419474825</v>
      </c>
      <c r="T77" s="135">
        <f t="shared" si="33"/>
        <v>15216847.243940309</v>
      </c>
      <c r="U77" s="135">
        <f t="shared" si="34"/>
        <v>145542507.77759379</v>
      </c>
      <c r="V77" s="135">
        <f t="shared" si="35"/>
        <v>13125986.277330022</v>
      </c>
      <c r="W77" s="135">
        <f t="shared" si="36"/>
        <v>455070308.50757402</v>
      </c>
    </row>
    <row r="78" spans="2:23" ht="15" thickBot="1" x14ac:dyDescent="0.35">
      <c r="B78" s="132" t="s">
        <v>61</v>
      </c>
      <c r="C78" s="133">
        <f>'RPS Spend Model'!E76</f>
        <v>4261079.6921323007</v>
      </c>
      <c r="D78" s="133">
        <f>SUM('RPS Spend Model'!B76:D76)</f>
        <v>0</v>
      </c>
      <c r="E78" s="142">
        <f>'RPS Spend Model'!I76</f>
        <v>0</v>
      </c>
      <c r="F78" s="133">
        <f>SUM('Graph Pre-Plan In Progrss $'!J76:O76)</f>
        <v>15388011.021188725</v>
      </c>
      <c r="G78" s="133">
        <f>SUM('Graph Pre-Plan In Progrss $'!J76:O76)</f>
        <v>15388011.021188725</v>
      </c>
      <c r="H78" s="133">
        <f>SUM('Graph Proposed $'!J76:O76)</f>
        <v>36022336.844773434</v>
      </c>
      <c r="I78" s="133">
        <f>SUM('Graph Proposed $'!P76:R76)</f>
        <v>-26019666.456613664</v>
      </c>
      <c r="J78" s="133">
        <f>SUM('Graph Future $'!J76:O76)</f>
        <v>111184683.63245836</v>
      </c>
      <c r="K78" s="133">
        <f>SUM('Graph Future $'!P76:R76)</f>
        <v>-10700104.29521494</v>
      </c>
      <c r="L78" s="133">
        <f>SUM('RPS Spend Model'!F76:H76)</f>
        <v>13183638.296454208</v>
      </c>
      <c r="M78" s="134">
        <f>'RPS Spend Model'!V76</f>
        <v>307568815.11380225</v>
      </c>
      <c r="N78" s="134">
        <f>'RPS Spend Model'!U76</f>
        <v>543961697.09991145</v>
      </c>
      <c r="O78" s="134">
        <f>'RPS Spend Model'!W76</f>
        <v>236392881.9861092</v>
      </c>
      <c r="Q78" s="132" t="s">
        <v>61</v>
      </c>
      <c r="R78" s="135">
        <f t="shared" si="31"/>
        <v>4261079.6921323007</v>
      </c>
      <c r="S78" s="135">
        <f t="shared" si="32"/>
        <v>30776022.04237745</v>
      </c>
      <c r="T78" s="135">
        <f t="shared" si="33"/>
        <v>10002670.388159771</v>
      </c>
      <c r="U78" s="135">
        <f t="shared" si="34"/>
        <v>100484579.33724342</v>
      </c>
      <c r="V78" s="135">
        <f t="shared" si="35"/>
        <v>13183638.296454208</v>
      </c>
      <c r="W78" s="135">
        <f t="shared" si="36"/>
        <v>543961697.09991145</v>
      </c>
    </row>
    <row r="79" spans="2:23" ht="15" thickBot="1" x14ac:dyDescent="0.35">
      <c r="B79" s="132" t="s">
        <v>62</v>
      </c>
      <c r="C79" s="133">
        <f>'RPS Spend Model'!E77</f>
        <v>4261079.6921323007</v>
      </c>
      <c r="D79" s="133">
        <f>SUM('RPS Spend Model'!B77:D77)</f>
        <v>0</v>
      </c>
      <c r="E79" s="142">
        <f>'RPS Spend Model'!I77</f>
        <v>0</v>
      </c>
      <c r="F79" s="133">
        <f>SUM('Graph Pre-Plan In Progrss $'!J77:O77)</f>
        <v>15311070.966082785</v>
      </c>
      <c r="G79" s="133">
        <f>SUM('Graph Pre-Plan In Progrss $'!J77:O77)</f>
        <v>15311070.966082785</v>
      </c>
      <c r="H79" s="133">
        <f>SUM('Graph Proposed $'!J77:O77)</f>
        <v>35842225.160549566</v>
      </c>
      <c r="I79" s="133">
        <f>SUM('Graph Proposed $'!P77:R77)</f>
        <v>-31134577.364458673</v>
      </c>
      <c r="J79" s="133">
        <f>SUM('Graph Future $'!J77:O77)</f>
        <v>94558861.882545397</v>
      </c>
      <c r="K79" s="133">
        <f>SUM('Graph Future $'!P77:R77)</f>
        <v>-39001690.826205842</v>
      </c>
      <c r="L79" s="133">
        <f>SUM('RPS Spend Model'!F77:H77)</f>
        <v>13191882.907300744</v>
      </c>
      <c r="M79" s="134">
        <f>'RPS Spend Model'!V77</f>
        <v>264879938.73820516</v>
      </c>
      <c r="N79" s="134">
        <f>'RPS Spend Model'!U77</f>
        <v>684900912.16948295</v>
      </c>
      <c r="O79" s="134">
        <f>'RPS Spend Model'!W77</f>
        <v>420020973.43127775</v>
      </c>
      <c r="Q79" s="132" t="s">
        <v>62</v>
      </c>
      <c r="R79" s="135">
        <f t="shared" si="31"/>
        <v>4261079.6921323007</v>
      </c>
      <c r="S79" s="135">
        <f t="shared" si="32"/>
        <v>30622141.932165571</v>
      </c>
      <c r="T79" s="135">
        <f t="shared" si="33"/>
        <v>4707647.7960908934</v>
      </c>
      <c r="U79" s="135">
        <f t="shared" si="34"/>
        <v>55557171.056339554</v>
      </c>
      <c r="V79" s="135">
        <f t="shared" si="35"/>
        <v>13191882.907300744</v>
      </c>
      <c r="W79" s="135">
        <f t="shared" si="36"/>
        <v>684900912.16948295</v>
      </c>
    </row>
    <row r="80" spans="2:23" ht="15" thickBot="1" x14ac:dyDescent="0.35">
      <c r="B80" s="132" t="s">
        <v>63</v>
      </c>
      <c r="C80" s="133">
        <f>'RPS Spend Model'!E78</f>
        <v>4261079.6921323007</v>
      </c>
      <c r="D80" s="133">
        <f>SUM('RPS Spend Model'!B78:D78)</f>
        <v>0</v>
      </c>
      <c r="E80" s="142">
        <f>'RPS Spend Model'!I78</f>
        <v>0</v>
      </c>
      <c r="F80" s="133">
        <f>SUM('Graph Pre-Plan In Progrss $'!J78:O78)</f>
        <v>15234515.611252367</v>
      </c>
      <c r="G80" s="133">
        <f>SUM('Graph Pre-Plan In Progrss $'!J78:O78)</f>
        <v>15234515.611252367</v>
      </c>
      <c r="H80" s="133">
        <f>SUM('Graph Proposed $'!J78:O78)</f>
        <v>35663014.034746826</v>
      </c>
      <c r="I80" s="133">
        <f>SUM('Graph Proposed $'!P78:R78)</f>
        <v>-36332829.054508574</v>
      </c>
      <c r="J80" s="133">
        <f>SUM('Graph Future $'!J78:O78)</f>
        <v>90775760.493798181</v>
      </c>
      <c r="K80" s="133">
        <f>SUM('Graph Future $'!P78:R78)</f>
        <v>-67859588.041940272</v>
      </c>
      <c r="L80" s="133">
        <f>SUM('RPS Spend Model'!F78:H78)</f>
        <v>13231432.043342641</v>
      </c>
      <c r="M80" s="134">
        <f>'RPS Spend Model'!V78</f>
        <v>217422058.35288599</v>
      </c>
      <c r="N80" s="134">
        <f>'RPS Spend Model'!U78</f>
        <v>870348498.93305469</v>
      </c>
      <c r="O80" s="134">
        <f>'RPS Spend Model'!W78</f>
        <v>652926440.58016872</v>
      </c>
      <c r="Q80" s="132" t="s">
        <v>63</v>
      </c>
      <c r="R80" s="135">
        <f t="shared" si="31"/>
        <v>4261079.6921323007</v>
      </c>
      <c r="S80" s="135">
        <f t="shared" si="32"/>
        <v>30469031.222504735</v>
      </c>
      <c r="T80" s="135">
        <f t="shared" si="33"/>
        <v>-669815.01976174861</v>
      </c>
      <c r="U80" s="135">
        <f t="shared" si="34"/>
        <v>22916172.45185791</v>
      </c>
      <c r="V80" s="135">
        <f t="shared" si="35"/>
        <v>13231432.043342641</v>
      </c>
      <c r="W80" s="135">
        <f t="shared" si="36"/>
        <v>870348498.93305469</v>
      </c>
    </row>
    <row r="81" spans="2:23" ht="15" thickBot="1" x14ac:dyDescent="0.35">
      <c r="B81" s="132" t="s">
        <v>64</v>
      </c>
      <c r="C81" s="133">
        <f>'RPS Spend Model'!E79</f>
        <v>4261079.6921323007</v>
      </c>
      <c r="D81" s="133">
        <f>SUM('RPS Spend Model'!B79:D79)</f>
        <v>0</v>
      </c>
      <c r="E81" s="142">
        <f>'RPS Spend Model'!I79</f>
        <v>0</v>
      </c>
      <c r="F81" s="133">
        <f>SUM('Graph Pre-Plan In Progrss $'!J79:O79)</f>
        <v>15158343.033196107</v>
      </c>
      <c r="G81" s="133">
        <f>SUM('Graph Pre-Plan In Progrss $'!J79:O79)</f>
        <v>15158343.033196107</v>
      </c>
      <c r="H81" s="133">
        <f>SUM('Graph Proposed $'!J79:O79)</f>
        <v>35484698.964573085</v>
      </c>
      <c r="I81" s="133">
        <f>SUM('Graph Proposed $'!P79:R79)</f>
        <v>-41616041.433070935</v>
      </c>
      <c r="J81" s="133">
        <f>SUM('Graph Future $'!J79:O79)</f>
        <v>90321881.691329211</v>
      </c>
      <c r="K81" s="133">
        <f>SUM('Graph Future $'!P79:R79)</f>
        <v>-97284899.390731454</v>
      </c>
      <c r="L81" s="133">
        <f>SUM('RPS Spend Model'!F79:H79)</f>
        <v>13231432.043342641</v>
      </c>
      <c r="M81" s="134">
        <f>'RPS Spend Model'!V79</f>
        <v>168442620.08647066</v>
      </c>
      <c r="N81" s="134">
        <f>'RPS Spend Model'!U79</f>
        <v>1103253966.0819457</v>
      </c>
      <c r="O81" s="134">
        <f>'RPS Spend Model'!W79</f>
        <v>934811345.99547505</v>
      </c>
      <c r="Q81" s="132" t="s">
        <v>64</v>
      </c>
      <c r="R81" s="135">
        <f t="shared" si="31"/>
        <v>4261079.6921323007</v>
      </c>
      <c r="S81" s="135">
        <f t="shared" si="32"/>
        <v>30316686.066392213</v>
      </c>
      <c r="T81" s="135">
        <f t="shared" si="33"/>
        <v>-6131342.46849785</v>
      </c>
      <c r="U81" s="135">
        <f t="shared" si="34"/>
        <v>-6963017.6994022429</v>
      </c>
      <c r="V81" s="135">
        <f t="shared" si="35"/>
        <v>13231432.043342641</v>
      </c>
      <c r="W81" s="135">
        <f t="shared" si="36"/>
        <v>1103253966.0819457</v>
      </c>
    </row>
    <row r="82" spans="2:23" ht="15" thickBot="1" x14ac:dyDescent="0.35">
      <c r="B82" s="132" t="s">
        <v>65</v>
      </c>
      <c r="C82" s="133">
        <f>'RPS Spend Model'!E80</f>
        <v>4261079.6921323007</v>
      </c>
      <c r="D82" s="133">
        <f>SUM('RPS Spend Model'!B80:D80)</f>
        <v>0</v>
      </c>
      <c r="E82" s="142">
        <f>'RPS Spend Model'!I80</f>
        <v>0</v>
      </c>
      <c r="F82" s="133">
        <f>SUM('Graph Pre-Plan In Progrss $'!J80:O80)</f>
        <v>15082551.318030125</v>
      </c>
      <c r="G82" s="133">
        <f>SUM('Graph Pre-Plan In Progrss $'!J80:O80)</f>
        <v>15082551.318030125</v>
      </c>
      <c r="H82" s="133">
        <f>SUM('Graph Proposed $'!J80:O80)</f>
        <v>35307275.469750226</v>
      </c>
      <c r="I82" s="133">
        <f>SUM('Graph Proposed $'!P80:R80)</f>
        <v>-46985864.927847996</v>
      </c>
      <c r="J82" s="133">
        <f>SUM('Graph Future $'!J80:O80)</f>
        <v>89870272.282872558</v>
      </c>
      <c r="K82" s="133">
        <f>SUM('Graph Future $'!P80:R80)</f>
        <v>-127288949.44026347</v>
      </c>
      <c r="L82" s="133">
        <f>SUM('RPS Spend Model'!F80:H80)</f>
        <v>13231432.043342641</v>
      </c>
      <c r="M82" s="134">
        <f>'RPS Spend Model'!V80</f>
        <v>121699913.22487439</v>
      </c>
      <c r="N82" s="134">
        <f>'RPS Spend Model'!U80</f>
        <v>1385138871.497252</v>
      </c>
      <c r="O82" s="134">
        <f>'RPS Spend Model'!W80</f>
        <v>1263438958.2723775</v>
      </c>
      <c r="Q82" s="132" t="s">
        <v>65</v>
      </c>
      <c r="R82" s="135">
        <f t="shared" si="31"/>
        <v>4261079.6921323007</v>
      </c>
      <c r="S82" s="135">
        <f t="shared" si="32"/>
        <v>30165102.636060249</v>
      </c>
      <c r="T82" s="135">
        <f t="shared" si="33"/>
        <v>-11678589.458097771</v>
      </c>
      <c r="U82" s="135">
        <f t="shared" si="34"/>
        <v>-37418677.157390907</v>
      </c>
      <c r="V82" s="135">
        <f t="shared" si="35"/>
        <v>13231432.043342641</v>
      </c>
      <c r="W82" s="135">
        <f t="shared" si="36"/>
        <v>1385138871.497252</v>
      </c>
    </row>
    <row r="83" spans="2:23" ht="15" thickBot="1" x14ac:dyDescent="0.35">
      <c r="B83" s="132" t="s">
        <v>66</v>
      </c>
      <c r="C83" s="133">
        <f>'RPS Spend Model'!E81</f>
        <v>4261079.6921323007</v>
      </c>
      <c r="D83" s="133">
        <f>SUM('RPS Spend Model'!B81:D81)</f>
        <v>0</v>
      </c>
      <c r="E83" s="142">
        <f>'RPS Spend Model'!I81</f>
        <v>0</v>
      </c>
      <c r="F83" s="133">
        <f>SUM('Graph Pre-Plan In Progrss $'!J81:O81)</f>
        <v>15007138.561439974</v>
      </c>
      <c r="G83" s="133">
        <f>SUM('Graph Pre-Plan In Progrss $'!J81:O81)</f>
        <v>15007138.561439974</v>
      </c>
      <c r="H83" s="133">
        <f>SUM('Graph Proposed $'!J81:O81)</f>
        <v>35130739.092401475</v>
      </c>
      <c r="I83" s="133">
        <f>SUM('Graph Proposed $'!P81:R81)</f>
        <v>-52443981.076290309</v>
      </c>
      <c r="J83" s="133">
        <f>SUM('Graph Future $'!J81:O81)</f>
        <v>89420920.9214582</v>
      </c>
      <c r="K83" s="133">
        <f>SUM('Graph Future $'!P81:R81)</f>
        <v>-157883288.28888214</v>
      </c>
      <c r="L83" s="133">
        <f>SUM('RPS Spend Model'!F81:H81)</f>
        <v>13231432.043342641</v>
      </c>
      <c r="M83" s="134">
        <f>'RPS Spend Model'!V81</f>
        <v>40312017.874700069</v>
      </c>
      <c r="N83" s="134">
        <f>'RPS Spend Model'!U81</f>
        <v>1713766483.7741544</v>
      </c>
      <c r="O83" s="134">
        <f>'RPS Spend Model'!W81</f>
        <v>1673454465.8994544</v>
      </c>
      <c r="Q83" s="132" t="s">
        <v>66</v>
      </c>
      <c r="R83" s="135">
        <f t="shared" si="31"/>
        <v>4261079.6921323007</v>
      </c>
      <c r="S83" s="135">
        <f t="shared" si="32"/>
        <v>30014277.122879948</v>
      </c>
      <c r="T83" s="135">
        <f t="shared" si="33"/>
        <v>-17313241.983888835</v>
      </c>
      <c r="U83" s="135">
        <f t="shared" si="34"/>
        <v>-68462367.367423937</v>
      </c>
      <c r="V83" s="135">
        <f t="shared" si="35"/>
        <v>13231432.043342641</v>
      </c>
      <c r="W83" s="135">
        <f t="shared" si="36"/>
        <v>1713766483.7741544</v>
      </c>
    </row>
    <row r="84" spans="2:23" ht="15" thickBot="1" x14ac:dyDescent="0.35">
      <c r="B84" s="132" t="s">
        <v>67</v>
      </c>
      <c r="C84" s="133">
        <f>'RPS Spend Model'!E82</f>
        <v>4261079.6921323007</v>
      </c>
      <c r="D84" s="133">
        <f>SUM('RPS Spend Model'!B82:D82)</f>
        <v>0</v>
      </c>
      <c r="E84" s="142">
        <f>'RPS Spend Model'!I82</f>
        <v>0</v>
      </c>
      <c r="F84" s="133">
        <f>SUM('Graph Pre-Plan In Progrss $'!J82:O82)</f>
        <v>14903845.104030155</v>
      </c>
      <c r="G84" s="133">
        <f>SUM('Graph Pre-Plan In Progrss $'!J82:O82)</f>
        <v>14903845.104030155</v>
      </c>
      <c r="H84" s="133">
        <f>SUM('Graph Proposed $'!J82:O82)</f>
        <v>23096999.976289731</v>
      </c>
      <c r="I84" s="133">
        <f>SUM('Graph Proposed $'!P82:R82)</f>
        <v>-57992103.125358887</v>
      </c>
      <c r="J84" s="133">
        <f>SUM('Graph Future $'!J82:O82)</f>
        <v>88973816.316850901</v>
      </c>
      <c r="K84" s="133">
        <f>SUM('Graph Future $'!P82:R82)</f>
        <v>-189079696.06493023</v>
      </c>
      <c r="L84" s="133">
        <f>SUM('RPS Spend Model'!F82:H82)</f>
        <v>13231432.043342641</v>
      </c>
      <c r="M84" s="134">
        <f>'RPS Spend Model'!V82</f>
        <v>-32332178.572336473</v>
      </c>
      <c r="N84" s="134">
        <f>'RPS Spend Model'!U82</f>
        <v>2123781991.4012313</v>
      </c>
      <c r="O84" s="134">
        <f>'RPS Spend Model'!W82</f>
        <v>2156114169.973568</v>
      </c>
      <c r="Q84" s="132" t="s">
        <v>67</v>
      </c>
      <c r="R84" s="135">
        <f t="shared" si="31"/>
        <v>4261079.6921323007</v>
      </c>
      <c r="S84" s="135">
        <f t="shared" si="32"/>
        <v>29807690.208060309</v>
      </c>
      <c r="T84" s="135">
        <f t="shared" si="33"/>
        <v>-34895103.14906916</v>
      </c>
      <c r="U84" s="135">
        <f t="shared" si="34"/>
        <v>-100105879.74807933</v>
      </c>
      <c r="V84" s="135">
        <f t="shared" si="35"/>
        <v>13231432.043342641</v>
      </c>
      <c r="W84" s="135">
        <f t="shared" si="36"/>
        <v>2123781991.4012313</v>
      </c>
    </row>
    <row r="87" spans="2:23" ht="15" thickBot="1" x14ac:dyDescent="0.35">
      <c r="B87" s="125" t="s">
        <v>130</v>
      </c>
    </row>
    <row r="88" spans="2:23" ht="15" thickBot="1" x14ac:dyDescent="0.35">
      <c r="B88" s="300" t="s">
        <v>161</v>
      </c>
      <c r="C88" s="298"/>
      <c r="D88" s="298"/>
      <c r="E88" s="299"/>
      <c r="F88" s="301" t="s">
        <v>162</v>
      </c>
      <c r="G88" s="298"/>
      <c r="H88" s="303" t="s">
        <v>163</v>
      </c>
      <c r="I88" s="304"/>
      <c r="J88" s="305" t="s">
        <v>164</v>
      </c>
      <c r="K88" s="304"/>
      <c r="L88" s="128"/>
      <c r="M88" s="207"/>
      <c r="N88" s="207"/>
      <c r="O88" s="207"/>
    </row>
    <row r="89" spans="2:23" ht="31.2" thickBot="1" x14ac:dyDescent="0.35">
      <c r="B89" s="129" t="s">
        <v>43</v>
      </c>
      <c r="C89" s="130" t="s">
        <v>166</v>
      </c>
      <c r="D89" s="130" t="s">
        <v>167</v>
      </c>
      <c r="E89" s="131" t="s">
        <v>168</v>
      </c>
      <c r="F89" s="130" t="s">
        <v>169</v>
      </c>
      <c r="G89" s="131" t="s">
        <v>170</v>
      </c>
      <c r="H89" s="130" t="s">
        <v>171</v>
      </c>
      <c r="I89" s="131" t="s">
        <v>172</v>
      </c>
      <c r="J89" s="130" t="s">
        <v>173</v>
      </c>
      <c r="K89" s="130" t="s">
        <v>174</v>
      </c>
      <c r="L89" s="130" t="s">
        <v>175</v>
      </c>
      <c r="M89" s="130" t="s">
        <v>176</v>
      </c>
      <c r="N89" s="130" t="s">
        <v>226</v>
      </c>
      <c r="O89" s="140" t="s">
        <v>124</v>
      </c>
      <c r="Q89" s="139" t="s">
        <v>43</v>
      </c>
      <c r="R89" s="140" t="s">
        <v>161</v>
      </c>
      <c r="S89" s="140" t="s">
        <v>162</v>
      </c>
      <c r="T89" s="140" t="s">
        <v>163</v>
      </c>
      <c r="U89" s="140" t="s">
        <v>164</v>
      </c>
      <c r="V89" s="140" t="s">
        <v>175</v>
      </c>
      <c r="W89" s="140" t="s">
        <v>226</v>
      </c>
    </row>
    <row r="90" spans="2:23" ht="15" thickBot="1" x14ac:dyDescent="0.35">
      <c r="B90" s="132" t="s">
        <v>45</v>
      </c>
      <c r="C90" s="133">
        <f>'RPS Spend Model'!E88</f>
        <v>0</v>
      </c>
      <c r="D90" s="133">
        <f>SUM('RPS Spend Model'!B88:D88)</f>
        <v>552854.0252101497</v>
      </c>
      <c r="E90" s="134">
        <f>'RPS Spend Model'!I88</f>
        <v>9408.9599999999991</v>
      </c>
      <c r="F90" s="133">
        <f>SUM('Graph Pre-Plan In Progrss $'!J88:O88)</f>
        <v>0</v>
      </c>
      <c r="G90" s="133">
        <f>SUM('Graph Pre-Plan In Progrss $'!J88:O88)</f>
        <v>0</v>
      </c>
      <c r="H90" s="133">
        <f>SUM('Graph Proposed $'!J88:O88)</f>
        <v>0</v>
      </c>
      <c r="I90" s="133">
        <f>SUM('Graph Proposed $'!P88:R88)</f>
        <v>0</v>
      </c>
      <c r="J90" s="133">
        <f>SUM('Graph Future $'!J88:O88)</f>
        <v>0</v>
      </c>
      <c r="K90" s="133">
        <f>SUM('Graph Future $'!P88:R88)</f>
        <v>0</v>
      </c>
      <c r="L90" s="133">
        <f>SUM('RPS Spend Model'!F88:H88)</f>
        <v>42704.745738421196</v>
      </c>
      <c r="M90" s="134">
        <f>'RPS Spend Model'!V88</f>
        <v>604967.73094857088</v>
      </c>
      <c r="N90" s="134">
        <f>'RPS Spend Model'!U88</f>
        <v>1073238.6323656063</v>
      </c>
      <c r="O90" s="134">
        <f>'RPS Spend Model'!W88</f>
        <v>468270.90141703538</v>
      </c>
      <c r="Q90" s="132" t="s">
        <v>45</v>
      </c>
      <c r="R90" s="135">
        <f t="shared" ref="R90:R100" si="37">SUM(C90:E90)</f>
        <v>562262.98521014967</v>
      </c>
      <c r="S90" s="135">
        <f t="shared" ref="S90:S100" si="38">SUM(F90:G90)</f>
        <v>0</v>
      </c>
      <c r="T90" s="135">
        <f t="shared" ref="T90:T100" si="39">SUM(H90:I90)</f>
        <v>0</v>
      </c>
      <c r="U90" s="135">
        <f t="shared" ref="U90:U100" si="40">SUM(J90:K90)</f>
        <v>0</v>
      </c>
      <c r="V90" s="135">
        <f t="shared" ref="V90:V100" si="41">L90</f>
        <v>42704.745738421196</v>
      </c>
      <c r="W90" s="135">
        <f t="shared" ref="W90:W100" si="42">N90</f>
        <v>1073238.6323656063</v>
      </c>
    </row>
    <row r="91" spans="2:23" ht="15" thickBot="1" x14ac:dyDescent="0.35">
      <c r="B91" s="132" t="s">
        <v>46</v>
      </c>
      <c r="C91" s="133">
        <f>'RPS Spend Model'!E89</f>
        <v>0</v>
      </c>
      <c r="D91" s="133">
        <f>SUM('RPS Spend Model'!B89:D89)</f>
        <v>524823.82238178002</v>
      </c>
      <c r="E91" s="134">
        <f>'RPS Spend Model'!I89</f>
        <v>55160.941677111034</v>
      </c>
      <c r="F91" s="133">
        <f>SUM('Graph Pre-Plan In Progrss $'!J89:O89)</f>
        <v>0</v>
      </c>
      <c r="G91" s="133">
        <f>SUM('Graph Pre-Plan In Progrss $'!J89:O89)</f>
        <v>0</v>
      </c>
      <c r="H91" s="133">
        <f>SUM('Graph Proposed $'!J89:O89)</f>
        <v>0</v>
      </c>
      <c r="I91" s="133">
        <f>SUM('Graph Proposed $'!P89:R89)</f>
        <v>0</v>
      </c>
      <c r="J91" s="133">
        <f>SUM('Graph Future $'!J89:O89)</f>
        <v>0</v>
      </c>
      <c r="K91" s="133">
        <f>SUM('Graph Future $'!P89:R89)</f>
        <v>0</v>
      </c>
      <c r="L91" s="133">
        <f>SUM('RPS Spend Model'!F89:H89)</f>
        <v>151542.86016899752</v>
      </c>
      <c r="M91" s="134">
        <f>'RPS Spend Model'!V89</f>
        <v>731527.62422788865</v>
      </c>
      <c r="N91" s="134">
        <f>'RPS Spend Model'!U89</f>
        <v>1621704.423583702</v>
      </c>
      <c r="O91" s="134">
        <f>'RPS Spend Model'!W89</f>
        <v>890176.7993558133</v>
      </c>
      <c r="Q91" s="132" t="s">
        <v>46</v>
      </c>
      <c r="R91" s="135">
        <f t="shared" si="37"/>
        <v>579984.7640588911</v>
      </c>
      <c r="S91" s="135">
        <f t="shared" si="38"/>
        <v>0</v>
      </c>
      <c r="T91" s="135">
        <f t="shared" si="39"/>
        <v>0</v>
      </c>
      <c r="U91" s="135">
        <f t="shared" si="40"/>
        <v>0</v>
      </c>
      <c r="V91" s="135">
        <f t="shared" si="41"/>
        <v>151542.86016899752</v>
      </c>
      <c r="W91" s="135">
        <f t="shared" si="42"/>
        <v>1621704.423583702</v>
      </c>
    </row>
    <row r="92" spans="2:23" ht="15" thickBot="1" x14ac:dyDescent="0.35">
      <c r="B92" s="132" t="s">
        <v>47</v>
      </c>
      <c r="C92" s="133">
        <f>'RPS Spend Model'!E90</f>
        <v>0</v>
      </c>
      <c r="D92" s="133">
        <f>SUM('RPS Spend Model'!B90:D90)</f>
        <v>427140.99047095468</v>
      </c>
      <c r="E92" s="134">
        <f>'RPS Spend Model'!I90</f>
        <v>72838.411677111028</v>
      </c>
      <c r="F92" s="133">
        <f>SUM('Graph Pre-Plan In Progrss $'!J90:O90)</f>
        <v>356180.76253750734</v>
      </c>
      <c r="G92" s="133">
        <f>SUM('Graph Pre-Plan In Progrss $'!J90:O90)</f>
        <v>356180.76253750734</v>
      </c>
      <c r="H92" s="133">
        <f>SUM('Graph Proposed $'!J90:O90)</f>
        <v>616488.88421783771</v>
      </c>
      <c r="I92" s="133">
        <f>SUM('Graph Proposed $'!P90:R90)</f>
        <v>0</v>
      </c>
      <c r="J92" s="133">
        <f>SUM('Graph Future $'!J90:O90)</f>
        <v>0</v>
      </c>
      <c r="K92" s="133">
        <f>SUM('Graph Future $'!P90:R90)</f>
        <v>0</v>
      </c>
      <c r="L92" s="133">
        <f>SUM('RPS Spend Model'!F90:H90)</f>
        <v>160268.61889218818</v>
      </c>
      <c r="M92" s="134">
        <f>'RPS Spend Model'!V90</f>
        <v>1632917.667795599</v>
      </c>
      <c r="N92" s="134">
        <f>'RPS Spend Model'!U90</f>
        <v>2282825.9243558133</v>
      </c>
      <c r="O92" s="134">
        <f>'RPS Spend Model'!W90</f>
        <v>649908.25656021433</v>
      </c>
      <c r="Q92" s="132" t="s">
        <v>47</v>
      </c>
      <c r="R92" s="135">
        <f t="shared" si="37"/>
        <v>499979.40214806574</v>
      </c>
      <c r="S92" s="135">
        <f t="shared" si="38"/>
        <v>712361.52507501468</v>
      </c>
      <c r="T92" s="135">
        <f t="shared" si="39"/>
        <v>616488.88421783771</v>
      </c>
      <c r="U92" s="135">
        <f t="shared" si="40"/>
        <v>0</v>
      </c>
      <c r="V92" s="135">
        <f t="shared" si="41"/>
        <v>160268.61889218818</v>
      </c>
      <c r="W92" s="135">
        <f t="shared" si="42"/>
        <v>2282825.9243558133</v>
      </c>
    </row>
    <row r="93" spans="2:23" ht="15" thickBot="1" x14ac:dyDescent="0.35">
      <c r="B93" s="132" t="s">
        <v>48</v>
      </c>
      <c r="C93" s="133">
        <f>'RPS Spend Model'!E91</f>
        <v>0</v>
      </c>
      <c r="D93" s="133">
        <f>SUM('RPS Spend Model'!B91:D91)</f>
        <v>389997.19590530987</v>
      </c>
      <c r="E93" s="134">
        <f>'RPS Spend Model'!I91</f>
        <v>72836.679055108369</v>
      </c>
      <c r="F93" s="133">
        <f>SUM('Graph Pre-Plan In Progrss $'!J91:O91)</f>
        <v>80727.112166379404</v>
      </c>
      <c r="G93" s="133">
        <f>SUM('Graph Pre-Plan In Progrss $'!J91:O91)</f>
        <v>80727.112166379404</v>
      </c>
      <c r="H93" s="133">
        <f>SUM('Graph Proposed $'!J91:O91)</f>
        <v>636392.6441325827</v>
      </c>
      <c r="I93" s="133">
        <f>SUM('Graph Proposed $'!P91:R91)</f>
        <v>0</v>
      </c>
      <c r="J93" s="133">
        <f>SUM('Graph Future $'!J91:O91)</f>
        <v>0</v>
      </c>
      <c r="K93" s="133">
        <f>SUM('Graph Future $'!P91:R91)</f>
        <v>0</v>
      </c>
      <c r="L93" s="133">
        <f>SUM('RPS Spend Model'!F91:H91)</f>
        <v>160377.07888086714</v>
      </c>
      <c r="M93" s="134">
        <f>'RPS Spend Model'!V91</f>
        <v>1340330.7101402476</v>
      </c>
      <c r="N93" s="134">
        <f>'RPS Spend Model'!U91</f>
        <v>2043649.3815602143</v>
      </c>
      <c r="O93" s="134">
        <f>'RPS Spend Model'!W91</f>
        <v>703318.67141996673</v>
      </c>
      <c r="Q93" s="132" t="s">
        <v>48</v>
      </c>
      <c r="R93" s="135">
        <f t="shared" si="37"/>
        <v>462833.87496041821</v>
      </c>
      <c r="S93" s="135">
        <f t="shared" si="38"/>
        <v>161454.22433275881</v>
      </c>
      <c r="T93" s="135">
        <f t="shared" si="39"/>
        <v>636392.6441325827</v>
      </c>
      <c r="U93" s="135">
        <f t="shared" si="40"/>
        <v>0</v>
      </c>
      <c r="V93" s="135">
        <f t="shared" si="41"/>
        <v>160377.07888086714</v>
      </c>
      <c r="W93" s="135">
        <f t="shared" si="42"/>
        <v>2043649.3815602143</v>
      </c>
    </row>
    <row r="94" spans="2:23" ht="15" thickBot="1" x14ac:dyDescent="0.35">
      <c r="B94" s="132" t="s">
        <v>49</v>
      </c>
      <c r="C94" s="133">
        <f>'RPS Spend Model'!E92</f>
        <v>0</v>
      </c>
      <c r="D94" s="133">
        <f>SUM('RPS Spend Model'!B92:D92)</f>
        <v>328631.35096070985</v>
      </c>
      <c r="E94" s="134">
        <f>'RPS Spend Model'!I92</f>
        <v>72836.679055108369</v>
      </c>
      <c r="F94" s="133">
        <f>SUM('Graph Pre-Plan In Progrss $'!J92:O92)</f>
        <v>80377.140121727673</v>
      </c>
      <c r="G94" s="133">
        <f>SUM('Graph Pre-Plan In Progrss $'!J92:O92)</f>
        <v>80377.140121727673</v>
      </c>
      <c r="H94" s="133">
        <f>SUM('Graph Proposed $'!J92:O92)</f>
        <v>316621.20404184161</v>
      </c>
      <c r="I94" s="133">
        <f>SUM('Graph Proposed $'!P92:R92)</f>
        <v>0</v>
      </c>
      <c r="J94" s="133">
        <f>SUM('Graph Future $'!J92:O92)</f>
        <v>423605.44553381065</v>
      </c>
      <c r="K94" s="133">
        <f>SUM('Graph Future $'!P92:R92)</f>
        <v>0</v>
      </c>
      <c r="L94" s="133">
        <f>SUM('RPS Spend Model'!F92:H92)</f>
        <v>160243.88874601724</v>
      </c>
      <c r="M94" s="134">
        <f>'RPS Spend Model'!V92</f>
        <v>1382315.7084592152</v>
      </c>
      <c r="N94" s="134">
        <f>'RPS Spend Model'!U92</f>
        <v>2095826.0464199667</v>
      </c>
      <c r="O94" s="134">
        <f>'RPS Spend Model'!W92</f>
        <v>713510.33796075149</v>
      </c>
      <c r="Q94" s="132" t="s">
        <v>49</v>
      </c>
      <c r="R94" s="135">
        <f t="shared" si="37"/>
        <v>401468.03001581819</v>
      </c>
      <c r="S94" s="135">
        <f t="shared" si="38"/>
        <v>160754.28024345535</v>
      </c>
      <c r="T94" s="135">
        <f t="shared" si="39"/>
        <v>316621.20404184161</v>
      </c>
      <c r="U94" s="135">
        <f t="shared" si="40"/>
        <v>423605.44553381065</v>
      </c>
      <c r="V94" s="135">
        <f t="shared" si="41"/>
        <v>160243.88874601724</v>
      </c>
      <c r="W94" s="135">
        <f t="shared" si="42"/>
        <v>2095826.0464199667</v>
      </c>
    </row>
    <row r="95" spans="2:23" ht="15" thickBot="1" x14ac:dyDescent="0.35">
      <c r="B95" s="132" t="s">
        <v>50</v>
      </c>
      <c r="C95" s="133">
        <f>'RPS Spend Model'!E93</f>
        <v>0</v>
      </c>
      <c r="D95" s="133">
        <f>SUM('RPS Spend Model'!B93:D93)</f>
        <v>156581.97502404003</v>
      </c>
      <c r="E95" s="134">
        <f>'RPS Spend Model'!I93</f>
        <v>72836.679055108369</v>
      </c>
      <c r="F95" s="133">
        <f>SUM('Graph Pre-Plan In Progrss $'!J93:O93)</f>
        <v>80109.829969442479</v>
      </c>
      <c r="G95" s="133">
        <f>SUM('Graph Pre-Plan In Progrss $'!J93:O93)</f>
        <v>80109.829969442479</v>
      </c>
      <c r="H95" s="133">
        <f>SUM('Graph Proposed $'!J93:O93)</f>
        <v>315143.45224899723</v>
      </c>
      <c r="I95" s="133">
        <f>SUM('Graph Proposed $'!P93:R93)</f>
        <v>28639.737955807072</v>
      </c>
      <c r="J95" s="133">
        <f>SUM('Graph Future $'!J93:O93)</f>
        <v>524756.28108002385</v>
      </c>
      <c r="K95" s="133">
        <f>SUM('Graph Future $'!P93:R93)</f>
        <v>0</v>
      </c>
      <c r="L95" s="133">
        <f>SUM('RPS Spend Model'!F93:H93)</f>
        <v>160101.45303974312</v>
      </c>
      <c r="M95" s="134">
        <f>'RPS Spend Model'!V93</f>
        <v>1363842.8705116231</v>
      </c>
      <c r="N95" s="134">
        <f>'RPS Spend Model'!U93</f>
        <v>2105545.2129607517</v>
      </c>
      <c r="O95" s="134">
        <f>'RPS Spend Model'!W93</f>
        <v>741702.34244912863</v>
      </c>
      <c r="Q95" s="132" t="s">
        <v>50</v>
      </c>
      <c r="R95" s="135">
        <f t="shared" si="37"/>
        <v>229418.6540791484</v>
      </c>
      <c r="S95" s="135">
        <f t="shared" si="38"/>
        <v>160219.65993888496</v>
      </c>
      <c r="T95" s="135">
        <f t="shared" si="39"/>
        <v>343783.1902048043</v>
      </c>
      <c r="U95" s="135">
        <f t="shared" si="40"/>
        <v>524756.28108002385</v>
      </c>
      <c r="V95" s="135">
        <f t="shared" si="41"/>
        <v>160101.45303974312</v>
      </c>
      <c r="W95" s="135">
        <f t="shared" si="42"/>
        <v>2105545.2129607517</v>
      </c>
    </row>
    <row r="96" spans="2:23" ht="15" thickBot="1" x14ac:dyDescent="0.35">
      <c r="B96" s="132" t="s">
        <v>51</v>
      </c>
      <c r="C96" s="133">
        <f>'RPS Spend Model'!E94</f>
        <v>0</v>
      </c>
      <c r="D96" s="133">
        <f>SUM('RPS Spend Model'!B94:D94)</f>
        <v>13185.347056305</v>
      </c>
      <c r="E96" s="134">
        <f>'RPS Spend Model'!I94</f>
        <v>72836.679055108369</v>
      </c>
      <c r="F96" s="133">
        <f>SUM('Graph Pre-Plan In Progrss $'!J94:O94)</f>
        <v>79843.856367918692</v>
      </c>
      <c r="G96" s="133">
        <f>SUM('Graph Pre-Plan In Progrss $'!J94:O94)</f>
        <v>79843.856367918692</v>
      </c>
      <c r="H96" s="133">
        <f>SUM('Graph Proposed $'!J94:O94)</f>
        <v>314520.82527968235</v>
      </c>
      <c r="I96" s="133">
        <f>SUM('Graph Proposed $'!P94:R94)</f>
        <v>68312.332433427742</v>
      </c>
      <c r="J96" s="133">
        <f>SUM('Graph Future $'!J94:O94)</f>
        <v>620791.73296278331</v>
      </c>
      <c r="K96" s="133">
        <f>SUM('Graph Future $'!P94:R94)</f>
        <v>0</v>
      </c>
      <c r="L96" s="133">
        <f>SUM('RPS Spend Model'!F94:H94)</f>
        <v>160147.30012396441</v>
      </c>
      <c r="M96" s="134">
        <f>'RPS Spend Model'!V94</f>
        <v>1351743.4273336707</v>
      </c>
      <c r="N96" s="134">
        <f>'RPS Spend Model'!U94</f>
        <v>2133952.4674491286</v>
      </c>
      <c r="O96" s="134">
        <f>'RPS Spend Model'!W94</f>
        <v>782209.04011545796</v>
      </c>
      <c r="Q96" s="132" t="s">
        <v>51</v>
      </c>
      <c r="R96" s="135">
        <f t="shared" si="37"/>
        <v>86022.026111413375</v>
      </c>
      <c r="S96" s="135">
        <f t="shared" si="38"/>
        <v>159687.71273583738</v>
      </c>
      <c r="T96" s="135">
        <f t="shared" si="39"/>
        <v>382833.15771311009</v>
      </c>
      <c r="U96" s="135">
        <f t="shared" si="40"/>
        <v>620791.73296278331</v>
      </c>
      <c r="V96" s="135">
        <f t="shared" si="41"/>
        <v>160147.30012396441</v>
      </c>
      <c r="W96" s="135">
        <f t="shared" si="42"/>
        <v>2133952.4674491286</v>
      </c>
    </row>
    <row r="97" spans="2:23" ht="15" thickBot="1" x14ac:dyDescent="0.35">
      <c r="B97" s="132" t="s">
        <v>52</v>
      </c>
      <c r="C97" s="133">
        <f>'RPS Spend Model'!E95</f>
        <v>0</v>
      </c>
      <c r="D97" s="133">
        <f>SUM('RPS Spend Model'!B95:D95)</f>
        <v>0</v>
      </c>
      <c r="E97" s="134">
        <f>'RPS Spend Model'!I95</f>
        <v>72836.679055108369</v>
      </c>
      <c r="F97" s="133">
        <f>SUM('Graph Pre-Plan In Progrss $'!J95:O95)</f>
        <v>79579.212634402531</v>
      </c>
      <c r="G97" s="133">
        <f>SUM('Graph Pre-Plan In Progrss $'!J95:O95)</f>
        <v>79579.212634402531</v>
      </c>
      <c r="H97" s="133">
        <f>SUM('Graph Proposed $'!J95:O95)</f>
        <v>313901.31144521403</v>
      </c>
      <c r="I97" s="133">
        <f>SUM('Graph Proposed $'!P95:R95)</f>
        <v>54034.813433741387</v>
      </c>
      <c r="J97" s="133">
        <f>SUM('Graph Future $'!J95:O95)</f>
        <v>712735.58990181796</v>
      </c>
      <c r="K97" s="133">
        <f>SUM('Graph Future $'!P95:R95)</f>
        <v>36282.16443443537</v>
      </c>
      <c r="L97" s="133">
        <f>SUM('RPS Spend Model'!F95:H95)</f>
        <v>160272.25291335082</v>
      </c>
      <c r="M97" s="134">
        <f>'RPS Spend Model'!V95</f>
        <v>1448134.4566373318</v>
      </c>
      <c r="N97" s="134">
        <f>'RPS Spend Model'!U95</f>
        <v>2175553.790115458</v>
      </c>
      <c r="O97" s="134">
        <f>'RPS Spend Model'!W95</f>
        <v>727419.33347812621</v>
      </c>
      <c r="Q97" s="132" t="s">
        <v>52</v>
      </c>
      <c r="R97" s="135">
        <f t="shared" si="37"/>
        <v>72836.679055108369</v>
      </c>
      <c r="S97" s="135">
        <f t="shared" si="38"/>
        <v>159158.42526880506</v>
      </c>
      <c r="T97" s="135">
        <f t="shared" si="39"/>
        <v>367936.12487895542</v>
      </c>
      <c r="U97" s="135">
        <f t="shared" si="40"/>
        <v>749017.75433625327</v>
      </c>
      <c r="V97" s="135">
        <f t="shared" si="41"/>
        <v>160272.25291335082</v>
      </c>
      <c r="W97" s="135">
        <f t="shared" si="42"/>
        <v>2175553.790115458</v>
      </c>
    </row>
    <row r="98" spans="2:23" ht="15" thickBot="1" x14ac:dyDescent="0.35">
      <c r="B98" s="136" t="s">
        <v>53</v>
      </c>
      <c r="C98" s="133">
        <f>'RPS Spend Model'!E96</f>
        <v>0</v>
      </c>
      <c r="D98" s="133">
        <f>SUM('RPS Spend Model'!B96:D96)</f>
        <v>0</v>
      </c>
      <c r="E98" s="134">
        <f>'RPS Spend Model'!I96</f>
        <v>72836.679055108369</v>
      </c>
      <c r="F98" s="133">
        <f>SUM('Graph Pre-Plan In Progrss $'!J96:O96)</f>
        <v>79315.892119553959</v>
      </c>
      <c r="G98" s="133">
        <f>SUM('Graph Pre-Plan In Progrss $'!J96:O96)</f>
        <v>79315.892119553959</v>
      </c>
      <c r="H98" s="133">
        <f>SUM('Graph Proposed $'!J96:O96)</f>
        <v>313284.89517991809</v>
      </c>
      <c r="I98" s="133">
        <f>SUM('Graph Proposed $'!P96:R96)</f>
        <v>39532.550290228057</v>
      </c>
      <c r="J98" s="133">
        <f>SUM('Graph Future $'!J96:O96)</f>
        <v>800752.76657921902</v>
      </c>
      <c r="K98" s="133">
        <f>SUM('Graph Future $'!P96:R96)</f>
        <v>99952.286490662576</v>
      </c>
      <c r="L98" s="133">
        <f>SUM('RPS Spend Model'!F96:H96)</f>
        <v>160476.76416023617</v>
      </c>
      <c r="M98" s="134">
        <f>'RPS Spend Model'!V96</f>
        <v>1580985.6797502902</v>
      </c>
      <c r="N98" s="134">
        <f>'RPS Spend Model'!U96</f>
        <v>2121569.9584781262</v>
      </c>
      <c r="O98" s="134">
        <f>'RPS Spend Model'!W96</f>
        <v>540584.27872783598</v>
      </c>
      <c r="Q98" s="136" t="s">
        <v>53</v>
      </c>
      <c r="R98" s="135">
        <f t="shared" si="37"/>
        <v>72836.679055108369</v>
      </c>
      <c r="S98" s="135">
        <f t="shared" si="38"/>
        <v>158631.78423910792</v>
      </c>
      <c r="T98" s="135">
        <f t="shared" si="39"/>
        <v>352817.44547014614</v>
      </c>
      <c r="U98" s="135">
        <f t="shared" si="40"/>
        <v>900705.05306988163</v>
      </c>
      <c r="V98" s="135">
        <f t="shared" si="41"/>
        <v>160476.76416023617</v>
      </c>
      <c r="W98" s="135">
        <f t="shared" si="42"/>
        <v>2121569.9584781262</v>
      </c>
    </row>
    <row r="99" spans="2:23" ht="15" thickBot="1" x14ac:dyDescent="0.35">
      <c r="B99" s="132" t="s">
        <v>54</v>
      </c>
      <c r="C99" s="133">
        <f>'RPS Spend Model'!E97</f>
        <v>0</v>
      </c>
      <c r="D99" s="133">
        <f>SUM('RPS Spend Model'!B97:D97)</f>
        <v>0</v>
      </c>
      <c r="E99" s="134">
        <f>'RPS Spend Model'!I97</f>
        <v>72836.679055108369</v>
      </c>
      <c r="F99" s="133">
        <f>SUM('Graph Pre-Plan In Progrss $'!J97:O97)</f>
        <v>53521.195172176085</v>
      </c>
      <c r="G99" s="133">
        <f>SUM('Graph Pre-Plan In Progrss $'!J97:O97)</f>
        <v>53521.195172176085</v>
      </c>
      <c r="H99" s="133">
        <f>SUM('Graph Proposed $'!J97:O97)</f>
        <v>211653.26383416427</v>
      </c>
      <c r="I99" s="133">
        <f>SUM('Graph Proposed $'!P97:R97)</f>
        <v>24801.143910728999</v>
      </c>
      <c r="J99" s="133">
        <f>SUM('Graph Future $'!J97:O97)</f>
        <v>885001.57483537204</v>
      </c>
      <c r="K99" s="133">
        <f>SUM('Graph Future $'!P97:R97)</f>
        <v>152195.15132608049</v>
      </c>
      <c r="L99" s="133">
        <f>SUM('RPS Spend Model'!F97:H97)</f>
        <v>160528.8171761306</v>
      </c>
      <c r="M99" s="134">
        <f>'RPS Spend Model'!V97</f>
        <v>1571666.5513345492</v>
      </c>
      <c r="N99" s="134">
        <f>'RPS Spend Model'!U97</f>
        <v>1935643.153727836</v>
      </c>
      <c r="O99" s="134">
        <f>'RPS Spend Model'!W97</f>
        <v>363976.60239328677</v>
      </c>
      <c r="Q99" s="132" t="s">
        <v>54</v>
      </c>
      <c r="R99" s="135">
        <f t="shared" si="37"/>
        <v>72836.679055108369</v>
      </c>
      <c r="S99" s="135">
        <f t="shared" si="38"/>
        <v>107042.39034435217</v>
      </c>
      <c r="T99" s="135">
        <f t="shared" si="39"/>
        <v>236454.40774489328</v>
      </c>
      <c r="U99" s="135">
        <f t="shared" si="40"/>
        <v>1037196.7261614525</v>
      </c>
      <c r="V99" s="135">
        <f t="shared" si="41"/>
        <v>160528.8171761306</v>
      </c>
      <c r="W99" s="135">
        <f t="shared" si="42"/>
        <v>1935643.153727836</v>
      </c>
    </row>
    <row r="100" spans="2:23" ht="15" thickBot="1" x14ac:dyDescent="0.35">
      <c r="B100" s="132" t="s">
        <v>55</v>
      </c>
      <c r="C100" s="133">
        <f>'RPS Spend Model'!E98</f>
        <v>0</v>
      </c>
      <c r="D100" s="133">
        <f>SUM('RPS Spend Model'!B98:D98)</f>
        <v>0</v>
      </c>
      <c r="E100" s="134">
        <f>'RPS Spend Model'!I98</f>
        <v>72836.679055108369</v>
      </c>
      <c r="F100" s="133">
        <f>SUM('Graph Pre-Plan In Progrss $'!J98:O98)</f>
        <v>51878.084649879223</v>
      </c>
      <c r="G100" s="133">
        <f>SUM('Graph Pre-Plan In Progrss $'!J98:O98)</f>
        <v>51878.084649879223</v>
      </c>
      <c r="H100" s="133">
        <f>SUM('Graph Proposed $'!J98:O98)</f>
        <v>135927.1678582973</v>
      </c>
      <c r="I100" s="133">
        <f>SUM('Graph Proposed $'!P98:R98)</f>
        <v>9836.1126996350413</v>
      </c>
      <c r="J100" s="133">
        <f>SUM('Graph Future $'!J98:O98)</f>
        <v>965633.98781389778</v>
      </c>
      <c r="K100" s="133">
        <f>SUM('Graph Future $'!P98:R98)</f>
        <v>192290.08472812525</v>
      </c>
      <c r="L100" s="133">
        <f>SUM('RPS Spend Model'!F98:H98)</f>
        <v>160660.99150765422</v>
      </c>
      <c r="M100" s="134">
        <f>'RPS Spend Model'!V98</f>
        <v>1596439.2994758775</v>
      </c>
      <c r="N100" s="134">
        <f>'RPS Spend Model'!U98</f>
        <v>1760043.4773932868</v>
      </c>
      <c r="O100" s="134">
        <f>'RPS Spend Model'!W98</f>
        <v>163604.17791740922</v>
      </c>
      <c r="Q100" s="132" t="s">
        <v>55</v>
      </c>
      <c r="R100" s="135">
        <f t="shared" si="37"/>
        <v>72836.679055108369</v>
      </c>
      <c r="S100" s="135">
        <f t="shared" si="38"/>
        <v>103756.16929975845</v>
      </c>
      <c r="T100" s="135">
        <f t="shared" si="39"/>
        <v>145763.28055793233</v>
      </c>
      <c r="U100" s="135">
        <f t="shared" si="40"/>
        <v>1157924.0725420229</v>
      </c>
      <c r="V100" s="135">
        <f t="shared" si="41"/>
        <v>160660.99150765422</v>
      </c>
      <c r="W100" s="135">
        <f t="shared" si="42"/>
        <v>1760043.4773932868</v>
      </c>
    </row>
    <row r="101" spans="2:23" ht="15" thickBot="1" x14ac:dyDescent="0.35">
      <c r="B101" s="132" t="s">
        <v>56</v>
      </c>
      <c r="C101" s="133">
        <f>'RPS Spend Model'!E99</f>
        <v>0</v>
      </c>
      <c r="D101" s="133">
        <f>SUM('RPS Spend Model'!B99:D99)</f>
        <v>0</v>
      </c>
      <c r="E101" s="134">
        <f>'RPS Spend Model'!I99</f>
        <v>72836.679055108369</v>
      </c>
      <c r="F101" s="133">
        <f>SUM('Graph Pre-Plan In Progrss $'!J99:O99)</f>
        <v>51618.694226629821</v>
      </c>
      <c r="G101" s="133">
        <f>SUM('Graph Pre-Plan In Progrss $'!J99:O99)</f>
        <v>51618.694226629821</v>
      </c>
      <c r="H101" s="133">
        <f>SUM('Graph Proposed $'!J99:O99)</f>
        <v>120836.01892139667</v>
      </c>
      <c r="I101" s="133">
        <f>SUM('Graph Proposed $'!P99:R99)</f>
        <v>-5367.1090308099938</v>
      </c>
      <c r="J101" s="133">
        <f>SUM('Graph Future $'!J99:O99)</f>
        <v>671392.89578924875</v>
      </c>
      <c r="K101" s="133">
        <f>SUM('Graph Future $'!P99:R99)</f>
        <v>219497.21227568702</v>
      </c>
      <c r="L101" s="133">
        <f>SUM('RPS Spend Model'!F99:H99)</f>
        <v>118500</v>
      </c>
      <c r="M101" s="134">
        <f>'RPS Spend Model'!V99</f>
        <v>1571206.9790063035</v>
      </c>
      <c r="N101" s="134">
        <f>'RPS Spend Model'!U99</f>
        <v>1560694.8029174092</v>
      </c>
      <c r="O101" s="134">
        <f>'RPS Spend Model'!W99</f>
        <v>-10512.176088894252</v>
      </c>
      <c r="Q101" s="132" t="s">
        <v>56</v>
      </c>
      <c r="R101" s="135">
        <f t="shared" ref="R101:R112" si="43">SUM(C101:E101)</f>
        <v>72836.679055108369</v>
      </c>
      <c r="S101" s="135">
        <f t="shared" ref="S101:S112" si="44">SUM(F101:G101)</f>
        <v>103237.38845325964</v>
      </c>
      <c r="T101" s="135">
        <f t="shared" ref="T101:T112" si="45">SUM(H101:I101)</f>
        <v>115468.90989058667</v>
      </c>
      <c r="U101" s="135">
        <f t="shared" ref="U101:U112" si="46">SUM(J101:K101)</f>
        <v>890890.10806493578</v>
      </c>
      <c r="V101" s="135">
        <f t="shared" ref="V101:V112" si="47">L101</f>
        <v>118500</v>
      </c>
      <c r="W101" s="135">
        <f t="shared" ref="W101:W112" si="48">N101</f>
        <v>1560694.8029174092</v>
      </c>
    </row>
    <row r="102" spans="2:23" ht="15" thickBot="1" x14ac:dyDescent="0.35">
      <c r="B102" s="132" t="s">
        <v>57</v>
      </c>
      <c r="C102" s="133">
        <f>'RPS Spend Model'!E100</f>
        <v>0</v>
      </c>
      <c r="D102" s="133">
        <f>SUM('RPS Spend Model'!B100:D100)</f>
        <v>0</v>
      </c>
      <c r="E102" s="134">
        <f>'RPS Spend Model'!I100</f>
        <v>72836.679055108369</v>
      </c>
      <c r="F102" s="133">
        <f>SUM('Graph Pre-Plan In Progrss $'!J100:O100)</f>
        <v>51360.600755496678</v>
      </c>
      <c r="G102" s="133">
        <f>SUM('Graph Pre-Plan In Progrss $'!J100:O100)</f>
        <v>51360.600755496678</v>
      </c>
      <c r="H102" s="133">
        <f>SUM('Graph Proposed $'!J100:O100)</f>
        <v>120231.83882678967</v>
      </c>
      <c r="I102" s="133">
        <f>SUM('Graph Proposed $'!P100:R100)</f>
        <v>-20813.172679963915</v>
      </c>
      <c r="J102" s="133">
        <f>SUM('Graph Future $'!J100:O100)</f>
        <v>604347.90104480484</v>
      </c>
      <c r="K102" s="133">
        <f>SUM('Graph Future $'!P100:R100)</f>
        <v>233056.97957570228</v>
      </c>
      <c r="L102" s="133">
        <f>SUM('RPS Spend Model'!F100:H100)</f>
        <v>118500</v>
      </c>
      <c r="M102" s="134">
        <f>'RPS Spend Model'!V100</f>
        <v>1573572.8824478344</v>
      </c>
      <c r="N102" s="134">
        <f>'RPS Spend Model'!U100</f>
        <v>1387190.0739111057</v>
      </c>
      <c r="O102" s="134">
        <f>'RPS Spend Model'!W100</f>
        <v>-186382.80853672861</v>
      </c>
      <c r="Q102" s="132" t="s">
        <v>57</v>
      </c>
      <c r="R102" s="135">
        <f t="shared" si="43"/>
        <v>72836.679055108369</v>
      </c>
      <c r="S102" s="135">
        <f t="shared" si="44"/>
        <v>102721.20151099336</v>
      </c>
      <c r="T102" s="135">
        <f t="shared" si="45"/>
        <v>99418.666146825752</v>
      </c>
      <c r="U102" s="135">
        <f t="shared" si="46"/>
        <v>837404.88062050706</v>
      </c>
      <c r="V102" s="135">
        <f t="shared" si="47"/>
        <v>118500</v>
      </c>
      <c r="W102" s="135">
        <f t="shared" si="48"/>
        <v>1387190.0739111057</v>
      </c>
    </row>
    <row r="103" spans="2:23" ht="15" thickBot="1" x14ac:dyDescent="0.35">
      <c r="B103" s="132" t="s">
        <v>58</v>
      </c>
      <c r="C103" s="133">
        <f>'RPS Spend Model'!E101</f>
        <v>0</v>
      </c>
      <c r="D103" s="133">
        <f>SUM('RPS Spend Model'!B101:D101)</f>
        <v>0</v>
      </c>
      <c r="E103" s="134">
        <f>'RPS Spend Model'!I101</f>
        <v>67379.073439167172</v>
      </c>
      <c r="F103" s="133">
        <f>SUM('Graph Pre-Plan In Progrss $'!J101:O101)</f>
        <v>51103.79775171919</v>
      </c>
      <c r="G103" s="133">
        <f>SUM('Graph Pre-Plan In Progrss $'!J101:O101)</f>
        <v>51103.79775171919</v>
      </c>
      <c r="H103" s="133">
        <f>SUM('Graph Proposed $'!J101:O101)</f>
        <v>119630.67963265572</v>
      </c>
      <c r="I103" s="133">
        <f>SUM('Graph Proposed $'!P101:R101)</f>
        <v>-36506.817009599734</v>
      </c>
      <c r="J103" s="133">
        <f>SUM('Graph Future $'!J101:O101)</f>
        <v>540545.50187682093</v>
      </c>
      <c r="K103" s="133">
        <f>SUM('Graph Future $'!P101:R101)</f>
        <v>232189.66098918585</v>
      </c>
      <c r="L103" s="133">
        <f>SUM('RPS Spend Model'!F101:H101)</f>
        <v>0</v>
      </c>
      <c r="M103" s="134">
        <f>'RPS Spend Model'!V101</f>
        <v>1289978.7390813273</v>
      </c>
      <c r="N103" s="134">
        <f>'RPS Spend Model'!U101</f>
        <v>1211965.1914632714</v>
      </c>
      <c r="O103" s="134">
        <f>'RPS Spend Model'!W101</f>
        <v>-78013.547618055949</v>
      </c>
      <c r="Q103" s="132" t="s">
        <v>58</v>
      </c>
      <c r="R103" s="135">
        <f t="shared" si="43"/>
        <v>67379.073439167172</v>
      </c>
      <c r="S103" s="135">
        <f t="shared" si="44"/>
        <v>102207.59550343838</v>
      </c>
      <c r="T103" s="135">
        <f t="shared" si="45"/>
        <v>83123.862623055989</v>
      </c>
      <c r="U103" s="135">
        <f t="shared" si="46"/>
        <v>772735.16286600684</v>
      </c>
      <c r="V103" s="135">
        <f t="shared" si="47"/>
        <v>0</v>
      </c>
      <c r="W103" s="135">
        <f t="shared" si="48"/>
        <v>1211965.1914632714</v>
      </c>
    </row>
    <row r="104" spans="2:23" ht="15" thickBot="1" x14ac:dyDescent="0.35">
      <c r="B104" s="132" t="s">
        <v>59</v>
      </c>
      <c r="C104" s="133">
        <f>'RPS Spend Model'!E102</f>
        <v>0</v>
      </c>
      <c r="D104" s="133">
        <f>SUM('RPS Spend Model'!B102:D102)</f>
        <v>0</v>
      </c>
      <c r="E104" s="134">
        <f>'RPS Spend Model'!I102</f>
        <v>67379.073439167172</v>
      </c>
      <c r="F104" s="133">
        <f>SUM('Graph Pre-Plan In Progrss $'!J102:O102)</f>
        <v>50848.278762960595</v>
      </c>
      <c r="G104" s="133">
        <f>SUM('Graph Pre-Plan In Progrss $'!J102:O102)</f>
        <v>50848.278762960595</v>
      </c>
      <c r="H104" s="133">
        <f>SUM('Graph Proposed $'!J102:O102)</f>
        <v>119032.52623449246</v>
      </c>
      <c r="I104" s="133">
        <f>SUM('Graph Proposed $'!P102:R102)</f>
        <v>-52452.86982669017</v>
      </c>
      <c r="J104" s="133">
        <f>SUM('Graph Future $'!J102:O102)</f>
        <v>479241.64252059924</v>
      </c>
      <c r="K104" s="133">
        <f>SUM('Graph Future $'!P102:R102)</f>
        <v>144851.41242964377</v>
      </c>
      <c r="L104" s="133">
        <f>SUM('RPS Spend Model'!F102:H102)</f>
        <v>0</v>
      </c>
      <c r="M104" s="134">
        <f>'RPS Spend Model'!V102</f>
        <v>1225894.8097265353</v>
      </c>
      <c r="N104" s="134">
        <f>'RPS Spend Model'!U102</f>
        <v>1320675.7023819441</v>
      </c>
      <c r="O104" s="134">
        <f>'RPS Spend Model'!W102</f>
        <v>94780.892655408708</v>
      </c>
      <c r="Q104" s="132" t="s">
        <v>59</v>
      </c>
      <c r="R104" s="135">
        <f t="shared" si="43"/>
        <v>67379.073439167172</v>
      </c>
      <c r="S104" s="135">
        <f t="shared" si="44"/>
        <v>101696.55752592119</v>
      </c>
      <c r="T104" s="135">
        <f t="shared" si="45"/>
        <v>66579.656407802278</v>
      </c>
      <c r="U104" s="135">
        <f t="shared" si="46"/>
        <v>624093.05495024298</v>
      </c>
      <c r="V104" s="135">
        <f t="shared" si="47"/>
        <v>0</v>
      </c>
      <c r="W104" s="135">
        <f t="shared" si="48"/>
        <v>1320675.7023819441</v>
      </c>
    </row>
    <row r="105" spans="2:23" ht="15" thickBot="1" x14ac:dyDescent="0.35">
      <c r="B105" s="132" t="s">
        <v>60</v>
      </c>
      <c r="C105" s="133">
        <f>'RPS Spend Model'!E103</f>
        <v>0</v>
      </c>
      <c r="D105" s="133">
        <f>SUM('RPS Spend Model'!B103:D103)</f>
        <v>0</v>
      </c>
      <c r="E105" s="134">
        <f>'RPS Spend Model'!I103</f>
        <v>56003.944734503973</v>
      </c>
      <c r="F105" s="133">
        <f>SUM('Graph Pre-Plan In Progrss $'!J103:O103)</f>
        <v>50594.037369145793</v>
      </c>
      <c r="G105" s="133">
        <f>SUM('Graph Pre-Plan In Progrss $'!J103:O103)</f>
        <v>50594.037369145793</v>
      </c>
      <c r="H105" s="133">
        <f>SUM('Graph Proposed $'!J103:O103)</f>
        <v>118437.36360331999</v>
      </c>
      <c r="I105" s="133">
        <f>SUM('Graph Proposed $'!P103:R103)</f>
        <v>-68656.249698787549</v>
      </c>
      <c r="J105" s="133">
        <f>SUM('Graph Future $'!J103:O103)</f>
        <v>420336.64916444401</v>
      </c>
      <c r="K105" s="133">
        <f>SUM('Graph Future $'!P103:R103)</f>
        <v>55797.995645960153</v>
      </c>
      <c r="L105" s="133">
        <f>SUM('RPS Spend Model'!F103:H103)</f>
        <v>0</v>
      </c>
      <c r="M105" s="134">
        <f>'RPS Spend Model'!V103</f>
        <v>1135301.0195993579</v>
      </c>
      <c r="N105" s="134">
        <f>'RPS Spend Model'!U103</f>
        <v>1494192.0176554087</v>
      </c>
      <c r="O105" s="134">
        <f>'RPS Spend Model'!W103</f>
        <v>358890.99805605086</v>
      </c>
      <c r="Q105" s="132" t="s">
        <v>60</v>
      </c>
      <c r="R105" s="135">
        <f t="shared" si="43"/>
        <v>56003.944734503973</v>
      </c>
      <c r="S105" s="135">
        <f t="shared" si="44"/>
        <v>101188.07473829159</v>
      </c>
      <c r="T105" s="135">
        <f t="shared" si="45"/>
        <v>49781.113904532438</v>
      </c>
      <c r="U105" s="135">
        <f t="shared" si="46"/>
        <v>476134.64481040416</v>
      </c>
      <c r="V105" s="135">
        <f t="shared" si="47"/>
        <v>0</v>
      </c>
      <c r="W105" s="135">
        <f t="shared" si="48"/>
        <v>1494192.0176554087</v>
      </c>
    </row>
    <row r="106" spans="2:23" ht="15" thickBot="1" x14ac:dyDescent="0.35">
      <c r="B106" s="132" t="s">
        <v>61</v>
      </c>
      <c r="C106" s="133">
        <f>'RPS Spend Model'!E104</f>
        <v>0</v>
      </c>
      <c r="D106" s="133">
        <f>SUM('RPS Spend Model'!B104:D104)</f>
        <v>0</v>
      </c>
      <c r="E106" s="134">
        <f>'RPS Spend Model'!I104</f>
        <v>0</v>
      </c>
      <c r="F106" s="133">
        <f>SUM('Graph Pre-Plan In Progrss $'!J104:O104)</f>
        <v>50341.067182300059</v>
      </c>
      <c r="G106" s="133">
        <f>SUM('Graph Pre-Plan In Progrss $'!J104:O104)</f>
        <v>50341.067182300059</v>
      </c>
      <c r="H106" s="133">
        <f>SUM('Graph Proposed $'!J104:O104)</f>
        <v>117845.17678530338</v>
      </c>
      <c r="I106" s="133">
        <f>SUM('Graph Proposed $'!P104:R104)</f>
        <v>-85121.967702635637</v>
      </c>
      <c r="J106" s="133">
        <f>SUM('Graph Future $'!J104:O104)</f>
        <v>363734.83361022337</v>
      </c>
      <c r="K106" s="133">
        <f>SUM('Graph Future $'!P104:R104)</f>
        <v>-35004.827358215742</v>
      </c>
      <c r="L106" s="133">
        <f>SUM('RPS Spend Model'!F104:H104)</f>
        <v>0</v>
      </c>
      <c r="M106" s="134">
        <f>'RPS Spend Model'!V104</f>
        <v>949125.69561289437</v>
      </c>
      <c r="N106" s="134">
        <f>'RPS Spend Model'!U104</f>
        <v>1758687.9980560509</v>
      </c>
      <c r="O106" s="134">
        <f>'RPS Spend Model'!W104</f>
        <v>809562.30244315648</v>
      </c>
      <c r="Q106" s="132" t="s">
        <v>61</v>
      </c>
      <c r="R106" s="135">
        <f t="shared" si="43"/>
        <v>0</v>
      </c>
      <c r="S106" s="135">
        <f t="shared" si="44"/>
        <v>100682.13436460012</v>
      </c>
      <c r="T106" s="135">
        <f t="shared" si="45"/>
        <v>32723.209082667745</v>
      </c>
      <c r="U106" s="135">
        <f t="shared" si="46"/>
        <v>328730.00625200762</v>
      </c>
      <c r="V106" s="135">
        <f t="shared" si="47"/>
        <v>0</v>
      </c>
      <c r="W106" s="135">
        <f t="shared" si="48"/>
        <v>1758687.9980560509</v>
      </c>
    </row>
    <row r="107" spans="2:23" ht="15" thickBot="1" x14ac:dyDescent="0.35">
      <c r="B107" s="132" t="s">
        <v>62</v>
      </c>
      <c r="C107" s="133">
        <f>'RPS Spend Model'!E105</f>
        <v>0</v>
      </c>
      <c r="D107" s="133">
        <f>SUM('RPS Spend Model'!B105:D105)</f>
        <v>0</v>
      </c>
      <c r="E107" s="134">
        <f>'RPS Spend Model'!I105</f>
        <v>0</v>
      </c>
      <c r="F107" s="133">
        <f>SUM('Graph Pre-Plan In Progrss $'!J105:O105)</f>
        <v>50089.361846388565</v>
      </c>
      <c r="G107" s="133">
        <f>SUM('Graph Pre-Plan In Progrss $'!J105:O105)</f>
        <v>50089.361846388565</v>
      </c>
      <c r="H107" s="133">
        <f>SUM('Graph Proposed $'!J105:O105)</f>
        <v>117255.95090137687</v>
      </c>
      <c r="I107" s="133">
        <f>SUM('Graph Proposed $'!P105:R105)</f>
        <v>-101855.12920666306</v>
      </c>
      <c r="J107" s="133">
        <f>SUM('Graph Future $'!J105:O105)</f>
        <v>309344.33385552157</v>
      </c>
      <c r="K107" s="133">
        <f>SUM('Graph Future $'!P105:R105)</f>
        <v>-127591.97633806037</v>
      </c>
      <c r="L107" s="133">
        <f>SUM('RPS Spend Model'!F105:H105)</f>
        <v>0</v>
      </c>
      <c r="M107" s="134">
        <f>'RPS Spend Model'!V105</f>
        <v>809444.3142368556</v>
      </c>
      <c r="N107" s="134">
        <f>'RPS Spend Model'!U105</f>
        <v>2209697.9274431565</v>
      </c>
      <c r="O107" s="134">
        <f>'RPS Spend Model'!W105</f>
        <v>1400253.6132063009</v>
      </c>
      <c r="Q107" s="132" t="s">
        <v>62</v>
      </c>
      <c r="R107" s="135">
        <f t="shared" si="43"/>
        <v>0</v>
      </c>
      <c r="S107" s="135">
        <f t="shared" si="44"/>
        <v>100178.72369277713</v>
      </c>
      <c r="T107" s="135">
        <f t="shared" si="45"/>
        <v>15400.821694713813</v>
      </c>
      <c r="U107" s="135">
        <f t="shared" si="46"/>
        <v>181752.35751746121</v>
      </c>
      <c r="V107" s="135">
        <f t="shared" si="47"/>
        <v>0</v>
      </c>
      <c r="W107" s="135">
        <f t="shared" si="48"/>
        <v>2209697.9274431565</v>
      </c>
    </row>
    <row r="108" spans="2:23" ht="15" thickBot="1" x14ac:dyDescent="0.35">
      <c r="B108" s="132" t="s">
        <v>63</v>
      </c>
      <c r="C108" s="133">
        <f>'RPS Spend Model'!E106</f>
        <v>0</v>
      </c>
      <c r="D108" s="133">
        <f>SUM('RPS Spend Model'!B106:D106)</f>
        <v>0</v>
      </c>
      <c r="E108" s="134">
        <f>'RPS Spend Model'!I106</f>
        <v>0</v>
      </c>
      <c r="F108" s="133">
        <f>SUM('Graph Pre-Plan In Progrss $'!J106:O106)</f>
        <v>49838.915037156621</v>
      </c>
      <c r="G108" s="133">
        <f>SUM('Graph Pre-Plan In Progrss $'!J106:O106)</f>
        <v>49838.915037156621</v>
      </c>
      <c r="H108" s="133">
        <f>SUM('Graph Proposed $'!J106:O106)</f>
        <v>116669.67114686999</v>
      </c>
      <c r="I108" s="133">
        <f>SUM('Graph Proposed $'!P106:R106)</f>
        <v>-118860.93568801896</v>
      </c>
      <c r="J108" s="133">
        <f>SUM('Graph Future $'!J106:O106)</f>
        <v>296968.11701332277</v>
      </c>
      <c r="K108" s="133">
        <f>SUM('Graph Future $'!P106:R106)</f>
        <v>-221999.06640816957</v>
      </c>
      <c r="L108" s="133">
        <f>SUM('RPS Spend Model'!F106:H106)</f>
        <v>0</v>
      </c>
      <c r="M108" s="134">
        <f>'RPS Spend Model'!V106</f>
        <v>654058.97644180292</v>
      </c>
      <c r="N108" s="134">
        <f>'RPS Spend Model'!U106</f>
        <v>2800625.4882063009</v>
      </c>
      <c r="O108" s="134">
        <f>'RPS Spend Model'!W106</f>
        <v>2146566.511764498</v>
      </c>
      <c r="Q108" s="132" t="s">
        <v>63</v>
      </c>
      <c r="R108" s="135">
        <f t="shared" si="43"/>
        <v>0</v>
      </c>
      <c r="S108" s="135">
        <f t="shared" si="44"/>
        <v>99677.830074313242</v>
      </c>
      <c r="T108" s="135">
        <f t="shared" si="45"/>
        <v>-2191.2645411489648</v>
      </c>
      <c r="U108" s="135">
        <f t="shared" si="46"/>
        <v>74969.050605153199</v>
      </c>
      <c r="V108" s="135">
        <f t="shared" si="47"/>
        <v>0</v>
      </c>
      <c r="W108" s="135">
        <f t="shared" si="48"/>
        <v>2800625.4882063009</v>
      </c>
    </row>
    <row r="109" spans="2:23" ht="15" thickBot="1" x14ac:dyDescent="0.35">
      <c r="B109" s="132" t="s">
        <v>64</v>
      </c>
      <c r="C109" s="133">
        <f>'RPS Spend Model'!E107</f>
        <v>0</v>
      </c>
      <c r="D109" s="133">
        <f>SUM('RPS Spend Model'!B107:D107)</f>
        <v>0</v>
      </c>
      <c r="E109" s="134">
        <f>'RPS Spend Model'!I107</f>
        <v>0</v>
      </c>
      <c r="F109" s="133">
        <f>SUM('Graph Pre-Plan In Progrss $'!J107:O107)</f>
        <v>49589.720461970835</v>
      </c>
      <c r="G109" s="133">
        <f>SUM('Graph Pre-Plan In Progrss $'!J107:O107)</f>
        <v>49589.720461970835</v>
      </c>
      <c r="H109" s="133">
        <f>SUM('Graph Proposed $'!J107:O107)</f>
        <v>116086.32279113564</v>
      </c>
      <c r="I109" s="133">
        <f>SUM('Graph Proposed $'!P107:R107)</f>
        <v>-136144.68658482726</v>
      </c>
      <c r="J109" s="133">
        <f>SUM('Graph Future $'!J107:O107)</f>
        <v>295483.27642825624</v>
      </c>
      <c r="K109" s="133">
        <f>SUM('Graph Future $'!P107:R107)</f>
        <v>-318262.42191460216</v>
      </c>
      <c r="L109" s="133">
        <f>SUM('RPS Spend Model'!F107:H107)</f>
        <v>0</v>
      </c>
      <c r="M109" s="134">
        <f>'RPS Spend Model'!V107</f>
        <v>493825.32513197564</v>
      </c>
      <c r="N109" s="134">
        <f>'RPS Spend Model'!U107</f>
        <v>3546938.386764498</v>
      </c>
      <c r="O109" s="134">
        <f>'RPS Spend Model'!W107</f>
        <v>3053113.0616325224</v>
      </c>
      <c r="Q109" s="132" t="s">
        <v>64</v>
      </c>
      <c r="R109" s="135">
        <f t="shared" si="43"/>
        <v>0</v>
      </c>
      <c r="S109" s="135">
        <f t="shared" si="44"/>
        <v>99179.440923941671</v>
      </c>
      <c r="T109" s="135">
        <f t="shared" si="45"/>
        <v>-20058.36379369162</v>
      </c>
      <c r="U109" s="135">
        <f t="shared" si="46"/>
        <v>-22779.145486345922</v>
      </c>
      <c r="V109" s="135">
        <f t="shared" si="47"/>
        <v>0</v>
      </c>
      <c r="W109" s="135">
        <f t="shared" si="48"/>
        <v>3546938.386764498</v>
      </c>
    </row>
    <row r="110" spans="2:23" ht="15" thickBot="1" x14ac:dyDescent="0.35">
      <c r="B110" s="132" t="s">
        <v>65</v>
      </c>
      <c r="C110" s="133">
        <f>'RPS Spend Model'!E108</f>
        <v>0</v>
      </c>
      <c r="D110" s="133">
        <f>SUM('RPS Spend Model'!B108:D108)</f>
        <v>0</v>
      </c>
      <c r="E110" s="134">
        <f>'RPS Spend Model'!I108</f>
        <v>0</v>
      </c>
      <c r="F110" s="133">
        <f>SUM('Graph Pre-Plan In Progrss $'!J108:O108)</f>
        <v>49341.771859660985</v>
      </c>
      <c r="G110" s="133">
        <f>SUM('Graph Pre-Plan In Progrss $'!J108:O108)</f>
        <v>49341.771859660985</v>
      </c>
      <c r="H110" s="133">
        <f>SUM('Graph Proposed $'!J108:O108)</f>
        <v>115505.89117717996</v>
      </c>
      <c r="I110" s="133">
        <f>SUM('Graph Proposed $'!P108:R108)</f>
        <v>-153711.78118434639</v>
      </c>
      <c r="J110" s="133">
        <f>SUM('Graph Future $'!J108:O108)</f>
        <v>294005.86004611489</v>
      </c>
      <c r="K110" s="133">
        <f>SUM('Graph Future $'!P108:R108)</f>
        <v>-416419.09058378689</v>
      </c>
      <c r="L110" s="133">
        <f>SUM('RPS Spend Model'!F108:H108)</f>
        <v>0</v>
      </c>
      <c r="M110" s="134">
        <f>'RPS Spend Model'!V108</f>
        <v>340909.0227481217</v>
      </c>
      <c r="N110" s="134">
        <f>'RPS Spend Model'!U108</f>
        <v>4453484.9366325224</v>
      </c>
      <c r="O110" s="134">
        <f>'RPS Spend Model'!W108</f>
        <v>4112575.9138844009</v>
      </c>
      <c r="Q110" s="132" t="s">
        <v>65</v>
      </c>
      <c r="R110" s="135">
        <f t="shared" si="43"/>
        <v>0</v>
      </c>
      <c r="S110" s="135">
        <f t="shared" si="44"/>
        <v>98683.54371932197</v>
      </c>
      <c r="T110" s="135">
        <f t="shared" si="45"/>
        <v>-38205.890007166425</v>
      </c>
      <c r="U110" s="135">
        <f t="shared" si="46"/>
        <v>-122413.230537672</v>
      </c>
      <c r="V110" s="135">
        <f t="shared" si="47"/>
        <v>0</v>
      </c>
      <c r="W110" s="135">
        <f t="shared" si="48"/>
        <v>4453484.9366325224</v>
      </c>
    </row>
    <row r="111" spans="2:23" ht="15" thickBot="1" x14ac:dyDescent="0.35">
      <c r="B111" s="132" t="s">
        <v>66</v>
      </c>
      <c r="C111" s="133">
        <f>'RPS Spend Model'!E109</f>
        <v>0</v>
      </c>
      <c r="D111" s="133">
        <f>SUM('RPS Spend Model'!B109:D109)</f>
        <v>0</v>
      </c>
      <c r="E111" s="134">
        <f>'RPS Spend Model'!I109</f>
        <v>0</v>
      </c>
      <c r="F111" s="133">
        <f>SUM('Graph Pre-Plan In Progrss $'!J109:O109)</f>
        <v>49095.063000362679</v>
      </c>
      <c r="G111" s="133">
        <f>SUM('Graph Pre-Plan In Progrss $'!J109:O109)</f>
        <v>49095.063000362679</v>
      </c>
      <c r="H111" s="133">
        <f>SUM('Graph Proposed $'!J109:O109)</f>
        <v>114928.36172129407</v>
      </c>
      <c r="I111" s="133">
        <f>SUM('Graph Proposed $'!P109:R109)</f>
        <v>-171567.72054773697</v>
      </c>
      <c r="J111" s="133">
        <f>SUM('Graph Future $'!J109:O109)</f>
        <v>292535.83074588433</v>
      </c>
      <c r="K111" s="133">
        <f>SUM('Graph Future $'!P109:R109)</f>
        <v>-516506.85795382789</v>
      </c>
      <c r="L111" s="133">
        <f>SUM('RPS Spend Model'!F109:H109)</f>
        <v>0</v>
      </c>
      <c r="M111" s="134">
        <f>'RPS Spend Model'!V109</f>
        <v>74652.811857220717</v>
      </c>
      <c r="N111" s="134">
        <f>'RPS Spend Model'!U109</f>
        <v>5512947.7888844013</v>
      </c>
      <c r="O111" s="134">
        <f>'RPS Spend Model'!W109</f>
        <v>5438294.9770271806</v>
      </c>
      <c r="Q111" s="132" t="s">
        <v>66</v>
      </c>
      <c r="R111" s="135">
        <f t="shared" si="43"/>
        <v>0</v>
      </c>
      <c r="S111" s="135">
        <f t="shared" si="44"/>
        <v>98190.126000725359</v>
      </c>
      <c r="T111" s="135">
        <f t="shared" si="45"/>
        <v>-56639.358826442898</v>
      </c>
      <c r="U111" s="135">
        <f t="shared" si="46"/>
        <v>-223971.02720794355</v>
      </c>
      <c r="V111" s="135">
        <f t="shared" si="47"/>
        <v>0</v>
      </c>
      <c r="W111" s="135">
        <f t="shared" si="48"/>
        <v>5512947.7888844013</v>
      </c>
    </row>
    <row r="112" spans="2:23" ht="15" thickBot="1" x14ac:dyDescent="0.35">
      <c r="B112" s="132" t="s">
        <v>67</v>
      </c>
      <c r="C112" s="133">
        <f>'RPS Spend Model'!E110</f>
        <v>0</v>
      </c>
      <c r="D112" s="133">
        <f>SUM('RPS Spend Model'!B110:D110)</f>
        <v>0</v>
      </c>
      <c r="E112" s="134">
        <f>'RPS Spend Model'!I110</f>
        <v>0</v>
      </c>
      <c r="F112" s="133">
        <f>SUM('Graph Pre-Plan In Progrss $'!J110:O110)</f>
        <v>48757.143897510476</v>
      </c>
      <c r="G112" s="133">
        <f>SUM('Graph Pre-Plan In Progrss $'!J110:O110)</f>
        <v>48757.143897510476</v>
      </c>
      <c r="H112" s="133">
        <f>SUM('Graph Proposed $'!J110:O110)</f>
        <v>75560.618322598748</v>
      </c>
      <c r="I112" s="133">
        <f>SUM('Graph Proposed $'!P110:R110)</f>
        <v>-189718.10947215208</v>
      </c>
      <c r="J112" s="133">
        <f>SUM('Graph Future $'!J110:O110)</f>
        <v>291073.15159215487</v>
      </c>
      <c r="K112" s="133">
        <f>SUM('Graph Future $'!P110:R110)</f>
        <v>-618564.26209384308</v>
      </c>
      <c r="L112" s="133">
        <f>SUM('RPS Spend Model'!F110:H110)</f>
        <v>0</v>
      </c>
      <c r="M112" s="134">
        <f>'RPS Spend Model'!V110</f>
        <v>-162998.84882257311</v>
      </c>
      <c r="N112" s="134">
        <f>'RPS Spend Model'!U110</f>
        <v>6838666.8520271806</v>
      </c>
      <c r="O112" s="134">
        <f>'RPS Spend Model'!W110</f>
        <v>7001665.7008497538</v>
      </c>
      <c r="Q112" s="132" t="s">
        <v>67</v>
      </c>
      <c r="R112" s="135">
        <f t="shared" si="43"/>
        <v>0</v>
      </c>
      <c r="S112" s="135">
        <f t="shared" si="44"/>
        <v>97514.287795020951</v>
      </c>
      <c r="T112" s="135">
        <f t="shared" si="45"/>
        <v>-114157.49114955333</v>
      </c>
      <c r="U112" s="135">
        <f t="shared" si="46"/>
        <v>-327491.11050168821</v>
      </c>
      <c r="V112" s="135">
        <f t="shared" si="47"/>
        <v>0</v>
      </c>
      <c r="W112" s="135">
        <f t="shared" si="48"/>
        <v>6838666.8520271806</v>
      </c>
    </row>
    <row r="122" spans="2:15" ht="43.8" thickBot="1" x14ac:dyDescent="0.35">
      <c r="B122" s="144" t="s">
        <v>229</v>
      </c>
    </row>
    <row r="123" spans="2:15" ht="15" thickBot="1" x14ac:dyDescent="0.35">
      <c r="B123" s="300" t="s">
        <v>161</v>
      </c>
      <c r="C123" s="298"/>
      <c r="D123" s="298"/>
      <c r="E123" s="299"/>
      <c r="F123" s="301" t="s">
        <v>162</v>
      </c>
      <c r="G123" s="298"/>
      <c r="H123" s="303" t="s">
        <v>163</v>
      </c>
      <c r="I123" s="304"/>
      <c r="J123" s="305" t="s">
        <v>164</v>
      </c>
      <c r="K123" s="304"/>
      <c r="L123" s="128"/>
      <c r="M123" s="207"/>
      <c r="N123" s="207"/>
      <c r="O123" s="207"/>
    </row>
    <row r="124" spans="2:15" ht="31.2" thickBot="1" x14ac:dyDescent="0.35">
      <c r="B124" s="129" t="s">
        <v>43</v>
      </c>
      <c r="C124" s="130" t="s">
        <v>166</v>
      </c>
      <c r="D124" s="130" t="s">
        <v>167</v>
      </c>
      <c r="E124" s="131" t="s">
        <v>168</v>
      </c>
      <c r="F124" s="130" t="s">
        <v>169</v>
      </c>
      <c r="G124" s="131" t="s">
        <v>170</v>
      </c>
      <c r="H124" s="130" t="s">
        <v>171</v>
      </c>
      <c r="I124" s="131" t="s">
        <v>172</v>
      </c>
      <c r="J124" s="130" t="s">
        <v>173</v>
      </c>
      <c r="K124" s="130" t="s">
        <v>174</v>
      </c>
      <c r="L124" s="130" t="s">
        <v>175</v>
      </c>
      <c r="M124" s="130" t="s">
        <v>176</v>
      </c>
      <c r="N124" s="130" t="s">
        <v>226</v>
      </c>
      <c r="O124" s="140" t="s">
        <v>124</v>
      </c>
    </row>
    <row r="125" spans="2:15" ht="15" thickBot="1" x14ac:dyDescent="0.35">
      <c r="B125" s="132" t="s">
        <v>45</v>
      </c>
      <c r="C125" s="133">
        <f t="shared" ref="C125:O125" si="49">C34+C62+C90</f>
        <v>30848359.600711424</v>
      </c>
      <c r="D125" s="133">
        <f t="shared" si="49"/>
        <v>233271740.59499991</v>
      </c>
      <c r="E125" s="133">
        <f t="shared" si="49"/>
        <v>2851200</v>
      </c>
      <c r="F125" s="133">
        <f t="shared" si="49"/>
        <v>0</v>
      </c>
      <c r="G125" s="133">
        <f t="shared" si="49"/>
        <v>0</v>
      </c>
      <c r="H125" s="133">
        <f t="shared" si="49"/>
        <v>0</v>
      </c>
      <c r="I125" s="133">
        <f t="shared" si="49"/>
        <v>0</v>
      </c>
      <c r="J125" s="133">
        <f t="shared" si="49"/>
        <v>0</v>
      </c>
      <c r="K125" s="133">
        <f t="shared" si="49"/>
        <v>0</v>
      </c>
      <c r="L125" s="133">
        <f t="shared" si="49"/>
        <v>18018880.058405567</v>
      </c>
      <c r="M125" s="133">
        <f t="shared" si="49"/>
        <v>284990180.25411689</v>
      </c>
      <c r="N125" s="133">
        <f t="shared" si="49"/>
        <v>685946682.99750829</v>
      </c>
      <c r="O125" s="133">
        <f t="shared" si="49"/>
        <v>400956502.74339139</v>
      </c>
    </row>
    <row r="126" spans="2:15" ht="15" thickBot="1" x14ac:dyDescent="0.35">
      <c r="B126" s="132" t="s">
        <v>46</v>
      </c>
      <c r="C126" s="133">
        <f t="shared" ref="C126:O126" si="50">C35+C63+C91</f>
        <v>24142255.383493654</v>
      </c>
      <c r="D126" s="133">
        <f t="shared" si="50"/>
        <v>221444650.79400003</v>
      </c>
      <c r="E126" s="133">
        <f t="shared" si="50"/>
        <v>16714500.687020842</v>
      </c>
      <c r="F126" s="133">
        <f t="shared" si="50"/>
        <v>0</v>
      </c>
      <c r="G126" s="133">
        <f t="shared" si="50"/>
        <v>0</v>
      </c>
      <c r="H126" s="133">
        <f t="shared" si="50"/>
        <v>0</v>
      </c>
      <c r="I126" s="133">
        <f t="shared" si="50"/>
        <v>0</v>
      </c>
      <c r="J126" s="133">
        <f t="shared" si="50"/>
        <v>0</v>
      </c>
      <c r="K126" s="133">
        <f t="shared" si="50"/>
        <v>0</v>
      </c>
      <c r="L126" s="133">
        <f t="shared" si="50"/>
        <v>73942135.092404008</v>
      </c>
      <c r="M126" s="133">
        <f t="shared" si="50"/>
        <v>336243541.95691848</v>
      </c>
      <c r="N126" s="133">
        <f t="shared" si="50"/>
        <v>865694339.15685856</v>
      </c>
      <c r="O126" s="133">
        <f t="shared" si="50"/>
        <v>529450797.19993997</v>
      </c>
    </row>
    <row r="127" spans="2:15" ht="15" thickBot="1" x14ac:dyDescent="0.35">
      <c r="B127" s="132" t="s">
        <v>47</v>
      </c>
      <c r="C127" s="133">
        <f t="shared" ref="C127:O127" si="51">C36+C64+C92</f>
        <v>22062344.595163539</v>
      </c>
      <c r="D127" s="133">
        <f t="shared" si="51"/>
        <v>180228266.02149987</v>
      </c>
      <c r="E127" s="133">
        <f t="shared" si="51"/>
        <v>22070814.094250631</v>
      </c>
      <c r="F127" s="133">
        <f t="shared" si="51"/>
        <v>150287241.57700732</v>
      </c>
      <c r="G127" s="133">
        <f t="shared" si="51"/>
        <v>109231772.92300047</v>
      </c>
      <c r="H127" s="133">
        <f t="shared" si="51"/>
        <v>260121892.07503697</v>
      </c>
      <c r="I127" s="133">
        <f t="shared" si="51"/>
        <v>0</v>
      </c>
      <c r="J127" s="133">
        <f t="shared" si="51"/>
        <v>0</v>
      </c>
      <c r="K127" s="133">
        <f t="shared" si="51"/>
        <v>0</v>
      </c>
      <c r="L127" s="133">
        <f t="shared" si="51"/>
        <v>67623889.8279275</v>
      </c>
      <c r="M127" s="133">
        <f t="shared" si="51"/>
        <v>702394448.1908859</v>
      </c>
      <c r="N127" s="133">
        <f t="shared" si="51"/>
        <v>1116913791.4641902</v>
      </c>
      <c r="O127" s="133">
        <f t="shared" si="51"/>
        <v>414519343.27330434</v>
      </c>
    </row>
    <row r="128" spans="2:15" ht="15" thickBot="1" x14ac:dyDescent="0.35">
      <c r="B128" s="132" t="s">
        <v>48</v>
      </c>
      <c r="C128" s="133">
        <f t="shared" ref="C128:O128" si="52">C37+C65+C93</f>
        <v>17721007.415898785</v>
      </c>
      <c r="D128" s="133">
        <f t="shared" si="52"/>
        <v>164555778.86299992</v>
      </c>
      <c r="E128" s="133">
        <f t="shared" si="52"/>
        <v>22070814.147020843</v>
      </c>
      <c r="F128" s="133">
        <f t="shared" si="52"/>
        <v>34062072.644041948</v>
      </c>
      <c r="G128" s="133">
        <f t="shared" si="52"/>
        <v>24756995.639142569</v>
      </c>
      <c r="H128" s="133">
        <f t="shared" si="52"/>
        <v>268520103.00952858</v>
      </c>
      <c r="I128" s="133">
        <f t="shared" si="52"/>
        <v>0</v>
      </c>
      <c r="J128" s="133">
        <f t="shared" si="52"/>
        <v>0</v>
      </c>
      <c r="K128" s="133">
        <f t="shared" si="52"/>
        <v>0</v>
      </c>
      <c r="L128" s="133">
        <f t="shared" si="52"/>
        <v>67669653.536230847</v>
      </c>
      <c r="M128" s="133">
        <f t="shared" si="52"/>
        <v>574599429.61572099</v>
      </c>
      <c r="N128" s="133">
        <f t="shared" si="52"/>
        <v>1003507794.4809996</v>
      </c>
      <c r="O128" s="133">
        <f t="shared" si="52"/>
        <v>428908364.8652786</v>
      </c>
    </row>
    <row r="129" spans="2:15" ht="15" thickBot="1" x14ac:dyDescent="0.35">
      <c r="B129" s="132" t="s">
        <v>49</v>
      </c>
      <c r="C129" s="133">
        <f t="shared" ref="C129:O129" si="53">C38+C66+C94</f>
        <v>17421541.685608782</v>
      </c>
      <c r="D129" s="133">
        <f t="shared" si="53"/>
        <v>138663017.28299993</v>
      </c>
      <c r="E129" s="133">
        <f t="shared" si="53"/>
        <v>22070814.147020843</v>
      </c>
      <c r="F129" s="133">
        <f t="shared" si="53"/>
        <v>33914405.114653021</v>
      </c>
      <c r="G129" s="133">
        <f t="shared" si="53"/>
        <v>24649667.925432112</v>
      </c>
      <c r="H129" s="133">
        <f t="shared" si="53"/>
        <v>133595444.74339308</v>
      </c>
      <c r="I129" s="133">
        <f t="shared" si="53"/>
        <v>0</v>
      </c>
      <c r="J129" s="133">
        <f t="shared" si="53"/>
        <v>178736474.90878087</v>
      </c>
      <c r="K129" s="133">
        <f t="shared" si="53"/>
        <v>0</v>
      </c>
      <c r="L129" s="133">
        <f t="shared" si="53"/>
        <v>77613455.16709587</v>
      </c>
      <c r="M129" s="133">
        <f t="shared" si="53"/>
        <v>602015153.04955244</v>
      </c>
      <c r="N129" s="133">
        <f t="shared" si="53"/>
        <v>1016023537.1018078</v>
      </c>
      <c r="O129" s="133">
        <f t="shared" si="53"/>
        <v>414008384.05225545</v>
      </c>
    </row>
    <row r="130" spans="2:15" ht="15" thickBot="1" x14ac:dyDescent="0.35">
      <c r="B130" s="132" t="s">
        <v>50</v>
      </c>
      <c r="C130" s="133">
        <f t="shared" ref="C130:O130" si="54">C39+C67+C95</f>
        <v>11401431.694168944</v>
      </c>
      <c r="D130" s="133">
        <f t="shared" si="54"/>
        <v>66068343.892000012</v>
      </c>
      <c r="E130" s="133">
        <f t="shared" si="54"/>
        <v>22070814.147020843</v>
      </c>
      <c r="F130" s="133">
        <f t="shared" si="54"/>
        <v>33801616.020861797</v>
      </c>
      <c r="G130" s="133">
        <f t="shared" si="54"/>
        <v>27526963.293407146</v>
      </c>
      <c r="H130" s="133">
        <f t="shared" si="54"/>
        <v>132971920.78016761</v>
      </c>
      <c r="I130" s="133">
        <f t="shared" si="54"/>
        <v>12084277.618483996</v>
      </c>
      <c r="J130" s="133">
        <f t="shared" si="54"/>
        <v>221416152.35444039</v>
      </c>
      <c r="K130" s="133">
        <f t="shared" si="54"/>
        <v>0</v>
      </c>
      <c r="L130" s="133">
        <f t="shared" si="54"/>
        <v>67553355.712971792</v>
      </c>
      <c r="M130" s="133">
        <f t="shared" si="54"/>
        <v>578200596.66672337</v>
      </c>
      <c r="N130" s="133">
        <f t="shared" si="54"/>
        <v>999120241.15131474</v>
      </c>
      <c r="O130" s="133">
        <f t="shared" si="54"/>
        <v>420919644.48459131</v>
      </c>
    </row>
    <row r="131" spans="2:15" ht="15" thickBot="1" x14ac:dyDescent="0.35">
      <c r="B131" s="132" t="s">
        <v>51</v>
      </c>
      <c r="C131" s="133">
        <f t="shared" ref="C131:O131" si="55">C40+C68+C96</f>
        <v>8215431.7104763286</v>
      </c>
      <c r="D131" s="133">
        <f t="shared" si="55"/>
        <v>5563437.5765000004</v>
      </c>
      <c r="E131" s="133">
        <f t="shared" si="55"/>
        <v>22070814.147020843</v>
      </c>
      <c r="F131" s="133">
        <f t="shared" si="55"/>
        <v>33689390.872539528</v>
      </c>
      <c r="G131" s="133">
        <f t="shared" si="55"/>
        <v>27034114.897018418</v>
      </c>
      <c r="H131" s="133">
        <f t="shared" si="55"/>
        <v>132709208.97876893</v>
      </c>
      <c r="I131" s="133">
        <f t="shared" si="55"/>
        <v>28823768.959252208</v>
      </c>
      <c r="J131" s="133">
        <f t="shared" si="55"/>
        <v>261937440.06868494</v>
      </c>
      <c r="K131" s="133">
        <f t="shared" si="55"/>
        <v>0</v>
      </c>
      <c r="L131" s="133">
        <f t="shared" si="55"/>
        <v>67572700.474246576</v>
      </c>
      <c r="M131" s="133">
        <f t="shared" si="55"/>
        <v>569909346.39697492</v>
      </c>
      <c r="N131" s="133">
        <f t="shared" si="55"/>
        <v>1006676326.9594774</v>
      </c>
      <c r="O131" s="133">
        <f t="shared" si="55"/>
        <v>436766980.56250262</v>
      </c>
    </row>
    <row r="132" spans="2:15" ht="15" thickBot="1" x14ac:dyDescent="0.35">
      <c r="B132" s="132" t="s">
        <v>52</v>
      </c>
      <c r="C132" s="133">
        <f t="shared" ref="C132:O132" si="56">C41+C69+C97</f>
        <v>4683482.7749063233</v>
      </c>
      <c r="D132" s="133">
        <f t="shared" si="56"/>
        <v>0</v>
      </c>
      <c r="E132" s="133">
        <f t="shared" si="56"/>
        <v>22070814.147020843</v>
      </c>
      <c r="F132" s="133">
        <f t="shared" si="56"/>
        <v>33577726.849958874</v>
      </c>
      <c r="G132" s="133">
        <f t="shared" si="56"/>
        <v>26536508.913292076</v>
      </c>
      <c r="H132" s="133">
        <f t="shared" si="56"/>
        <v>132447810.73637722</v>
      </c>
      <c r="I132" s="133">
        <f t="shared" si="56"/>
        <v>22799499.339131381</v>
      </c>
      <c r="J132" s="133">
        <f t="shared" si="56"/>
        <v>300732316.41426921</v>
      </c>
      <c r="K132" s="133">
        <f t="shared" si="56"/>
        <v>15308930.14111197</v>
      </c>
      <c r="L132" s="133">
        <f t="shared" si="56"/>
        <v>77625423.17019023</v>
      </c>
      <c r="M132" s="133">
        <f t="shared" si="56"/>
        <v>617048717.84269655</v>
      </c>
      <c r="N132" s="133">
        <f t="shared" si="56"/>
        <v>1024281086.2355101</v>
      </c>
      <c r="O132" s="133">
        <f t="shared" si="56"/>
        <v>407232368.39281362</v>
      </c>
    </row>
    <row r="133" spans="2:15" ht="15" thickBot="1" x14ac:dyDescent="0.35">
      <c r="B133" s="136" t="s">
        <v>53</v>
      </c>
      <c r="C133" s="133">
        <f t="shared" ref="C133:O133" si="57">C42+C70+C98</f>
        <v>4681132.259204451</v>
      </c>
      <c r="D133" s="133">
        <f t="shared" si="57"/>
        <v>0</v>
      </c>
      <c r="E133" s="133">
        <f t="shared" si="57"/>
        <v>22070814.147020843</v>
      </c>
      <c r="F133" s="133">
        <f t="shared" si="57"/>
        <v>33466621.147491116</v>
      </c>
      <c r="G133" s="133">
        <f t="shared" si="57"/>
        <v>26034045.032306403</v>
      </c>
      <c r="H133" s="133">
        <f t="shared" si="57"/>
        <v>132187719.48519748</v>
      </c>
      <c r="I133" s="133">
        <f t="shared" si="57"/>
        <v>16680400.966340953</v>
      </c>
      <c r="J133" s="133">
        <f t="shared" si="57"/>
        <v>337870365.64524007</v>
      </c>
      <c r="K133" s="133">
        <f t="shared" si="57"/>
        <v>42173960.544583365</v>
      </c>
      <c r="L133" s="133">
        <f t="shared" si="57"/>
        <v>67711714.835542694</v>
      </c>
      <c r="M133" s="133">
        <f t="shared" si="57"/>
        <v>663101735.729087</v>
      </c>
      <c r="N133" s="133">
        <f t="shared" si="57"/>
        <v>997622862.91090333</v>
      </c>
      <c r="O133" s="133">
        <f t="shared" si="57"/>
        <v>334521127.1818164</v>
      </c>
    </row>
    <row r="134" spans="2:15" ht="15" thickBot="1" x14ac:dyDescent="0.35">
      <c r="B134" s="132" t="s">
        <v>54</v>
      </c>
      <c r="C134" s="133">
        <f t="shared" ref="C134:O134" si="58">C43+C71+C99</f>
        <v>4541008.6485485407</v>
      </c>
      <c r="D134" s="133">
        <f t="shared" si="58"/>
        <v>0</v>
      </c>
      <c r="E134" s="133">
        <f t="shared" si="58"/>
        <v>22070814.147020843</v>
      </c>
      <c r="F134" s="133">
        <f t="shared" si="58"/>
        <v>22582782.773070082</v>
      </c>
      <c r="G134" s="133">
        <f t="shared" si="58"/>
        <v>17696379.936916754</v>
      </c>
      <c r="H134" s="133">
        <f t="shared" si="58"/>
        <v>89305174.61357142</v>
      </c>
      <c r="I134" s="133">
        <f t="shared" si="58"/>
        <v>10464617.683851898</v>
      </c>
      <c r="J134" s="133">
        <f t="shared" si="58"/>
        <v>373418386.00648606</v>
      </c>
      <c r="K134" s="133">
        <f t="shared" si="58"/>
        <v>64217363.42872595</v>
      </c>
      <c r="L134" s="133">
        <f t="shared" si="58"/>
        <v>67733678.133388445</v>
      </c>
      <c r="M134" s="133">
        <f t="shared" si="58"/>
        <v>659029490.4240253</v>
      </c>
      <c r="N134" s="133">
        <f t="shared" si="58"/>
        <v>925643731.62809801</v>
      </c>
      <c r="O134" s="133">
        <f t="shared" si="58"/>
        <v>266614241.20407262</v>
      </c>
    </row>
    <row r="135" spans="2:15" ht="15" thickBot="1" x14ac:dyDescent="0.35">
      <c r="B135" s="132" t="s">
        <v>55</v>
      </c>
      <c r="C135" s="133">
        <f t="shared" ref="C135:O135" si="59">C44+C72+C100</f>
        <v>4506453.6786395097</v>
      </c>
      <c r="D135" s="133">
        <f t="shared" si="59"/>
        <v>0</v>
      </c>
      <c r="E135" s="133">
        <f t="shared" si="59"/>
        <v>22070814.147020843</v>
      </c>
      <c r="F135" s="133">
        <f t="shared" si="59"/>
        <v>21889487.194041867</v>
      </c>
      <c r="G135" s="133">
        <f t="shared" si="59"/>
        <v>16759939.82582704</v>
      </c>
      <c r="H135" s="133">
        <f t="shared" si="59"/>
        <v>57353235.3832478</v>
      </c>
      <c r="I135" s="133">
        <f t="shared" si="59"/>
        <v>4150258.523052759</v>
      </c>
      <c r="J135" s="133">
        <f t="shared" si="59"/>
        <v>407440501.1872986</v>
      </c>
      <c r="K135" s="133">
        <f t="shared" si="59"/>
        <v>81135056.84731023</v>
      </c>
      <c r="L135" s="133">
        <f t="shared" si="59"/>
        <v>77789447.893524975</v>
      </c>
      <c r="M135" s="133">
        <f t="shared" si="59"/>
        <v>679447571.80066836</v>
      </c>
      <c r="N135" s="133">
        <f t="shared" si="59"/>
        <v>859595837.65490556</v>
      </c>
      <c r="O135" s="133">
        <f t="shared" si="59"/>
        <v>180148265.85423726</v>
      </c>
    </row>
    <row r="136" spans="2:15" ht="15" thickBot="1" x14ac:dyDescent="0.35">
      <c r="B136" s="132" t="s">
        <v>56</v>
      </c>
      <c r="C136" s="133">
        <f t="shared" ref="C136:O136" si="60">C45+C73+C101</f>
        <v>4464079.6921323007</v>
      </c>
      <c r="D136" s="133">
        <f t="shared" si="60"/>
        <v>0</v>
      </c>
      <c r="E136" s="133">
        <f t="shared" si="60"/>
        <v>22070814.147020843</v>
      </c>
      <c r="F136" s="133">
        <f t="shared" si="60"/>
        <v>21780039.758071654</v>
      </c>
      <c r="G136" s="133">
        <f t="shared" si="60"/>
        <v>16242283.465987356</v>
      </c>
      <c r="H136" s="133">
        <f t="shared" si="60"/>
        <v>50985661.992150486</v>
      </c>
      <c r="I136" s="133">
        <f t="shared" si="60"/>
        <v>-2264602.9665864967</v>
      </c>
      <c r="J136" s="133">
        <f t="shared" si="60"/>
        <v>283288141.6832273</v>
      </c>
      <c r="K136" s="133">
        <f t="shared" si="60"/>
        <v>92614857.500289872</v>
      </c>
      <c r="L136" s="133">
        <f t="shared" si="60"/>
        <v>67813217.023503959</v>
      </c>
      <c r="M136" s="133">
        <f t="shared" si="60"/>
        <v>676571866.11632597</v>
      </c>
      <c r="N136" s="133">
        <f t="shared" si="60"/>
        <v>775332753.87431026</v>
      </c>
      <c r="O136" s="133">
        <f t="shared" si="60"/>
        <v>98760887.75798437</v>
      </c>
    </row>
    <row r="137" spans="2:15" ht="15" thickBot="1" x14ac:dyDescent="0.35">
      <c r="B137" s="132" t="s">
        <v>57</v>
      </c>
      <c r="C137" s="133">
        <f t="shared" ref="C137:O137" si="61">C46+C74+C102</f>
        <v>4464079.6921323007</v>
      </c>
      <c r="D137" s="133">
        <f t="shared" si="61"/>
        <v>0</v>
      </c>
      <c r="E137" s="133">
        <f t="shared" si="61"/>
        <v>22070814.147020843</v>
      </c>
      <c r="F137" s="133">
        <f t="shared" si="61"/>
        <v>21671139.559281297</v>
      </c>
      <c r="G137" s="133">
        <f t="shared" si="61"/>
        <v>15719350.886022903</v>
      </c>
      <c r="H137" s="133">
        <f t="shared" si="61"/>
        <v>50730733.682189733</v>
      </c>
      <c r="I137" s="133">
        <f t="shared" si="61"/>
        <v>-8781929.4008286558</v>
      </c>
      <c r="J137" s="133">
        <f t="shared" si="61"/>
        <v>254999114.36489654</v>
      </c>
      <c r="K137" s="133">
        <f t="shared" si="61"/>
        <v>98336278.301984087</v>
      </c>
      <c r="L137" s="133">
        <f t="shared" si="61"/>
        <v>67935389.591608495</v>
      </c>
      <c r="M137" s="133">
        <f t="shared" si="61"/>
        <v>677692310.1787473</v>
      </c>
      <c r="N137" s="133">
        <f t="shared" si="61"/>
        <v>698027469.27646661</v>
      </c>
      <c r="O137" s="133">
        <f t="shared" si="61"/>
        <v>20335159.097719382</v>
      </c>
    </row>
    <row r="138" spans="2:15" ht="15" thickBot="1" x14ac:dyDescent="0.35">
      <c r="B138" s="132" t="s">
        <v>58</v>
      </c>
      <c r="C138" s="133">
        <f t="shared" ref="C138:O138" si="62">C47+C75+C103</f>
        <v>4464079.6921323007</v>
      </c>
      <c r="D138" s="133">
        <f t="shared" si="62"/>
        <v>0</v>
      </c>
      <c r="E138" s="133">
        <f t="shared" si="62"/>
        <v>20416994.263402291</v>
      </c>
      <c r="F138" s="133">
        <f t="shared" si="62"/>
        <v>21562783.861484893</v>
      </c>
      <c r="G138" s="133">
        <f t="shared" si="62"/>
        <v>15191033.07679088</v>
      </c>
      <c r="H138" s="133">
        <f t="shared" si="62"/>
        <v>50477080.013778783</v>
      </c>
      <c r="I138" s="133">
        <f t="shared" si="62"/>
        <v>-15403720.257215077</v>
      </c>
      <c r="J138" s="133">
        <f t="shared" si="62"/>
        <v>228078270.83410171</v>
      </c>
      <c r="K138" s="133">
        <f t="shared" si="62"/>
        <v>97970321.092483461</v>
      </c>
      <c r="L138" s="133">
        <f t="shared" si="62"/>
        <v>67845987.773045599</v>
      </c>
      <c r="M138" s="133">
        <f t="shared" si="62"/>
        <v>608591899.55227637</v>
      </c>
      <c r="N138" s="133">
        <f t="shared" si="62"/>
        <v>620573984.21476722</v>
      </c>
      <c r="O138" s="133">
        <f t="shared" si="62"/>
        <v>11982084.66249085</v>
      </c>
    </row>
    <row r="139" spans="2:15" ht="15" thickBot="1" x14ac:dyDescent="0.35">
      <c r="B139" s="132" t="s">
        <v>59</v>
      </c>
      <c r="C139" s="133">
        <f t="shared" ref="C139:O139" si="63">C48+C76+C104</f>
        <v>4464079.6921323007</v>
      </c>
      <c r="D139" s="133">
        <f t="shared" si="63"/>
        <v>0</v>
      </c>
      <c r="E139" s="133">
        <f t="shared" si="63"/>
        <v>20416994.263402291</v>
      </c>
      <c r="F139" s="133">
        <f t="shared" si="63"/>
        <v>21454969.942177463</v>
      </c>
      <c r="G139" s="133">
        <f t="shared" si="63"/>
        <v>14657219.192696268</v>
      </c>
      <c r="H139" s="133">
        <f t="shared" si="63"/>
        <v>50224694.613709882</v>
      </c>
      <c r="I139" s="133">
        <f t="shared" si="63"/>
        <v>-22132012.585101333</v>
      </c>
      <c r="J139" s="133">
        <f t="shared" si="63"/>
        <v>202211663.51080137</v>
      </c>
      <c r="K139" s="133">
        <f t="shared" si="63"/>
        <v>61118739.421790622</v>
      </c>
      <c r="L139" s="133">
        <f t="shared" si="63"/>
        <v>67896406.588972181</v>
      </c>
      <c r="M139" s="133">
        <f t="shared" si="63"/>
        <v>581602685.72905028</v>
      </c>
      <c r="N139" s="133">
        <f t="shared" si="63"/>
        <v>613905529.52588952</v>
      </c>
      <c r="O139" s="133">
        <f t="shared" si="63"/>
        <v>32302843.796839155</v>
      </c>
    </row>
    <row r="140" spans="2:15" ht="15" thickBot="1" x14ac:dyDescent="0.35">
      <c r="B140" s="132" t="s">
        <v>60</v>
      </c>
      <c r="C140" s="133">
        <f t="shared" ref="C140:O140" si="64">C49+C77+C105</f>
        <v>4464079.6921323007</v>
      </c>
      <c r="D140" s="133">
        <f t="shared" si="64"/>
        <v>0</v>
      </c>
      <c r="E140" s="133">
        <f t="shared" si="64"/>
        <v>16969444.263402294</v>
      </c>
      <c r="F140" s="133">
        <f t="shared" si="64"/>
        <v>21347695.092466578</v>
      </c>
      <c r="G140" s="133">
        <f t="shared" si="64"/>
        <v>14117796.518106125</v>
      </c>
      <c r="H140" s="133">
        <f t="shared" si="64"/>
        <v>49973571.140641347</v>
      </c>
      <c r="I140" s="133">
        <f t="shared" si="64"/>
        <v>-28968881.729446217</v>
      </c>
      <c r="J140" s="133">
        <f t="shared" si="64"/>
        <v>177357235.93436453</v>
      </c>
      <c r="K140" s="133">
        <f t="shared" si="64"/>
        <v>23543458.078464206</v>
      </c>
      <c r="L140" s="133">
        <f t="shared" si="64"/>
        <v>31734612.79571088</v>
      </c>
      <c r="M140" s="133">
        <f t="shared" si="64"/>
        <v>508567746.39886314</v>
      </c>
      <c r="N140" s="133">
        <f t="shared" si="64"/>
        <v>636254636.06821835</v>
      </c>
      <c r="O140" s="133">
        <f t="shared" si="64"/>
        <v>127686889.66935533</v>
      </c>
    </row>
    <row r="141" spans="2:15" ht="15" thickBot="1" x14ac:dyDescent="0.35">
      <c r="B141" s="132" t="s">
        <v>61</v>
      </c>
      <c r="C141" s="133">
        <f t="shared" ref="C141:O141" si="65">C50+C78+C106</f>
        <v>4464079.6921323007</v>
      </c>
      <c r="D141" s="133">
        <f t="shared" si="65"/>
        <v>0</v>
      </c>
      <c r="E141" s="133">
        <f t="shared" si="65"/>
        <v>0</v>
      </c>
      <c r="F141" s="133">
        <f t="shared" si="65"/>
        <v>21240956.617004242</v>
      </c>
      <c r="G141" s="133">
        <f t="shared" si="65"/>
        <v>13572650.433148867</v>
      </c>
      <c r="H141" s="133">
        <f t="shared" si="65"/>
        <v>49723703.284938142</v>
      </c>
      <c r="I141" s="133">
        <f t="shared" si="65"/>
        <v>-35916442.068622626</v>
      </c>
      <c r="J141" s="133">
        <f t="shared" si="65"/>
        <v>153474613.33764699</v>
      </c>
      <c r="K141" s="133">
        <f t="shared" si="65"/>
        <v>-14769969.349458124</v>
      </c>
      <c r="L141" s="133">
        <f t="shared" si="65"/>
        <v>31814004.587882683</v>
      </c>
      <c r="M141" s="133">
        <f t="shared" si="65"/>
        <v>436753061.33186913</v>
      </c>
      <c r="N141" s="133">
        <f t="shared" si="65"/>
        <v>734291361.86454737</v>
      </c>
      <c r="O141" s="133">
        <f t="shared" si="65"/>
        <v>297538300.53267825</v>
      </c>
    </row>
    <row r="142" spans="2:15" ht="15" thickBot="1" x14ac:dyDescent="0.35">
      <c r="B142" s="132" t="s">
        <v>62</v>
      </c>
      <c r="C142" s="133">
        <f t="shared" ref="C142:O142" si="66">C51+C79+C107</f>
        <v>4464079.6921323007</v>
      </c>
      <c r="D142" s="133">
        <f t="shared" si="66"/>
        <v>0</v>
      </c>
      <c r="E142" s="133">
        <f t="shared" si="66"/>
        <v>0</v>
      </c>
      <c r="F142" s="133">
        <f t="shared" si="66"/>
        <v>21134751.833919227</v>
      </c>
      <c r="G142" s="133">
        <f t="shared" si="66"/>
        <v>13021664.378887059</v>
      </c>
      <c r="H142" s="133">
        <f t="shared" si="66"/>
        <v>49475084.768513441</v>
      </c>
      <c r="I142" s="133">
        <f t="shared" si="66"/>
        <v>-42976847.766524501</v>
      </c>
      <c r="J142" s="133">
        <f t="shared" si="66"/>
        <v>130525035.38207661</v>
      </c>
      <c r="K142" s="133">
        <f t="shared" si="66"/>
        <v>-53836276.935890459</v>
      </c>
      <c r="L142" s="133">
        <f t="shared" si="66"/>
        <v>31825358.126593195</v>
      </c>
      <c r="M142" s="133">
        <f t="shared" si="66"/>
        <v>377827123.15073204</v>
      </c>
      <c r="N142" s="133">
        <f t="shared" si="66"/>
        <v>904522123.07855201</v>
      </c>
      <c r="O142" s="133">
        <f t="shared" si="66"/>
        <v>526694999.92781997</v>
      </c>
    </row>
    <row r="143" spans="2:15" ht="15" thickBot="1" x14ac:dyDescent="0.35">
      <c r="B143" s="132" t="s">
        <v>63</v>
      </c>
      <c r="C143" s="133">
        <f t="shared" ref="C143:O143" si="67">C52+C80+C108</f>
        <v>4464079.6921323007</v>
      </c>
      <c r="D143" s="133">
        <f t="shared" si="67"/>
        <v>0</v>
      </c>
      <c r="E143" s="133">
        <f t="shared" si="67"/>
        <v>0</v>
      </c>
      <c r="F143" s="133">
        <f t="shared" si="67"/>
        <v>21029078.074749626</v>
      </c>
      <c r="G143" s="133">
        <f t="shared" si="67"/>
        <v>12464719.821851997</v>
      </c>
      <c r="H143" s="133">
        <f t="shared" si="67"/>
        <v>49227709.344670884</v>
      </c>
      <c r="I143" s="133">
        <f t="shared" si="67"/>
        <v>-50152293.539248496</v>
      </c>
      <c r="J143" s="133">
        <f t="shared" si="67"/>
        <v>125303002.95920792</v>
      </c>
      <c r="K143" s="133">
        <f t="shared" si="67"/>
        <v>-93670492.155345812</v>
      </c>
      <c r="L143" s="133">
        <f t="shared" si="67"/>
        <v>18220820.690730788</v>
      </c>
      <c r="M143" s="133">
        <f t="shared" si="67"/>
        <v>298659152.04607111</v>
      </c>
      <c r="N143" s="133">
        <f t="shared" si="67"/>
        <v>1135498554.0420971</v>
      </c>
      <c r="O143" s="133">
        <f t="shared" si="67"/>
        <v>836839401.9960258</v>
      </c>
    </row>
    <row r="144" spans="2:15" ht="15" thickBot="1" x14ac:dyDescent="0.35">
      <c r="B144" s="132" t="s">
        <v>64</v>
      </c>
      <c r="C144" s="133">
        <f t="shared" ref="C144:O144" si="68">C53+C81+C109</f>
        <v>4464079.6921323007</v>
      </c>
      <c r="D144" s="133">
        <f t="shared" si="68"/>
        <v>0</v>
      </c>
      <c r="E144" s="133">
        <f t="shared" si="68"/>
        <v>0</v>
      </c>
      <c r="F144" s="133">
        <f t="shared" si="68"/>
        <v>20923932.684375882</v>
      </c>
      <c r="G144" s="133">
        <f t="shared" si="68"/>
        <v>11901696.217928151</v>
      </c>
      <c r="H144" s="133">
        <f t="shared" si="68"/>
        <v>48981570.797947526</v>
      </c>
      <c r="I144" s="133">
        <f t="shared" si="68"/>
        <v>-57445015.436635979</v>
      </c>
      <c r="J144" s="133">
        <f t="shared" si="68"/>
        <v>124676487.9444119</v>
      </c>
      <c r="K144" s="133">
        <f t="shared" si="68"/>
        <v>-134287941.73611906</v>
      </c>
      <c r="L144" s="133">
        <f t="shared" si="68"/>
        <v>18220820.690730788</v>
      </c>
      <c r="M144" s="133">
        <f t="shared" si="68"/>
        <v>231050016.47230434</v>
      </c>
      <c r="N144" s="133">
        <f t="shared" si="68"/>
        <v>1445642956.1103029</v>
      </c>
      <c r="O144" s="133">
        <f t="shared" si="68"/>
        <v>1214592939.6379986</v>
      </c>
    </row>
    <row r="145" spans="2:15" ht="15" thickBot="1" x14ac:dyDescent="0.35">
      <c r="B145" s="132" t="s">
        <v>65</v>
      </c>
      <c r="C145" s="133">
        <f t="shared" ref="C145:O145" si="69">C54+C82+C110</f>
        <v>4464079.6921323007</v>
      </c>
      <c r="D145" s="133">
        <f t="shared" si="69"/>
        <v>0</v>
      </c>
      <c r="E145" s="133">
        <f t="shared" si="69"/>
        <v>0</v>
      </c>
      <c r="F145" s="133">
        <f t="shared" si="69"/>
        <v>20819313.020953998</v>
      </c>
      <c r="G145" s="133">
        <f t="shared" si="69"/>
        <v>11332470.975575242</v>
      </c>
      <c r="H145" s="133">
        <f t="shared" si="69"/>
        <v>48736662.943957791</v>
      </c>
      <c r="I145" s="133">
        <f t="shared" si="69"/>
        <v>-64857291.638964728</v>
      </c>
      <c r="J145" s="133">
        <f t="shared" si="69"/>
        <v>124053105.50468984</v>
      </c>
      <c r="K145" s="133">
        <f t="shared" si="69"/>
        <v>-175704257.63028985</v>
      </c>
      <c r="L145" s="133">
        <f t="shared" si="69"/>
        <v>18220820.690730788</v>
      </c>
      <c r="M145" s="133">
        <f t="shared" si="69"/>
        <v>166528369.89683843</v>
      </c>
      <c r="N145" s="133">
        <f t="shared" si="69"/>
        <v>1823396493.7522755</v>
      </c>
      <c r="O145" s="133">
        <f t="shared" si="69"/>
        <v>1656868123.8554368</v>
      </c>
    </row>
    <row r="146" spans="2:15" ht="15" thickBot="1" x14ac:dyDescent="0.35">
      <c r="B146" s="132" t="s">
        <v>66</v>
      </c>
      <c r="C146" s="133">
        <f t="shared" ref="C146:O146" si="70">C55+C83+C111</f>
        <v>4464079.6921323007</v>
      </c>
      <c r="D146" s="133">
        <f t="shared" si="70"/>
        <v>0</v>
      </c>
      <c r="E146" s="133">
        <f t="shared" si="70"/>
        <v>0</v>
      </c>
      <c r="F146" s="133">
        <f t="shared" si="70"/>
        <v>20715216.455849227</v>
      </c>
      <c r="G146" s="133">
        <f t="shared" si="70"/>
        <v>10756919.418375621</v>
      </c>
      <c r="H146" s="133">
        <f t="shared" si="70"/>
        <v>48492979.629238002</v>
      </c>
      <c r="I146" s="133">
        <f t="shared" si="70"/>
        <v>-72391443.269087315</v>
      </c>
      <c r="J146" s="133">
        <f t="shared" si="70"/>
        <v>123432839.9771664</v>
      </c>
      <c r="K146" s="133">
        <f t="shared" si="70"/>
        <v>-217935383.10288098</v>
      </c>
      <c r="L146" s="133">
        <f t="shared" si="70"/>
        <v>18220820.690730788</v>
      </c>
      <c r="M146" s="133">
        <f t="shared" si="70"/>
        <v>54183977.115867607</v>
      </c>
      <c r="N146" s="133">
        <f t="shared" si="70"/>
        <v>2265671677.9697132</v>
      </c>
      <c r="O146" s="133">
        <f t="shared" si="70"/>
        <v>2211487700.8538461</v>
      </c>
    </row>
    <row r="147" spans="2:15" ht="15" thickBot="1" x14ac:dyDescent="0.35">
      <c r="B147" s="132" t="s">
        <v>67</v>
      </c>
      <c r="C147" s="133">
        <f t="shared" ref="C147:O147" si="71">C56+C84+C112</f>
        <v>4464079.6921323007</v>
      </c>
      <c r="D147" s="133">
        <f t="shared" si="71"/>
        <v>0</v>
      </c>
      <c r="E147" s="133">
        <f t="shared" si="71"/>
        <v>0</v>
      </c>
      <c r="F147" s="133">
        <f t="shared" si="71"/>
        <v>20572634.555911593</v>
      </c>
      <c r="G147" s="133">
        <f t="shared" si="71"/>
        <v>10146564.538503792</v>
      </c>
      <c r="H147" s="133">
        <f t="shared" si="71"/>
        <v>31882117.435695674</v>
      </c>
      <c r="I147" s="133">
        <f t="shared" si="71"/>
        <v>-80049835.220317319</v>
      </c>
      <c r="J147" s="133">
        <f t="shared" si="71"/>
        <v>122815675.77728055</v>
      </c>
      <c r="K147" s="133">
        <f t="shared" si="71"/>
        <v>-260997578.94254982</v>
      </c>
      <c r="L147" s="133">
        <f t="shared" si="71"/>
        <v>18220820.690730788</v>
      </c>
      <c r="M147" s="133">
        <f t="shared" si="71"/>
        <v>-46090985.196281679</v>
      </c>
      <c r="N147" s="133">
        <f t="shared" si="71"/>
        <v>2820291254.968123</v>
      </c>
      <c r="O147" s="133">
        <f t="shared" si="71"/>
        <v>2866382240.1644049</v>
      </c>
    </row>
    <row r="152" spans="2:15" ht="15" thickBot="1" x14ac:dyDescent="0.35"/>
    <row r="153" spans="2:15" ht="15" thickBot="1" x14ac:dyDescent="0.35">
      <c r="B153" s="300" t="s">
        <v>161</v>
      </c>
      <c r="C153" s="298"/>
      <c r="D153" s="298"/>
      <c r="E153" s="299"/>
      <c r="F153" s="301" t="s">
        <v>162</v>
      </c>
      <c r="G153" s="298"/>
      <c r="H153" s="303" t="s">
        <v>163</v>
      </c>
      <c r="I153" s="304"/>
      <c r="J153" s="305" t="s">
        <v>164</v>
      </c>
      <c r="K153" s="304"/>
      <c r="L153" s="128"/>
      <c r="M153" s="207"/>
    </row>
    <row r="154" spans="2:15" ht="31.2" thickBot="1" x14ac:dyDescent="0.35">
      <c r="B154" s="129" t="s">
        <v>43</v>
      </c>
      <c r="C154" s="130" t="s">
        <v>166</v>
      </c>
      <c r="D154" s="130" t="s">
        <v>167</v>
      </c>
      <c r="E154" s="131" t="s">
        <v>168</v>
      </c>
      <c r="F154" s="130" t="s">
        <v>169</v>
      </c>
      <c r="G154" s="131" t="s">
        <v>170</v>
      </c>
      <c r="H154" s="130" t="s">
        <v>171</v>
      </c>
      <c r="I154" s="131" t="s">
        <v>172</v>
      </c>
      <c r="J154" s="130" t="s">
        <v>173</v>
      </c>
      <c r="K154" s="130" t="s">
        <v>174</v>
      </c>
      <c r="L154" s="130" t="s">
        <v>175</v>
      </c>
      <c r="M154" s="130" t="s">
        <v>176</v>
      </c>
    </row>
    <row r="155" spans="2:15" ht="15" thickBot="1" x14ac:dyDescent="0.35">
      <c r="B155" s="132" t="s">
        <v>45</v>
      </c>
      <c r="C155" s="193">
        <f t="shared" ref="C155:M155" si="72">C4/1000000</f>
        <v>30.848359600711422</v>
      </c>
      <c r="D155" s="193">
        <f t="shared" si="72"/>
        <v>233.27174059499987</v>
      </c>
      <c r="E155" s="193">
        <f t="shared" si="72"/>
        <v>2.8512</v>
      </c>
      <c r="F155" s="193">
        <f t="shared" si="72"/>
        <v>0</v>
      </c>
      <c r="G155" s="193">
        <f t="shared" si="72"/>
        <v>0</v>
      </c>
      <c r="H155" s="193">
        <f t="shared" si="72"/>
        <v>0</v>
      </c>
      <c r="I155" s="193">
        <f t="shared" si="72"/>
        <v>0</v>
      </c>
      <c r="J155" s="193">
        <f t="shared" si="72"/>
        <v>0</v>
      </c>
      <c r="K155" s="193">
        <f t="shared" si="72"/>
        <v>0</v>
      </c>
      <c r="L155" s="193">
        <f t="shared" si="72"/>
        <v>18.018880058405568</v>
      </c>
      <c r="M155" s="193">
        <f t="shared" si="72"/>
        <v>284.99018025411686</v>
      </c>
    </row>
    <row r="156" spans="2:15" ht="15" thickBot="1" x14ac:dyDescent="0.35">
      <c r="B156" s="132" t="s">
        <v>46</v>
      </c>
      <c r="C156" s="193">
        <f t="shared" ref="C156:M156" si="73">C5/1000000</f>
        <v>24.142255383493655</v>
      </c>
      <c r="D156" s="193">
        <f t="shared" si="73"/>
        <v>221.44465079400004</v>
      </c>
      <c r="E156" s="193">
        <f t="shared" si="73"/>
        <v>16.714500687020845</v>
      </c>
      <c r="F156" s="193">
        <f t="shared" si="73"/>
        <v>0</v>
      </c>
      <c r="G156" s="193">
        <f t="shared" si="73"/>
        <v>0</v>
      </c>
      <c r="H156" s="193">
        <f t="shared" si="73"/>
        <v>0</v>
      </c>
      <c r="I156" s="193">
        <f t="shared" si="73"/>
        <v>0</v>
      </c>
      <c r="J156" s="193">
        <f t="shared" si="73"/>
        <v>0</v>
      </c>
      <c r="K156" s="193">
        <f t="shared" si="73"/>
        <v>0</v>
      </c>
      <c r="L156" s="193">
        <f t="shared" si="73"/>
        <v>73.942135092404001</v>
      </c>
      <c r="M156" s="193">
        <f t="shared" si="73"/>
        <v>336.24354195691853</v>
      </c>
    </row>
    <row r="157" spans="2:15" ht="15" thickBot="1" x14ac:dyDescent="0.35">
      <c r="B157" s="132" t="s">
        <v>47</v>
      </c>
      <c r="C157" s="193">
        <f t="shared" ref="C157:M157" si="74">C6/1000000</f>
        <v>22.062344595163538</v>
      </c>
      <c r="D157" s="193">
        <f t="shared" si="74"/>
        <v>180.22826602149988</v>
      </c>
      <c r="E157" s="193">
        <f t="shared" si="74"/>
        <v>22.070814094250629</v>
      </c>
      <c r="F157" s="193">
        <f t="shared" si="74"/>
        <v>150.28724157700734</v>
      </c>
      <c r="G157" s="193">
        <f t="shared" si="74"/>
        <v>0</v>
      </c>
      <c r="H157" s="193">
        <f t="shared" si="74"/>
        <v>260.12189207503701</v>
      </c>
      <c r="I157" s="193">
        <f t="shared" si="74"/>
        <v>0</v>
      </c>
      <c r="J157" s="193">
        <f t="shared" si="74"/>
        <v>0</v>
      </c>
      <c r="K157" s="193">
        <f t="shared" si="74"/>
        <v>0</v>
      </c>
      <c r="L157" s="193">
        <f t="shared" si="74"/>
        <v>67.623889827927499</v>
      </c>
      <c r="M157" s="193">
        <f t="shared" si="74"/>
        <v>702.39444819088578</v>
      </c>
    </row>
    <row r="158" spans="2:15" ht="15" thickBot="1" x14ac:dyDescent="0.35">
      <c r="B158" s="132" t="s">
        <v>48</v>
      </c>
      <c r="C158" s="193">
        <f t="shared" ref="C158:M158" si="75">C7/1000000</f>
        <v>17.721007415898786</v>
      </c>
      <c r="D158" s="193">
        <f t="shared" si="75"/>
        <v>164.55577886299994</v>
      </c>
      <c r="E158" s="193">
        <f t="shared" si="75"/>
        <v>22.070814147020844</v>
      </c>
      <c r="F158" s="193">
        <f t="shared" si="75"/>
        <v>34.062072644041947</v>
      </c>
      <c r="G158" s="193">
        <f t="shared" si="75"/>
        <v>0</v>
      </c>
      <c r="H158" s="193">
        <f t="shared" si="75"/>
        <v>268.52010300952861</v>
      </c>
      <c r="I158" s="193">
        <f t="shared" si="75"/>
        <v>0</v>
      </c>
      <c r="J158" s="193">
        <f t="shared" si="75"/>
        <v>0</v>
      </c>
      <c r="K158" s="193">
        <f t="shared" si="75"/>
        <v>0</v>
      </c>
      <c r="L158" s="193">
        <f t="shared" si="75"/>
        <v>67.669653536230868</v>
      </c>
      <c r="M158" s="193">
        <f t="shared" si="75"/>
        <v>574.59942961572096</v>
      </c>
    </row>
    <row r="159" spans="2:15" ht="15" thickBot="1" x14ac:dyDescent="0.35">
      <c r="B159" s="132" t="s">
        <v>49</v>
      </c>
      <c r="C159" s="193">
        <f t="shared" ref="C159:M159" si="76">C8/1000000</f>
        <v>17.421541685608783</v>
      </c>
      <c r="D159" s="193">
        <f t="shared" si="76"/>
        <v>138.66301728299993</v>
      </c>
      <c r="E159" s="193">
        <f t="shared" si="76"/>
        <v>22.070814147020844</v>
      </c>
      <c r="F159" s="193">
        <f t="shared" si="76"/>
        <v>33.914405114653029</v>
      </c>
      <c r="G159" s="193">
        <f t="shared" si="76"/>
        <v>0</v>
      </c>
      <c r="H159" s="193">
        <f t="shared" si="76"/>
        <v>133.59544474339307</v>
      </c>
      <c r="I159" s="193">
        <f t="shared" si="76"/>
        <v>0</v>
      </c>
      <c r="J159" s="193">
        <f t="shared" si="76"/>
        <v>178.73647490878088</v>
      </c>
      <c r="K159" s="193">
        <f t="shared" si="76"/>
        <v>0</v>
      </c>
      <c r="L159" s="193">
        <f t="shared" si="76"/>
        <v>77.613455167095864</v>
      </c>
      <c r="M159" s="193">
        <f t="shared" si="76"/>
        <v>602.0151530495524</v>
      </c>
    </row>
    <row r="160" spans="2:15" ht="15" thickBot="1" x14ac:dyDescent="0.35">
      <c r="B160" s="132" t="s">
        <v>50</v>
      </c>
      <c r="C160" s="193">
        <f t="shared" ref="C160:M160" si="77">C9/1000000</f>
        <v>11.401431694168943</v>
      </c>
      <c r="D160" s="193">
        <f t="shared" si="77"/>
        <v>66.068343892000016</v>
      </c>
      <c r="E160" s="193">
        <f t="shared" si="77"/>
        <v>22.070814147020844</v>
      </c>
      <c r="F160" s="193">
        <f t="shared" si="77"/>
        <v>33.8016160208618</v>
      </c>
      <c r="G160" s="193">
        <f t="shared" si="77"/>
        <v>10.832684446607995</v>
      </c>
      <c r="H160" s="193">
        <f t="shared" si="77"/>
        <v>132.97192078016761</v>
      </c>
      <c r="I160" s="193">
        <f t="shared" si="77"/>
        <v>12.084277618483997</v>
      </c>
      <c r="J160" s="193">
        <f t="shared" si="77"/>
        <v>221.41615235444038</v>
      </c>
      <c r="K160" s="193">
        <f t="shared" si="77"/>
        <v>0</v>
      </c>
      <c r="L160" s="193">
        <f t="shared" si="77"/>
        <v>67.553355712971779</v>
      </c>
      <c r="M160" s="193">
        <f t="shared" si="77"/>
        <v>578.20059666672341</v>
      </c>
    </row>
    <row r="161" spans="2:13" ht="15" thickBot="1" x14ac:dyDescent="0.35">
      <c r="B161" s="132" t="s">
        <v>51</v>
      </c>
      <c r="C161" s="193">
        <f t="shared" ref="C161:M161" si="78">C10/1000000</f>
        <v>8.215431710476329</v>
      </c>
      <c r="D161" s="193">
        <f t="shared" si="78"/>
        <v>5.5634375765000001</v>
      </c>
      <c r="E161" s="193">
        <f t="shared" si="78"/>
        <v>22.070814147020844</v>
      </c>
      <c r="F161" s="193">
        <f t="shared" si="78"/>
        <v>33.689390872539526</v>
      </c>
      <c r="G161" s="193">
        <f t="shared" si="78"/>
        <v>9.3271536094854497</v>
      </c>
      <c r="H161" s="193">
        <f t="shared" si="78"/>
        <v>132.70920897876891</v>
      </c>
      <c r="I161" s="193">
        <f t="shared" si="78"/>
        <v>28.823768959252206</v>
      </c>
      <c r="J161" s="193">
        <f t="shared" si="78"/>
        <v>261.93744006868491</v>
      </c>
      <c r="K161" s="193">
        <f t="shared" si="78"/>
        <v>0</v>
      </c>
      <c r="L161" s="193">
        <f t="shared" si="78"/>
        <v>67.572700474246588</v>
      </c>
      <c r="M161" s="193">
        <f t="shared" si="78"/>
        <v>569.9093463969748</v>
      </c>
    </row>
    <row r="162" spans="2:13" ht="15" thickBot="1" x14ac:dyDescent="0.35">
      <c r="B162" s="132" t="s">
        <v>52</v>
      </c>
      <c r="C162" s="193">
        <f t="shared" ref="C162:M162" si="79">C11/1000000</f>
        <v>4.4804827749063234</v>
      </c>
      <c r="D162" s="193">
        <f t="shared" si="79"/>
        <v>0</v>
      </c>
      <c r="E162" s="193">
        <f t="shared" si="79"/>
        <v>22.070814147020844</v>
      </c>
      <c r="F162" s="193">
        <f t="shared" si="79"/>
        <v>33.577726849958871</v>
      </c>
      <c r="G162" s="193">
        <f t="shared" si="79"/>
        <v>7.8027142697304637</v>
      </c>
      <c r="H162" s="193">
        <f t="shared" si="79"/>
        <v>132.44781073637725</v>
      </c>
      <c r="I162" s="193">
        <f t="shared" si="79"/>
        <v>22.799499339131383</v>
      </c>
      <c r="J162" s="193">
        <f t="shared" si="79"/>
        <v>300.73231641426912</v>
      </c>
      <c r="K162" s="193">
        <f t="shared" si="79"/>
        <v>15.30893014111197</v>
      </c>
      <c r="L162" s="193">
        <f t="shared" si="79"/>
        <v>77.625423170190217</v>
      </c>
      <c r="M162" s="193">
        <f t="shared" si="79"/>
        <v>616.84571784269644</v>
      </c>
    </row>
    <row r="163" spans="2:13" ht="15" thickBot="1" x14ac:dyDescent="0.35">
      <c r="B163" s="136" t="s">
        <v>53</v>
      </c>
      <c r="C163" s="193">
        <f t="shared" ref="C163:M163" si="80">C12/1000000</f>
        <v>4.4781322592044512</v>
      </c>
      <c r="D163" s="193">
        <f t="shared" si="80"/>
        <v>0</v>
      </c>
      <c r="E163" s="193">
        <f t="shared" si="80"/>
        <v>22.070814147020844</v>
      </c>
      <c r="F163" s="193">
        <f t="shared" si="80"/>
        <v>33.466621147491118</v>
      </c>
      <c r="G163" s="193">
        <f t="shared" si="80"/>
        <v>6.2590066984658908</v>
      </c>
      <c r="H163" s="193">
        <f t="shared" si="80"/>
        <v>132.18771948519748</v>
      </c>
      <c r="I163" s="193">
        <f t="shared" si="80"/>
        <v>16.680400966340951</v>
      </c>
      <c r="J163" s="193">
        <f t="shared" si="80"/>
        <v>337.87036564524004</v>
      </c>
      <c r="K163" s="193">
        <f t="shared" si="80"/>
        <v>42.173960544583366</v>
      </c>
      <c r="L163" s="193">
        <f t="shared" si="80"/>
        <v>67.711714835542693</v>
      </c>
      <c r="M163" s="193">
        <f t="shared" si="80"/>
        <v>662.89873572908687</v>
      </c>
    </row>
    <row r="164" spans="2:13" ht="15" thickBot="1" x14ac:dyDescent="0.35">
      <c r="B164" s="132" t="s">
        <v>54</v>
      </c>
      <c r="C164" s="193">
        <f t="shared" ref="C164:M164" si="81">C13/1000000</f>
        <v>4.3380086485485405</v>
      </c>
      <c r="D164" s="193">
        <f t="shared" si="81"/>
        <v>0</v>
      </c>
      <c r="E164" s="193">
        <f t="shared" si="81"/>
        <v>22.070814147020844</v>
      </c>
      <c r="F164" s="193">
        <f t="shared" si="81"/>
        <v>22.582782773070083</v>
      </c>
      <c r="G164" s="193">
        <f t="shared" si="81"/>
        <v>4.6956649893621707</v>
      </c>
      <c r="H164" s="193">
        <f t="shared" si="81"/>
        <v>89.30517461357141</v>
      </c>
      <c r="I164" s="193">
        <f t="shared" si="81"/>
        <v>10.464617683851898</v>
      </c>
      <c r="J164" s="193">
        <f t="shared" si="81"/>
        <v>373.41838600648606</v>
      </c>
      <c r="K164" s="193">
        <f t="shared" si="81"/>
        <v>64.217363428725946</v>
      </c>
      <c r="L164" s="193">
        <f t="shared" si="81"/>
        <v>67.733678133388452</v>
      </c>
      <c r="M164" s="193">
        <f t="shared" si="81"/>
        <v>658.82649042402534</v>
      </c>
    </row>
    <row r="165" spans="2:13" ht="15" thickBot="1" x14ac:dyDescent="0.35">
      <c r="B165" s="132" t="s">
        <v>55</v>
      </c>
      <c r="C165" s="193">
        <f t="shared" ref="C165:M165" si="82">C14/1000000</f>
        <v>4.3034536786395101</v>
      </c>
      <c r="D165" s="193">
        <f t="shared" si="82"/>
        <v>0</v>
      </c>
      <c r="E165" s="193">
        <f t="shared" si="82"/>
        <v>22.070814147020844</v>
      </c>
      <c r="F165" s="193">
        <f t="shared" si="82"/>
        <v>21.889487194041862</v>
      </c>
      <c r="G165" s="193">
        <f t="shared" si="82"/>
        <v>3.1123169465317022</v>
      </c>
      <c r="H165" s="193">
        <f t="shared" si="82"/>
        <v>57.353235383247792</v>
      </c>
      <c r="I165" s="193">
        <f t="shared" si="82"/>
        <v>4.1502585230527602</v>
      </c>
      <c r="J165" s="193">
        <f t="shared" si="82"/>
        <v>407.44050118729859</v>
      </c>
      <c r="K165" s="193">
        <f t="shared" si="82"/>
        <v>81.135056847310224</v>
      </c>
      <c r="L165" s="193">
        <f t="shared" si="82"/>
        <v>77.789447893524994</v>
      </c>
      <c r="M165" s="193">
        <f t="shared" si="82"/>
        <v>679.24457180066827</v>
      </c>
    </row>
    <row r="166" spans="2:13" ht="15" thickBot="1" x14ac:dyDescent="0.35">
      <c r="B166" s="132" t="s">
        <v>56</v>
      </c>
      <c r="C166" s="193">
        <f t="shared" ref="C166:M166" si="83">C15/1000000</f>
        <v>4.2610796921323004</v>
      </c>
      <c r="D166" s="193">
        <f t="shared" si="83"/>
        <v>0</v>
      </c>
      <c r="E166" s="193">
        <f t="shared" si="83"/>
        <v>22.070814147020844</v>
      </c>
      <c r="F166" s="193">
        <f t="shared" si="83"/>
        <v>21.780039758071652</v>
      </c>
      <c r="G166" s="193">
        <f t="shared" si="83"/>
        <v>1.5085839703701469</v>
      </c>
      <c r="H166" s="193">
        <f t="shared" si="83"/>
        <v>50.985661992150483</v>
      </c>
      <c r="I166" s="193">
        <f t="shared" si="83"/>
        <v>-2.2646029665864948</v>
      </c>
      <c r="J166" s="193">
        <f t="shared" si="83"/>
        <v>283.28814168322731</v>
      </c>
      <c r="K166" s="193">
        <f t="shared" si="83"/>
        <v>92.614857500289858</v>
      </c>
      <c r="L166" s="193">
        <f t="shared" si="83"/>
        <v>67.855534640602187</v>
      </c>
      <c r="M166" s="193">
        <f t="shared" si="83"/>
        <v>542.1001104172783</v>
      </c>
    </row>
    <row r="167" spans="2:13" ht="15" thickBot="1" x14ac:dyDescent="0.35">
      <c r="B167" s="132" t="s">
        <v>57</v>
      </c>
      <c r="C167" s="193">
        <f t="shared" ref="C167:M167" si="84">C16/1000000</f>
        <v>0</v>
      </c>
      <c r="D167" s="193">
        <f t="shared" si="84"/>
        <v>0</v>
      </c>
      <c r="E167" s="193">
        <f t="shared" si="84"/>
        <v>22.070814147020844</v>
      </c>
      <c r="F167" s="193">
        <f t="shared" si="84"/>
        <v>21.671139559281297</v>
      </c>
      <c r="G167" s="193">
        <f t="shared" si="84"/>
        <v>-0.11591905869363499</v>
      </c>
      <c r="H167" s="193">
        <f t="shared" si="84"/>
        <v>50.730733682189729</v>
      </c>
      <c r="I167" s="193">
        <f t="shared" si="84"/>
        <v>-8.7819294008286555</v>
      </c>
      <c r="J167" s="193">
        <f t="shared" si="84"/>
        <v>254.99911436489654</v>
      </c>
      <c r="K167" s="193">
        <f t="shared" si="84"/>
        <v>98.336278301984066</v>
      </c>
      <c r="L167" s="193">
        <f t="shared" si="84"/>
        <v>67.977997445554465</v>
      </c>
      <c r="M167" s="193">
        <f t="shared" si="84"/>
        <v>506.8882290414046</v>
      </c>
    </row>
    <row r="168" spans="2:13" ht="15" thickBot="1" x14ac:dyDescent="0.35">
      <c r="B168" s="132" t="s">
        <v>58</v>
      </c>
      <c r="C168" s="193">
        <f t="shared" ref="C168:M168" si="85">C17/1000000</f>
        <v>0</v>
      </c>
      <c r="D168" s="193">
        <f t="shared" si="85"/>
        <v>0</v>
      </c>
      <c r="E168" s="193">
        <f t="shared" si="85"/>
        <v>20.416994263402295</v>
      </c>
      <c r="F168" s="193">
        <f t="shared" si="85"/>
        <v>21.562783861484892</v>
      </c>
      <c r="G168" s="193">
        <f t="shared" si="85"/>
        <v>-1.761583898578112</v>
      </c>
      <c r="H168" s="193">
        <f t="shared" si="85"/>
        <v>50.477080013778782</v>
      </c>
      <c r="I168" s="193">
        <f t="shared" si="85"/>
        <v>-15.403720257215079</v>
      </c>
      <c r="J168" s="193">
        <f t="shared" si="85"/>
        <v>228.07827083410166</v>
      </c>
      <c r="K168" s="193">
        <f t="shared" si="85"/>
        <v>97.970321092483459</v>
      </c>
      <c r="L168" s="193">
        <f t="shared" si="85"/>
        <v>68.007164753511432</v>
      </c>
      <c r="M168" s="193">
        <f t="shared" si="85"/>
        <v>469.34731066296928</v>
      </c>
    </row>
    <row r="169" spans="2:13" ht="15" thickBot="1" x14ac:dyDescent="0.35">
      <c r="B169" s="132" t="s">
        <v>59</v>
      </c>
      <c r="C169" s="193">
        <f t="shared" ref="C169:M169" si="86">C18/1000000</f>
        <v>0</v>
      </c>
      <c r="D169" s="193">
        <f t="shared" si="86"/>
        <v>0</v>
      </c>
      <c r="E169" s="193">
        <f t="shared" si="86"/>
        <v>20.416994263402295</v>
      </c>
      <c r="F169" s="193">
        <f t="shared" si="86"/>
        <v>21.454969942177463</v>
      </c>
      <c r="G169" s="193">
        <f t="shared" si="86"/>
        <v>-3.4288090660998547</v>
      </c>
      <c r="H169" s="193">
        <f t="shared" si="86"/>
        <v>50.224694613709886</v>
      </c>
      <c r="I169" s="193">
        <f t="shared" si="86"/>
        <v>-22.132012585101332</v>
      </c>
      <c r="J169" s="193">
        <f t="shared" si="86"/>
        <v>202.21166351080137</v>
      </c>
      <c r="K169" s="193">
        <f t="shared" si="86"/>
        <v>61.118739421790615</v>
      </c>
      <c r="L169" s="193">
        <f t="shared" si="86"/>
        <v>68.05770334590197</v>
      </c>
      <c r="M169" s="193">
        <f t="shared" si="86"/>
        <v>397.92394344658243</v>
      </c>
    </row>
    <row r="170" spans="2:13" ht="15" thickBot="1" x14ac:dyDescent="0.35">
      <c r="B170" s="132" t="s">
        <v>60</v>
      </c>
      <c r="C170" s="193">
        <f t="shared" ref="C170:M170" si="87">C19/1000000</f>
        <v>0</v>
      </c>
      <c r="D170" s="193">
        <f t="shared" si="87"/>
        <v>0</v>
      </c>
      <c r="E170" s="193">
        <f t="shared" si="87"/>
        <v>16.969444263402298</v>
      </c>
      <c r="F170" s="193">
        <f t="shared" si="87"/>
        <v>21.347695092466576</v>
      </c>
      <c r="G170" s="193">
        <f t="shared" si="87"/>
        <v>-5.1179999597350943</v>
      </c>
      <c r="H170" s="193">
        <f t="shared" si="87"/>
        <v>49.973571140641347</v>
      </c>
      <c r="I170" s="193">
        <f t="shared" si="87"/>
        <v>-28.968881729446217</v>
      </c>
      <c r="J170" s="193">
        <f t="shared" si="87"/>
        <v>177.35723593436452</v>
      </c>
      <c r="K170" s="193">
        <f t="shared" si="87"/>
        <v>23.543458078464202</v>
      </c>
      <c r="L170" s="193">
        <f t="shared" si="87"/>
        <v>68.118553768141368</v>
      </c>
      <c r="M170" s="193">
        <f t="shared" si="87"/>
        <v>323.22307658829902</v>
      </c>
    </row>
    <row r="171" spans="2:13" ht="15" thickBot="1" x14ac:dyDescent="0.35">
      <c r="B171" s="132" t="s">
        <v>61</v>
      </c>
      <c r="C171" s="193">
        <f t="shared" ref="C171:M171" si="88">C20/1000000</f>
        <v>0</v>
      </c>
      <c r="D171" s="193">
        <f t="shared" si="88"/>
        <v>0</v>
      </c>
      <c r="E171" s="193">
        <f t="shared" si="88"/>
        <v>0</v>
      </c>
      <c r="F171" s="193">
        <f t="shared" si="88"/>
        <v>21.240956617004244</v>
      </c>
      <c r="G171" s="193">
        <f t="shared" si="88"/>
        <v>-6.8295689846334247</v>
      </c>
      <c r="H171" s="193">
        <f t="shared" si="88"/>
        <v>49.723703284938132</v>
      </c>
      <c r="I171" s="193">
        <f t="shared" si="88"/>
        <v>-35.916442068622629</v>
      </c>
      <c r="J171" s="193">
        <f t="shared" si="88"/>
        <v>153.47461333764696</v>
      </c>
      <c r="K171" s="193">
        <f t="shared" si="88"/>
        <v>-14.769969349458121</v>
      </c>
      <c r="L171" s="193">
        <f t="shared" si="88"/>
        <v>68.198134165855762</v>
      </c>
      <c r="M171" s="193">
        <f t="shared" si="88"/>
        <v>235.12142700273094</v>
      </c>
    </row>
    <row r="172" spans="2:13" ht="15" thickBot="1" x14ac:dyDescent="0.35">
      <c r="B172" s="132" t="s">
        <v>62</v>
      </c>
      <c r="C172" s="193">
        <f t="shared" ref="C172:M172" si="89">C21/1000000</f>
        <v>0</v>
      </c>
      <c r="D172" s="193">
        <f t="shared" si="89"/>
        <v>0</v>
      </c>
      <c r="E172" s="193">
        <f t="shared" si="89"/>
        <v>0</v>
      </c>
      <c r="F172" s="193">
        <f t="shared" si="89"/>
        <v>21.134751833919228</v>
      </c>
      <c r="G172" s="193">
        <f t="shared" si="89"/>
        <v>-8.5639356799257431</v>
      </c>
      <c r="H172" s="193">
        <f t="shared" si="89"/>
        <v>49.475084768513447</v>
      </c>
      <c r="I172" s="193">
        <f t="shared" si="89"/>
        <v>-42.976847766524493</v>
      </c>
      <c r="J172" s="193">
        <f t="shared" si="89"/>
        <v>130.5250353820766</v>
      </c>
      <c r="K172" s="193">
        <f t="shared" si="89"/>
        <v>-53.83627693589046</v>
      </c>
      <c r="L172" s="193">
        <f t="shared" si="89"/>
        <v>68.209514676376202</v>
      </c>
      <c r="M172" s="193">
        <f t="shared" si="89"/>
        <v>163.96732627854479</v>
      </c>
    </row>
    <row r="173" spans="2:13" ht="15" thickBot="1" x14ac:dyDescent="0.35">
      <c r="B173" s="132" t="s">
        <v>63</v>
      </c>
      <c r="C173" s="193">
        <f t="shared" ref="C173:M173" si="90">C22/1000000</f>
        <v>0</v>
      </c>
      <c r="D173" s="193">
        <f t="shared" si="90"/>
        <v>0</v>
      </c>
      <c r="E173" s="193">
        <f t="shared" si="90"/>
        <v>0</v>
      </c>
      <c r="F173" s="193">
        <f t="shared" si="90"/>
        <v>21.029078074749627</v>
      </c>
      <c r="G173" s="193">
        <f t="shared" si="90"/>
        <v>-10.321526848369311</v>
      </c>
      <c r="H173" s="193">
        <f t="shared" si="90"/>
        <v>49.227709344670878</v>
      </c>
      <c r="I173" s="193">
        <f t="shared" si="90"/>
        <v>-50.152293539248504</v>
      </c>
      <c r="J173" s="193">
        <f t="shared" si="90"/>
        <v>125.30300295920792</v>
      </c>
      <c r="K173" s="193">
        <f t="shared" si="90"/>
        <v>-93.670492155345812</v>
      </c>
      <c r="L173" s="193">
        <f t="shared" si="90"/>
        <v>68.264106623428319</v>
      </c>
      <c r="M173" s="193">
        <f t="shared" si="90"/>
        <v>109.67958445909311</v>
      </c>
    </row>
    <row r="174" spans="2:13" ht="15" thickBot="1" x14ac:dyDescent="0.35">
      <c r="B174" s="132" t="s">
        <v>64</v>
      </c>
      <c r="C174" s="193">
        <f t="shared" ref="C174:M174" si="91">C23/1000000</f>
        <v>0</v>
      </c>
      <c r="D174" s="193">
        <f t="shared" si="91"/>
        <v>0</v>
      </c>
      <c r="E174" s="193">
        <f t="shared" si="91"/>
        <v>0</v>
      </c>
      <c r="F174" s="193">
        <f t="shared" si="91"/>
        <v>20.923932684375877</v>
      </c>
      <c r="G174" s="193">
        <f t="shared" si="91"/>
        <v>-12.102776688373693</v>
      </c>
      <c r="H174" s="193">
        <f t="shared" si="91"/>
        <v>48.981570797947526</v>
      </c>
      <c r="I174" s="193">
        <f t="shared" si="91"/>
        <v>-57.44501543663597</v>
      </c>
      <c r="J174" s="193">
        <f t="shared" si="91"/>
        <v>124.6764879444119</v>
      </c>
      <c r="K174" s="193">
        <f t="shared" si="91"/>
        <v>-134.28794173611902</v>
      </c>
      <c r="L174" s="193">
        <f t="shared" si="91"/>
        <v>68.264106623428319</v>
      </c>
      <c r="M174" s="193">
        <f t="shared" si="91"/>
        <v>59.010364189034924</v>
      </c>
    </row>
    <row r="175" spans="2:13" ht="15" thickBot="1" x14ac:dyDescent="0.35">
      <c r="B175" s="132" t="s">
        <v>65</v>
      </c>
      <c r="C175" s="193">
        <f t="shared" ref="C175:M175" si="92">C24/1000000</f>
        <v>0</v>
      </c>
      <c r="D175" s="193">
        <f t="shared" si="92"/>
        <v>0</v>
      </c>
      <c r="E175" s="193">
        <f t="shared" si="92"/>
        <v>0</v>
      </c>
      <c r="F175" s="193">
        <f t="shared" si="92"/>
        <v>20.819313020953999</v>
      </c>
      <c r="G175" s="193">
        <f t="shared" si="92"/>
        <v>-13.908126928452093</v>
      </c>
      <c r="H175" s="193">
        <f t="shared" si="92"/>
        <v>48.736662943957789</v>
      </c>
      <c r="I175" s="193">
        <f t="shared" si="92"/>
        <v>-64.857291638964725</v>
      </c>
      <c r="J175" s="193">
        <f t="shared" si="92"/>
        <v>124.05310550468982</v>
      </c>
      <c r="K175" s="193">
        <f t="shared" si="92"/>
        <v>-175.70425763028982</v>
      </c>
      <c r="L175" s="193">
        <f t="shared" si="92"/>
        <v>68.264106623428319</v>
      </c>
      <c r="M175" s="193">
        <f t="shared" si="92"/>
        <v>7.403511895323291</v>
      </c>
    </row>
    <row r="176" spans="2:13" ht="15" thickBot="1" x14ac:dyDescent="0.35">
      <c r="B176" s="132" t="s">
        <v>66</v>
      </c>
      <c r="C176" s="193">
        <f t="shared" ref="C176:M176" si="93">C25/1000000</f>
        <v>0</v>
      </c>
      <c r="D176" s="193">
        <f t="shared" si="93"/>
        <v>0</v>
      </c>
      <c r="E176" s="193">
        <f t="shared" si="93"/>
        <v>0</v>
      </c>
      <c r="F176" s="193">
        <f t="shared" si="93"/>
        <v>20.71521645584923</v>
      </c>
      <c r="G176" s="193">
        <f t="shared" si="93"/>
        <v>-15.738026964143483</v>
      </c>
      <c r="H176" s="193">
        <f t="shared" si="93"/>
        <v>48.492979629238</v>
      </c>
      <c r="I176" s="193">
        <f t="shared" si="93"/>
        <v>-72.391443269087318</v>
      </c>
      <c r="J176" s="193">
        <f t="shared" si="93"/>
        <v>123.43283997716638</v>
      </c>
      <c r="K176" s="193">
        <f t="shared" si="93"/>
        <v>-217.93538310288099</v>
      </c>
      <c r="L176" s="193">
        <f t="shared" si="93"/>
        <v>68.264106623428319</v>
      </c>
      <c r="M176" s="193">
        <f t="shared" si="93"/>
        <v>-45.159710650429844</v>
      </c>
    </row>
    <row r="177" spans="2:13" ht="15" thickBot="1" x14ac:dyDescent="0.35">
      <c r="B177" s="132" t="s">
        <v>67</v>
      </c>
      <c r="C177" s="193">
        <f t="shared" ref="C177:M177" si="94">C26/1000000</f>
        <v>0</v>
      </c>
      <c r="D177" s="193">
        <f t="shared" si="94"/>
        <v>0</v>
      </c>
      <c r="E177" s="193">
        <f t="shared" si="94"/>
        <v>0</v>
      </c>
      <c r="F177" s="193">
        <f t="shared" si="94"/>
        <v>20.572634555911595</v>
      </c>
      <c r="G177" s="193">
        <f t="shared" si="94"/>
        <v>-17.592933997451766</v>
      </c>
      <c r="H177" s="193">
        <f t="shared" si="94"/>
        <v>31.882117435695676</v>
      </c>
      <c r="I177" s="193">
        <f t="shared" si="94"/>
        <v>-80.049835220317334</v>
      </c>
      <c r="J177" s="193">
        <f t="shared" si="94"/>
        <v>122.81567577728055</v>
      </c>
      <c r="K177" s="193">
        <f t="shared" si="94"/>
        <v>-260.99757894254981</v>
      </c>
      <c r="L177" s="193">
        <f t="shared" si="94"/>
        <v>68.264106623428319</v>
      </c>
      <c r="M177" s="193">
        <f t="shared" si="94"/>
        <v>-115.10581376800278</v>
      </c>
    </row>
  </sheetData>
  <mergeCells count="24">
    <mergeCell ref="B153:E153"/>
    <mergeCell ref="F153:G153"/>
    <mergeCell ref="H153:I153"/>
    <mergeCell ref="J153:K153"/>
    <mergeCell ref="B88:E88"/>
    <mergeCell ref="F88:G88"/>
    <mergeCell ref="H88:I88"/>
    <mergeCell ref="J88:K88"/>
    <mergeCell ref="B123:E123"/>
    <mergeCell ref="F123:G123"/>
    <mergeCell ref="H123:I123"/>
    <mergeCell ref="J123:K123"/>
    <mergeCell ref="B60:E60"/>
    <mergeCell ref="F60:G60"/>
    <mergeCell ref="H60:I60"/>
    <mergeCell ref="J60:K60"/>
    <mergeCell ref="B2:E2"/>
    <mergeCell ref="F2:G2"/>
    <mergeCell ref="H2:I2"/>
    <mergeCell ref="J2:K2"/>
    <mergeCell ref="B32:E32"/>
    <mergeCell ref="F32:G32"/>
    <mergeCell ref="H32:I32"/>
    <mergeCell ref="J32:K32"/>
  </mergeCells>
  <phoneticPr fontId="5" type="noConversion"/>
  <printOptions horizontalCentered="1" verticalCentered="1"/>
  <pageMargins left="0.7" right="0.7" top="0.75" bottom="0.75" header="0.3" footer="0.3"/>
  <pageSetup scale="49" orientation="landscape" r:id="rId1"/>
  <headerFooter>
    <oddHeader>&amp;A</oddHeader>
  </headerFooter>
  <rowBreaks count="2" manualBreakCount="2">
    <brk id="58" max="16383" man="1"/>
    <brk id="122" max="16383" man="1"/>
  </rowBreaks>
  <colBreaks count="1" manualBreakCount="1">
    <brk id="1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DCCA-23C0-4F7D-9F9B-CE963850A29A}">
  <dimension ref="A1:Z111"/>
  <sheetViews>
    <sheetView zoomScale="110" zoomScaleNormal="110" workbookViewId="0">
      <pane xSplit="1" topLeftCell="R1" activePane="topRight" state="frozen"/>
      <selection pane="topRight" activeCell="Y3" sqref="Y3:Y25"/>
    </sheetView>
  </sheetViews>
  <sheetFormatPr defaultRowHeight="14.4" x14ac:dyDescent="0.3"/>
  <cols>
    <col min="1" max="1" width="17.44140625" bestFit="1" customWidth="1"/>
    <col min="2" max="2" width="21" bestFit="1" customWidth="1"/>
    <col min="3" max="3" width="16.77734375" bestFit="1" customWidth="1"/>
    <col min="4" max="4" width="16.44140625" bestFit="1" customWidth="1"/>
    <col min="5" max="5" width="12.77734375" bestFit="1" customWidth="1"/>
    <col min="6" max="6" width="14.77734375" bestFit="1" customWidth="1"/>
    <col min="7" max="7" width="16.44140625" bestFit="1" customWidth="1"/>
    <col min="8" max="8" width="12.77734375" bestFit="1" customWidth="1"/>
    <col min="9" max="9" width="29" bestFit="1" customWidth="1"/>
    <col min="10" max="10" width="17.5546875" bestFit="1" customWidth="1"/>
    <col min="11" max="11" width="24" bestFit="1" customWidth="1"/>
    <col min="12" max="12" width="36" bestFit="1" customWidth="1"/>
    <col min="13" max="13" width="19.6640625" bestFit="1" customWidth="1"/>
    <col min="14" max="14" width="45.109375" bestFit="1" customWidth="1"/>
    <col min="15" max="15" width="32.44140625" bestFit="1" customWidth="1"/>
    <col min="16" max="17" width="41.5546875" bestFit="1" customWidth="1"/>
    <col min="18" max="18" width="40" bestFit="1" customWidth="1"/>
    <col min="19" max="19" width="39.6640625" bestFit="1" customWidth="1"/>
    <col min="20" max="20" width="15.5546875" bestFit="1" customWidth="1"/>
    <col min="21" max="21" width="20.77734375" bestFit="1" customWidth="1"/>
    <col min="22" max="22" width="16.109375" bestFit="1" customWidth="1"/>
    <col min="23" max="23" width="17.21875" bestFit="1" customWidth="1"/>
    <col min="24" max="24" width="18.44140625" bestFit="1" customWidth="1"/>
    <col min="25" max="25" width="21.109375" bestFit="1" customWidth="1"/>
    <col min="26" max="26" width="13.21875" bestFit="1" customWidth="1"/>
    <col min="27" max="28" width="11.77734375" bestFit="1" customWidth="1"/>
  </cols>
  <sheetData>
    <row r="1" spans="1:26" x14ac:dyDescent="0.3">
      <c r="A1" s="125" t="s">
        <v>111</v>
      </c>
    </row>
    <row r="2" spans="1:26" ht="43.2" x14ac:dyDescent="0.3">
      <c r="A2" s="53" t="s">
        <v>43</v>
      </c>
      <c r="B2" s="53" t="s">
        <v>115</v>
      </c>
      <c r="C2" s="53" t="s">
        <v>116</v>
      </c>
      <c r="D2" s="53" t="s">
        <v>117</v>
      </c>
      <c r="E2" s="53" t="s">
        <v>118</v>
      </c>
      <c r="F2" s="53" t="s">
        <v>275</v>
      </c>
      <c r="G2" s="53" t="s">
        <v>44</v>
      </c>
      <c r="H2" s="53" t="s">
        <v>119</v>
      </c>
      <c r="I2" s="54" t="s">
        <v>120</v>
      </c>
      <c r="J2" s="53" t="s">
        <v>6</v>
      </c>
      <c r="K2" s="53" t="s">
        <v>12</v>
      </c>
      <c r="L2" s="53" t="s">
        <v>21</v>
      </c>
      <c r="M2" s="53" t="s">
        <v>25</v>
      </c>
      <c r="N2" s="53" t="s">
        <v>29</v>
      </c>
      <c r="O2" s="53" t="s">
        <v>33</v>
      </c>
      <c r="P2" s="53" t="s">
        <v>40</v>
      </c>
      <c r="Q2" s="53" t="s">
        <v>41</v>
      </c>
      <c r="R2" s="53" t="s">
        <v>42</v>
      </c>
      <c r="S2" s="54" t="s">
        <v>260</v>
      </c>
      <c r="T2" s="54" t="s">
        <v>121</v>
      </c>
      <c r="U2" s="54" t="s">
        <v>122</v>
      </c>
      <c r="V2" s="53" t="s">
        <v>123</v>
      </c>
      <c r="W2" s="53" t="s">
        <v>124</v>
      </c>
      <c r="Y2" s="53" t="s">
        <v>337</v>
      </c>
    </row>
    <row r="3" spans="1:26" x14ac:dyDescent="0.3">
      <c r="A3" s="46" t="s">
        <v>45</v>
      </c>
      <c r="B3" s="127">
        <v>138157520.02999988</v>
      </c>
      <c r="C3" s="127">
        <v>61618522.018500008</v>
      </c>
      <c r="D3" s="127">
        <v>33495698.546500009</v>
      </c>
      <c r="E3" s="58">
        <v>30848359.600711424</v>
      </c>
      <c r="F3" s="58">
        <f>T3*0.03</f>
        <v>6757080.0219020871</v>
      </c>
      <c r="G3" s="58"/>
      <c r="H3" s="58">
        <v>11261800.036503479</v>
      </c>
      <c r="I3" s="58">
        <v>2851200</v>
      </c>
      <c r="J3" s="62"/>
      <c r="K3" s="62"/>
      <c r="L3" s="62"/>
      <c r="M3" s="62"/>
      <c r="N3" s="62"/>
      <c r="O3" s="62"/>
      <c r="P3" s="62"/>
      <c r="Q3" s="62"/>
      <c r="R3" s="62"/>
      <c r="S3" s="16">
        <f>'Collections and ACP'!E158+'Collections and ACP'!E155</f>
        <v>460710682.26743871</v>
      </c>
      <c r="T3" s="16">
        <f>'Collections and ACP'!H111</f>
        <v>225236000.73006958</v>
      </c>
      <c r="U3" s="16">
        <f t="shared" ref="U3:U25" si="0">S3+T3</f>
        <v>685946682.99750829</v>
      </c>
      <c r="V3" s="16">
        <f t="shared" ref="V3:V25" si="1">SUM(B3:R3)</f>
        <v>284990180.25411689</v>
      </c>
      <c r="W3" s="24">
        <f t="shared" ref="W3:W25" si="2">U3-V3</f>
        <v>400956502.74339139</v>
      </c>
      <c r="X3" s="249"/>
      <c r="Y3" s="114">
        <v>400956502.74339139</v>
      </c>
      <c r="Z3" s="117"/>
    </row>
    <row r="4" spans="1:26" x14ac:dyDescent="0.3">
      <c r="A4" s="46" t="s">
        <v>46</v>
      </c>
      <c r="B4" s="127">
        <v>38051984.68000003</v>
      </c>
      <c r="C4" s="127">
        <v>66127610.762499928</v>
      </c>
      <c r="D4" s="127">
        <v>117265055.35150005</v>
      </c>
      <c r="E4" s="58">
        <v>24142255.383493654</v>
      </c>
      <c r="F4" s="58">
        <f t="shared" ref="F4:F25" si="3">T4*0.03</f>
        <v>13942135.092404015</v>
      </c>
      <c r="G4" s="58">
        <v>10000000</v>
      </c>
      <c r="H4" s="58">
        <v>50000000</v>
      </c>
      <c r="I4" s="58">
        <v>16714500.687020844</v>
      </c>
      <c r="J4" s="62"/>
      <c r="K4" s="62"/>
      <c r="L4" s="62"/>
      <c r="M4" s="62"/>
      <c r="N4" s="62"/>
      <c r="O4" s="62"/>
      <c r="P4" s="62"/>
      <c r="Q4" s="62"/>
      <c r="R4" s="62"/>
      <c r="S4" s="16">
        <f t="shared" ref="S4:S25" si="4">W3</f>
        <v>400956502.74339139</v>
      </c>
      <c r="T4" s="16">
        <f>'Collections and ACP'!H112</f>
        <v>464737836.41346717</v>
      </c>
      <c r="U4" s="16">
        <f t="shared" si="0"/>
        <v>865694339.15685856</v>
      </c>
      <c r="V4" s="16">
        <f t="shared" si="1"/>
        <v>336243541.95691854</v>
      </c>
      <c r="W4" s="24">
        <f t="shared" si="2"/>
        <v>529450797.19994003</v>
      </c>
      <c r="X4" s="249"/>
      <c r="Y4" s="114">
        <v>529450797.19994003</v>
      </c>
      <c r="Z4" s="117"/>
    </row>
    <row r="5" spans="1:26" x14ac:dyDescent="0.3">
      <c r="A5" s="46" t="s">
        <v>47</v>
      </c>
      <c r="B5" s="127">
        <v>4865292.2499999972</v>
      </c>
      <c r="C5" s="127">
        <v>65210004.015499882</v>
      </c>
      <c r="D5" s="127">
        <v>110152969.75599998</v>
      </c>
      <c r="E5" s="58">
        <v>22062344.595163539</v>
      </c>
      <c r="F5" s="58">
        <f t="shared" si="3"/>
        <v>17623889.827927504</v>
      </c>
      <c r="G5" s="58"/>
      <c r="H5" s="58">
        <v>50000000</v>
      </c>
      <c r="I5" s="58">
        <v>22070814.094250631</v>
      </c>
      <c r="J5" s="16">
        <f>'Total REC Spend Activities'!B262</f>
        <v>335733555.14188653</v>
      </c>
      <c r="K5" s="16">
        <f>'Total REC Spend Activities'!B263</f>
        <v>36754764.933285579</v>
      </c>
      <c r="L5" s="16">
        <f>'Total REC Spend Activities'!B264</f>
        <v>0</v>
      </c>
      <c r="M5" s="16">
        <f>'Total REC Spend Activities'!B265</f>
        <v>18137533.746097699</v>
      </c>
      <c r="N5" s="16">
        <f>'Total REC Spend Activities'!B266</f>
        <v>0</v>
      </c>
      <c r="O5" s="16">
        <f>'Total REC Spend Activities'!B267</f>
        <v>19783279.830774501</v>
      </c>
      <c r="P5" s="16">
        <f>'Total REC Spend Activities'!B268</f>
        <v>0</v>
      </c>
      <c r="Q5" s="16">
        <f>'Total REC Spend Activities'!B269</f>
        <v>0</v>
      </c>
      <c r="R5" s="16">
        <f>'Total REC Spend Activities'!B270</f>
        <v>0</v>
      </c>
      <c r="S5" s="16">
        <f t="shared" si="4"/>
        <v>529450797.19994003</v>
      </c>
      <c r="T5" s="16">
        <f>'Collections and ACP'!H113</f>
        <v>587462994.26425016</v>
      </c>
      <c r="U5" s="16">
        <f t="shared" si="0"/>
        <v>1116913791.4641902</v>
      </c>
      <c r="V5" s="16">
        <f t="shared" si="1"/>
        <v>702394448.1908859</v>
      </c>
      <c r="W5" s="24">
        <f t="shared" si="2"/>
        <v>414519343.27330434</v>
      </c>
      <c r="X5" s="249"/>
      <c r="Y5" s="114">
        <v>414519343.27330434</v>
      </c>
      <c r="Z5" s="117"/>
    </row>
    <row r="6" spans="1:26" x14ac:dyDescent="0.3">
      <c r="A6" s="46" t="s">
        <v>48</v>
      </c>
      <c r="B6" s="127">
        <v>0</v>
      </c>
      <c r="C6" s="127">
        <v>58693888.428999938</v>
      </c>
      <c r="D6" s="127">
        <v>105861890.434</v>
      </c>
      <c r="E6" s="58">
        <v>17721007.415898785</v>
      </c>
      <c r="F6" s="58">
        <f t="shared" si="3"/>
        <v>17669653.536230855</v>
      </c>
      <c r="G6" s="58"/>
      <c r="H6" s="58">
        <v>50000000</v>
      </c>
      <c r="I6" s="58">
        <v>22070814.147020843</v>
      </c>
      <c r="J6" s="16">
        <f>'Total REC Spend Activities'!C262</f>
        <v>153483990.97419566</v>
      </c>
      <c r="K6" s="16">
        <f>'Total REC Spend Activities'!C263</f>
        <v>51182724.957920611</v>
      </c>
      <c r="L6" s="16">
        <f>'Total REC Spend Activities'!C264</f>
        <v>35482865.218152002</v>
      </c>
      <c r="M6" s="16">
        <f>'Total REC Spend Activities'!C265</f>
        <v>26041846.018425301</v>
      </c>
      <c r="N6" s="16">
        <f>'Total REC Spend Activities'!C266</f>
        <v>9471594.050903393</v>
      </c>
      <c r="O6" s="16">
        <f>'Total REC Spend Activities'!C267</f>
        <v>26919154.433973588</v>
      </c>
      <c r="P6" s="16">
        <f>'Total REC Spend Activities'!C268</f>
        <v>0</v>
      </c>
      <c r="Q6" s="16">
        <f>'Total REC Spend Activities'!C269</f>
        <v>0</v>
      </c>
      <c r="R6" s="16">
        <f>'Total REC Spend Activities'!C270</f>
        <v>0</v>
      </c>
      <c r="S6" s="16">
        <f t="shared" si="4"/>
        <v>414519343.27330434</v>
      </c>
      <c r="T6" s="16">
        <f>'Collections and ACP'!H114</f>
        <v>588988451.20769513</v>
      </c>
      <c r="U6" s="16">
        <f t="shared" si="0"/>
        <v>1003507794.4809995</v>
      </c>
      <c r="V6" s="16">
        <f t="shared" si="1"/>
        <v>574599429.61572099</v>
      </c>
      <c r="W6" s="24">
        <f t="shared" si="2"/>
        <v>428908364.86527848</v>
      </c>
      <c r="X6" s="249"/>
      <c r="Y6" s="114">
        <v>428908364.86527848</v>
      </c>
      <c r="Z6" s="117"/>
    </row>
    <row r="7" spans="1:26" x14ac:dyDescent="0.3">
      <c r="A7" s="46" t="s">
        <v>49</v>
      </c>
      <c r="B7" s="127">
        <v>0</v>
      </c>
      <c r="C7" s="127">
        <v>36572278.007499956</v>
      </c>
      <c r="D7" s="127">
        <v>102090739.27549998</v>
      </c>
      <c r="E7" s="58">
        <v>17421541.685608782</v>
      </c>
      <c r="F7" s="58">
        <f t="shared" si="3"/>
        <v>17613455.167095877</v>
      </c>
      <c r="G7" s="58">
        <v>10000000</v>
      </c>
      <c r="H7" s="58">
        <v>50000000</v>
      </c>
      <c r="I7" s="58">
        <v>22070814.147020843</v>
      </c>
      <c r="J7" s="16">
        <f>'Total REC Spend Activities'!D262</f>
        <v>147344631.33522782</v>
      </c>
      <c r="K7" s="16">
        <f>'Total REC Spend Activities'!D263</f>
        <v>66078826.744133383</v>
      </c>
      <c r="L7" s="16">
        <f>'Total REC Spend Activities'!D264</f>
        <v>49452574.210854515</v>
      </c>
      <c r="M7" s="16">
        <f>'Total REC Spend Activities'!D265</f>
        <v>33586836.731748931</v>
      </c>
      <c r="N7" s="16">
        <f>'Total REC Spend Activities'!D266</f>
        <v>15416250.417782357</v>
      </c>
      <c r="O7" s="16">
        <f>'Total REC Spend Activities'!D267</f>
        <v>34367205.327079974</v>
      </c>
      <c r="P7" s="16">
        <f>'Total REC Spend Activities'!D268</f>
        <v>0</v>
      </c>
      <c r="Q7" s="16">
        <f>'Total REC Spend Activities'!D269</f>
        <v>0</v>
      </c>
      <c r="R7" s="16">
        <f>'Total REC Spend Activities'!D270</f>
        <v>0</v>
      </c>
      <c r="S7" s="16">
        <f t="shared" si="4"/>
        <v>428908364.86527848</v>
      </c>
      <c r="T7" s="16">
        <f>'Collections and ACP'!H115</f>
        <v>587115172.23652923</v>
      </c>
      <c r="U7" s="16">
        <f t="shared" si="0"/>
        <v>1016023537.1018077</v>
      </c>
      <c r="V7" s="16">
        <f t="shared" si="1"/>
        <v>602015153.04955244</v>
      </c>
      <c r="W7" s="24">
        <f t="shared" si="2"/>
        <v>414008384.05225527</v>
      </c>
      <c r="X7" s="249"/>
      <c r="Y7" s="114">
        <v>414008384.05225527</v>
      </c>
      <c r="Z7" s="117"/>
    </row>
    <row r="8" spans="1:26" x14ac:dyDescent="0.3">
      <c r="A8" s="46" t="s">
        <v>50</v>
      </c>
      <c r="B8" s="127">
        <v>0</v>
      </c>
      <c r="C8" s="127">
        <v>10460946.729500012</v>
      </c>
      <c r="D8" s="127">
        <v>55607397.162500009</v>
      </c>
      <c r="E8" s="58">
        <v>11401431.694168944</v>
      </c>
      <c r="F8" s="58">
        <f t="shared" si="3"/>
        <v>17553355.712971777</v>
      </c>
      <c r="G8" s="58"/>
      <c r="H8" s="58">
        <v>50000000</v>
      </c>
      <c r="I8" s="58">
        <v>22070814.147020843</v>
      </c>
      <c r="J8" s="16">
        <f>'Total REC Spend Activities'!E262</f>
        <v>141450846.0818187</v>
      </c>
      <c r="K8" s="16">
        <f>'Total REC Spend Activities'!E263</f>
        <v>80379084.45889765</v>
      </c>
      <c r="L8" s="16">
        <f>'Total REC Spend Activities'!E264</f>
        <v>62786549.725841783</v>
      </c>
      <c r="M8" s="16">
        <f>'Total REC Spend Activities'!E265</f>
        <v>40787094.493769318</v>
      </c>
      <c r="N8" s="16">
        <f>'Total REC Spend Activities'!E266</f>
        <v>21268780.210680254</v>
      </c>
      <c r="O8" s="16">
        <f>'Total REC Spend Activities'!E267</f>
        <v>41517334.1844621</v>
      </c>
      <c r="P8" s="16">
        <f>'Total REC Spend Activities'!E268</f>
        <v>380149.51999999897</v>
      </c>
      <c r="Q8" s="16">
        <f>'Total REC Spend Activities'!E269</f>
        <v>20156827.082651991</v>
      </c>
      <c r="R8" s="16">
        <f>'Total REC Spend Activities'!E270</f>
        <v>2379985.4624399994</v>
      </c>
      <c r="S8" s="16">
        <f t="shared" si="4"/>
        <v>414008384.05225527</v>
      </c>
      <c r="T8" s="16">
        <f>'Collections and ACP'!H116</f>
        <v>585111857.09905922</v>
      </c>
      <c r="U8" s="16">
        <f t="shared" si="0"/>
        <v>999120241.1513145</v>
      </c>
      <c r="V8" s="16">
        <f t="shared" si="1"/>
        <v>578200596.66672337</v>
      </c>
      <c r="W8" s="24">
        <f t="shared" si="2"/>
        <v>420919644.48459113</v>
      </c>
      <c r="X8" s="249"/>
      <c r="Y8" s="114">
        <v>420919644.48459113</v>
      </c>
      <c r="Z8" s="117"/>
    </row>
    <row r="9" spans="1:26" x14ac:dyDescent="0.3">
      <c r="A9" s="46" t="s">
        <v>51</v>
      </c>
      <c r="B9" s="127">
        <v>0</v>
      </c>
      <c r="C9" s="127">
        <v>1025918.7404999998</v>
      </c>
      <c r="D9" s="127">
        <v>4537518.8360000001</v>
      </c>
      <c r="E9" s="58">
        <v>8215431.7104763286</v>
      </c>
      <c r="F9" s="58">
        <f t="shared" si="3"/>
        <v>17572700.474246584</v>
      </c>
      <c r="G9" s="58"/>
      <c r="H9" s="58">
        <v>50000000</v>
      </c>
      <c r="I9" s="58">
        <v>22070814.147020843</v>
      </c>
      <c r="J9" s="16">
        <f>'Total REC Spend Activities'!F262</f>
        <v>135792812.23854595</v>
      </c>
      <c r="K9" s="16">
        <f>'Total REC Spend Activities'!F263</f>
        <v>94107331.865071341</v>
      </c>
      <c r="L9" s="16">
        <f>'Total REC Spend Activities'!F264</f>
        <v>75510605.827812463</v>
      </c>
      <c r="M9" s="16">
        <f>'Total REC Spend Activities'!F265</f>
        <v>47656623.289152436</v>
      </c>
      <c r="N9" s="16">
        <f>'Total REC Spend Activities'!F266</f>
        <v>26887208.811862234</v>
      </c>
      <c r="O9" s="16">
        <f>'Total REC Spend Activities'!F267</f>
        <v>48381457.887548946</v>
      </c>
      <c r="P9" s="16">
        <f>'Total REC Spend Activities'!F268</f>
        <v>2856929.3503999878</v>
      </c>
      <c r="Q9" s="16">
        <f>'Total REC Spend Activities'!F269</f>
        <v>29603130.169272792</v>
      </c>
      <c r="R9" s="16">
        <f>'Total REC Spend Activities'!F270</f>
        <v>5690863.0490648746</v>
      </c>
      <c r="S9" s="16">
        <f t="shared" si="4"/>
        <v>420919644.48459113</v>
      </c>
      <c r="T9" s="16">
        <f>'Collections and ACP'!H117</f>
        <v>585756682.47488618</v>
      </c>
      <c r="U9" s="16">
        <f t="shared" si="0"/>
        <v>1006676326.9594773</v>
      </c>
      <c r="V9" s="16">
        <f t="shared" si="1"/>
        <v>569909346.3969748</v>
      </c>
      <c r="W9" s="24">
        <f t="shared" si="2"/>
        <v>436766980.5625025</v>
      </c>
      <c r="X9" s="249"/>
      <c r="Y9" s="114">
        <v>436766980.5625025</v>
      </c>
      <c r="Z9" s="117"/>
    </row>
    <row r="10" spans="1:26" x14ac:dyDescent="0.3">
      <c r="A10" s="46" t="s">
        <v>52</v>
      </c>
      <c r="B10" s="127">
        <v>0</v>
      </c>
      <c r="C10" s="127">
        <v>0</v>
      </c>
      <c r="D10" s="127">
        <v>0</v>
      </c>
      <c r="E10" s="58">
        <v>4480482.7749063233</v>
      </c>
      <c r="F10" s="58">
        <f t="shared" si="3"/>
        <v>17625423.170190223</v>
      </c>
      <c r="G10" s="58">
        <v>10000000</v>
      </c>
      <c r="H10" s="58">
        <v>50000000</v>
      </c>
      <c r="I10" s="58">
        <v>22070814.147020843</v>
      </c>
      <c r="J10" s="16">
        <f>'Total REC Spend Activities'!G262</f>
        <v>130361099.74900411</v>
      </c>
      <c r="K10" s="16">
        <f>'Total REC Spend Activities'!G263</f>
        <v>107286449.37499809</v>
      </c>
      <c r="L10" s="16">
        <f>'Total REC Spend Activities'!G264</f>
        <v>87649522.09524928</v>
      </c>
      <c r="M10" s="16">
        <f>'Total REC Spend Activities'!G265</f>
        <v>54208865.869844563</v>
      </c>
      <c r="N10" s="16">
        <f>'Total REC Spend Activities'!G266</f>
        <v>32280900.268996932</v>
      </c>
      <c r="O10" s="16">
        <f>'Total REC Spend Activities'!G267</f>
        <v>54971016.642512321</v>
      </c>
      <c r="P10" s="16">
        <f>'Total REC Spend Activities'!G268</f>
        <v>167132.76580795785</v>
      </c>
      <c r="Q10" s="16">
        <f>'Total REC Spend Activities'!G269</f>
        <v>37447177.63459637</v>
      </c>
      <c r="R10" s="16">
        <f>'Total REC Spend Activities'!G270</f>
        <v>8296833.3495694855</v>
      </c>
      <c r="S10" s="16">
        <f t="shared" si="4"/>
        <v>436766980.5625025</v>
      </c>
      <c r="T10" s="16">
        <f>'Collections and ACP'!H118</f>
        <v>587514105.67300749</v>
      </c>
      <c r="U10" s="16">
        <f t="shared" si="0"/>
        <v>1024281086.23551</v>
      </c>
      <c r="V10" s="16">
        <f t="shared" si="1"/>
        <v>616845717.84269643</v>
      </c>
      <c r="W10" s="24">
        <f t="shared" si="2"/>
        <v>407435368.39281356</v>
      </c>
      <c r="X10" s="249"/>
      <c r="Y10" s="114">
        <v>407435368.39281356</v>
      </c>
      <c r="Z10" s="117"/>
    </row>
    <row r="11" spans="1:26" x14ac:dyDescent="0.3">
      <c r="A11" s="46" t="s">
        <v>53</v>
      </c>
      <c r="B11" s="127">
        <v>0</v>
      </c>
      <c r="C11" s="127">
        <v>0</v>
      </c>
      <c r="D11" s="127">
        <v>0</v>
      </c>
      <c r="E11" s="58">
        <v>4478132.259204451</v>
      </c>
      <c r="F11" s="58">
        <f t="shared" si="3"/>
        <v>17711714.835542694</v>
      </c>
      <c r="G11" s="58"/>
      <c r="H11" s="58">
        <v>50000000</v>
      </c>
      <c r="I11" s="58">
        <v>22070814.147020843</v>
      </c>
      <c r="J11" s="16">
        <f>'Total REC Spend Activities'!H262</f>
        <v>125146655.75904395</v>
      </c>
      <c r="K11" s="16">
        <f>'Total REC Spend Activities'!H263</f>
        <v>119938402.18452775</v>
      </c>
      <c r="L11" s="16">
        <f>'Total REC Spend Activities'!H264</f>
        <v>99227085.009485886</v>
      </c>
      <c r="M11" s="16">
        <f>'Total REC Spend Activities'!H265</f>
        <v>60456726.209747717</v>
      </c>
      <c r="N11" s="16">
        <f>'Total REC Spend Activities'!H266</f>
        <v>37458844.067846239</v>
      </c>
      <c r="O11" s="16">
        <f>'Total REC Spend Activities'!H267</f>
        <v>61296993.047277153</v>
      </c>
      <c r="P11" s="16">
        <f>'Total REC Spend Activities'!H268</f>
        <v>-3913482.9146358902</v>
      </c>
      <c r="Q11" s="16">
        <f>'Total REC Spend Activities'!H269</f>
        <v>55545822.294840291</v>
      </c>
      <c r="R11" s="16">
        <f>'Total REC Spend Activities'!H270</f>
        <v>13481028.829185806</v>
      </c>
      <c r="S11" s="16">
        <f t="shared" si="4"/>
        <v>407435368.39281356</v>
      </c>
      <c r="T11" s="16">
        <f>'Collections and ACP'!H119</f>
        <v>590390494.51808977</v>
      </c>
      <c r="U11" s="16">
        <f t="shared" si="0"/>
        <v>997825862.91090333</v>
      </c>
      <c r="V11" s="16">
        <f t="shared" si="1"/>
        <v>662898735.729087</v>
      </c>
      <c r="W11" s="24">
        <f t="shared" si="2"/>
        <v>334927127.18181634</v>
      </c>
      <c r="X11" s="249"/>
      <c r="Y11" s="114">
        <v>334927127.18181634</v>
      </c>
      <c r="Z11" s="117"/>
    </row>
    <row r="12" spans="1:26" x14ac:dyDescent="0.3">
      <c r="A12" s="46" t="s">
        <v>54</v>
      </c>
      <c r="B12" s="127">
        <v>0</v>
      </c>
      <c r="C12" s="127">
        <v>0</v>
      </c>
      <c r="D12" s="127">
        <v>0</v>
      </c>
      <c r="E12" s="58">
        <v>4338008.6485485407</v>
      </c>
      <c r="F12" s="58">
        <f t="shared" si="3"/>
        <v>17733678.133388445</v>
      </c>
      <c r="G12" s="58"/>
      <c r="H12" s="58">
        <v>50000000</v>
      </c>
      <c r="I12" s="58">
        <v>22070814.147020843</v>
      </c>
      <c r="J12" s="16">
        <f>'Total REC Spend Activities'!I262</f>
        <v>120140789.52868219</v>
      </c>
      <c r="K12" s="16">
        <f>'Total REC Spend Activities'!I263</f>
        <v>97371443.333573177</v>
      </c>
      <c r="L12" s="16">
        <f>'Total REC Spend Activities'!I264</f>
        <v>110266127.68816277</v>
      </c>
      <c r="M12" s="16">
        <f>'Total REC Spend Activities'!I265</f>
        <v>66412591.061181255</v>
      </c>
      <c r="N12" s="16">
        <f>'Total REC Spend Activities'!I266</f>
        <v>42429670.114741579</v>
      </c>
      <c r="O12" s="16">
        <f>'Total REC Spend Activities'!I267</f>
        <v>48685721.666786589</v>
      </c>
      <c r="P12" s="16">
        <f>'Total REC Spend Activities'!I268</f>
        <v>-10963539.775403816</v>
      </c>
      <c r="Q12" s="16">
        <f>'Total REC Spend Activities'!I269</f>
        <v>71719497.436429262</v>
      </c>
      <c r="R12" s="16">
        <f>'Total REC Spend Activities'!I270</f>
        <v>18621688.440914556</v>
      </c>
      <c r="S12" s="16">
        <f t="shared" si="4"/>
        <v>334927127.18181634</v>
      </c>
      <c r="T12" s="16">
        <f>'Collections and ACP'!H120</f>
        <v>591122604.44628155</v>
      </c>
      <c r="U12" s="16">
        <f t="shared" si="0"/>
        <v>926049731.62809789</v>
      </c>
      <c r="V12" s="16">
        <f t="shared" si="1"/>
        <v>658826490.4240253</v>
      </c>
      <c r="W12" s="24">
        <f t="shared" si="2"/>
        <v>267223241.20407259</v>
      </c>
      <c r="X12" s="249"/>
      <c r="Y12" s="114">
        <v>267223241.20407259</v>
      </c>
      <c r="Z12" s="117"/>
    </row>
    <row r="13" spans="1:26" x14ac:dyDescent="0.3">
      <c r="A13" s="46" t="s">
        <v>55</v>
      </c>
      <c r="B13" s="127">
        <v>0</v>
      </c>
      <c r="C13" s="127">
        <v>0</v>
      </c>
      <c r="D13" s="127">
        <v>0</v>
      </c>
      <c r="E13" s="58">
        <v>4303453.6786395097</v>
      </c>
      <c r="F13" s="58">
        <f t="shared" si="3"/>
        <v>17789447.893524989</v>
      </c>
      <c r="G13" s="58">
        <v>10000000</v>
      </c>
      <c r="H13" s="58">
        <v>50000000</v>
      </c>
      <c r="I13" s="58">
        <v>22070814.147020843</v>
      </c>
      <c r="J13" s="16">
        <f>'Total REC Spend Activities'!J262</f>
        <v>115335157.94753489</v>
      </c>
      <c r="K13" s="16">
        <f>'Total REC Spend Activities'!J263</f>
        <v>93476585.600230247</v>
      </c>
      <c r="L13" s="16">
        <f>'Total REC Spend Activities'!J264</f>
        <v>120788568.02929734</v>
      </c>
      <c r="M13" s="16">
        <f>'Total REC Spend Activities'!J265</f>
        <v>72088350.649058342</v>
      </c>
      <c r="N13" s="16">
        <f>'Total REC Spend Activities'!J266</f>
        <v>38256268.738352351</v>
      </c>
      <c r="O13" s="16">
        <f>'Total REC Spend Activities'!J267</f>
        <v>46738292.800115123</v>
      </c>
      <c r="P13" s="16">
        <f>'Total REC Spend Activities'!J268</f>
        <v>-21149340.517436609</v>
      </c>
      <c r="Q13" s="16">
        <f>'Total REC Spend Activities'!J269</f>
        <v>85836391.745625108</v>
      </c>
      <c r="R13" s="16">
        <f>'Total REC Spend Activities'!J270</f>
        <v>23710581.088706199</v>
      </c>
      <c r="S13" s="16">
        <f t="shared" si="4"/>
        <v>267223241.20407259</v>
      </c>
      <c r="T13" s="16">
        <f>'Collections and ACP'!H121</f>
        <v>592981596.45083296</v>
      </c>
      <c r="U13" s="16">
        <f t="shared" si="0"/>
        <v>860204837.65490556</v>
      </c>
      <c r="V13" s="16">
        <f t="shared" si="1"/>
        <v>679244571.80066836</v>
      </c>
      <c r="W13" s="24">
        <f t="shared" si="2"/>
        <v>180960265.8542372</v>
      </c>
      <c r="X13" s="249"/>
      <c r="Y13" s="114">
        <v>180960265.8542372</v>
      </c>
      <c r="Z13" s="117"/>
    </row>
    <row r="14" spans="1:26" x14ac:dyDescent="0.3">
      <c r="A14" s="46" t="s">
        <v>56</v>
      </c>
      <c r="B14" s="58"/>
      <c r="C14" s="58"/>
      <c r="D14" s="58"/>
      <c r="E14" s="58">
        <v>4261079.6921323007</v>
      </c>
      <c r="F14" s="58">
        <f t="shared" si="3"/>
        <v>17855534.64060219</v>
      </c>
      <c r="G14" s="58"/>
      <c r="H14" s="58">
        <v>50000000</v>
      </c>
      <c r="I14" s="58">
        <v>22070814.147020843</v>
      </c>
      <c r="J14" s="16">
        <f>'Total REC Spend Activities'!K262</f>
        <v>110721751.62963349</v>
      </c>
      <c r="K14" s="16">
        <f>'Total REC Spend Activities'!K263</f>
        <v>89737522.176221043</v>
      </c>
      <c r="L14" s="16">
        <f>'Total REC Spend Activities'!K264</f>
        <v>130815445.32954322</v>
      </c>
      <c r="M14" s="16">
        <f>'Total REC Spend Activities'!K265</f>
        <v>77495418.537268713</v>
      </c>
      <c r="N14" s="16">
        <f>'Total REC Spend Activities'!K266</f>
        <v>36726017.988818258</v>
      </c>
      <c r="O14" s="16">
        <f>'Total REC Spend Activities'!K267</f>
        <v>44868761.088110521</v>
      </c>
      <c r="P14" s="16">
        <f>'Total REC Spend Activities'!K268</f>
        <v>-34641606.273240596</v>
      </c>
      <c r="Q14" s="16">
        <f>'Total REC Spend Activities'!K269</f>
        <v>97761188.098839387</v>
      </c>
      <c r="R14" s="16">
        <f>'Total REC Spend Activities'!K270</f>
        <v>28739256.678474724</v>
      </c>
      <c r="S14" s="16">
        <f t="shared" si="4"/>
        <v>180960265.8542372</v>
      </c>
      <c r="T14" s="16">
        <f>'Collections and ACP'!H122</f>
        <v>595184488.02007306</v>
      </c>
      <c r="U14" s="16">
        <f t="shared" si="0"/>
        <v>776144753.87431026</v>
      </c>
      <c r="V14" s="16">
        <f t="shared" si="1"/>
        <v>676411183.73342419</v>
      </c>
      <c r="W14" s="24">
        <f t="shared" si="2"/>
        <v>99733570.140886068</v>
      </c>
      <c r="X14" s="249"/>
      <c r="Y14" s="114">
        <v>99733570.140886068</v>
      </c>
      <c r="Z14" s="117"/>
    </row>
    <row r="15" spans="1:26" x14ac:dyDescent="0.3">
      <c r="A15" s="46" t="s">
        <v>57</v>
      </c>
      <c r="B15" s="58"/>
      <c r="C15" s="58"/>
      <c r="D15" s="58"/>
      <c r="E15" s="58"/>
      <c r="F15" s="58">
        <f t="shared" si="3"/>
        <v>17977997.445554465</v>
      </c>
      <c r="G15" s="58"/>
      <c r="H15" s="58">
        <v>50000000</v>
      </c>
      <c r="I15" s="58">
        <v>22070814.147020843</v>
      </c>
      <c r="J15" s="16">
        <f>'Total REC Spend Activities'!L262</f>
        <v>106292881.56444815</v>
      </c>
      <c r="K15" s="16">
        <f>'Total REC Spend Activities'!L263</f>
        <v>86148021.289172187</v>
      </c>
      <c r="L15" s="16">
        <f>'Total REC Spend Activities'!L264</f>
        <v>140366955.43767211</v>
      </c>
      <c r="M15" s="16">
        <f>'Total REC Spend Activities'!L265</f>
        <v>82644750.700379789</v>
      </c>
      <c r="N15" s="16">
        <f>'Total REC Spend Activities'!L266</f>
        <v>35256977.269265525</v>
      </c>
      <c r="O15" s="16">
        <f>'Total REC Spend Activities'!L267</f>
        <v>43074010.644586094</v>
      </c>
      <c r="P15" s="16">
        <f>'Total REC Spend Activities'!L268</f>
        <v>-51615586.823069729</v>
      </c>
      <c r="Q15" s="16">
        <f>'Total REC Spend Activities'!L269</f>
        <v>107354976.01734532</v>
      </c>
      <c r="R15" s="16">
        <f>'Total REC Spend Activities'!L270</f>
        <v>33699040.648186192</v>
      </c>
      <c r="S15" s="16">
        <f t="shared" si="4"/>
        <v>99733570.140886068</v>
      </c>
      <c r="T15" s="16">
        <f>'Collections and ACP'!H123</f>
        <v>599266581.51848221</v>
      </c>
      <c r="U15" s="16">
        <f t="shared" si="0"/>
        <v>699000151.65936828</v>
      </c>
      <c r="V15" s="16">
        <f t="shared" si="1"/>
        <v>673270838.34056091</v>
      </c>
      <c r="W15" s="24">
        <f t="shared" si="2"/>
        <v>25729313.318807364</v>
      </c>
      <c r="X15" s="249"/>
      <c r="Y15" s="114">
        <v>25729313.318807364</v>
      </c>
      <c r="Z15" s="117"/>
    </row>
    <row r="16" spans="1:26" x14ac:dyDescent="0.3">
      <c r="A16" s="46" t="s">
        <v>58</v>
      </c>
      <c r="B16" s="58"/>
      <c r="C16" s="58"/>
      <c r="D16" s="58"/>
      <c r="E16" s="58"/>
      <c r="F16" s="58">
        <f t="shared" si="3"/>
        <v>18007164.753511433</v>
      </c>
      <c r="G16" s="58"/>
      <c r="H16" s="58">
        <v>50000000</v>
      </c>
      <c r="I16" s="58">
        <v>20416994.263402294</v>
      </c>
      <c r="J16" s="16">
        <f>'Total REC Spend Activities'!M262</f>
        <v>51020583.150935106</v>
      </c>
      <c r="K16" s="16">
        <f>'Total REC Spend Activities'!M263</f>
        <v>77227239.777363911</v>
      </c>
      <c r="L16" s="16">
        <f>'Total REC Spend Activities'!M264</f>
        <v>149462484.50186935</v>
      </c>
      <c r="M16" s="16">
        <f>'Total REC Spend Activities'!M265</f>
        <v>84889195.389660671</v>
      </c>
      <c r="N16" s="16">
        <f>'Total REC Spend Activities'!M266</f>
        <v>33846698.1784949</v>
      </c>
      <c r="O16" s="16">
        <f>'Total REC Spend Activities'!M267</f>
        <v>38613619.888681956</v>
      </c>
      <c r="P16" s="16">
        <f>'Total REC Spend Activities'!M268</f>
        <v>-72251173.452382699</v>
      </c>
      <c r="Q16" s="16">
        <f>'Total REC Spend Activities'!M269</f>
        <v>114475162.02232942</v>
      </c>
      <c r="R16" s="16">
        <f>'Total REC Spend Activities'!M270</f>
        <v>38581028.366743557</v>
      </c>
      <c r="S16" s="16">
        <f t="shared" si="4"/>
        <v>25729313.318807364</v>
      </c>
      <c r="T16" s="16">
        <f>'Collections and ACP'!H124</f>
        <v>600238825.11704779</v>
      </c>
      <c r="U16" s="16">
        <f t="shared" si="0"/>
        <v>625968138.43585515</v>
      </c>
      <c r="V16" s="16">
        <f t="shared" si="1"/>
        <v>604288996.84060979</v>
      </c>
      <c r="W16" s="24">
        <f t="shared" si="2"/>
        <v>21679141.595245361</v>
      </c>
      <c r="X16" s="249"/>
      <c r="Y16" s="114">
        <v>21679141.595245361</v>
      </c>
      <c r="Z16" s="117"/>
    </row>
    <row r="17" spans="1:26" x14ac:dyDescent="0.3">
      <c r="A17" s="46" t="s">
        <v>59</v>
      </c>
      <c r="B17" s="58"/>
      <c r="C17" s="58"/>
      <c r="D17" s="58"/>
      <c r="E17" s="58"/>
      <c r="F17" s="58">
        <f t="shared" si="3"/>
        <v>18057703.345901959</v>
      </c>
      <c r="G17" s="58"/>
      <c r="H17" s="58">
        <v>50000000</v>
      </c>
      <c r="I17" s="58">
        <v>20416994.263402294</v>
      </c>
      <c r="J17" s="16">
        <f>'Total REC Spend Activities'!N262</f>
        <v>48979759.824897699</v>
      </c>
      <c r="K17" s="16">
        <f>'Total REC Spend Activities'!N263</f>
        <v>68967448.451596916</v>
      </c>
      <c r="L17" s="16">
        <f>'Total REC Spend Activities'!N264</f>
        <v>153417906.72322506</v>
      </c>
      <c r="M17" s="16">
        <f>'Total REC Spend Activities'!N265</f>
        <v>87016111.11778383</v>
      </c>
      <c r="N17" s="16">
        <f>'Total REC Spend Activities'!N266</f>
        <v>30341812.113463219</v>
      </c>
      <c r="O17" s="16">
        <f>'Total REC Spend Activities'!N267</f>
        <v>34483724.225798458</v>
      </c>
      <c r="P17" s="16">
        <f>'Total REC Spend Activities'!N268</f>
        <v>-96733014.512138963</v>
      </c>
      <c r="Q17" s="16">
        <f>'Total REC Spend Activities'!N269</f>
        <v>118975377.84130985</v>
      </c>
      <c r="R17" s="16">
        <f>'Total REC Spend Activities'!N270</f>
        <v>43376079.398607545</v>
      </c>
      <c r="S17" s="16">
        <f t="shared" si="4"/>
        <v>21679141.595245361</v>
      </c>
      <c r="T17" s="16">
        <f>'Collections and ACP'!H125</f>
        <v>601923444.86339867</v>
      </c>
      <c r="U17" s="16">
        <f t="shared" si="0"/>
        <v>623602586.45864403</v>
      </c>
      <c r="V17" s="16">
        <f t="shared" si="1"/>
        <v>577299902.79384792</v>
      </c>
      <c r="W17" s="24">
        <f t="shared" si="2"/>
        <v>46302683.664796114</v>
      </c>
      <c r="X17" s="249"/>
      <c r="Y17" s="114">
        <v>46302683.664796114</v>
      </c>
      <c r="Z17" s="117"/>
    </row>
    <row r="18" spans="1:26" x14ac:dyDescent="0.3">
      <c r="A18" s="46" t="s">
        <v>60</v>
      </c>
      <c r="B18" s="58"/>
      <c r="C18" s="58"/>
      <c r="D18" s="58"/>
      <c r="E18" s="58"/>
      <c r="F18" s="58">
        <f t="shared" si="3"/>
        <v>18118553.768141378</v>
      </c>
      <c r="G18" s="58"/>
      <c r="H18" s="58">
        <v>50000000</v>
      </c>
      <c r="I18" s="58">
        <v>16969444.263402298</v>
      </c>
      <c r="J18" s="16">
        <f>'Total REC Spend Activities'!O262</f>
        <v>47020569.43190179</v>
      </c>
      <c r="K18" s="16">
        <f>'Total REC Spend Activities'!O263</f>
        <v>61038048.778860621</v>
      </c>
      <c r="L18" s="16">
        <f>'Total REC Spend Activities'!O264</f>
        <v>157165442.44771945</v>
      </c>
      <c r="M18" s="16">
        <f>'Total REC Spend Activities'!O265</f>
        <v>89030337.799063519</v>
      </c>
      <c r="N18" s="16">
        <f>'Total REC Spend Activities'!O266</f>
        <v>27096622.498693459</v>
      </c>
      <c r="O18" s="16">
        <f>'Total REC Spend Activities'!O267</f>
        <v>30519024.389430311</v>
      </c>
      <c r="P18" s="16">
        <f>'Total REC Spend Activities'!O268</f>
        <v>-125250633.74490456</v>
      </c>
      <c r="Q18" s="16">
        <f>'Total REC Spend Activities'!O269</f>
        <v>120705386.41583011</v>
      </c>
      <c r="R18" s="16">
        <f>'Total REC Spend Activities'!O270</f>
        <v>48074811.631022885</v>
      </c>
      <c r="S18" s="16">
        <f t="shared" si="4"/>
        <v>46302683.664796114</v>
      </c>
      <c r="T18" s="16">
        <f>'Collections and ACP'!H126</f>
        <v>603951792.27137923</v>
      </c>
      <c r="U18" s="16">
        <f t="shared" si="0"/>
        <v>650254475.93617535</v>
      </c>
      <c r="V18" s="16">
        <f t="shared" si="1"/>
        <v>540487607.67916131</v>
      </c>
      <c r="W18" s="24">
        <f t="shared" si="2"/>
        <v>109766868.25701404</v>
      </c>
      <c r="X18" s="249"/>
      <c r="Y18" s="114">
        <v>109766868.25701404</v>
      </c>
      <c r="Z18" s="117"/>
    </row>
    <row r="19" spans="1:26" x14ac:dyDescent="0.3">
      <c r="A19" s="46" t="s">
        <v>61</v>
      </c>
      <c r="B19" s="58"/>
      <c r="C19" s="58"/>
      <c r="D19" s="58"/>
      <c r="E19" s="58"/>
      <c r="F19" s="58">
        <f t="shared" si="3"/>
        <v>18198134.165855762</v>
      </c>
      <c r="G19" s="58"/>
      <c r="H19" s="58">
        <v>50000000</v>
      </c>
      <c r="I19" s="58"/>
      <c r="J19" s="16">
        <f>'Total REC Spend Activities'!P262</f>
        <v>45139746.654625714</v>
      </c>
      <c r="K19" s="16">
        <f>'Total REC Spend Activities'!P263</f>
        <v>53425825.093033768</v>
      </c>
      <c r="L19" s="16">
        <f>'Total REC Spend Activities'!P264</f>
        <v>160713655.48326683</v>
      </c>
      <c r="M19" s="16">
        <f>'Total REC Spend Activities'!P265</f>
        <v>90936521.057462052</v>
      </c>
      <c r="N19" s="16">
        <f>'Total REC Spend Activities'!P266</f>
        <v>23981240.468514498</v>
      </c>
      <c r="O19" s="16">
        <f>'Total REC Spend Activities'!P267</f>
        <v>26712912.546516884</v>
      </c>
      <c r="P19" s="16">
        <f>'Total REC Spend Activities'!P268</f>
        <v>-157755026.43048927</v>
      </c>
      <c r="Q19" s="16">
        <f>'Total REC Spend Activities'!P269</f>
        <v>107713205.66774099</v>
      </c>
      <c r="R19" s="16">
        <f>'Total REC Spend Activities'!P270</f>
        <v>49606896.511182688</v>
      </c>
      <c r="S19" s="16">
        <f t="shared" si="4"/>
        <v>109766868.25701404</v>
      </c>
      <c r="T19" s="16">
        <f>'Collections and ACP'!H127</f>
        <v>606604472.1951921</v>
      </c>
      <c r="U19" s="16">
        <f t="shared" si="0"/>
        <v>716371340.45220613</v>
      </c>
      <c r="V19" s="16">
        <f t="shared" si="1"/>
        <v>468673111.21770984</v>
      </c>
      <c r="W19" s="24">
        <f t="shared" si="2"/>
        <v>247698229.2344963</v>
      </c>
      <c r="X19" s="249"/>
      <c r="Y19" s="114">
        <v>247698229.2344963</v>
      </c>
      <c r="Z19" s="117"/>
    </row>
    <row r="20" spans="1:26" x14ac:dyDescent="0.3">
      <c r="A20" s="46" t="s">
        <v>62</v>
      </c>
      <c r="B20" s="58"/>
      <c r="C20" s="58"/>
      <c r="D20" s="58"/>
      <c r="E20" s="58"/>
      <c r="F20" s="58">
        <f t="shared" si="3"/>
        <v>18209514.676376209</v>
      </c>
      <c r="G20" s="58"/>
      <c r="H20" s="58">
        <v>50000000</v>
      </c>
      <c r="I20" s="58"/>
      <c r="J20" s="16">
        <f>'Total REC Spend Activities'!Q262</f>
        <v>43334156.788440682</v>
      </c>
      <c r="K20" s="16">
        <f>'Total REC Spend Activities'!Q263</f>
        <v>46118090.354639992</v>
      </c>
      <c r="L20" s="16">
        <f>'Total REC Spend Activities'!Q264</f>
        <v>164070765.8437252</v>
      </c>
      <c r="M20" s="16">
        <f>'Total REC Spend Activities'!Q265</f>
        <v>92739120.001672849</v>
      </c>
      <c r="N20" s="16">
        <f>'Total REC Spend Activities'!Q266</f>
        <v>20990473.719542693</v>
      </c>
      <c r="O20" s="16">
        <f>'Total REC Spend Activities'!Q267</f>
        <v>23059045.177319996</v>
      </c>
      <c r="P20" s="16">
        <f>'Total REC Spend Activities'!Q268</f>
        <v>-192796997.46999952</v>
      </c>
      <c r="Q20" s="16">
        <f>'Total REC Spend Activities'!Q269</f>
        <v>92955638.729259208</v>
      </c>
      <c r="R20" s="16">
        <f>'Total REC Spend Activities'!Q270</f>
        <v>51067392.187405437</v>
      </c>
      <c r="S20" s="16">
        <f t="shared" si="4"/>
        <v>247698229.2344963</v>
      </c>
      <c r="T20" s="16">
        <f>'Collections and ACP'!H128</f>
        <v>606983822.54587364</v>
      </c>
      <c r="U20" s="16">
        <f t="shared" si="0"/>
        <v>854682051.78037</v>
      </c>
      <c r="V20" s="16">
        <f t="shared" si="1"/>
        <v>409747200.0083828</v>
      </c>
      <c r="W20" s="24">
        <f t="shared" si="2"/>
        <v>444934851.7719872</v>
      </c>
      <c r="X20" s="249"/>
      <c r="Y20" s="114">
        <v>444934851.7719872</v>
      </c>
      <c r="Z20" s="117"/>
    </row>
    <row r="21" spans="1:26" x14ac:dyDescent="0.3">
      <c r="A21" s="46" t="s">
        <v>63</v>
      </c>
      <c r="B21" s="58"/>
      <c r="C21" s="58"/>
      <c r="D21" s="58"/>
      <c r="E21" s="58"/>
      <c r="F21" s="58">
        <f t="shared" si="3"/>
        <v>18264106.623428311</v>
      </c>
      <c r="G21" s="58"/>
      <c r="H21" s="58">
        <v>50000000</v>
      </c>
      <c r="I21" s="58"/>
      <c r="J21" s="16">
        <f>'Total REC Spend Activities'!R262</f>
        <v>41600790.51690305</v>
      </c>
      <c r="K21" s="16">
        <f>'Total REC Spend Activities'!R263</f>
        <v>39102665.005781963</v>
      </c>
      <c r="L21" s="16">
        <f>'Total REC Spend Activities'!R264</f>
        <v>167244663.50686622</v>
      </c>
      <c r="M21" s="16">
        <f>'Total REC Spend Activities'!R265</f>
        <v>94442414.689182669</v>
      </c>
      <c r="N21" s="16">
        <f>'Total REC Spend Activities'!R266</f>
        <v>18119337.640529756</v>
      </c>
      <c r="O21" s="16">
        <f>'Total REC Spend Activities'!R267</f>
        <v>19551332.502890982</v>
      </c>
      <c r="P21" s="16">
        <f>'Total REC Spend Activities'!R268</f>
        <v>-230485443.29051784</v>
      </c>
      <c r="Q21" s="16">
        <f>'Total REC Spend Activities'!R269</f>
        <v>76347049.131337762</v>
      </c>
      <c r="R21" s="16">
        <f>'Total REC Spend Activities'!R270</f>
        <v>50051441.96023342</v>
      </c>
      <c r="S21" s="16">
        <f t="shared" si="4"/>
        <v>444934851.7719872</v>
      </c>
      <c r="T21" s="16">
        <f>'Collections and ACP'!H129</f>
        <v>608803554.11427701</v>
      </c>
      <c r="U21" s="16">
        <f t="shared" si="0"/>
        <v>1053738405.8862642</v>
      </c>
      <c r="V21" s="16">
        <f t="shared" si="1"/>
        <v>344238358.28663635</v>
      </c>
      <c r="W21" s="24">
        <f t="shared" si="2"/>
        <v>709500047.59962785</v>
      </c>
      <c r="X21" s="249"/>
      <c r="Y21" s="114">
        <v>709500047.59962785</v>
      </c>
      <c r="Z21" s="117"/>
    </row>
    <row r="22" spans="1:26" x14ac:dyDescent="0.3">
      <c r="A22" s="46" t="s">
        <v>64</v>
      </c>
      <c r="B22" s="58"/>
      <c r="C22" s="58"/>
      <c r="D22" s="58"/>
      <c r="E22" s="58"/>
      <c r="F22" s="58">
        <f t="shared" si="3"/>
        <v>18264106.623428311</v>
      </c>
      <c r="G22" s="58"/>
      <c r="H22" s="58">
        <v>50000000</v>
      </c>
      <c r="I22" s="58"/>
      <c r="J22" s="16">
        <f>'Total REC Spend Activities'!S262</f>
        <v>39936758.896226928</v>
      </c>
      <c r="K22" s="16">
        <f>'Total REC Spend Activities'!S263</f>
        <v>32367856.670878254</v>
      </c>
      <c r="L22" s="16">
        <f>'Total REC Spend Activities'!S264</f>
        <v>170242921.62199709</v>
      </c>
      <c r="M22" s="16">
        <f>'Total REC Spend Activities'!S265</f>
        <v>96050513.291754186</v>
      </c>
      <c r="N22" s="16">
        <f>'Total REC Spend Activities'!S266</f>
        <v>15363047.00467734</v>
      </c>
      <c r="O22" s="16">
        <f>'Total REC Spend Activities'!S267</f>
        <v>16183928.335439127</v>
      </c>
      <c r="P22" s="16">
        <f>'Total REC Spend Activities'!S268</f>
        <v>-270932078.19486886</v>
      </c>
      <c r="Q22" s="16">
        <f>'Total REC Spend Activities'!S269</f>
        <v>57799580.451087706</v>
      </c>
      <c r="R22" s="16">
        <f>'Total REC Spend Activities'!S270</f>
        <v>51352588.01224947</v>
      </c>
      <c r="S22" s="16">
        <f t="shared" si="4"/>
        <v>709500047.59962785</v>
      </c>
      <c r="T22" s="16">
        <f>'Collections and ACP'!H130</f>
        <v>608803554.11427701</v>
      </c>
      <c r="U22" s="16">
        <f t="shared" si="0"/>
        <v>1318303601.7139049</v>
      </c>
      <c r="V22" s="16">
        <f t="shared" si="1"/>
        <v>276629222.71286958</v>
      </c>
      <c r="W22" s="24">
        <f t="shared" si="2"/>
        <v>1041674379.0010352</v>
      </c>
      <c r="X22" s="249"/>
      <c r="Y22" s="114">
        <v>1041674379.0010352</v>
      </c>
      <c r="Z22" s="117"/>
    </row>
    <row r="23" spans="1:26" x14ac:dyDescent="0.3">
      <c r="A23" s="46" t="s">
        <v>65</v>
      </c>
      <c r="B23" s="58"/>
      <c r="C23" s="58"/>
      <c r="D23" s="58"/>
      <c r="E23" s="58"/>
      <c r="F23" s="58">
        <f t="shared" si="3"/>
        <v>18264106.623428311</v>
      </c>
      <c r="G23" s="58"/>
      <c r="H23" s="58">
        <v>50000000</v>
      </c>
      <c r="I23" s="58"/>
      <c r="J23" s="16">
        <f>'Total REC Spend Activities'!T262</f>
        <v>38339288.540377848</v>
      </c>
      <c r="K23" s="16">
        <f>'Total REC Spend Activities'!T263</f>
        <v>31073142.404043123</v>
      </c>
      <c r="L23" s="16">
        <f>'Total REC Spend Activities'!T264</f>
        <v>173072809.1892457</v>
      </c>
      <c r="M23" s="16">
        <f>'Total REC Spend Activities'!T265</f>
        <v>97567358.974272177</v>
      </c>
      <c r="N23" s="16">
        <f>'Total REC Spend Activities'!T266</f>
        <v>12717007.994259017</v>
      </c>
      <c r="O23" s="16">
        <f>'Total REC Spend Activities'!T267</f>
        <v>15536571.202021562</v>
      </c>
      <c r="P23" s="16">
        <f>'Total REC Spend Activities'!T268</f>
        <v>-314251503.51807773</v>
      </c>
      <c r="Q23" s="16">
        <f>'Total REC Spend Activities'!T269</f>
        <v>37223101.729282252</v>
      </c>
      <c r="R23" s="16">
        <f>'Total REC Spend Activities'!T270</f>
        <v>52565692.998551421</v>
      </c>
      <c r="S23" s="16">
        <f t="shared" si="4"/>
        <v>1041674379.0010352</v>
      </c>
      <c r="T23" s="16">
        <f>'Collections and ACP'!H131</f>
        <v>608803554.11427701</v>
      </c>
      <c r="U23" s="16">
        <f t="shared" si="0"/>
        <v>1650477933.1153121</v>
      </c>
      <c r="V23" s="16">
        <f t="shared" si="1"/>
        <v>212107576.13740367</v>
      </c>
      <c r="W23" s="24">
        <f t="shared" si="2"/>
        <v>1438370356.9779084</v>
      </c>
      <c r="X23" s="249"/>
      <c r="Y23" s="114">
        <v>1438370356.9779084</v>
      </c>
      <c r="Z23" s="117"/>
    </row>
    <row r="24" spans="1:26" x14ac:dyDescent="0.3">
      <c r="A24" s="46" t="s">
        <v>66</v>
      </c>
      <c r="B24" s="57"/>
      <c r="C24" s="57"/>
      <c r="D24" s="58"/>
      <c r="E24" s="58"/>
      <c r="F24" s="58">
        <f t="shared" si="3"/>
        <v>18264106.623428311</v>
      </c>
      <c r="G24" s="58"/>
      <c r="H24" s="58">
        <v>50000000</v>
      </c>
      <c r="I24" s="57"/>
      <c r="J24" s="16">
        <f>'Total REC Spend Activities'!U262</f>
        <v>0</v>
      </c>
      <c r="K24" s="16">
        <f>'Total REC Spend Activities'!U263</f>
        <v>25880709.281194713</v>
      </c>
      <c r="L24" s="16">
        <f>'Total REC Spend Activities'!U264</f>
        <v>175741303.23164374</v>
      </c>
      <c r="M24" s="16">
        <f>'Total REC Spend Activities'!U265</f>
        <v>97079522.179400831</v>
      </c>
      <c r="N24" s="16">
        <f>'Total REC Spend Activities'!U266</f>
        <v>12208327.674488656</v>
      </c>
      <c r="O24" s="16">
        <f>'Total REC Spend Activities'!U267</f>
        <v>12940354.640597356</v>
      </c>
      <c r="P24" s="16">
        <f>'Total REC Spend Activities'!U268</f>
        <v>-360561278.42293698</v>
      </c>
      <c r="Q24" s="16">
        <f>'Total REC Spend Activities'!U269</f>
        <v>14525151.592331653</v>
      </c>
      <c r="R24" s="16">
        <f>'Total REC Spend Activities'!U270</f>
        <v>53684986.556284532</v>
      </c>
      <c r="S24" s="16">
        <f t="shared" si="4"/>
        <v>1438370356.9779084</v>
      </c>
      <c r="T24" s="16">
        <f>'Collections and ACP'!H132</f>
        <v>608803554.11427701</v>
      </c>
      <c r="U24" s="16">
        <f t="shared" si="0"/>
        <v>2047173911.0921855</v>
      </c>
      <c r="V24" s="16">
        <f t="shared" si="1"/>
        <v>99763183.356432855</v>
      </c>
      <c r="W24" s="24">
        <f t="shared" si="2"/>
        <v>1947410727.7357526</v>
      </c>
      <c r="X24" s="249"/>
      <c r="Y24" s="114">
        <v>1947410727.7357526</v>
      </c>
      <c r="Z24" s="117"/>
    </row>
    <row r="25" spans="1:26" x14ac:dyDescent="0.3">
      <c r="A25" s="46" t="s">
        <v>67</v>
      </c>
      <c r="B25" s="57"/>
      <c r="C25" s="57"/>
      <c r="D25" s="58"/>
      <c r="E25" s="58"/>
      <c r="F25" s="58">
        <f t="shared" si="3"/>
        <v>18264106.623428311</v>
      </c>
      <c r="G25" s="58"/>
      <c r="H25" s="58">
        <v>50000000</v>
      </c>
      <c r="I25" s="57"/>
      <c r="J25" s="16">
        <f>'Total REC Spend Activities'!V262</f>
        <v>0</v>
      </c>
      <c r="K25" s="16">
        <f>'Total REC Spend Activities'!V263</f>
        <v>21115390.562520605</v>
      </c>
      <c r="L25" s="16">
        <f>'Total REC Spend Activities'!V264</f>
        <v>174862596.71548566</v>
      </c>
      <c r="M25" s="16">
        <f>'Total REC Spend Activities'!V265</f>
        <v>80186721.455449283</v>
      </c>
      <c r="N25" s="16">
        <f>'Total REC Spend Activities'!V266</f>
        <v>10168272.498628693</v>
      </c>
      <c r="O25" s="16">
        <f>'Total REC Spend Activities'!V267</f>
        <v>10557695.281260302</v>
      </c>
      <c r="P25" s="16">
        <f>'Total REC Spend Activities'!V268</f>
        <v>-409981992.37258333</v>
      </c>
      <c r="Q25" s="16">
        <f>'Total REC Spend Activities'!V269</f>
        <v>-10389118.951263085</v>
      </c>
      <c r="R25" s="16">
        <f>'Total REC Spend Activities'!V270</f>
        <v>54704549.231357098</v>
      </c>
      <c r="S25" s="16">
        <f t="shared" si="4"/>
        <v>1947410727.7357526</v>
      </c>
      <c r="T25" s="16">
        <f>'Collections and ACP'!H133</f>
        <v>608803554.11427701</v>
      </c>
      <c r="U25" s="16">
        <f t="shared" si="0"/>
        <v>2556214281.8500295</v>
      </c>
      <c r="V25" s="16">
        <f t="shared" si="1"/>
        <v>-511778.95571644604</v>
      </c>
      <c r="W25" s="24">
        <f t="shared" si="2"/>
        <v>2556726060.8057461</v>
      </c>
      <c r="X25" s="249"/>
      <c r="Y25" s="114">
        <v>2556726060.8057461</v>
      </c>
      <c r="Z25" s="117"/>
    </row>
    <row r="26" spans="1:26" x14ac:dyDescent="0.3">
      <c r="N26" s="117"/>
    </row>
    <row r="27" spans="1:26" x14ac:dyDescent="0.3">
      <c r="N27" s="141"/>
    </row>
    <row r="29" spans="1:26" x14ac:dyDescent="0.3">
      <c r="S29" s="116"/>
      <c r="T29" s="117"/>
    </row>
    <row r="30" spans="1:26" x14ac:dyDescent="0.3">
      <c r="A30" s="35" t="s">
        <v>94</v>
      </c>
      <c r="B30" s="126">
        <v>0.27317999999999998</v>
      </c>
    </row>
    <row r="31" spans="1:26" ht="43.2" x14ac:dyDescent="0.3">
      <c r="A31" s="53" t="s">
        <v>43</v>
      </c>
      <c r="B31" s="53" t="s">
        <v>125</v>
      </c>
      <c r="C31" s="53" t="s">
        <v>116</v>
      </c>
      <c r="D31" s="53" t="s">
        <v>117</v>
      </c>
      <c r="E31" s="53" t="s">
        <v>118</v>
      </c>
      <c r="F31" s="53" t="s">
        <v>275</v>
      </c>
      <c r="G31" s="53" t="s">
        <v>44</v>
      </c>
      <c r="H31" s="53" t="s">
        <v>119</v>
      </c>
      <c r="I31" s="53" t="s">
        <v>126</v>
      </c>
      <c r="J31" s="53" t="s">
        <v>6</v>
      </c>
      <c r="K31" s="53" t="s">
        <v>12</v>
      </c>
      <c r="L31" s="53" t="s">
        <v>21</v>
      </c>
      <c r="M31" s="53" t="s">
        <v>25</v>
      </c>
      <c r="N31" s="53" t="s">
        <v>29</v>
      </c>
      <c r="O31" s="53" t="s">
        <v>33</v>
      </c>
      <c r="P31" s="53" t="s">
        <v>40</v>
      </c>
      <c r="Q31" s="53" t="s">
        <v>41</v>
      </c>
      <c r="R31" s="53" t="s">
        <v>42</v>
      </c>
      <c r="S31" s="54" t="s">
        <v>127</v>
      </c>
      <c r="T31" s="54" t="s">
        <v>128</v>
      </c>
      <c r="U31" s="54" t="s">
        <v>122</v>
      </c>
      <c r="V31" s="53" t="s">
        <v>123</v>
      </c>
      <c r="W31" s="53" t="s">
        <v>124</v>
      </c>
    </row>
    <row r="32" spans="1:26" x14ac:dyDescent="0.3">
      <c r="A32" s="46" t="s">
        <v>45</v>
      </c>
      <c r="B32" s="127">
        <f t="shared" ref="B32:D54" si="5">B3*$B$30</f>
        <v>37741871.321795367</v>
      </c>
      <c r="C32" s="127">
        <f t="shared" si="5"/>
        <v>16832947.845013831</v>
      </c>
      <c r="D32" s="127">
        <f t="shared" si="5"/>
        <v>9150354.9289328717</v>
      </c>
      <c r="E32" s="58">
        <v>7753000</v>
      </c>
      <c r="F32" s="58">
        <f t="shared" ref="F32:F54" si="6">$B$30*F3</f>
        <v>1845899.1203832121</v>
      </c>
      <c r="G32" s="58"/>
      <c r="H32" s="58">
        <f t="shared" ref="H32:H49" si="7">$B$30*H3</f>
        <v>3076498.5339720203</v>
      </c>
      <c r="I32" s="58">
        <v>836256.96</v>
      </c>
      <c r="J32" s="62">
        <f t="shared" ref="J32:R32" si="8">$B$30*J3</f>
        <v>0</v>
      </c>
      <c r="K32" s="62">
        <f t="shared" si="8"/>
        <v>0</v>
      </c>
      <c r="L32" s="62">
        <f t="shared" si="8"/>
        <v>0</v>
      </c>
      <c r="M32" s="62">
        <f t="shared" si="8"/>
        <v>0</v>
      </c>
      <c r="N32" s="62">
        <f t="shared" si="8"/>
        <v>0</v>
      </c>
      <c r="O32" s="62">
        <f t="shared" si="8"/>
        <v>0</v>
      </c>
      <c r="P32" s="62">
        <f t="shared" si="8"/>
        <v>0</v>
      </c>
      <c r="Q32" s="62">
        <f t="shared" si="8"/>
        <v>0</v>
      </c>
      <c r="R32" s="62">
        <f t="shared" si="8"/>
        <v>0</v>
      </c>
      <c r="S32" s="16">
        <f>'Collections and ACP'!B158+'Collections and ACP'!B155</f>
        <v>164214831.63</v>
      </c>
      <c r="T32" s="16">
        <f>'Collections and ACP'!H7</f>
        <v>64309855.295962796</v>
      </c>
      <c r="U32" s="16">
        <f t="shared" ref="U32:U54" si="9">S32+T32</f>
        <v>228524686.92596281</v>
      </c>
      <c r="V32" s="16">
        <f t="shared" ref="V32:V54" si="10">SUM(B32:R32)</f>
        <v>77236828.710097313</v>
      </c>
      <c r="W32" s="24">
        <f t="shared" ref="W32:W54" si="11">U32-V32</f>
        <v>151287858.21586549</v>
      </c>
    </row>
    <row r="33" spans="1:24" x14ac:dyDescent="0.3">
      <c r="A33" s="46" t="s">
        <v>46</v>
      </c>
      <c r="B33" s="127">
        <f t="shared" si="5"/>
        <v>10395041.174882406</v>
      </c>
      <c r="C33" s="127">
        <f t="shared" si="5"/>
        <v>18064740.70809973</v>
      </c>
      <c r="D33" s="127">
        <f t="shared" si="5"/>
        <v>32034467.820922781</v>
      </c>
      <c r="E33" s="58">
        <v>5554000</v>
      </c>
      <c r="F33" s="58">
        <f t="shared" si="6"/>
        <v>3808712.4645429286</v>
      </c>
      <c r="G33" s="58"/>
      <c r="H33" s="58">
        <f t="shared" si="7"/>
        <v>13658999.999999998</v>
      </c>
      <c r="I33" s="58">
        <v>4902346.6171698067</v>
      </c>
      <c r="J33" s="62">
        <f t="shared" ref="J33:R33" si="12">$B$30*J4</f>
        <v>0</v>
      </c>
      <c r="K33" s="62">
        <f t="shared" si="12"/>
        <v>0</v>
      </c>
      <c r="L33" s="62">
        <f t="shared" si="12"/>
        <v>0</v>
      </c>
      <c r="M33" s="62">
        <f t="shared" si="12"/>
        <v>0</v>
      </c>
      <c r="N33" s="62">
        <f t="shared" si="12"/>
        <v>0</v>
      </c>
      <c r="O33" s="62">
        <f t="shared" si="12"/>
        <v>0</v>
      </c>
      <c r="P33" s="62">
        <f t="shared" si="12"/>
        <v>0</v>
      </c>
      <c r="Q33" s="62">
        <f t="shared" si="12"/>
        <v>0</v>
      </c>
      <c r="R33" s="62">
        <f t="shared" si="12"/>
        <v>0</v>
      </c>
      <c r="S33" s="16">
        <f t="shared" ref="S33:S54" si="13">W32</f>
        <v>151287858.21586549</v>
      </c>
      <c r="T33" s="16">
        <f>'Collections and ACP'!H8</f>
        <v>129499575.18679999</v>
      </c>
      <c r="U33" s="16">
        <f t="shared" si="9"/>
        <v>280787433.4026655</v>
      </c>
      <c r="V33" s="16">
        <f t="shared" si="10"/>
        <v>88418308.78561765</v>
      </c>
      <c r="W33" s="24">
        <f t="shared" si="11"/>
        <v>192369124.61704785</v>
      </c>
    </row>
    <row r="34" spans="1:24" x14ac:dyDescent="0.3">
      <c r="A34" s="46" t="s">
        <v>47</v>
      </c>
      <c r="B34" s="127">
        <f t="shared" si="5"/>
        <v>1329100.5368549991</v>
      </c>
      <c r="C34" s="127">
        <f t="shared" si="5"/>
        <v>17814068.896954257</v>
      </c>
      <c r="D34" s="127">
        <f t="shared" si="5"/>
        <v>30091588.277944073</v>
      </c>
      <c r="E34" s="58">
        <v>4842000</v>
      </c>
      <c r="F34" s="58">
        <f t="shared" si="6"/>
        <v>4814494.2231932348</v>
      </c>
      <c r="G34" s="58"/>
      <c r="H34" s="58">
        <f t="shared" si="7"/>
        <v>13658999.999999998</v>
      </c>
      <c r="I34" s="58">
        <v>6473351.8471698072</v>
      </c>
      <c r="J34" s="62">
        <f t="shared" ref="J34:R34" si="14">$B$30*J5</f>
        <v>91715692.593660548</v>
      </c>
      <c r="K34" s="62">
        <f t="shared" si="14"/>
        <v>10040666.684474954</v>
      </c>
      <c r="L34" s="62">
        <f t="shared" si="14"/>
        <v>0</v>
      </c>
      <c r="M34" s="62">
        <f t="shared" si="14"/>
        <v>4954811.4687589686</v>
      </c>
      <c r="N34" s="62">
        <f t="shared" si="14"/>
        <v>0</v>
      </c>
      <c r="O34" s="62">
        <f t="shared" si="14"/>
        <v>5404396.3841709774</v>
      </c>
      <c r="P34" s="62">
        <f t="shared" si="14"/>
        <v>0</v>
      </c>
      <c r="Q34" s="62">
        <f t="shared" si="14"/>
        <v>0</v>
      </c>
      <c r="R34" s="62">
        <f t="shared" si="14"/>
        <v>0</v>
      </c>
      <c r="S34" s="16">
        <f t="shared" si="13"/>
        <v>192369124.61704785</v>
      </c>
      <c r="T34" s="16">
        <f>'Collections and ACP'!H9</f>
        <v>160483342.72150001</v>
      </c>
      <c r="U34" s="16">
        <f t="shared" si="9"/>
        <v>352852467.33854783</v>
      </c>
      <c r="V34" s="16">
        <f t="shared" si="10"/>
        <v>191139170.91318181</v>
      </c>
      <c r="W34" s="24">
        <f t="shared" si="11"/>
        <v>161713296.42536601</v>
      </c>
      <c r="X34" s="117"/>
    </row>
    <row r="35" spans="1:24" x14ac:dyDescent="0.3">
      <c r="A35" s="46" t="s">
        <v>48</v>
      </c>
      <c r="B35" s="127">
        <f t="shared" si="5"/>
        <v>0</v>
      </c>
      <c r="C35" s="127">
        <f t="shared" si="5"/>
        <v>16033996.441034202</v>
      </c>
      <c r="D35" s="127">
        <f t="shared" si="5"/>
        <v>28919351.22876012</v>
      </c>
      <c r="E35" s="58">
        <v>3400999.9999999995</v>
      </c>
      <c r="F35" s="58">
        <f t="shared" si="6"/>
        <v>4826995.9530275445</v>
      </c>
      <c r="G35" s="58"/>
      <c r="H35" s="58">
        <f t="shared" si="7"/>
        <v>13658999.999999998</v>
      </c>
      <c r="I35" s="58">
        <v>6473353.6325620227</v>
      </c>
      <c r="J35" s="62">
        <f t="shared" ref="J35:R35" si="15">$B$30*J6</f>
        <v>41928756.654330768</v>
      </c>
      <c r="K35" s="62">
        <f t="shared" si="15"/>
        <v>13982096.804004751</v>
      </c>
      <c r="L35" s="62">
        <f t="shared" si="15"/>
        <v>9693209.1202947628</v>
      </c>
      <c r="M35" s="62">
        <f t="shared" si="15"/>
        <v>7114111.4953134228</v>
      </c>
      <c r="N35" s="62">
        <f t="shared" si="15"/>
        <v>2587450.0628257887</v>
      </c>
      <c r="O35" s="62">
        <f t="shared" si="15"/>
        <v>7353774.6082729045</v>
      </c>
      <c r="P35" s="62">
        <f t="shared" si="15"/>
        <v>0</v>
      </c>
      <c r="Q35" s="62">
        <f t="shared" si="15"/>
        <v>0</v>
      </c>
      <c r="R35" s="62">
        <f t="shared" si="15"/>
        <v>0</v>
      </c>
      <c r="S35" s="16">
        <f t="shared" si="13"/>
        <v>161713296.42536601</v>
      </c>
      <c r="T35" s="16">
        <f>'Collections and ACP'!H10</f>
        <v>159798619.14649999</v>
      </c>
      <c r="U35" s="16">
        <f t="shared" si="9"/>
        <v>321511915.57186604</v>
      </c>
      <c r="V35" s="16">
        <f t="shared" si="10"/>
        <v>155973096.00042632</v>
      </c>
      <c r="W35" s="24">
        <f t="shared" si="11"/>
        <v>165538819.57143971</v>
      </c>
      <c r="X35" s="117"/>
    </row>
    <row r="36" spans="1:24" x14ac:dyDescent="0.3">
      <c r="A36" s="46" t="s">
        <v>49</v>
      </c>
      <c r="B36" s="127">
        <f t="shared" si="5"/>
        <v>0</v>
      </c>
      <c r="C36" s="127">
        <f t="shared" si="5"/>
        <v>9990814.9060888365</v>
      </c>
      <c r="D36" s="127">
        <f t="shared" si="5"/>
        <v>27889148.155281082</v>
      </c>
      <c r="E36" s="58">
        <v>3259000</v>
      </c>
      <c r="F36" s="58">
        <f t="shared" si="6"/>
        <v>4811643.6825472517</v>
      </c>
      <c r="G36" s="58"/>
      <c r="H36" s="58">
        <f t="shared" si="7"/>
        <v>13658999.999999998</v>
      </c>
      <c r="I36" s="58">
        <v>6473353.6325620227</v>
      </c>
      <c r="J36" s="62">
        <f t="shared" ref="J36:R36" si="16">$B$30*J7</f>
        <v>40251606.388157532</v>
      </c>
      <c r="K36" s="62">
        <f t="shared" si="16"/>
        <v>18051413.889962357</v>
      </c>
      <c r="L36" s="62">
        <f t="shared" si="16"/>
        <v>13509454.222921235</v>
      </c>
      <c r="M36" s="62">
        <f t="shared" si="16"/>
        <v>9175252.0583791714</v>
      </c>
      <c r="N36" s="62">
        <f t="shared" si="16"/>
        <v>4211411.2891297843</v>
      </c>
      <c r="O36" s="62">
        <f t="shared" si="16"/>
        <v>9388433.1512517072</v>
      </c>
      <c r="P36" s="62">
        <f t="shared" si="16"/>
        <v>0</v>
      </c>
      <c r="Q36" s="62">
        <f t="shared" si="16"/>
        <v>0</v>
      </c>
      <c r="R36" s="62">
        <f t="shared" si="16"/>
        <v>0</v>
      </c>
      <c r="S36" s="16">
        <f t="shared" si="13"/>
        <v>165538819.57143971</v>
      </c>
      <c r="T36" s="16">
        <f>'Collections and ACP'!H11</f>
        <v>157940101.377</v>
      </c>
      <c r="U36" s="16">
        <f t="shared" si="9"/>
        <v>323478920.94843972</v>
      </c>
      <c r="V36" s="16">
        <f t="shared" si="10"/>
        <v>160670531.37628099</v>
      </c>
      <c r="W36" s="24">
        <f t="shared" si="11"/>
        <v>162808389.57215872</v>
      </c>
      <c r="X36" s="117"/>
    </row>
    <row r="37" spans="1:24" x14ac:dyDescent="0.3">
      <c r="A37" s="46" t="s">
        <v>50</v>
      </c>
      <c r="B37" s="127">
        <f t="shared" si="5"/>
        <v>0</v>
      </c>
      <c r="C37" s="127">
        <f t="shared" si="5"/>
        <v>2857721.4275648133</v>
      </c>
      <c r="D37" s="127">
        <f t="shared" si="5"/>
        <v>15190828.756851751</v>
      </c>
      <c r="E37" s="58">
        <v>1276000</v>
      </c>
      <c r="F37" s="58">
        <f t="shared" si="6"/>
        <v>4795225.7136696298</v>
      </c>
      <c r="G37" s="58"/>
      <c r="H37" s="58">
        <f t="shared" si="7"/>
        <v>13658999.999999998</v>
      </c>
      <c r="I37" s="58">
        <v>6473353.6325620227</v>
      </c>
      <c r="J37" s="62">
        <f t="shared" ref="J37:R37" si="17">$B$30*J8</f>
        <v>38641542.132631227</v>
      </c>
      <c r="K37" s="62">
        <f t="shared" si="17"/>
        <v>21957958.292481657</v>
      </c>
      <c r="L37" s="62">
        <f t="shared" si="17"/>
        <v>17152029.654105458</v>
      </c>
      <c r="M37" s="62">
        <f t="shared" si="17"/>
        <v>11142218.473807901</v>
      </c>
      <c r="N37" s="62">
        <f t="shared" si="17"/>
        <v>5810205.3779536309</v>
      </c>
      <c r="O37" s="62">
        <f t="shared" si="17"/>
        <v>11341705.352511356</v>
      </c>
      <c r="P37" s="62">
        <f t="shared" si="17"/>
        <v>103849.24587359971</v>
      </c>
      <c r="Q37" s="62">
        <f t="shared" si="17"/>
        <v>5506442.0224388707</v>
      </c>
      <c r="R37" s="62">
        <f t="shared" si="17"/>
        <v>650164.428629359</v>
      </c>
      <c r="S37" s="16">
        <f t="shared" si="13"/>
        <v>162808389.57215872</v>
      </c>
      <c r="T37" s="16">
        <f>'Collections and ACP'!H12</f>
        <v>157075656.73749998</v>
      </c>
      <c r="U37" s="16">
        <f t="shared" si="9"/>
        <v>319884046.30965871</v>
      </c>
      <c r="V37" s="16">
        <f t="shared" si="10"/>
        <v>156558244.51108128</v>
      </c>
      <c r="W37" s="24">
        <f t="shared" si="11"/>
        <v>163325801.79857743</v>
      </c>
      <c r="X37" s="117"/>
    </row>
    <row r="38" spans="1:24" x14ac:dyDescent="0.3">
      <c r="A38" s="46" t="s">
        <v>51</v>
      </c>
      <c r="B38" s="127">
        <f t="shared" si="5"/>
        <v>0</v>
      </c>
      <c r="C38" s="127">
        <f t="shared" si="5"/>
        <v>280260.48152978992</v>
      </c>
      <c r="D38" s="127">
        <f t="shared" si="5"/>
        <v>1239559.3956184799</v>
      </c>
      <c r="E38" s="58">
        <v>202999.99999999997</v>
      </c>
      <c r="F38" s="58">
        <f t="shared" si="6"/>
        <v>4800510.3155546812</v>
      </c>
      <c r="G38" s="58"/>
      <c r="H38" s="58">
        <f t="shared" si="7"/>
        <v>13658999.999999998</v>
      </c>
      <c r="I38" s="58">
        <v>6473353.6325620227</v>
      </c>
      <c r="J38" s="62">
        <f t="shared" ref="J38:R38" si="18">$B$30*J9</f>
        <v>37095880.447325982</v>
      </c>
      <c r="K38" s="62">
        <f t="shared" si="18"/>
        <v>25708240.918900188</v>
      </c>
      <c r="L38" s="62">
        <f t="shared" si="18"/>
        <v>20627987.300041806</v>
      </c>
      <c r="M38" s="62">
        <f t="shared" si="18"/>
        <v>13018836.350130662</v>
      </c>
      <c r="N38" s="62">
        <f t="shared" si="18"/>
        <v>7345047.7032245249</v>
      </c>
      <c r="O38" s="62">
        <f t="shared" si="18"/>
        <v>13216846.665720619</v>
      </c>
      <c r="P38" s="62">
        <f t="shared" si="18"/>
        <v>780455.95994226856</v>
      </c>
      <c r="Q38" s="62">
        <f t="shared" si="18"/>
        <v>8086983.0996419406</v>
      </c>
      <c r="R38" s="62">
        <f t="shared" si="18"/>
        <v>1554629.9677435423</v>
      </c>
      <c r="S38" s="16">
        <f t="shared" si="13"/>
        <v>163325801.79857743</v>
      </c>
      <c r="T38" s="16">
        <f>'Collections and ACP'!H13</f>
        <v>157075656.73749998</v>
      </c>
      <c r="U38" s="16">
        <f t="shared" si="9"/>
        <v>320401458.53607738</v>
      </c>
      <c r="V38" s="16">
        <f t="shared" si="10"/>
        <v>154090592.23793653</v>
      </c>
      <c r="W38" s="24">
        <f t="shared" si="11"/>
        <v>166310866.29814085</v>
      </c>
      <c r="X38" s="117"/>
    </row>
    <row r="39" spans="1:24" x14ac:dyDescent="0.3">
      <c r="A39" s="46" t="s">
        <v>52</v>
      </c>
      <c r="B39" s="127">
        <f t="shared" si="5"/>
        <v>0</v>
      </c>
      <c r="C39" s="127">
        <f t="shared" si="5"/>
        <v>0</v>
      </c>
      <c r="D39" s="127">
        <f t="shared" si="5"/>
        <v>0</v>
      </c>
      <c r="E39" s="58">
        <v>202999.99999999997</v>
      </c>
      <c r="F39" s="58">
        <f t="shared" si="6"/>
        <v>4814913.1016325643</v>
      </c>
      <c r="G39" s="58"/>
      <c r="H39" s="58">
        <f t="shared" si="7"/>
        <v>13658999.999999998</v>
      </c>
      <c r="I39" s="58">
        <v>6473353.6325620227</v>
      </c>
      <c r="J39" s="62">
        <f t="shared" ref="J39:R39" si="19">$B$30*J10</f>
        <v>35612045.22943294</v>
      </c>
      <c r="K39" s="62">
        <f t="shared" si="19"/>
        <v>29308512.240261976</v>
      </c>
      <c r="L39" s="62">
        <f t="shared" si="19"/>
        <v>23944096.445980195</v>
      </c>
      <c r="M39" s="62">
        <f t="shared" si="19"/>
        <v>14808777.978324136</v>
      </c>
      <c r="N39" s="62">
        <f t="shared" si="19"/>
        <v>8818496.3354845811</v>
      </c>
      <c r="O39" s="62">
        <f t="shared" si="19"/>
        <v>15016982.326401515</v>
      </c>
      <c r="P39" s="62">
        <f t="shared" si="19"/>
        <v>45657.328963417924</v>
      </c>
      <c r="Q39" s="62">
        <f t="shared" si="19"/>
        <v>10229819.986219035</v>
      </c>
      <c r="R39" s="62">
        <f t="shared" si="19"/>
        <v>2266528.9344353918</v>
      </c>
      <c r="S39" s="16">
        <f t="shared" si="13"/>
        <v>166310866.29814085</v>
      </c>
      <c r="T39" s="16">
        <f>'Collections and ACP'!H14</f>
        <v>157075656.73749998</v>
      </c>
      <c r="U39" s="16">
        <f t="shared" si="9"/>
        <v>323386523.03564084</v>
      </c>
      <c r="V39" s="16">
        <f t="shared" si="10"/>
        <v>165201183.5396978</v>
      </c>
      <c r="W39" s="24">
        <f t="shared" si="11"/>
        <v>158185339.49594304</v>
      </c>
      <c r="X39" s="117"/>
    </row>
    <row r="40" spans="1:24" x14ac:dyDescent="0.3">
      <c r="A40" s="46" t="s">
        <v>53</v>
      </c>
      <c r="B40" s="127">
        <f t="shared" si="5"/>
        <v>0</v>
      </c>
      <c r="C40" s="127">
        <f t="shared" si="5"/>
        <v>0</v>
      </c>
      <c r="D40" s="127">
        <f t="shared" si="5"/>
        <v>0</v>
      </c>
      <c r="E40" s="58">
        <v>202999.99999999997</v>
      </c>
      <c r="F40" s="58">
        <f t="shared" si="6"/>
        <v>4838486.2587735523</v>
      </c>
      <c r="G40" s="58"/>
      <c r="H40" s="58">
        <f t="shared" si="7"/>
        <v>13658999.999999998</v>
      </c>
      <c r="I40" s="58">
        <v>6473353.6325620227</v>
      </c>
      <c r="J40" s="62">
        <f t="shared" ref="J40:R40" si="20">$B$30*J11</f>
        <v>34187563.420255624</v>
      </c>
      <c r="K40" s="62">
        <f t="shared" si="20"/>
        <v>32764772.708769288</v>
      </c>
      <c r="L40" s="62">
        <f t="shared" si="20"/>
        <v>27106855.082891352</v>
      </c>
      <c r="M40" s="62">
        <f t="shared" si="20"/>
        <v>16515568.465978879</v>
      </c>
      <c r="N40" s="62">
        <f t="shared" si="20"/>
        <v>10233007.022454234</v>
      </c>
      <c r="O40" s="62">
        <f t="shared" si="20"/>
        <v>16745112.560655171</v>
      </c>
      <c r="P40" s="62">
        <f t="shared" si="20"/>
        <v>-1069085.2626202323</v>
      </c>
      <c r="Q40" s="62">
        <f t="shared" si="20"/>
        <v>15174007.734504469</v>
      </c>
      <c r="R40" s="62">
        <f t="shared" si="20"/>
        <v>3682747.4555569785</v>
      </c>
      <c r="S40" s="16">
        <f t="shared" si="13"/>
        <v>158185339.49594304</v>
      </c>
      <c r="T40" s="16">
        <f>'Collections and ACP'!H15</f>
        <v>157075656.73749998</v>
      </c>
      <c r="U40" s="16">
        <f t="shared" si="9"/>
        <v>315260996.23344302</v>
      </c>
      <c r="V40" s="16">
        <f t="shared" si="10"/>
        <v>180514389.07978135</v>
      </c>
      <c r="W40" s="24">
        <f t="shared" si="11"/>
        <v>134746607.15366167</v>
      </c>
      <c r="X40" s="117"/>
    </row>
    <row r="41" spans="1:24" x14ac:dyDescent="0.3">
      <c r="A41" s="46" t="s">
        <v>54</v>
      </c>
      <c r="B41" s="127">
        <f t="shared" si="5"/>
        <v>0</v>
      </c>
      <c r="C41" s="127">
        <f t="shared" si="5"/>
        <v>0</v>
      </c>
      <c r="D41" s="127">
        <f t="shared" si="5"/>
        <v>0</v>
      </c>
      <c r="E41" s="58">
        <v>202999.99999999997</v>
      </c>
      <c r="F41" s="58">
        <f t="shared" si="6"/>
        <v>4844486.1924790554</v>
      </c>
      <c r="G41" s="58"/>
      <c r="H41" s="58">
        <f t="shared" si="7"/>
        <v>13658999.999999998</v>
      </c>
      <c r="I41" s="58">
        <v>6473353.6325620227</v>
      </c>
      <c r="J41" s="62">
        <f t="shared" ref="J41:R41" si="21">$B$30*J12</f>
        <v>32820060.883445397</v>
      </c>
      <c r="K41" s="62">
        <f t="shared" si="21"/>
        <v>26599930.889865518</v>
      </c>
      <c r="L41" s="62">
        <f t="shared" si="21"/>
        <v>30122500.761852305</v>
      </c>
      <c r="M41" s="62">
        <f t="shared" si="21"/>
        <v>18142591.626093492</v>
      </c>
      <c r="N41" s="62">
        <f t="shared" si="21"/>
        <v>11590937.281945104</v>
      </c>
      <c r="O41" s="62">
        <f t="shared" si="21"/>
        <v>13299965.444932759</v>
      </c>
      <c r="P41" s="62">
        <f t="shared" si="21"/>
        <v>-2995019.7958448143</v>
      </c>
      <c r="Q41" s="62">
        <f t="shared" si="21"/>
        <v>19592332.309683744</v>
      </c>
      <c r="R41" s="62">
        <f t="shared" si="21"/>
        <v>5087072.8482890381</v>
      </c>
      <c r="S41" s="16">
        <f t="shared" si="13"/>
        <v>134746607.15366167</v>
      </c>
      <c r="T41" s="16">
        <f>'Collections and ACP'!H16</f>
        <v>157075656.73749998</v>
      </c>
      <c r="U41" s="16">
        <f t="shared" si="9"/>
        <v>291822263.89116168</v>
      </c>
      <c r="V41" s="16">
        <f t="shared" si="10"/>
        <v>179440212.07530361</v>
      </c>
      <c r="W41" s="24">
        <f t="shared" si="11"/>
        <v>112382051.81585807</v>
      </c>
      <c r="X41" s="117"/>
    </row>
    <row r="42" spans="1:24" x14ac:dyDescent="0.3">
      <c r="A42" s="46" t="s">
        <v>55</v>
      </c>
      <c r="B42" s="127">
        <f t="shared" si="5"/>
        <v>0</v>
      </c>
      <c r="C42" s="127">
        <f t="shared" si="5"/>
        <v>0</v>
      </c>
      <c r="D42" s="127">
        <f t="shared" si="5"/>
        <v>0</v>
      </c>
      <c r="E42" s="58">
        <v>202999.99999999997</v>
      </c>
      <c r="F42" s="58">
        <f t="shared" si="6"/>
        <v>4859721.3755531562</v>
      </c>
      <c r="G42" s="58"/>
      <c r="H42" s="58">
        <f t="shared" si="7"/>
        <v>13658999.999999998</v>
      </c>
      <c r="I42" s="58">
        <v>6473353.6325620227</v>
      </c>
      <c r="J42" s="62">
        <f t="shared" ref="J42:R42" si="22">$B$30*J13</f>
        <v>31507258.448107578</v>
      </c>
      <c r="K42" s="62">
        <f t="shared" si="22"/>
        <v>25535933.654270899</v>
      </c>
      <c r="L42" s="62">
        <f t="shared" si="22"/>
        <v>32997021.014243443</v>
      </c>
      <c r="M42" s="62">
        <f t="shared" si="22"/>
        <v>19693095.630309757</v>
      </c>
      <c r="N42" s="62">
        <f t="shared" si="22"/>
        <v>10450847.493943095</v>
      </c>
      <c r="O42" s="62">
        <f t="shared" si="22"/>
        <v>12767966.827135449</v>
      </c>
      <c r="P42" s="62">
        <f t="shared" si="22"/>
        <v>-5777576.8425533324</v>
      </c>
      <c r="Q42" s="62">
        <f t="shared" si="22"/>
        <v>23448785.497069865</v>
      </c>
      <c r="R42" s="62">
        <f t="shared" si="22"/>
        <v>6477256.5418127589</v>
      </c>
      <c r="S42" s="16">
        <f t="shared" si="13"/>
        <v>112382051.81585807</v>
      </c>
      <c r="T42" s="16">
        <f>'Collections and ACP'!H17</f>
        <v>157075656.73749998</v>
      </c>
      <c r="U42" s="16">
        <f t="shared" si="9"/>
        <v>269457708.55335808</v>
      </c>
      <c r="V42" s="16">
        <f t="shared" si="10"/>
        <v>182295663.27245468</v>
      </c>
      <c r="W42" s="24">
        <f t="shared" si="11"/>
        <v>87162045.280903399</v>
      </c>
      <c r="X42" s="117"/>
    </row>
    <row r="43" spans="1:24" x14ac:dyDescent="0.3">
      <c r="A43" s="46" t="s">
        <v>56</v>
      </c>
      <c r="B43" s="127">
        <f t="shared" si="5"/>
        <v>0</v>
      </c>
      <c r="C43" s="127">
        <f t="shared" si="5"/>
        <v>0</v>
      </c>
      <c r="D43" s="127">
        <f t="shared" si="5"/>
        <v>0</v>
      </c>
      <c r="E43" s="58">
        <v>202999.99999999997</v>
      </c>
      <c r="F43" s="58">
        <f t="shared" si="6"/>
        <v>4877774.9531197054</v>
      </c>
      <c r="G43" s="58"/>
      <c r="H43" s="58">
        <f t="shared" si="7"/>
        <v>13658999.999999998</v>
      </c>
      <c r="I43" s="58">
        <v>6473353.6325620227</v>
      </c>
      <c r="J43" s="62">
        <f t="shared" ref="J43:R43" si="23">$B$30*J14</f>
        <v>30246968.110183273</v>
      </c>
      <c r="K43" s="62">
        <f t="shared" si="23"/>
        <v>24514496.308100063</v>
      </c>
      <c r="L43" s="62">
        <f t="shared" si="23"/>
        <v>35736163.355124615</v>
      </c>
      <c r="M43" s="62">
        <f t="shared" si="23"/>
        <v>21170198.436011065</v>
      </c>
      <c r="N43" s="62">
        <f t="shared" si="23"/>
        <v>10032813.594185371</v>
      </c>
      <c r="O43" s="62">
        <f t="shared" si="23"/>
        <v>12257248.154050032</v>
      </c>
      <c r="P43" s="62">
        <f t="shared" si="23"/>
        <v>-9463394.001723865</v>
      </c>
      <c r="Q43" s="62">
        <f t="shared" si="23"/>
        <v>26706401.364840943</v>
      </c>
      <c r="R43" s="62">
        <f t="shared" si="23"/>
        <v>7850990.1394257247</v>
      </c>
      <c r="S43" s="16">
        <f t="shared" si="13"/>
        <v>87162045.280903399</v>
      </c>
      <c r="T43" s="16">
        <f>'Collections and ACP'!H18</f>
        <v>157075656.73749998</v>
      </c>
      <c r="U43" s="16">
        <f t="shared" si="9"/>
        <v>244237702.01840338</v>
      </c>
      <c r="V43" s="16">
        <f t="shared" si="10"/>
        <v>184265014.04587898</v>
      </c>
      <c r="W43" s="24">
        <f t="shared" si="11"/>
        <v>59972687.972524405</v>
      </c>
      <c r="X43" s="117"/>
    </row>
    <row r="44" spans="1:24" x14ac:dyDescent="0.3">
      <c r="A44" s="46" t="s">
        <v>57</v>
      </c>
      <c r="B44" s="127">
        <f t="shared" si="5"/>
        <v>0</v>
      </c>
      <c r="C44" s="127">
        <f t="shared" si="5"/>
        <v>0</v>
      </c>
      <c r="D44" s="127">
        <f t="shared" si="5"/>
        <v>0</v>
      </c>
      <c r="E44" s="58">
        <v>202999.99999999997</v>
      </c>
      <c r="F44" s="58">
        <f t="shared" si="6"/>
        <v>4911229.3421765687</v>
      </c>
      <c r="G44" s="58"/>
      <c r="H44" s="58">
        <f t="shared" si="7"/>
        <v>13658999.999999998</v>
      </c>
      <c r="I44" s="58">
        <v>6473353.6325620227</v>
      </c>
      <c r="J44" s="62">
        <f t="shared" ref="J44:R44" si="24">$B$30*J15</f>
        <v>29037089.385775942</v>
      </c>
      <c r="K44" s="62">
        <f t="shared" si="24"/>
        <v>23533916.455776058</v>
      </c>
      <c r="L44" s="62">
        <f t="shared" si="24"/>
        <v>38345444.886463262</v>
      </c>
      <c r="M44" s="62">
        <f t="shared" si="24"/>
        <v>22576892.996329747</v>
      </c>
      <c r="N44" s="62">
        <f t="shared" si="24"/>
        <v>9631501.050417956</v>
      </c>
      <c r="O44" s="62">
        <f t="shared" si="24"/>
        <v>11766958.227888029</v>
      </c>
      <c r="P44" s="62">
        <f t="shared" si="24"/>
        <v>-14100346.008326188</v>
      </c>
      <c r="Q44" s="62">
        <f t="shared" si="24"/>
        <v>29327232.348418392</v>
      </c>
      <c r="R44" s="62">
        <f t="shared" si="24"/>
        <v>9205903.9242715035</v>
      </c>
      <c r="S44" s="16">
        <f t="shared" si="13"/>
        <v>59972687.972524405</v>
      </c>
      <c r="T44" s="16">
        <f>'Collections and ACP'!H19</f>
        <v>157075656.73749998</v>
      </c>
      <c r="U44" s="16">
        <f t="shared" si="9"/>
        <v>217048344.71002439</v>
      </c>
      <c r="V44" s="16">
        <f t="shared" si="10"/>
        <v>184571176.24175328</v>
      </c>
      <c r="W44" s="24">
        <f t="shared" si="11"/>
        <v>32477168.468271106</v>
      </c>
      <c r="X44" s="117"/>
    </row>
    <row r="45" spans="1:24" x14ac:dyDescent="0.3">
      <c r="A45" s="46" t="s">
        <v>58</v>
      </c>
      <c r="B45" s="127">
        <f t="shared" si="5"/>
        <v>0</v>
      </c>
      <c r="C45" s="127">
        <f t="shared" si="5"/>
        <v>0</v>
      </c>
      <c r="D45" s="127">
        <f t="shared" si="5"/>
        <v>0</v>
      </c>
      <c r="E45" s="58">
        <v>202999.99999999997</v>
      </c>
      <c r="F45" s="58">
        <f t="shared" si="6"/>
        <v>4919197.2673642524</v>
      </c>
      <c r="G45" s="58"/>
      <c r="H45" s="58">
        <f t="shared" si="7"/>
        <v>13658999.999999998</v>
      </c>
      <c r="I45" s="58">
        <v>5988288.2606967036</v>
      </c>
      <c r="J45" s="62">
        <f t="shared" ref="J45:R45" si="25">$B$30*J16</f>
        <v>13937802.90517245</v>
      </c>
      <c r="K45" s="62">
        <f t="shared" si="25"/>
        <v>21096937.36238027</v>
      </c>
      <c r="L45" s="62">
        <f t="shared" si="25"/>
        <v>40830161.516220666</v>
      </c>
      <c r="M45" s="62">
        <f t="shared" si="25"/>
        <v>23190030.3965475</v>
      </c>
      <c r="N45" s="62">
        <f t="shared" si="25"/>
        <v>9246241.0084012356</v>
      </c>
      <c r="O45" s="62">
        <f t="shared" si="25"/>
        <v>10548468.681190135</v>
      </c>
      <c r="P45" s="62">
        <f t="shared" si="25"/>
        <v>-19737575.563721903</v>
      </c>
      <c r="Q45" s="62">
        <f t="shared" si="25"/>
        <v>31272324.761259947</v>
      </c>
      <c r="R45" s="62">
        <f t="shared" si="25"/>
        <v>10539565.329227004</v>
      </c>
      <c r="S45" s="16">
        <f t="shared" si="13"/>
        <v>32477168.468271106</v>
      </c>
      <c r="T45" s="16">
        <f>'Collections and ACP'!H20</f>
        <v>157075656.73749998</v>
      </c>
      <c r="U45" s="16">
        <f t="shared" si="9"/>
        <v>189552825.20577109</v>
      </c>
      <c r="V45" s="16">
        <f t="shared" si="10"/>
        <v>165693441.92473826</v>
      </c>
      <c r="W45" s="24">
        <f t="shared" si="11"/>
        <v>23859383.28103283</v>
      </c>
      <c r="X45" s="117"/>
    </row>
    <row r="46" spans="1:24" x14ac:dyDescent="0.3">
      <c r="A46" s="46" t="s">
        <v>59</v>
      </c>
      <c r="B46" s="127">
        <f t="shared" si="5"/>
        <v>0</v>
      </c>
      <c r="C46" s="127">
        <f t="shared" si="5"/>
        <v>0</v>
      </c>
      <c r="D46" s="127">
        <f t="shared" si="5"/>
        <v>0</v>
      </c>
      <c r="E46" s="58">
        <v>202999.99999999997</v>
      </c>
      <c r="F46" s="58">
        <f t="shared" si="6"/>
        <v>4933003.4000334963</v>
      </c>
      <c r="G46" s="58"/>
      <c r="H46" s="58">
        <f t="shared" si="7"/>
        <v>13658999.999999998</v>
      </c>
      <c r="I46" s="58">
        <v>5988288.2606967036</v>
      </c>
      <c r="J46" s="62">
        <f t="shared" ref="J46:R46" si="26">$B$30*J17</f>
        <v>13380290.788965553</v>
      </c>
      <c r="K46" s="62">
        <f t="shared" si="26"/>
        <v>18840527.568007246</v>
      </c>
      <c r="L46" s="62">
        <f t="shared" si="26"/>
        <v>41910703.758650616</v>
      </c>
      <c r="M46" s="62">
        <f t="shared" si="26"/>
        <v>23771061.235156186</v>
      </c>
      <c r="N46" s="62">
        <f t="shared" si="26"/>
        <v>8288776.233155882</v>
      </c>
      <c r="O46" s="62">
        <f t="shared" si="26"/>
        <v>9420263.7840036228</v>
      </c>
      <c r="P46" s="62">
        <f t="shared" si="26"/>
        <v>-26425524.90442612</v>
      </c>
      <c r="Q46" s="62">
        <f t="shared" si="26"/>
        <v>32501693.718689021</v>
      </c>
      <c r="R46" s="62">
        <f t="shared" si="26"/>
        <v>11849477.370111609</v>
      </c>
      <c r="S46" s="16">
        <f t="shared" si="13"/>
        <v>23859383.28103283</v>
      </c>
      <c r="T46" s="16">
        <f>'Collections and ACP'!H21</f>
        <v>157075656.73749998</v>
      </c>
      <c r="U46" s="16">
        <f t="shared" si="9"/>
        <v>180935040.01853281</v>
      </c>
      <c r="V46" s="16">
        <f t="shared" si="10"/>
        <v>158320561.21304381</v>
      </c>
      <c r="W46" s="24">
        <f t="shared" si="11"/>
        <v>22614478.805489004</v>
      </c>
      <c r="X46" s="117"/>
    </row>
    <row r="47" spans="1:24" x14ac:dyDescent="0.3">
      <c r="A47" s="46" t="s">
        <v>60</v>
      </c>
      <c r="B47" s="127">
        <f t="shared" si="5"/>
        <v>0</v>
      </c>
      <c r="C47" s="127">
        <f t="shared" si="5"/>
        <v>0</v>
      </c>
      <c r="D47" s="127">
        <f t="shared" si="5"/>
        <v>0</v>
      </c>
      <c r="E47" s="58">
        <v>202999.99999999997</v>
      </c>
      <c r="F47" s="58">
        <f t="shared" si="6"/>
        <v>4949626.5183808608</v>
      </c>
      <c r="G47" s="58"/>
      <c r="H47" s="58">
        <f t="shared" si="7"/>
        <v>13658999.999999998</v>
      </c>
      <c r="I47" s="58">
        <v>4977123.6319920402</v>
      </c>
      <c r="J47" s="62">
        <f t="shared" ref="J47:R47" si="27">$B$30*J18</f>
        <v>12845079.15740693</v>
      </c>
      <c r="K47" s="62">
        <f t="shared" si="27"/>
        <v>16674374.165409144</v>
      </c>
      <c r="L47" s="62">
        <f t="shared" si="27"/>
        <v>42934455.567867994</v>
      </c>
      <c r="M47" s="62">
        <f t="shared" si="27"/>
        <v>24321307.67994817</v>
      </c>
      <c r="N47" s="62">
        <f t="shared" si="27"/>
        <v>7402255.3341930788</v>
      </c>
      <c r="O47" s="62">
        <f t="shared" si="27"/>
        <v>8337187.082704572</v>
      </c>
      <c r="P47" s="62">
        <f t="shared" si="27"/>
        <v>-34215968.126433022</v>
      </c>
      <c r="Q47" s="62">
        <f t="shared" si="27"/>
        <v>32974297.461076465</v>
      </c>
      <c r="R47" s="62">
        <f t="shared" si="27"/>
        <v>13133077.041362831</v>
      </c>
      <c r="S47" s="16">
        <f t="shared" si="13"/>
        <v>22614478.805489004</v>
      </c>
      <c r="T47" s="16">
        <f>'Collections and ACP'!H22</f>
        <v>157075656.73749998</v>
      </c>
      <c r="U47" s="16">
        <f t="shared" si="9"/>
        <v>179690135.54298899</v>
      </c>
      <c r="V47" s="16">
        <f t="shared" si="10"/>
        <v>148194815.51390907</v>
      </c>
      <c r="W47" s="24">
        <f t="shared" si="11"/>
        <v>31495320.029079914</v>
      </c>
      <c r="X47" s="117"/>
    </row>
    <row r="48" spans="1:24" x14ac:dyDescent="0.3">
      <c r="A48" s="46" t="s">
        <v>61</v>
      </c>
      <c r="B48" s="127">
        <f t="shared" si="5"/>
        <v>0</v>
      </c>
      <c r="C48" s="127">
        <f t="shared" si="5"/>
        <v>0</v>
      </c>
      <c r="D48" s="127">
        <f t="shared" si="5"/>
        <v>0</v>
      </c>
      <c r="E48" s="58">
        <v>202999.99999999997</v>
      </c>
      <c r="F48" s="58">
        <f t="shared" si="6"/>
        <v>4971366.2914284766</v>
      </c>
      <c r="G48" s="58"/>
      <c r="H48" s="58">
        <f t="shared" si="7"/>
        <v>13658999.999999998</v>
      </c>
      <c r="I48" s="58"/>
      <c r="J48" s="62">
        <f t="shared" ref="J48:R48" si="28">$B$30*J19</f>
        <v>12331275.991110651</v>
      </c>
      <c r="K48" s="62">
        <f t="shared" si="28"/>
        <v>14594866.898914963</v>
      </c>
      <c r="L48" s="62">
        <f t="shared" si="28"/>
        <v>43903756.404918827</v>
      </c>
      <c r="M48" s="62">
        <f t="shared" si="28"/>
        <v>24842038.822477482</v>
      </c>
      <c r="N48" s="62">
        <f t="shared" si="28"/>
        <v>6551195.27118879</v>
      </c>
      <c r="O48" s="62">
        <f t="shared" si="28"/>
        <v>7297433.4494574815</v>
      </c>
      <c r="P48" s="62">
        <f t="shared" si="28"/>
        <v>-43095518.120281056</v>
      </c>
      <c r="Q48" s="62">
        <f t="shared" si="28"/>
        <v>29425093.52431348</v>
      </c>
      <c r="R48" s="62">
        <f t="shared" si="28"/>
        <v>13551611.988924885</v>
      </c>
      <c r="S48" s="16">
        <f t="shared" si="13"/>
        <v>31495320.029079914</v>
      </c>
      <c r="T48" s="16">
        <f>'Collections and ACP'!H23</f>
        <v>157075656.73749998</v>
      </c>
      <c r="U48" s="16">
        <f t="shared" si="9"/>
        <v>188570976.7665799</v>
      </c>
      <c r="V48" s="16">
        <f t="shared" si="10"/>
        <v>128235120.52245399</v>
      </c>
      <c r="W48" s="24">
        <f t="shared" si="11"/>
        <v>60335856.244125903</v>
      </c>
      <c r="X48" s="117"/>
    </row>
    <row r="49" spans="1:24" x14ac:dyDescent="0.3">
      <c r="A49" s="46" t="s">
        <v>62</v>
      </c>
      <c r="B49" s="127">
        <f t="shared" si="5"/>
        <v>0</v>
      </c>
      <c r="C49" s="127">
        <f t="shared" si="5"/>
        <v>0</v>
      </c>
      <c r="D49" s="127">
        <f t="shared" si="5"/>
        <v>0</v>
      </c>
      <c r="E49" s="58">
        <v>202999.99999999997</v>
      </c>
      <c r="F49" s="58">
        <f t="shared" si="6"/>
        <v>4974475.2192924526</v>
      </c>
      <c r="G49" s="58"/>
      <c r="H49" s="58">
        <f t="shared" si="7"/>
        <v>13658999.999999998</v>
      </c>
      <c r="I49" s="58"/>
      <c r="J49" s="62">
        <f t="shared" ref="J49:R49" si="29">$B$30*J20</f>
        <v>11838024.951466225</v>
      </c>
      <c r="K49" s="62">
        <f t="shared" si="29"/>
        <v>12598539.923080552</v>
      </c>
      <c r="L49" s="62">
        <f t="shared" si="29"/>
        <v>44820851.813188851</v>
      </c>
      <c r="M49" s="62">
        <f t="shared" si="29"/>
        <v>25334472.802056987</v>
      </c>
      <c r="N49" s="62">
        <f t="shared" si="29"/>
        <v>5734177.6107046725</v>
      </c>
      <c r="O49" s="62">
        <f t="shared" si="29"/>
        <v>6299269.9615402762</v>
      </c>
      <c r="P49" s="62">
        <f t="shared" si="29"/>
        <v>-52668283.768854462</v>
      </c>
      <c r="Q49" s="62">
        <f t="shared" si="29"/>
        <v>25393621.388059027</v>
      </c>
      <c r="R49" s="62">
        <f t="shared" si="29"/>
        <v>13950590.197755417</v>
      </c>
      <c r="S49" s="16">
        <f t="shared" si="13"/>
        <v>60335856.244125903</v>
      </c>
      <c r="T49" s="16">
        <f>'Collections and ACP'!H24</f>
        <v>157075656.73749998</v>
      </c>
      <c r="U49" s="16">
        <f t="shared" si="9"/>
        <v>217411512.98162588</v>
      </c>
      <c r="V49" s="16">
        <f t="shared" si="10"/>
        <v>112137740.09828998</v>
      </c>
      <c r="W49" s="24">
        <f t="shared" si="11"/>
        <v>105273772.8833359</v>
      </c>
      <c r="X49" s="117"/>
    </row>
    <row r="50" spans="1:24" x14ac:dyDescent="0.3">
      <c r="A50" s="46" t="s">
        <v>63</v>
      </c>
      <c r="B50" s="127">
        <f t="shared" si="5"/>
        <v>0</v>
      </c>
      <c r="C50" s="127">
        <f t="shared" si="5"/>
        <v>0</v>
      </c>
      <c r="D50" s="127">
        <f t="shared" si="5"/>
        <v>0</v>
      </c>
      <c r="E50" s="58">
        <v>202999.99999999997</v>
      </c>
      <c r="F50" s="58">
        <f t="shared" si="6"/>
        <v>4989388.6473881453</v>
      </c>
      <c r="G50" s="58"/>
      <c r="H50" s="58"/>
      <c r="I50" s="58"/>
      <c r="J50" s="62">
        <f t="shared" ref="J50:R50" si="30">$B$30*J21</f>
        <v>11364503.953407574</v>
      </c>
      <c r="K50" s="62">
        <f t="shared" si="30"/>
        <v>10682066.026279517</v>
      </c>
      <c r="L50" s="62">
        <f t="shared" si="30"/>
        <v>45687897.176805712</v>
      </c>
      <c r="M50" s="62">
        <f t="shared" si="30"/>
        <v>25799778.844790921</v>
      </c>
      <c r="N50" s="62">
        <f t="shared" si="30"/>
        <v>4949840.6566399178</v>
      </c>
      <c r="O50" s="62">
        <f t="shared" si="30"/>
        <v>5341033.0131397583</v>
      </c>
      <c r="P50" s="62">
        <f t="shared" si="30"/>
        <v>-62964013.398103654</v>
      </c>
      <c r="Q50" s="62">
        <f t="shared" si="30"/>
        <v>20856486.881698847</v>
      </c>
      <c r="R50" s="62">
        <f t="shared" si="30"/>
        <v>13673052.914696565</v>
      </c>
      <c r="S50" s="16">
        <f t="shared" si="13"/>
        <v>105273772.8833359</v>
      </c>
      <c r="T50" s="16">
        <f>'Collections and ACP'!H25</f>
        <v>157075656.73749998</v>
      </c>
      <c r="U50" s="16">
        <f t="shared" si="9"/>
        <v>262349429.6208359</v>
      </c>
      <c r="V50" s="16">
        <f t="shared" si="10"/>
        <v>80583034.71674329</v>
      </c>
      <c r="W50" s="24">
        <f t="shared" si="11"/>
        <v>181766394.90409261</v>
      </c>
      <c r="X50" s="117"/>
    </row>
    <row r="51" spans="1:24" x14ac:dyDescent="0.3">
      <c r="A51" s="46" t="s">
        <v>64</v>
      </c>
      <c r="B51" s="127">
        <f t="shared" si="5"/>
        <v>0</v>
      </c>
      <c r="C51" s="127">
        <f t="shared" si="5"/>
        <v>0</v>
      </c>
      <c r="D51" s="127">
        <f t="shared" si="5"/>
        <v>0</v>
      </c>
      <c r="E51" s="58">
        <v>202999.99999999997</v>
      </c>
      <c r="F51" s="58">
        <f t="shared" si="6"/>
        <v>4989388.6473881453</v>
      </c>
      <c r="G51" s="58"/>
      <c r="H51" s="58"/>
      <c r="I51" s="58"/>
      <c r="J51" s="62">
        <f t="shared" ref="J51:R51" si="31">$B$30*J22</f>
        <v>10909923.795271272</v>
      </c>
      <c r="K51" s="62">
        <f t="shared" si="31"/>
        <v>8842251.0853505209</v>
      </c>
      <c r="L51" s="62">
        <f t="shared" si="31"/>
        <v>46506961.32869716</v>
      </c>
      <c r="M51" s="62">
        <f t="shared" si="31"/>
        <v>26239079.221041407</v>
      </c>
      <c r="N51" s="62">
        <f t="shared" si="31"/>
        <v>4196877.1807377553</v>
      </c>
      <c r="O51" s="62">
        <f t="shared" si="31"/>
        <v>4421125.5426752605</v>
      </c>
      <c r="P51" s="62">
        <f t="shared" si="31"/>
        <v>-74013225.121274263</v>
      </c>
      <c r="Q51" s="62">
        <f t="shared" si="31"/>
        <v>15789689.387628138</v>
      </c>
      <c r="R51" s="62">
        <f t="shared" si="31"/>
        <v>14028499.99318631</v>
      </c>
      <c r="S51" s="16">
        <f t="shared" si="13"/>
        <v>181766394.90409261</v>
      </c>
      <c r="T51" s="16">
        <f>'Collections and ACP'!H26</f>
        <v>157075656.73749998</v>
      </c>
      <c r="U51" s="16">
        <f t="shared" si="9"/>
        <v>338842051.64159262</v>
      </c>
      <c r="V51" s="16">
        <f t="shared" si="10"/>
        <v>62113571.060701698</v>
      </c>
      <c r="W51" s="24">
        <f t="shared" si="11"/>
        <v>276728480.58089089</v>
      </c>
      <c r="X51" s="117"/>
    </row>
    <row r="52" spans="1:24" x14ac:dyDescent="0.3">
      <c r="A52" s="46" t="s">
        <v>65</v>
      </c>
      <c r="B52" s="127">
        <f t="shared" si="5"/>
        <v>0</v>
      </c>
      <c r="C52" s="127">
        <f t="shared" si="5"/>
        <v>0</v>
      </c>
      <c r="D52" s="127">
        <f t="shared" si="5"/>
        <v>0</v>
      </c>
      <c r="E52" s="58">
        <v>202999.99999999997</v>
      </c>
      <c r="F52" s="58">
        <f t="shared" si="6"/>
        <v>4989388.6473881453</v>
      </c>
      <c r="G52" s="58"/>
      <c r="H52" s="58"/>
      <c r="I52" s="58"/>
      <c r="J52" s="62">
        <f t="shared" ref="J52:R52" si="32">$B$30*J23</f>
        <v>10473526.84346042</v>
      </c>
      <c r="K52" s="62">
        <f t="shared" si="32"/>
        <v>8488561.0419365</v>
      </c>
      <c r="L52" s="62">
        <f t="shared" si="32"/>
        <v>47280030.014318138</v>
      </c>
      <c r="M52" s="62">
        <f t="shared" si="32"/>
        <v>26653451.124591671</v>
      </c>
      <c r="N52" s="62">
        <f t="shared" si="32"/>
        <v>3474032.2438716777</v>
      </c>
      <c r="O52" s="62">
        <f t="shared" si="32"/>
        <v>4244280.52096825</v>
      </c>
      <c r="P52" s="62">
        <f t="shared" si="32"/>
        <v>-85847225.731068462</v>
      </c>
      <c r="Q52" s="62">
        <f t="shared" si="32"/>
        <v>10168606.930405324</v>
      </c>
      <c r="R52" s="62">
        <f t="shared" si="32"/>
        <v>14359896.013344277</v>
      </c>
      <c r="S52" s="16">
        <f t="shared" si="13"/>
        <v>276728480.58089089</v>
      </c>
      <c r="T52" s="16">
        <f>'Collections and ACP'!H27</f>
        <v>157075656.73749998</v>
      </c>
      <c r="U52" s="16">
        <f t="shared" si="9"/>
        <v>433804137.31839085</v>
      </c>
      <c r="V52" s="16">
        <f t="shared" si="10"/>
        <v>44487547.649215937</v>
      </c>
      <c r="W52" s="24">
        <f t="shared" si="11"/>
        <v>389316589.66917491</v>
      </c>
      <c r="X52" s="117"/>
    </row>
    <row r="53" spans="1:24" x14ac:dyDescent="0.3">
      <c r="A53" s="46" t="s">
        <v>66</v>
      </c>
      <c r="B53" s="127">
        <f t="shared" si="5"/>
        <v>0</v>
      </c>
      <c r="C53" s="127">
        <f t="shared" si="5"/>
        <v>0</v>
      </c>
      <c r="D53" s="127">
        <f t="shared" si="5"/>
        <v>0</v>
      </c>
      <c r="E53" s="58">
        <v>202999.99999999997</v>
      </c>
      <c r="F53" s="58">
        <f t="shared" si="6"/>
        <v>4989388.6473881453</v>
      </c>
      <c r="G53" s="58"/>
      <c r="H53" s="57"/>
      <c r="I53" s="57"/>
      <c r="J53" s="62">
        <f t="shared" ref="J53:R53" si="33">$B$30*J24</f>
        <v>0</v>
      </c>
      <c r="K53" s="62">
        <f t="shared" si="33"/>
        <v>7070092.161436771</v>
      </c>
      <c r="L53" s="62">
        <f t="shared" si="33"/>
        <v>48009009.216820434</v>
      </c>
      <c r="M53" s="62">
        <f t="shared" si="33"/>
        <v>26520183.868968718</v>
      </c>
      <c r="N53" s="62">
        <f t="shared" si="33"/>
        <v>3335070.954116811</v>
      </c>
      <c r="O53" s="62">
        <f t="shared" si="33"/>
        <v>3535046.0807183855</v>
      </c>
      <c r="P53" s="62">
        <f t="shared" si="33"/>
        <v>-98498130.039577916</v>
      </c>
      <c r="Q53" s="62">
        <f t="shared" si="33"/>
        <v>3967980.9119931608</v>
      </c>
      <c r="R53" s="62">
        <f t="shared" si="33"/>
        <v>14665664.627445808</v>
      </c>
      <c r="S53" s="16">
        <f t="shared" si="13"/>
        <v>389316589.66917491</v>
      </c>
      <c r="T53" s="16">
        <f>'Collections and ACP'!H28</f>
        <v>157075656.73749998</v>
      </c>
      <c r="U53" s="16">
        <f t="shared" si="9"/>
        <v>546392246.40667486</v>
      </c>
      <c r="V53" s="16">
        <f t="shared" si="10"/>
        <v>13797306.429310312</v>
      </c>
      <c r="W53" s="24">
        <f t="shared" si="11"/>
        <v>532594939.97736454</v>
      </c>
      <c r="X53" s="117"/>
    </row>
    <row r="54" spans="1:24" x14ac:dyDescent="0.3">
      <c r="A54" s="46" t="s">
        <v>67</v>
      </c>
      <c r="B54" s="127">
        <f t="shared" si="5"/>
        <v>0</v>
      </c>
      <c r="C54" s="127">
        <f t="shared" si="5"/>
        <v>0</v>
      </c>
      <c r="D54" s="127">
        <f t="shared" si="5"/>
        <v>0</v>
      </c>
      <c r="E54" s="58">
        <v>202999.99999999997</v>
      </c>
      <c r="F54" s="58">
        <f t="shared" si="6"/>
        <v>4989388.6473881453</v>
      </c>
      <c r="G54" s="58"/>
      <c r="H54" s="57"/>
      <c r="I54" s="57"/>
      <c r="J54" s="62">
        <f t="shared" ref="J54:R54" si="34">$B$30*J25</f>
        <v>0</v>
      </c>
      <c r="K54" s="62">
        <f t="shared" si="34"/>
        <v>5768302.3938693786</v>
      </c>
      <c r="L54" s="62">
        <f t="shared" si="34"/>
        <v>47768964.170736372</v>
      </c>
      <c r="M54" s="62">
        <f t="shared" si="34"/>
        <v>21905408.567199633</v>
      </c>
      <c r="N54" s="62">
        <f t="shared" si="34"/>
        <v>2777768.6811753861</v>
      </c>
      <c r="O54" s="62">
        <f t="shared" si="34"/>
        <v>2884151.1969346893</v>
      </c>
      <c r="P54" s="62">
        <f t="shared" si="34"/>
        <v>-111998880.67634231</v>
      </c>
      <c r="Q54" s="62">
        <f t="shared" si="34"/>
        <v>-2838099.5151060494</v>
      </c>
      <c r="R54" s="62">
        <f t="shared" si="34"/>
        <v>14944188.759022132</v>
      </c>
      <c r="S54" s="16">
        <f t="shared" si="13"/>
        <v>532594939.97736454</v>
      </c>
      <c r="T54" s="16">
        <f>'Collections and ACP'!H29</f>
        <v>157075656.73749998</v>
      </c>
      <c r="U54" s="16">
        <f t="shared" si="9"/>
        <v>689670596.71486449</v>
      </c>
      <c r="V54" s="16">
        <f t="shared" si="10"/>
        <v>-13595807.775122639</v>
      </c>
      <c r="W54" s="24">
        <f t="shared" si="11"/>
        <v>703266404.48998713</v>
      </c>
      <c r="X54" s="117"/>
    </row>
    <row r="58" spans="1:24" x14ac:dyDescent="0.3">
      <c r="A58" s="35" t="s">
        <v>106</v>
      </c>
      <c r="B58" s="126">
        <v>0.72445000000000004</v>
      </c>
    </row>
    <row r="59" spans="1:24" ht="57.6" x14ac:dyDescent="0.3">
      <c r="A59" s="53" t="s">
        <v>43</v>
      </c>
      <c r="B59" s="53" t="s">
        <v>125</v>
      </c>
      <c r="C59" s="53" t="s">
        <v>116</v>
      </c>
      <c r="D59" s="53" t="s">
        <v>117</v>
      </c>
      <c r="E59" s="53" t="s">
        <v>118</v>
      </c>
      <c r="F59" s="53" t="s">
        <v>275</v>
      </c>
      <c r="G59" s="53" t="s">
        <v>44</v>
      </c>
      <c r="H59" s="53" t="s">
        <v>119</v>
      </c>
      <c r="I59" s="53" t="s">
        <v>126</v>
      </c>
      <c r="J59" s="53" t="s">
        <v>6</v>
      </c>
      <c r="K59" s="53" t="s">
        <v>12</v>
      </c>
      <c r="L59" s="53" t="s">
        <v>21</v>
      </c>
      <c r="M59" s="53" t="s">
        <v>25</v>
      </c>
      <c r="N59" s="53" t="s">
        <v>29</v>
      </c>
      <c r="O59" s="53" t="s">
        <v>33</v>
      </c>
      <c r="P59" s="53" t="s">
        <v>40</v>
      </c>
      <c r="Q59" s="53" t="s">
        <v>41</v>
      </c>
      <c r="R59" s="53" t="s">
        <v>42</v>
      </c>
      <c r="S59" s="54" t="s">
        <v>129</v>
      </c>
      <c r="T59" s="54" t="s">
        <v>128</v>
      </c>
      <c r="U59" s="54" t="s">
        <v>122</v>
      </c>
      <c r="V59" s="53" t="s">
        <v>123</v>
      </c>
      <c r="W59" s="53" t="s">
        <v>124</v>
      </c>
    </row>
    <row r="60" spans="1:24" x14ac:dyDescent="0.3">
      <c r="A60" s="46" t="s">
        <v>45</v>
      </c>
      <c r="B60" s="127">
        <f t="shared" ref="B60:D82" si="35">B3*$B$58</f>
        <v>100088215.38573343</v>
      </c>
      <c r="C60" s="127">
        <f t="shared" si="35"/>
        <v>44639538.27630233</v>
      </c>
      <c r="D60" s="127">
        <f t="shared" si="35"/>
        <v>24265958.812011931</v>
      </c>
      <c r="E60" s="58">
        <v>23095359.600711424</v>
      </c>
      <c r="F60" s="58">
        <f t="shared" ref="F60:F82" si="36">$B$58*F3</f>
        <v>4895166.6218669675</v>
      </c>
      <c r="G60" s="58"/>
      <c r="H60" s="58">
        <f t="shared" ref="H60:H74" si="37">$B$58*H3</f>
        <v>8158611.0364449453</v>
      </c>
      <c r="I60" s="58">
        <v>2005534.0799999998</v>
      </c>
      <c r="J60" s="62">
        <f t="shared" ref="J60:R60" si="38">$B$58*J3</f>
        <v>0</v>
      </c>
      <c r="K60" s="62">
        <f t="shared" si="38"/>
        <v>0</v>
      </c>
      <c r="L60" s="62">
        <f t="shared" si="38"/>
        <v>0</v>
      </c>
      <c r="M60" s="62">
        <f t="shared" si="38"/>
        <v>0</v>
      </c>
      <c r="N60" s="62">
        <f t="shared" si="38"/>
        <v>0</v>
      </c>
      <c r="O60" s="62">
        <f t="shared" si="38"/>
        <v>0</v>
      </c>
      <c r="P60" s="62">
        <f t="shared" si="38"/>
        <v>0</v>
      </c>
      <c r="Q60" s="62">
        <f t="shared" si="38"/>
        <v>0</v>
      </c>
      <c r="R60" s="62">
        <f t="shared" si="38"/>
        <v>0</v>
      </c>
      <c r="S60" s="16">
        <f>'Collections and ACP'!C158+'Collections and ACP'!C155</f>
        <v>296007918.98000002</v>
      </c>
      <c r="T60" s="16">
        <f>'Collections and ACP'!H46</f>
        <v>160340838.45917991</v>
      </c>
      <c r="U60" s="16">
        <f t="shared" ref="U60:U82" si="39">S60+T60</f>
        <v>456348757.4391799</v>
      </c>
      <c r="V60" s="16">
        <f t="shared" ref="V60:V82" si="40">SUM(B60:R60)</f>
        <v>207148383.81307104</v>
      </c>
      <c r="W60" s="24">
        <f t="shared" ref="W60:W82" si="41">U60-V60</f>
        <v>249200373.62610886</v>
      </c>
    </row>
    <row r="61" spans="1:24" x14ac:dyDescent="0.3">
      <c r="A61" s="46" t="s">
        <v>46</v>
      </c>
      <c r="B61" s="127">
        <f t="shared" si="35"/>
        <v>27566760.301426023</v>
      </c>
      <c r="C61" s="127">
        <f t="shared" si="35"/>
        <v>47906147.616893075</v>
      </c>
      <c r="D61" s="127">
        <f t="shared" si="35"/>
        <v>84952669.349394217</v>
      </c>
      <c r="E61" s="58">
        <v>18588255.383493654</v>
      </c>
      <c r="F61" s="58">
        <f t="shared" si="36"/>
        <v>10100379.767692089</v>
      </c>
      <c r="G61" s="58">
        <v>10000000</v>
      </c>
      <c r="H61" s="58">
        <f t="shared" si="37"/>
        <v>36222500</v>
      </c>
      <c r="I61" s="58">
        <v>11756993.128173925</v>
      </c>
      <c r="J61" s="62">
        <f t="shared" ref="J61:R61" si="42">$B$58*J4</f>
        <v>0</v>
      </c>
      <c r="K61" s="62">
        <f t="shared" si="42"/>
        <v>0</v>
      </c>
      <c r="L61" s="62">
        <f t="shared" si="42"/>
        <v>0</v>
      </c>
      <c r="M61" s="62">
        <f t="shared" si="42"/>
        <v>0</v>
      </c>
      <c r="N61" s="62">
        <f t="shared" si="42"/>
        <v>0</v>
      </c>
      <c r="O61" s="62">
        <f t="shared" si="42"/>
        <v>0</v>
      </c>
      <c r="P61" s="62">
        <f t="shared" si="42"/>
        <v>0</v>
      </c>
      <c r="Q61" s="62">
        <f t="shared" si="42"/>
        <v>0</v>
      </c>
      <c r="R61" s="62">
        <f t="shared" si="42"/>
        <v>0</v>
      </c>
      <c r="S61" s="16">
        <f t="shared" ref="S61:S82" si="43">W60</f>
        <v>249200373.62610886</v>
      </c>
      <c r="T61" s="16">
        <f>'Collections and ACP'!H47</f>
        <v>334084827.7045005</v>
      </c>
      <c r="U61" s="16">
        <f t="shared" si="39"/>
        <v>583285201.33060932</v>
      </c>
      <c r="V61" s="16">
        <f t="shared" si="40"/>
        <v>247093705.54707298</v>
      </c>
      <c r="W61" s="24">
        <f t="shared" si="41"/>
        <v>336191495.78353631</v>
      </c>
    </row>
    <row r="62" spans="1:24" x14ac:dyDescent="0.3">
      <c r="A62" s="46" t="s">
        <v>47</v>
      </c>
      <c r="B62" s="127">
        <f t="shared" si="35"/>
        <v>3524660.9705124982</v>
      </c>
      <c r="C62" s="127">
        <f t="shared" si="35"/>
        <v>47241387.409028895</v>
      </c>
      <c r="D62" s="127">
        <f t="shared" si="35"/>
        <v>79800318.939734191</v>
      </c>
      <c r="E62" s="58">
        <v>17220344.595163539</v>
      </c>
      <c r="F62" s="58">
        <f t="shared" si="36"/>
        <v>12767626.985842081</v>
      </c>
      <c r="G62" s="58"/>
      <c r="H62" s="58">
        <f t="shared" si="37"/>
        <v>36222500</v>
      </c>
      <c r="I62" s="58">
        <v>15524623.835403711</v>
      </c>
      <c r="J62" s="62">
        <f t="shared" ref="J62:R62" si="44">$B$58*J5</f>
        <v>243222174.02253971</v>
      </c>
      <c r="K62" s="62">
        <f t="shared" si="44"/>
        <v>26626989.45591874</v>
      </c>
      <c r="L62" s="62">
        <f t="shared" si="44"/>
        <v>0</v>
      </c>
      <c r="M62" s="62">
        <f t="shared" si="44"/>
        <v>13139736.322360478</v>
      </c>
      <c r="N62" s="62">
        <f t="shared" si="44"/>
        <v>0</v>
      </c>
      <c r="O62" s="62">
        <f t="shared" si="44"/>
        <v>14331997.073404588</v>
      </c>
      <c r="P62" s="62">
        <f t="shared" si="44"/>
        <v>0</v>
      </c>
      <c r="Q62" s="62">
        <f t="shared" si="44"/>
        <v>0</v>
      </c>
      <c r="R62" s="62">
        <f t="shared" si="44"/>
        <v>0</v>
      </c>
      <c r="S62" s="16">
        <f t="shared" si="43"/>
        <v>336191495.78353631</v>
      </c>
      <c r="T62" s="16">
        <f>'Collections and ACP'!H48</f>
        <v>425587002.41775018</v>
      </c>
      <c r="U62" s="16">
        <f t="shared" si="39"/>
        <v>761778498.20128655</v>
      </c>
      <c r="V62" s="16">
        <f t="shared" si="40"/>
        <v>509622359.6099084</v>
      </c>
      <c r="W62" s="24">
        <f t="shared" si="41"/>
        <v>252156138.59137815</v>
      </c>
      <c r="X62" s="117"/>
    </row>
    <row r="63" spans="1:24" x14ac:dyDescent="0.3">
      <c r="A63" s="46" t="s">
        <v>48</v>
      </c>
      <c r="B63" s="127">
        <f t="shared" si="35"/>
        <v>0</v>
      </c>
      <c r="C63" s="127">
        <f t="shared" si="35"/>
        <v>42520787.472389005</v>
      </c>
      <c r="D63" s="127">
        <f t="shared" si="35"/>
        <v>76691646.524911299</v>
      </c>
      <c r="E63" s="58">
        <v>14320007.415898787</v>
      </c>
      <c r="F63" s="58">
        <f t="shared" si="36"/>
        <v>12800780.504322443</v>
      </c>
      <c r="G63" s="58"/>
      <c r="H63" s="58">
        <f t="shared" si="37"/>
        <v>36222500</v>
      </c>
      <c r="I63" s="58">
        <v>15524623.835403711</v>
      </c>
      <c r="J63" s="62">
        <f t="shared" ref="J63:R63" si="45">$B$58*J6</f>
        <v>111191477.26125605</v>
      </c>
      <c r="K63" s="62">
        <f t="shared" si="45"/>
        <v>37079325.095765591</v>
      </c>
      <c r="L63" s="62">
        <f t="shared" si="45"/>
        <v>25705561.707290217</v>
      </c>
      <c r="M63" s="62">
        <f t="shared" si="45"/>
        <v>18866015.34804821</v>
      </c>
      <c r="N63" s="62">
        <f t="shared" si="45"/>
        <v>6861696.310176963</v>
      </c>
      <c r="O63" s="62">
        <f t="shared" si="45"/>
        <v>19501581.429692168</v>
      </c>
      <c r="P63" s="62">
        <f t="shared" si="45"/>
        <v>0</v>
      </c>
      <c r="Q63" s="62">
        <f t="shared" si="45"/>
        <v>0</v>
      </c>
      <c r="R63" s="62">
        <f t="shared" si="45"/>
        <v>0</v>
      </c>
      <c r="S63" s="16">
        <f t="shared" si="43"/>
        <v>252156138.59137815</v>
      </c>
      <c r="T63" s="16">
        <f>'Collections and ACP'!H49</f>
        <v>427796090.93619514</v>
      </c>
      <c r="U63" s="16">
        <f t="shared" si="39"/>
        <v>679952229.52757335</v>
      </c>
      <c r="V63" s="16">
        <f t="shared" si="40"/>
        <v>417286002.90515447</v>
      </c>
      <c r="W63" s="24">
        <f t="shared" si="41"/>
        <v>262666226.62241888</v>
      </c>
      <c r="X63" s="117"/>
    </row>
    <row r="64" spans="1:24" x14ac:dyDescent="0.3">
      <c r="A64" s="46" t="s">
        <v>49</v>
      </c>
      <c r="B64" s="127">
        <f t="shared" si="35"/>
        <v>0</v>
      </c>
      <c r="C64" s="127">
        <f t="shared" si="35"/>
        <v>26494786.802533343</v>
      </c>
      <c r="D64" s="127">
        <f t="shared" si="35"/>
        <v>73959636.068135962</v>
      </c>
      <c r="E64" s="58">
        <v>14162541.685608782</v>
      </c>
      <c r="F64" s="58">
        <f t="shared" si="36"/>
        <v>12760067.595802609</v>
      </c>
      <c r="G64" s="58">
        <v>10000000</v>
      </c>
      <c r="H64" s="58">
        <f t="shared" si="37"/>
        <v>36222500</v>
      </c>
      <c r="I64" s="58">
        <v>15524623.835403711</v>
      </c>
      <c r="J64" s="62">
        <f t="shared" ref="J64:R64" si="46">$B$58*J7</f>
        <v>106743818.1708058</v>
      </c>
      <c r="K64" s="62">
        <f t="shared" si="46"/>
        <v>47870806.034787431</v>
      </c>
      <c r="L64" s="62">
        <f t="shared" si="46"/>
        <v>35825917.387053557</v>
      </c>
      <c r="M64" s="62">
        <f t="shared" si="46"/>
        <v>24331983.870315515</v>
      </c>
      <c r="N64" s="62">
        <f t="shared" si="46"/>
        <v>11168302.615162428</v>
      </c>
      <c r="O64" s="62">
        <f t="shared" si="46"/>
        <v>24897321.899203088</v>
      </c>
      <c r="P64" s="62">
        <f t="shared" si="46"/>
        <v>0</v>
      </c>
      <c r="Q64" s="62">
        <f t="shared" si="46"/>
        <v>0</v>
      </c>
      <c r="R64" s="62">
        <f t="shared" si="46"/>
        <v>0</v>
      </c>
      <c r="S64" s="16">
        <f t="shared" si="43"/>
        <v>262666226.62241888</v>
      </c>
      <c r="T64" s="16">
        <f>'Collections and ACP'!H50</f>
        <v>427782563.48452926</v>
      </c>
      <c r="U64" s="16">
        <f t="shared" si="39"/>
        <v>690448790.10694814</v>
      </c>
      <c r="V64" s="16">
        <f t="shared" si="40"/>
        <v>439962305.96481216</v>
      </c>
      <c r="W64" s="24">
        <f t="shared" si="41"/>
        <v>250486484.14213598</v>
      </c>
      <c r="X64" s="117"/>
    </row>
    <row r="65" spans="1:24" x14ac:dyDescent="0.3">
      <c r="A65" s="46" t="s">
        <v>50</v>
      </c>
      <c r="B65" s="127">
        <f t="shared" si="35"/>
        <v>0</v>
      </c>
      <c r="C65" s="127">
        <f t="shared" si="35"/>
        <v>7578432.8581862841</v>
      </c>
      <c r="D65" s="127">
        <f t="shared" si="35"/>
        <v>40284778.874373131</v>
      </c>
      <c r="E65" s="58">
        <v>10125431.694168944</v>
      </c>
      <c r="F65" s="58">
        <f t="shared" si="36"/>
        <v>12716528.546262404</v>
      </c>
      <c r="G65" s="58"/>
      <c r="H65" s="58">
        <f t="shared" si="37"/>
        <v>36222500</v>
      </c>
      <c r="I65" s="58">
        <v>15524623.835403711</v>
      </c>
      <c r="J65" s="62">
        <f t="shared" ref="J65:R65" si="47">$B$58*J8</f>
        <v>102474065.44397356</v>
      </c>
      <c r="K65" s="62">
        <f t="shared" si="47"/>
        <v>58230627.736248404</v>
      </c>
      <c r="L65" s="62">
        <f t="shared" si="47"/>
        <v>45485715.948886082</v>
      </c>
      <c r="M65" s="62">
        <f t="shared" si="47"/>
        <v>29548210.606011182</v>
      </c>
      <c r="N65" s="62">
        <f t="shared" si="47"/>
        <v>15408167.82362731</v>
      </c>
      <c r="O65" s="62">
        <f t="shared" si="47"/>
        <v>30077232.749933571</v>
      </c>
      <c r="P65" s="62">
        <f t="shared" si="47"/>
        <v>275399.31976399926</v>
      </c>
      <c r="Q65" s="62">
        <f t="shared" si="47"/>
        <v>14602613.380027236</v>
      </c>
      <c r="R65" s="62">
        <f t="shared" si="47"/>
        <v>1724180.4682646578</v>
      </c>
      <c r="S65" s="16">
        <f t="shared" si="43"/>
        <v>250486484.14213598</v>
      </c>
      <c r="T65" s="16">
        <f>'Collections and ACP'!H51</f>
        <v>426644165.48655927</v>
      </c>
      <c r="U65" s="16">
        <f t="shared" si="39"/>
        <v>677130649.62869525</v>
      </c>
      <c r="V65" s="16">
        <f t="shared" si="40"/>
        <v>420278509.2851305</v>
      </c>
      <c r="W65" s="24">
        <f t="shared" si="41"/>
        <v>256852140.34356475</v>
      </c>
      <c r="X65" s="117"/>
    </row>
    <row r="66" spans="1:24" x14ac:dyDescent="0.3">
      <c r="A66" s="46" t="s">
        <v>51</v>
      </c>
      <c r="B66" s="127">
        <f t="shared" si="35"/>
        <v>0</v>
      </c>
      <c r="C66" s="127">
        <f t="shared" si="35"/>
        <v>743226.83155522496</v>
      </c>
      <c r="D66" s="127">
        <f t="shared" si="35"/>
        <v>3287205.5207402003</v>
      </c>
      <c r="E66" s="58">
        <v>8012431.7104763286</v>
      </c>
      <c r="F66" s="58">
        <f t="shared" si="36"/>
        <v>12730542.858567938</v>
      </c>
      <c r="G66" s="58"/>
      <c r="H66" s="58">
        <f t="shared" si="37"/>
        <v>36222500</v>
      </c>
      <c r="I66" s="58">
        <v>15524623.835403711</v>
      </c>
      <c r="J66" s="62">
        <f t="shared" ref="J66:R66" si="48">$B$58*J9</f>
        <v>98375102.826214626</v>
      </c>
      <c r="K66" s="62">
        <f t="shared" si="48"/>
        <v>68176056.569650933</v>
      </c>
      <c r="L66" s="62">
        <f t="shared" si="48"/>
        <v>54703658.391958743</v>
      </c>
      <c r="M66" s="62">
        <f t="shared" si="48"/>
        <v>34524840.741826482</v>
      </c>
      <c r="N66" s="62">
        <f t="shared" si="48"/>
        <v>19478438.423753597</v>
      </c>
      <c r="O66" s="62">
        <f t="shared" si="48"/>
        <v>35049947.166634835</v>
      </c>
      <c r="P66" s="62">
        <f t="shared" si="48"/>
        <v>2069702.4678972713</v>
      </c>
      <c r="Q66" s="62">
        <f t="shared" si="48"/>
        <v>21445987.651129674</v>
      </c>
      <c r="R66" s="62">
        <f t="shared" si="48"/>
        <v>4122745.7358950488</v>
      </c>
      <c r="S66" s="16">
        <f t="shared" si="43"/>
        <v>256852140.34356475</v>
      </c>
      <c r="T66" s="16">
        <f>'Collections and ACP'!H52</f>
        <v>427288775.61238623</v>
      </c>
      <c r="U66" s="16">
        <f t="shared" si="39"/>
        <v>684140915.95595098</v>
      </c>
      <c r="V66" s="16">
        <f t="shared" si="40"/>
        <v>414467010.73170465</v>
      </c>
      <c r="W66" s="24">
        <f t="shared" si="41"/>
        <v>269673905.22424632</v>
      </c>
      <c r="X66" s="117"/>
    </row>
    <row r="67" spans="1:24" x14ac:dyDescent="0.3">
      <c r="A67" s="46" t="s">
        <v>52</v>
      </c>
      <c r="B67" s="127">
        <f t="shared" si="35"/>
        <v>0</v>
      </c>
      <c r="C67" s="127">
        <f t="shared" si="35"/>
        <v>0</v>
      </c>
      <c r="D67" s="127">
        <f t="shared" si="35"/>
        <v>0</v>
      </c>
      <c r="E67" s="58">
        <v>4480482.7749063233</v>
      </c>
      <c r="F67" s="58">
        <f t="shared" si="36"/>
        <v>12768737.815644307</v>
      </c>
      <c r="G67" s="58">
        <v>10000000</v>
      </c>
      <c r="H67" s="58">
        <f t="shared" si="37"/>
        <v>36222500</v>
      </c>
      <c r="I67" s="58">
        <v>15524623.835403711</v>
      </c>
      <c r="J67" s="62">
        <f t="shared" ref="J67:R67" si="49">$B$58*J10</f>
        <v>94440098.713166028</v>
      </c>
      <c r="K67" s="62">
        <f t="shared" si="49"/>
        <v>77723668.24971737</v>
      </c>
      <c r="L67" s="62">
        <f t="shared" si="49"/>
        <v>63497696.281903341</v>
      </c>
      <c r="M67" s="62">
        <f t="shared" si="49"/>
        <v>39271612.879408896</v>
      </c>
      <c r="N67" s="62">
        <f t="shared" si="49"/>
        <v>23385898.19987483</v>
      </c>
      <c r="O67" s="62">
        <f t="shared" si="49"/>
        <v>39823753.006668054</v>
      </c>
      <c r="P67" s="62">
        <f t="shared" si="49"/>
        <v>121079.33218957507</v>
      </c>
      <c r="Q67" s="62">
        <f t="shared" si="49"/>
        <v>27128607.837383341</v>
      </c>
      <c r="R67" s="62">
        <f t="shared" si="49"/>
        <v>6010640.9200956142</v>
      </c>
      <c r="S67" s="16">
        <f t="shared" si="43"/>
        <v>269673905.22424632</v>
      </c>
      <c r="T67" s="16">
        <f>'Collections and ACP'!H53</f>
        <v>429045104.18550754</v>
      </c>
      <c r="U67" s="16">
        <f t="shared" si="39"/>
        <v>698719009.4097538</v>
      </c>
      <c r="V67" s="16">
        <f t="shared" si="40"/>
        <v>450399399.84636134</v>
      </c>
      <c r="W67" s="24">
        <f t="shared" si="41"/>
        <v>248319609.56339246</v>
      </c>
      <c r="X67" s="117"/>
    </row>
    <row r="68" spans="1:24" x14ac:dyDescent="0.3">
      <c r="A68" s="46" t="s">
        <v>53</v>
      </c>
      <c r="B68" s="127">
        <f t="shared" si="35"/>
        <v>0</v>
      </c>
      <c r="C68" s="127">
        <f t="shared" si="35"/>
        <v>0</v>
      </c>
      <c r="D68" s="127">
        <f t="shared" si="35"/>
        <v>0</v>
      </c>
      <c r="E68" s="58">
        <v>4478132.259204451</v>
      </c>
      <c r="F68" s="58">
        <f t="shared" si="36"/>
        <v>12831251.812608905</v>
      </c>
      <c r="G68" s="58"/>
      <c r="H68" s="58">
        <f t="shared" si="37"/>
        <v>36222500</v>
      </c>
      <c r="I68" s="58">
        <v>15524623.835403711</v>
      </c>
      <c r="J68" s="62">
        <f t="shared" ref="J68:R68" si="50">$B$58*J11</f>
        <v>90662494.764639392</v>
      </c>
      <c r="K68" s="62">
        <f t="shared" si="50"/>
        <v>86889375.462581143</v>
      </c>
      <c r="L68" s="62">
        <f t="shared" si="50"/>
        <v>71885061.735122055</v>
      </c>
      <c r="M68" s="62">
        <f t="shared" si="50"/>
        <v>43797875.302651733</v>
      </c>
      <c r="N68" s="62">
        <f t="shared" si="50"/>
        <v>27137059.584951211</v>
      </c>
      <c r="O68" s="62">
        <f t="shared" si="50"/>
        <v>44406606.613099933</v>
      </c>
      <c r="P68" s="62">
        <f t="shared" si="50"/>
        <v>-2835122.697507971</v>
      </c>
      <c r="Q68" s="62">
        <f t="shared" si="50"/>
        <v>40240170.961497054</v>
      </c>
      <c r="R68" s="62">
        <f t="shared" si="50"/>
        <v>9766331.3353036586</v>
      </c>
      <c r="S68" s="16">
        <f t="shared" si="43"/>
        <v>248319609.56339246</v>
      </c>
      <c r="T68" s="16">
        <f>'Collections and ACP'!H54</f>
        <v>431920687.15558982</v>
      </c>
      <c r="U68" s="16">
        <f t="shared" si="39"/>
        <v>680240296.71898222</v>
      </c>
      <c r="V68" s="16">
        <f t="shared" si="40"/>
        <v>481006360.96955532</v>
      </c>
      <c r="W68" s="24">
        <f t="shared" si="41"/>
        <v>199233935.7494269</v>
      </c>
      <c r="X68" s="117"/>
    </row>
    <row r="69" spans="1:24" x14ac:dyDescent="0.3">
      <c r="A69" s="46" t="s">
        <v>54</v>
      </c>
      <c r="B69" s="127">
        <f t="shared" si="35"/>
        <v>0</v>
      </c>
      <c r="C69" s="127">
        <f t="shared" si="35"/>
        <v>0</v>
      </c>
      <c r="D69" s="127">
        <f t="shared" si="35"/>
        <v>0</v>
      </c>
      <c r="E69" s="58">
        <v>4338008.6485485407</v>
      </c>
      <c r="F69" s="58">
        <f t="shared" si="36"/>
        <v>12847163.12373326</v>
      </c>
      <c r="G69" s="58"/>
      <c r="H69" s="58">
        <f t="shared" si="37"/>
        <v>36222500</v>
      </c>
      <c r="I69" s="58">
        <v>15524623.835403711</v>
      </c>
      <c r="J69" s="62">
        <f t="shared" ref="J69:R69" si="51">$B$58*J12</f>
        <v>87035994.974053815</v>
      </c>
      <c r="K69" s="62">
        <f t="shared" si="51"/>
        <v>70540742.123007089</v>
      </c>
      <c r="L69" s="62">
        <f t="shared" si="51"/>
        <v>79882296.20368953</v>
      </c>
      <c r="M69" s="62">
        <f t="shared" si="51"/>
        <v>48112601.594272763</v>
      </c>
      <c r="N69" s="62">
        <f t="shared" si="51"/>
        <v>30738174.51462454</v>
      </c>
      <c r="O69" s="62">
        <f t="shared" si="51"/>
        <v>35270371.061503544</v>
      </c>
      <c r="P69" s="62">
        <f t="shared" si="51"/>
        <v>-7942536.390291295</v>
      </c>
      <c r="Q69" s="62">
        <f t="shared" si="51"/>
        <v>51957189.917821184</v>
      </c>
      <c r="R69" s="62">
        <f t="shared" si="51"/>
        <v>13490482.19102055</v>
      </c>
      <c r="S69" s="16">
        <f t="shared" si="43"/>
        <v>199233935.7494269</v>
      </c>
      <c r="T69" s="16">
        <f>'Collections and ACP'!H55</f>
        <v>432651888.83378154</v>
      </c>
      <c r="U69" s="16">
        <f t="shared" si="39"/>
        <v>631885824.58320844</v>
      </c>
      <c r="V69" s="16">
        <f t="shared" si="40"/>
        <v>478017611.79738718</v>
      </c>
      <c r="W69" s="24">
        <f t="shared" si="41"/>
        <v>153868212.78582126</v>
      </c>
      <c r="X69" s="117"/>
    </row>
    <row r="70" spans="1:24" x14ac:dyDescent="0.3">
      <c r="A70" s="46" t="s">
        <v>55</v>
      </c>
      <c r="B70" s="127">
        <f t="shared" si="35"/>
        <v>0</v>
      </c>
      <c r="C70" s="127">
        <f t="shared" si="35"/>
        <v>0</v>
      </c>
      <c r="D70" s="127">
        <f t="shared" si="35"/>
        <v>0</v>
      </c>
      <c r="E70" s="58">
        <v>4303453.6786395097</v>
      </c>
      <c r="F70" s="58">
        <f t="shared" si="36"/>
        <v>12887565.526464179</v>
      </c>
      <c r="G70" s="58">
        <v>10000000</v>
      </c>
      <c r="H70" s="58">
        <f t="shared" si="37"/>
        <v>36222500</v>
      </c>
      <c r="I70" s="58">
        <v>15524623.835403711</v>
      </c>
      <c r="J70" s="62">
        <f t="shared" ref="J70:R70" si="52">$B$58*J13</f>
        <v>83554555.175091654</v>
      </c>
      <c r="K70" s="62">
        <f t="shared" si="52"/>
        <v>67719112.438086808</v>
      </c>
      <c r="L70" s="62">
        <f t="shared" si="52"/>
        <v>87505278.108824462</v>
      </c>
      <c r="M70" s="62">
        <f t="shared" si="52"/>
        <v>52224405.62771032</v>
      </c>
      <c r="N70" s="62">
        <f t="shared" si="52"/>
        <v>27714753.887499362</v>
      </c>
      <c r="O70" s="62">
        <f t="shared" si="52"/>
        <v>33859556.219043404</v>
      </c>
      <c r="P70" s="62">
        <f t="shared" si="52"/>
        <v>-15321639.737856952</v>
      </c>
      <c r="Q70" s="62">
        <f t="shared" si="52"/>
        <v>62184174.000118114</v>
      </c>
      <c r="R70" s="62">
        <f t="shared" si="52"/>
        <v>17177130.469713207</v>
      </c>
      <c r="S70" s="16">
        <f t="shared" si="43"/>
        <v>153868212.78582126</v>
      </c>
      <c r="T70" s="16">
        <f>'Collections and ACP'!H56</f>
        <v>434509872.83833295</v>
      </c>
      <c r="U70" s="16">
        <f t="shared" si="39"/>
        <v>588378085.62415421</v>
      </c>
      <c r="V70" s="16">
        <f t="shared" si="40"/>
        <v>495555469.22873777</v>
      </c>
      <c r="W70" s="24">
        <f t="shared" si="41"/>
        <v>92822616.395416439</v>
      </c>
      <c r="X70" s="117"/>
    </row>
    <row r="71" spans="1:24" x14ac:dyDescent="0.3">
      <c r="A71" s="46" t="s">
        <v>56</v>
      </c>
      <c r="B71" s="127">
        <f t="shared" si="35"/>
        <v>0</v>
      </c>
      <c r="C71" s="127">
        <f t="shared" si="35"/>
        <v>0</v>
      </c>
      <c r="D71" s="127">
        <f t="shared" si="35"/>
        <v>0</v>
      </c>
      <c r="E71" s="58">
        <v>4261079.6921323007</v>
      </c>
      <c r="F71" s="58">
        <f t="shared" si="36"/>
        <v>12935442.070384257</v>
      </c>
      <c r="G71" s="58"/>
      <c r="H71" s="58">
        <f t="shared" si="37"/>
        <v>36222500</v>
      </c>
      <c r="I71" s="58">
        <v>15524623.835403711</v>
      </c>
      <c r="J71" s="62">
        <f t="shared" ref="J71:R71" si="53">$B$58*J14</f>
        <v>80212372.968087986</v>
      </c>
      <c r="K71" s="62">
        <f t="shared" si="53"/>
        <v>65010347.940563336</v>
      </c>
      <c r="L71" s="62">
        <f t="shared" si="53"/>
        <v>94769249.36898759</v>
      </c>
      <c r="M71" s="62">
        <f t="shared" si="53"/>
        <v>56141555.959324323</v>
      </c>
      <c r="N71" s="62">
        <f t="shared" si="53"/>
        <v>26606163.73199939</v>
      </c>
      <c r="O71" s="62">
        <f t="shared" si="53"/>
        <v>32505173.970281668</v>
      </c>
      <c r="P71" s="62">
        <f t="shared" si="53"/>
        <v>-25096111.664649151</v>
      </c>
      <c r="Q71" s="62">
        <f t="shared" si="53"/>
        <v>70823092.7182042</v>
      </c>
      <c r="R71" s="62">
        <f t="shared" si="53"/>
        <v>20820154.500721015</v>
      </c>
      <c r="S71" s="16">
        <f t="shared" si="43"/>
        <v>92822616.395416439</v>
      </c>
      <c r="T71" s="16">
        <f>'Collections and ACP'!H57</f>
        <v>436711740.6575731</v>
      </c>
      <c r="U71" s="16">
        <f t="shared" si="39"/>
        <v>529534357.05298954</v>
      </c>
      <c r="V71" s="16">
        <f t="shared" si="40"/>
        <v>490735645.09144068</v>
      </c>
      <c r="W71" s="24">
        <f t="shared" si="41"/>
        <v>38798711.961548865</v>
      </c>
      <c r="X71" s="117"/>
    </row>
    <row r="72" spans="1:24" x14ac:dyDescent="0.3">
      <c r="A72" s="46" t="s">
        <v>57</v>
      </c>
      <c r="B72" s="127">
        <f t="shared" si="35"/>
        <v>0</v>
      </c>
      <c r="C72" s="127">
        <f t="shared" si="35"/>
        <v>0</v>
      </c>
      <c r="D72" s="127">
        <f t="shared" si="35"/>
        <v>0</v>
      </c>
      <c r="E72" s="58">
        <v>4261079.6921323007</v>
      </c>
      <c r="F72" s="58">
        <f t="shared" si="36"/>
        <v>13024160.249431932</v>
      </c>
      <c r="G72" s="58"/>
      <c r="H72" s="58">
        <f t="shared" si="37"/>
        <v>36222500</v>
      </c>
      <c r="I72" s="58">
        <v>15524623.835403711</v>
      </c>
      <c r="J72" s="62">
        <f t="shared" ref="J72:R72" si="54">$B$58*J15</f>
        <v>77003878.049364462</v>
      </c>
      <c r="K72" s="62">
        <f t="shared" si="54"/>
        <v>62409934.022940792</v>
      </c>
      <c r="L72" s="62">
        <f t="shared" si="54"/>
        <v>101688840.86682156</v>
      </c>
      <c r="M72" s="62">
        <f t="shared" si="54"/>
        <v>59871989.644890144</v>
      </c>
      <c r="N72" s="62">
        <f t="shared" si="54"/>
        <v>25541917.182719409</v>
      </c>
      <c r="O72" s="62">
        <f t="shared" si="54"/>
        <v>31204967.011470396</v>
      </c>
      <c r="P72" s="62">
        <f t="shared" si="54"/>
        <v>-37392911.87397287</v>
      </c>
      <c r="Q72" s="62">
        <f t="shared" si="54"/>
        <v>77773312.37576583</v>
      </c>
      <c r="R72" s="62">
        <f t="shared" si="54"/>
        <v>24413269.997578487</v>
      </c>
      <c r="S72" s="16">
        <f t="shared" si="43"/>
        <v>38798711.961548865</v>
      </c>
      <c r="T72" s="16">
        <f>'Collections and ACP'!H58</f>
        <v>440793222.53098226</v>
      </c>
      <c r="U72" s="16">
        <f t="shared" si="39"/>
        <v>479591934.49253112</v>
      </c>
      <c r="V72" s="16">
        <f t="shared" si="40"/>
        <v>491547561.05454612</v>
      </c>
      <c r="W72" s="24">
        <f t="shared" si="41"/>
        <v>-11955626.562014997</v>
      </c>
      <c r="X72" s="117"/>
    </row>
    <row r="73" spans="1:24" x14ac:dyDescent="0.3">
      <c r="A73" s="46" t="s">
        <v>58</v>
      </c>
      <c r="B73" s="127">
        <f t="shared" si="35"/>
        <v>0</v>
      </c>
      <c r="C73" s="127">
        <f t="shared" si="35"/>
        <v>0</v>
      </c>
      <c r="D73" s="127">
        <f t="shared" si="35"/>
        <v>0</v>
      </c>
      <c r="E73" s="58">
        <v>4261079.6921323007</v>
      </c>
      <c r="F73" s="58">
        <f t="shared" si="36"/>
        <v>13045290.505681358</v>
      </c>
      <c r="G73" s="58"/>
      <c r="H73" s="58">
        <f t="shared" si="37"/>
        <v>36222500</v>
      </c>
      <c r="I73" s="58">
        <v>14361326.929266423</v>
      </c>
      <c r="J73" s="62">
        <f t="shared" ref="J73:R73" si="55">$B$58*J16</f>
        <v>36961861.463694938</v>
      </c>
      <c r="K73" s="62">
        <f t="shared" si="55"/>
        <v>55947273.856711291</v>
      </c>
      <c r="L73" s="62">
        <f t="shared" si="55"/>
        <v>108278096.89737926</v>
      </c>
      <c r="M73" s="62">
        <f t="shared" si="55"/>
        <v>61497977.600039676</v>
      </c>
      <c r="N73" s="62">
        <f t="shared" si="55"/>
        <v>24520240.495410632</v>
      </c>
      <c r="O73" s="62">
        <f t="shared" si="55"/>
        <v>27973636.928355645</v>
      </c>
      <c r="P73" s="62">
        <f t="shared" si="55"/>
        <v>-52342362.60757865</v>
      </c>
      <c r="Q73" s="62">
        <f t="shared" si="55"/>
        <v>82931531.127076551</v>
      </c>
      <c r="R73" s="62">
        <f t="shared" si="55"/>
        <v>27950026.000287373</v>
      </c>
      <c r="S73" s="16">
        <f t="shared" si="43"/>
        <v>-11955626.562014997</v>
      </c>
      <c r="T73" s="16">
        <f>'Collections and ACP'!H59</f>
        <v>441764820.37954783</v>
      </c>
      <c r="U73" s="16">
        <f t="shared" si="39"/>
        <v>429809193.81753284</v>
      </c>
      <c r="V73" s="16">
        <f t="shared" si="40"/>
        <v>441608478.88845676</v>
      </c>
      <c r="W73" s="24">
        <f t="shared" si="41"/>
        <v>-11799285.070923924</v>
      </c>
      <c r="X73" s="117"/>
    </row>
    <row r="74" spans="1:24" x14ac:dyDescent="0.3">
      <c r="A74" s="46" t="s">
        <v>59</v>
      </c>
      <c r="B74" s="127">
        <f t="shared" si="35"/>
        <v>0</v>
      </c>
      <c r="C74" s="127">
        <f t="shared" si="35"/>
        <v>0</v>
      </c>
      <c r="D74" s="127">
        <f t="shared" si="35"/>
        <v>0</v>
      </c>
      <c r="E74" s="58">
        <v>4261079.6921323007</v>
      </c>
      <c r="F74" s="58">
        <f t="shared" si="36"/>
        <v>13081903.188938675</v>
      </c>
      <c r="G74" s="58"/>
      <c r="H74" s="58">
        <f t="shared" si="37"/>
        <v>36222500</v>
      </c>
      <c r="I74" s="58">
        <v>14361326.929266423</v>
      </c>
      <c r="J74" s="62">
        <f t="shared" ref="J74:R74" si="56">$B$58*J17</f>
        <v>35483387.005147137</v>
      </c>
      <c r="K74" s="62">
        <f t="shared" si="56"/>
        <v>49963468.030759387</v>
      </c>
      <c r="L74" s="62">
        <f t="shared" si="56"/>
        <v>111143602.5256404</v>
      </c>
      <c r="M74" s="62">
        <f t="shared" si="56"/>
        <v>63038821.699278496</v>
      </c>
      <c r="N74" s="62">
        <f t="shared" si="56"/>
        <v>21981125.785598431</v>
      </c>
      <c r="O74" s="62">
        <f t="shared" si="56"/>
        <v>24981734.015379693</v>
      </c>
      <c r="P74" s="62">
        <f t="shared" si="56"/>
        <v>-70078232.363319069</v>
      </c>
      <c r="Q74" s="62">
        <f t="shared" si="56"/>
        <v>86191712.477136925</v>
      </c>
      <c r="R74" s="62">
        <f t="shared" si="56"/>
        <v>31423800.720321238</v>
      </c>
      <c r="S74" s="16">
        <f t="shared" si="43"/>
        <v>-11799285.070923924</v>
      </c>
      <c r="T74" s="16">
        <f>'Collections and ACP'!H60</f>
        <v>443449098.87589866</v>
      </c>
      <c r="U74" s="16">
        <f t="shared" si="39"/>
        <v>431649813.80497473</v>
      </c>
      <c r="V74" s="16">
        <f t="shared" si="40"/>
        <v>422056229.70627999</v>
      </c>
      <c r="W74" s="24">
        <f t="shared" si="41"/>
        <v>9593584.0986947417</v>
      </c>
      <c r="X74" s="117"/>
    </row>
    <row r="75" spans="1:24" x14ac:dyDescent="0.3">
      <c r="A75" s="46" t="s">
        <v>60</v>
      </c>
      <c r="B75" s="127">
        <f t="shared" si="35"/>
        <v>0</v>
      </c>
      <c r="C75" s="127">
        <f t="shared" si="35"/>
        <v>0</v>
      </c>
      <c r="D75" s="127">
        <f t="shared" si="35"/>
        <v>0</v>
      </c>
      <c r="E75" s="58">
        <v>4261079.6921323007</v>
      </c>
      <c r="F75" s="58">
        <f t="shared" si="36"/>
        <v>13125986.277330022</v>
      </c>
      <c r="G75" s="58"/>
      <c r="H75" s="58"/>
      <c r="I75" s="58">
        <v>11936316.68667575</v>
      </c>
      <c r="J75" s="62">
        <f t="shared" ref="J75:R75" si="57">$B$58*J18</f>
        <v>34064051.524941251</v>
      </c>
      <c r="K75" s="62">
        <f t="shared" si="57"/>
        <v>44219014.43784558</v>
      </c>
      <c r="L75" s="62">
        <f t="shared" si="57"/>
        <v>113858504.78125036</v>
      </c>
      <c r="M75" s="62">
        <f t="shared" si="57"/>
        <v>64498028.218531571</v>
      </c>
      <c r="N75" s="62">
        <f t="shared" si="57"/>
        <v>19630148.169178478</v>
      </c>
      <c r="O75" s="62">
        <f t="shared" si="57"/>
        <v>22109507.21892279</v>
      </c>
      <c r="P75" s="62">
        <f t="shared" si="57"/>
        <v>-90737821.616496116</v>
      </c>
      <c r="Q75" s="62">
        <f t="shared" si="57"/>
        <v>87445017.188948125</v>
      </c>
      <c r="R75" s="62">
        <f t="shared" si="57"/>
        <v>34827797.286094531</v>
      </c>
      <c r="S75" s="16">
        <f t="shared" si="43"/>
        <v>9593584.0986947417</v>
      </c>
      <c r="T75" s="16">
        <f>'Collections and ACP'!H61</f>
        <v>445476724.40887928</v>
      </c>
      <c r="U75" s="16">
        <f t="shared" si="39"/>
        <v>455070308.50757402</v>
      </c>
      <c r="V75" s="16">
        <f t="shared" si="40"/>
        <v>359237629.86535466</v>
      </c>
      <c r="W75" s="24">
        <f t="shared" si="41"/>
        <v>95832678.642219365</v>
      </c>
      <c r="X75" s="117"/>
    </row>
    <row r="76" spans="1:24" x14ac:dyDescent="0.3">
      <c r="A76" s="46" t="s">
        <v>61</v>
      </c>
      <c r="B76" s="127">
        <f t="shared" si="35"/>
        <v>0</v>
      </c>
      <c r="C76" s="127">
        <f t="shared" si="35"/>
        <v>0</v>
      </c>
      <c r="D76" s="127">
        <f t="shared" si="35"/>
        <v>0</v>
      </c>
      <c r="E76" s="58">
        <v>4261079.6921323007</v>
      </c>
      <c r="F76" s="58">
        <f t="shared" si="36"/>
        <v>13183638.296454208</v>
      </c>
      <c r="G76" s="58"/>
      <c r="H76" s="58"/>
      <c r="I76" s="58"/>
      <c r="J76" s="62">
        <f t="shared" ref="J76:R76" si="58">$B$58*J19</f>
        <v>32701489.463943601</v>
      </c>
      <c r="K76" s="62">
        <f t="shared" si="58"/>
        <v>38704338.988648318</v>
      </c>
      <c r="L76" s="62">
        <f t="shared" si="58"/>
        <v>116429007.71485266</v>
      </c>
      <c r="M76" s="62">
        <f t="shared" si="58"/>
        <v>65878962.680078387</v>
      </c>
      <c r="N76" s="62">
        <f t="shared" si="58"/>
        <v>17373209.65741533</v>
      </c>
      <c r="O76" s="62">
        <f t="shared" si="58"/>
        <v>19352169.494324159</v>
      </c>
      <c r="P76" s="62">
        <f t="shared" si="58"/>
        <v>-114285628.89756796</v>
      </c>
      <c r="Q76" s="62">
        <f t="shared" si="58"/>
        <v>78032831.845994964</v>
      </c>
      <c r="R76" s="62">
        <f t="shared" si="58"/>
        <v>35937716.177526303</v>
      </c>
      <c r="S76" s="16">
        <f t="shared" si="43"/>
        <v>95832678.642219365</v>
      </c>
      <c r="T76" s="16">
        <f>'Collections and ACP'!H62</f>
        <v>448129018.45769209</v>
      </c>
      <c r="U76" s="16">
        <f t="shared" si="39"/>
        <v>543961697.09991145</v>
      </c>
      <c r="V76" s="16">
        <f t="shared" si="40"/>
        <v>307568815.11380225</v>
      </c>
      <c r="W76" s="24">
        <f t="shared" si="41"/>
        <v>236392881.9861092</v>
      </c>
      <c r="X76" s="117"/>
    </row>
    <row r="77" spans="1:24" x14ac:dyDescent="0.3">
      <c r="A77" s="46" t="s">
        <v>62</v>
      </c>
      <c r="B77" s="127">
        <f t="shared" si="35"/>
        <v>0</v>
      </c>
      <c r="C77" s="127">
        <f t="shared" si="35"/>
        <v>0</v>
      </c>
      <c r="D77" s="127">
        <f t="shared" si="35"/>
        <v>0</v>
      </c>
      <c r="E77" s="58">
        <v>4261079.6921323007</v>
      </c>
      <c r="F77" s="58">
        <f t="shared" si="36"/>
        <v>13191882.907300744</v>
      </c>
      <c r="G77" s="58"/>
      <c r="H77" s="58"/>
      <c r="I77" s="58"/>
      <c r="J77" s="62">
        <f t="shared" ref="J77:R77" si="59">$B$58*J20</f>
        <v>31393429.885385852</v>
      </c>
      <c r="K77" s="62">
        <f t="shared" si="59"/>
        <v>33410250.557418942</v>
      </c>
      <c r="L77" s="62">
        <f t="shared" si="59"/>
        <v>118861066.31548673</v>
      </c>
      <c r="M77" s="62">
        <f t="shared" si="59"/>
        <v>67184855.485211894</v>
      </c>
      <c r="N77" s="62">
        <f t="shared" si="59"/>
        <v>15206548.686122704</v>
      </c>
      <c r="O77" s="62">
        <f t="shared" si="59"/>
        <v>16705125.278709471</v>
      </c>
      <c r="P77" s="62">
        <f t="shared" si="59"/>
        <v>-139671784.81714118</v>
      </c>
      <c r="Q77" s="62">
        <f t="shared" si="59"/>
        <v>67341712.477411836</v>
      </c>
      <c r="R77" s="62">
        <f t="shared" si="59"/>
        <v>36995772.270165868</v>
      </c>
      <c r="S77" s="16">
        <f t="shared" si="43"/>
        <v>236392881.9861092</v>
      </c>
      <c r="T77" s="16">
        <f>'Collections and ACP'!H63</f>
        <v>448508030.18337369</v>
      </c>
      <c r="U77" s="16">
        <f t="shared" si="39"/>
        <v>684900912.16948295</v>
      </c>
      <c r="V77" s="16">
        <f t="shared" si="40"/>
        <v>264879938.73820516</v>
      </c>
      <c r="W77" s="24">
        <f t="shared" si="41"/>
        <v>420020973.43127775</v>
      </c>
      <c r="X77" s="117"/>
    </row>
    <row r="78" spans="1:24" x14ac:dyDescent="0.3">
      <c r="A78" s="46" t="s">
        <v>63</v>
      </c>
      <c r="B78" s="127">
        <f t="shared" si="35"/>
        <v>0</v>
      </c>
      <c r="C78" s="127">
        <f t="shared" si="35"/>
        <v>0</v>
      </c>
      <c r="D78" s="127">
        <f t="shared" si="35"/>
        <v>0</v>
      </c>
      <c r="E78" s="58">
        <v>4261079.6921323007</v>
      </c>
      <c r="F78" s="58">
        <f t="shared" si="36"/>
        <v>13231432.043342641</v>
      </c>
      <c r="G78" s="58"/>
      <c r="H78" s="58"/>
      <c r="I78" s="58"/>
      <c r="J78" s="62">
        <f t="shared" ref="J78:R78" si="60">$B$58*J21</f>
        <v>30137692.689970415</v>
      </c>
      <c r="K78" s="62">
        <f t="shared" si="60"/>
        <v>28327925.663438745</v>
      </c>
      <c r="L78" s="62">
        <f t="shared" si="60"/>
        <v>121160396.47754924</v>
      </c>
      <c r="M78" s="62">
        <f t="shared" si="60"/>
        <v>68418807.321578383</v>
      </c>
      <c r="N78" s="62">
        <f t="shared" si="60"/>
        <v>13126554.153681781</v>
      </c>
      <c r="O78" s="62">
        <f t="shared" si="60"/>
        <v>14163962.831719372</v>
      </c>
      <c r="P78" s="62">
        <f t="shared" si="60"/>
        <v>-166975179.39181566</v>
      </c>
      <c r="Q78" s="62">
        <f t="shared" si="60"/>
        <v>55309619.743197642</v>
      </c>
      <c r="R78" s="62">
        <f t="shared" si="60"/>
        <v>36259767.128091104</v>
      </c>
      <c r="S78" s="16">
        <f t="shared" si="43"/>
        <v>420020973.43127775</v>
      </c>
      <c r="T78" s="16">
        <f>'Collections and ACP'!H64</f>
        <v>450327525.50177699</v>
      </c>
      <c r="U78" s="16">
        <f t="shared" si="39"/>
        <v>870348498.93305469</v>
      </c>
      <c r="V78" s="16">
        <f t="shared" si="40"/>
        <v>217422058.35288599</v>
      </c>
      <c r="W78" s="24">
        <f t="shared" si="41"/>
        <v>652926440.58016872</v>
      </c>
      <c r="X78" s="117"/>
    </row>
    <row r="79" spans="1:24" x14ac:dyDescent="0.3">
      <c r="A79" s="46" t="s">
        <v>64</v>
      </c>
      <c r="B79" s="127">
        <f t="shared" si="35"/>
        <v>0</v>
      </c>
      <c r="C79" s="127">
        <f t="shared" si="35"/>
        <v>0</v>
      </c>
      <c r="D79" s="127">
        <f t="shared" si="35"/>
        <v>0</v>
      </c>
      <c r="E79" s="58">
        <v>4261079.6921323007</v>
      </c>
      <c r="F79" s="58">
        <f t="shared" si="36"/>
        <v>13231432.043342641</v>
      </c>
      <c r="G79" s="58"/>
      <c r="H79" s="58"/>
      <c r="I79" s="58"/>
      <c r="J79" s="62">
        <f t="shared" ref="J79:R79" si="61">$B$58*J22</f>
        <v>28932184.982371598</v>
      </c>
      <c r="K79" s="62">
        <f t="shared" si="61"/>
        <v>23448893.765217751</v>
      </c>
      <c r="L79" s="62">
        <f t="shared" si="61"/>
        <v>123332484.5690558</v>
      </c>
      <c r="M79" s="62">
        <f t="shared" si="61"/>
        <v>69583794.35421133</v>
      </c>
      <c r="N79" s="62">
        <f t="shared" si="61"/>
        <v>11129759.402538501</v>
      </c>
      <c r="O79" s="62">
        <f t="shared" si="61"/>
        <v>11724446.882608876</v>
      </c>
      <c r="P79" s="62">
        <f t="shared" si="61"/>
        <v>-196276744.04827276</v>
      </c>
      <c r="Q79" s="62">
        <f t="shared" si="61"/>
        <v>41872906.057790488</v>
      </c>
      <c r="R79" s="62">
        <f t="shared" si="61"/>
        <v>37202382.385474131</v>
      </c>
      <c r="S79" s="16">
        <f t="shared" si="43"/>
        <v>652926440.58016872</v>
      </c>
      <c r="T79" s="16">
        <f>'Collections and ACP'!H65</f>
        <v>450327525.50177699</v>
      </c>
      <c r="U79" s="16">
        <f t="shared" si="39"/>
        <v>1103253966.0819457</v>
      </c>
      <c r="V79" s="16">
        <f t="shared" si="40"/>
        <v>168442620.08647066</v>
      </c>
      <c r="W79" s="24">
        <f t="shared" si="41"/>
        <v>934811345.99547505</v>
      </c>
      <c r="X79" s="117"/>
    </row>
    <row r="80" spans="1:24" x14ac:dyDescent="0.3">
      <c r="A80" s="46" t="s">
        <v>65</v>
      </c>
      <c r="B80" s="127">
        <f t="shared" si="35"/>
        <v>0</v>
      </c>
      <c r="C80" s="127">
        <f t="shared" si="35"/>
        <v>0</v>
      </c>
      <c r="D80" s="127">
        <f t="shared" si="35"/>
        <v>0</v>
      </c>
      <c r="E80" s="58">
        <v>4261079.6921323007</v>
      </c>
      <c r="F80" s="58">
        <f t="shared" si="36"/>
        <v>13231432.043342641</v>
      </c>
      <c r="G80" s="58"/>
      <c r="H80" s="58"/>
      <c r="I80" s="58"/>
      <c r="J80" s="62">
        <f t="shared" ref="J80:R80" si="62">$B$58*J23</f>
        <v>27774897.583076734</v>
      </c>
      <c r="K80" s="62">
        <f t="shared" si="62"/>
        <v>22510938.014609043</v>
      </c>
      <c r="L80" s="62">
        <f t="shared" si="62"/>
        <v>125382596.61714906</v>
      </c>
      <c r="M80" s="62">
        <f t="shared" si="62"/>
        <v>70682673.208911479</v>
      </c>
      <c r="N80" s="62">
        <f t="shared" si="62"/>
        <v>9212836.4414409455</v>
      </c>
      <c r="O80" s="62">
        <f t="shared" si="62"/>
        <v>11255469.007304521</v>
      </c>
      <c r="P80" s="62">
        <f t="shared" si="62"/>
        <v>-227659501.72367144</v>
      </c>
      <c r="Q80" s="62">
        <f t="shared" si="62"/>
        <v>26966276.047778528</v>
      </c>
      <c r="R80" s="62">
        <f t="shared" si="62"/>
        <v>38081216.292800575</v>
      </c>
      <c r="S80" s="16">
        <f t="shared" si="43"/>
        <v>934811345.99547505</v>
      </c>
      <c r="T80" s="16">
        <f>'Collections and ACP'!H66</f>
        <v>450327525.50177699</v>
      </c>
      <c r="U80" s="16">
        <f t="shared" si="39"/>
        <v>1385138871.497252</v>
      </c>
      <c r="V80" s="16">
        <f t="shared" si="40"/>
        <v>121699913.22487439</v>
      </c>
      <c r="W80" s="24">
        <f t="shared" si="41"/>
        <v>1263438958.2723775</v>
      </c>
      <c r="X80" s="117"/>
    </row>
    <row r="81" spans="1:24" x14ac:dyDescent="0.3">
      <c r="A81" s="46" t="s">
        <v>66</v>
      </c>
      <c r="B81" s="127">
        <f t="shared" si="35"/>
        <v>0</v>
      </c>
      <c r="C81" s="127">
        <f t="shared" si="35"/>
        <v>0</v>
      </c>
      <c r="D81" s="127">
        <f t="shared" si="35"/>
        <v>0</v>
      </c>
      <c r="E81" s="58">
        <v>4261079.6921323007</v>
      </c>
      <c r="F81" s="58">
        <f t="shared" si="36"/>
        <v>13231432.043342641</v>
      </c>
      <c r="G81" s="58"/>
      <c r="H81" s="57"/>
      <c r="I81" s="57"/>
      <c r="J81" s="62">
        <f t="shared" ref="J81:R81" si="63">$B$58*J24</f>
        <v>0</v>
      </c>
      <c r="K81" s="62">
        <f t="shared" si="63"/>
        <v>18749279.838761512</v>
      </c>
      <c r="L81" s="62">
        <f t="shared" si="63"/>
        <v>127315787.12616432</v>
      </c>
      <c r="M81" s="62">
        <f t="shared" si="63"/>
        <v>70329259.842866942</v>
      </c>
      <c r="N81" s="62">
        <f t="shared" si="63"/>
        <v>8844322.9837833066</v>
      </c>
      <c r="O81" s="62">
        <f t="shared" si="63"/>
        <v>9374639.9193807561</v>
      </c>
      <c r="P81" s="62">
        <f t="shared" si="63"/>
        <v>-261208618.15349671</v>
      </c>
      <c r="Q81" s="62">
        <f t="shared" si="63"/>
        <v>10522746.071064668</v>
      </c>
      <c r="R81" s="62">
        <f t="shared" si="63"/>
        <v>38892088.51070033</v>
      </c>
      <c r="S81" s="16">
        <f t="shared" si="43"/>
        <v>1263438958.2723775</v>
      </c>
      <c r="T81" s="16">
        <f>'Collections and ACP'!H67</f>
        <v>450327525.50177699</v>
      </c>
      <c r="U81" s="16">
        <f t="shared" si="39"/>
        <v>1713766483.7741544</v>
      </c>
      <c r="V81" s="16">
        <f t="shared" si="40"/>
        <v>40312017.874700069</v>
      </c>
      <c r="W81" s="24">
        <f t="shared" si="41"/>
        <v>1673454465.8994544</v>
      </c>
      <c r="X81" s="117"/>
    </row>
    <row r="82" spans="1:24" x14ac:dyDescent="0.3">
      <c r="A82" s="46" t="s">
        <v>67</v>
      </c>
      <c r="B82" s="127">
        <f t="shared" si="35"/>
        <v>0</v>
      </c>
      <c r="C82" s="127">
        <f t="shared" si="35"/>
        <v>0</v>
      </c>
      <c r="D82" s="127">
        <f t="shared" si="35"/>
        <v>0</v>
      </c>
      <c r="E82" s="58">
        <v>4261079.6921323007</v>
      </c>
      <c r="F82" s="58">
        <f t="shared" si="36"/>
        <v>13231432.043342641</v>
      </c>
      <c r="G82" s="58"/>
      <c r="H82" s="57"/>
      <c r="I82" s="57"/>
      <c r="J82" s="62">
        <f t="shared" ref="J82:R82" si="64">$B$58*J25</f>
        <v>0</v>
      </c>
      <c r="K82" s="62">
        <f t="shared" si="64"/>
        <v>15297044.693018053</v>
      </c>
      <c r="L82" s="62">
        <f t="shared" si="64"/>
        <v>126679208.19053359</v>
      </c>
      <c r="M82" s="62">
        <f t="shared" si="64"/>
        <v>58091270.358400233</v>
      </c>
      <c r="N82" s="62">
        <f t="shared" si="64"/>
        <v>7366405.0116315568</v>
      </c>
      <c r="O82" s="62">
        <f t="shared" si="64"/>
        <v>7648522.3465090264</v>
      </c>
      <c r="P82" s="62">
        <f t="shared" si="64"/>
        <v>-297011454.374318</v>
      </c>
      <c r="Q82" s="62">
        <f t="shared" si="64"/>
        <v>-7526397.2242425419</v>
      </c>
      <c r="R82" s="62">
        <f t="shared" si="64"/>
        <v>39630710.690656655</v>
      </c>
      <c r="S82" s="16">
        <f t="shared" si="43"/>
        <v>1673454465.8994544</v>
      </c>
      <c r="T82" s="16">
        <f>'Collections and ACP'!H68</f>
        <v>450327525.50177699</v>
      </c>
      <c r="U82" s="16">
        <f t="shared" si="39"/>
        <v>2123781991.4012313</v>
      </c>
      <c r="V82" s="16">
        <f t="shared" si="40"/>
        <v>-32332178.572336473</v>
      </c>
      <c r="W82" s="24">
        <f t="shared" si="41"/>
        <v>2156114169.973568</v>
      </c>
      <c r="X82" s="117"/>
    </row>
    <row r="86" spans="1:24" x14ac:dyDescent="0.3">
      <c r="A86" s="35" t="s">
        <v>130</v>
      </c>
      <c r="B86" s="126">
        <v>2.3700000000000001E-3</v>
      </c>
    </row>
    <row r="87" spans="1:24" ht="57.6" x14ac:dyDescent="0.3">
      <c r="A87" s="53" t="s">
        <v>43</v>
      </c>
      <c r="B87" s="53" t="s">
        <v>125</v>
      </c>
      <c r="C87" s="53" t="s">
        <v>116</v>
      </c>
      <c r="D87" s="53" t="s">
        <v>117</v>
      </c>
      <c r="E87" s="53" t="s">
        <v>118</v>
      </c>
      <c r="F87" s="53" t="s">
        <v>275</v>
      </c>
      <c r="G87" s="53" t="s">
        <v>44</v>
      </c>
      <c r="H87" s="53" t="s">
        <v>119</v>
      </c>
      <c r="I87" s="53" t="s">
        <v>126</v>
      </c>
      <c r="J87" s="53" t="s">
        <v>6</v>
      </c>
      <c r="K87" s="53" t="s">
        <v>12</v>
      </c>
      <c r="L87" s="53" t="s">
        <v>21</v>
      </c>
      <c r="M87" s="53" t="s">
        <v>25</v>
      </c>
      <c r="N87" s="53" t="s">
        <v>29</v>
      </c>
      <c r="O87" s="53" t="s">
        <v>33</v>
      </c>
      <c r="P87" s="53" t="s">
        <v>40</v>
      </c>
      <c r="Q87" s="53" t="s">
        <v>41</v>
      </c>
      <c r="R87" s="53" t="s">
        <v>42</v>
      </c>
      <c r="S87" s="54" t="s">
        <v>131</v>
      </c>
      <c r="T87" s="54" t="s">
        <v>128</v>
      </c>
      <c r="U87" s="54" t="s">
        <v>122</v>
      </c>
      <c r="V87" s="53" t="s">
        <v>123</v>
      </c>
      <c r="W87" s="53" t="s">
        <v>124</v>
      </c>
    </row>
    <row r="88" spans="1:24" x14ac:dyDescent="0.3">
      <c r="A88" s="46" t="s">
        <v>45</v>
      </c>
      <c r="B88" s="58">
        <f t="shared" ref="B88:D110" si="65">B3*$B$86</f>
        <v>327433.32247109973</v>
      </c>
      <c r="C88" s="58">
        <f t="shared" si="65"/>
        <v>146035.89718384502</v>
      </c>
      <c r="D88" s="58">
        <f t="shared" si="65"/>
        <v>79384.805555205021</v>
      </c>
      <c r="E88" s="58"/>
      <c r="F88" s="58">
        <f t="shared" ref="F88:F98" si="66">$B$86*F3</f>
        <v>16014.279651907947</v>
      </c>
      <c r="G88" s="58"/>
      <c r="H88" s="58">
        <f t="shared" ref="H88:H100" si="67">$B$86*H3</f>
        <v>26690.466086513246</v>
      </c>
      <c r="I88" s="58">
        <v>9408.9599999999991</v>
      </c>
      <c r="J88" s="62">
        <f t="shared" ref="J88:R88" si="68">$B$86*J3</f>
        <v>0</v>
      </c>
      <c r="K88" s="62">
        <f t="shared" si="68"/>
        <v>0</v>
      </c>
      <c r="L88" s="62">
        <f t="shared" si="68"/>
        <v>0</v>
      </c>
      <c r="M88" s="62">
        <f t="shared" si="68"/>
        <v>0</v>
      </c>
      <c r="N88" s="62">
        <f t="shared" si="68"/>
        <v>0</v>
      </c>
      <c r="O88" s="62">
        <f t="shared" si="68"/>
        <v>0</v>
      </c>
      <c r="P88" s="62">
        <f t="shared" si="68"/>
        <v>0</v>
      </c>
      <c r="Q88" s="62">
        <f t="shared" si="68"/>
        <v>0</v>
      </c>
      <c r="R88" s="62">
        <f t="shared" si="68"/>
        <v>0</v>
      </c>
      <c r="S88" s="16">
        <f>'Collections and ACP'!D158+'Collections and ACP'!D155</f>
        <v>487931.6574387094</v>
      </c>
      <c r="T88" s="16">
        <f>'Collections and ACP'!H79</f>
        <v>585306.97492689674</v>
      </c>
      <c r="U88" s="16">
        <f t="shared" ref="U88:U110" si="69">S88+T88</f>
        <v>1073238.6323656063</v>
      </c>
      <c r="V88" s="16">
        <f t="shared" ref="V88:V110" si="70">SUM(B88:R88)</f>
        <v>604967.73094857088</v>
      </c>
      <c r="W88" s="24">
        <f t="shared" ref="W88:W110" si="71">U88-V88</f>
        <v>468270.90141703538</v>
      </c>
    </row>
    <row r="89" spans="1:24" x14ac:dyDescent="0.3">
      <c r="A89" s="46" t="s">
        <v>46</v>
      </c>
      <c r="B89" s="58">
        <f t="shared" si="65"/>
        <v>90183.20369160008</v>
      </c>
      <c r="C89" s="58">
        <f t="shared" si="65"/>
        <v>156722.43750712485</v>
      </c>
      <c r="D89" s="58">
        <f t="shared" si="65"/>
        <v>277918.18118305516</v>
      </c>
      <c r="E89" s="58"/>
      <c r="F89" s="58">
        <f t="shared" si="66"/>
        <v>33042.860168997518</v>
      </c>
      <c r="G89" s="58"/>
      <c r="H89" s="58">
        <f t="shared" si="67"/>
        <v>118500</v>
      </c>
      <c r="I89" s="58">
        <v>55160.941677111034</v>
      </c>
      <c r="J89" s="62">
        <f t="shared" ref="J89:R89" si="72">$B$86*J4</f>
        <v>0</v>
      </c>
      <c r="K89" s="62">
        <f t="shared" si="72"/>
        <v>0</v>
      </c>
      <c r="L89" s="62">
        <f t="shared" si="72"/>
        <v>0</v>
      </c>
      <c r="M89" s="62">
        <f t="shared" si="72"/>
        <v>0</v>
      </c>
      <c r="N89" s="62">
        <f t="shared" si="72"/>
        <v>0</v>
      </c>
      <c r="O89" s="62">
        <f t="shared" si="72"/>
        <v>0</v>
      </c>
      <c r="P89" s="62">
        <f t="shared" si="72"/>
        <v>0</v>
      </c>
      <c r="Q89" s="62">
        <f t="shared" si="72"/>
        <v>0</v>
      </c>
      <c r="R89" s="62">
        <f t="shared" si="72"/>
        <v>0</v>
      </c>
      <c r="S89" s="16">
        <f t="shared" ref="S89:S110" si="73">W88</f>
        <v>468270.90141703538</v>
      </c>
      <c r="T89" s="16">
        <f>'Collections and ACP'!H80</f>
        <v>1153433.5221666666</v>
      </c>
      <c r="U89" s="16">
        <f t="shared" si="69"/>
        <v>1621704.423583702</v>
      </c>
      <c r="V89" s="16">
        <f t="shared" si="70"/>
        <v>731527.62422788865</v>
      </c>
      <c r="W89" s="24">
        <f t="shared" si="71"/>
        <v>890176.7993558133</v>
      </c>
    </row>
    <row r="90" spans="1:24" x14ac:dyDescent="0.3">
      <c r="A90" s="46" t="s">
        <v>47</v>
      </c>
      <c r="B90" s="58">
        <f t="shared" si="65"/>
        <v>11530.742632499994</v>
      </c>
      <c r="C90" s="58">
        <f t="shared" si="65"/>
        <v>154547.70951673473</v>
      </c>
      <c r="D90" s="58">
        <f t="shared" si="65"/>
        <v>261062.53832171997</v>
      </c>
      <c r="E90" s="58"/>
      <c r="F90" s="58">
        <f t="shared" si="66"/>
        <v>41768.618892188184</v>
      </c>
      <c r="G90" s="58"/>
      <c r="H90" s="58">
        <f t="shared" si="67"/>
        <v>118500</v>
      </c>
      <c r="I90" s="58">
        <v>72838.411677111028</v>
      </c>
      <c r="J90" s="62">
        <f t="shared" ref="J90:R90" si="74">$B$86*J5</f>
        <v>795688.52568627114</v>
      </c>
      <c r="K90" s="62">
        <f t="shared" si="74"/>
        <v>87108.792891886827</v>
      </c>
      <c r="L90" s="62">
        <f t="shared" si="74"/>
        <v>0</v>
      </c>
      <c r="M90" s="62">
        <f t="shared" si="74"/>
        <v>42985.954978251546</v>
      </c>
      <c r="N90" s="62">
        <f t="shared" si="74"/>
        <v>0</v>
      </c>
      <c r="O90" s="62">
        <f t="shared" si="74"/>
        <v>46886.373198935573</v>
      </c>
      <c r="P90" s="62">
        <f t="shared" si="74"/>
        <v>0</v>
      </c>
      <c r="Q90" s="62">
        <f t="shared" si="74"/>
        <v>0</v>
      </c>
      <c r="R90" s="62">
        <f t="shared" si="74"/>
        <v>0</v>
      </c>
      <c r="S90" s="16">
        <f t="shared" si="73"/>
        <v>890176.7993558133</v>
      </c>
      <c r="T90" s="16">
        <f>'Collections and ACP'!H81</f>
        <v>1392649.125</v>
      </c>
      <c r="U90" s="16">
        <f t="shared" si="69"/>
        <v>2282825.9243558133</v>
      </c>
      <c r="V90" s="16">
        <f t="shared" si="70"/>
        <v>1632917.667795599</v>
      </c>
      <c r="W90" s="24">
        <f t="shared" si="71"/>
        <v>649908.25656021433</v>
      </c>
      <c r="X90" s="117"/>
    </row>
    <row r="91" spans="1:24" x14ac:dyDescent="0.3">
      <c r="A91" s="46" t="s">
        <v>48</v>
      </c>
      <c r="B91" s="58">
        <f t="shared" si="65"/>
        <v>0</v>
      </c>
      <c r="C91" s="58">
        <f t="shared" si="65"/>
        <v>139104.51557672987</v>
      </c>
      <c r="D91" s="58">
        <f t="shared" si="65"/>
        <v>250892.68032858003</v>
      </c>
      <c r="E91" s="58"/>
      <c r="F91" s="58">
        <f t="shared" si="66"/>
        <v>41877.078880867128</v>
      </c>
      <c r="G91" s="58"/>
      <c r="H91" s="58">
        <f t="shared" si="67"/>
        <v>118500</v>
      </c>
      <c r="I91" s="58">
        <v>72836.679055108369</v>
      </c>
      <c r="J91" s="62">
        <f t="shared" ref="J91:R91" si="75">$B$86*J6</f>
        <v>363757.05860884371</v>
      </c>
      <c r="K91" s="62">
        <f t="shared" si="75"/>
        <v>121303.05815027186</v>
      </c>
      <c r="L91" s="62">
        <f t="shared" si="75"/>
        <v>84094.390567020251</v>
      </c>
      <c r="M91" s="62">
        <f t="shared" si="75"/>
        <v>61719.175063667964</v>
      </c>
      <c r="N91" s="62">
        <f t="shared" si="75"/>
        <v>22447.677900641043</v>
      </c>
      <c r="O91" s="62">
        <f t="shared" si="75"/>
        <v>63798.396008517404</v>
      </c>
      <c r="P91" s="62">
        <f t="shared" si="75"/>
        <v>0</v>
      </c>
      <c r="Q91" s="62">
        <f t="shared" si="75"/>
        <v>0</v>
      </c>
      <c r="R91" s="62">
        <f t="shared" si="75"/>
        <v>0</v>
      </c>
      <c r="S91" s="16">
        <f t="shared" si="73"/>
        <v>649908.25656021433</v>
      </c>
      <c r="T91" s="16">
        <f>'Collections and ACP'!H82</f>
        <v>1393741.125</v>
      </c>
      <c r="U91" s="16">
        <f t="shared" si="69"/>
        <v>2043649.3815602143</v>
      </c>
      <c r="V91" s="16">
        <f t="shared" si="70"/>
        <v>1340330.7101402476</v>
      </c>
      <c r="W91" s="24">
        <f t="shared" si="71"/>
        <v>703318.67141996673</v>
      </c>
      <c r="X91" s="117"/>
    </row>
    <row r="92" spans="1:24" x14ac:dyDescent="0.3">
      <c r="A92" s="46" t="s">
        <v>49</v>
      </c>
      <c r="B92" s="58">
        <f t="shared" si="65"/>
        <v>0</v>
      </c>
      <c r="C92" s="58">
        <f t="shared" si="65"/>
        <v>86676.298877774898</v>
      </c>
      <c r="D92" s="58">
        <f t="shared" si="65"/>
        <v>241955.05208293497</v>
      </c>
      <c r="E92" s="58"/>
      <c r="F92" s="58">
        <f t="shared" si="66"/>
        <v>41743.888746017234</v>
      </c>
      <c r="G92" s="58"/>
      <c r="H92" s="58">
        <f t="shared" si="67"/>
        <v>118500</v>
      </c>
      <c r="I92" s="58">
        <v>72836.679055108369</v>
      </c>
      <c r="J92" s="62">
        <f t="shared" ref="J92:R92" si="76">$B$86*J7</f>
        <v>349206.77626448992</v>
      </c>
      <c r="K92" s="62">
        <f t="shared" si="76"/>
        <v>156606.81938359613</v>
      </c>
      <c r="L92" s="62">
        <f t="shared" si="76"/>
        <v>117202.60087972521</v>
      </c>
      <c r="M92" s="62">
        <f t="shared" si="76"/>
        <v>79600.803054244971</v>
      </c>
      <c r="N92" s="62">
        <f t="shared" si="76"/>
        <v>36536.513490144185</v>
      </c>
      <c r="O92" s="62">
        <f t="shared" si="76"/>
        <v>81450.27662517954</v>
      </c>
      <c r="P92" s="62">
        <f t="shared" si="76"/>
        <v>0</v>
      </c>
      <c r="Q92" s="62">
        <f t="shared" si="76"/>
        <v>0</v>
      </c>
      <c r="R92" s="62">
        <f t="shared" si="76"/>
        <v>0</v>
      </c>
      <c r="S92" s="16">
        <f t="shared" si="73"/>
        <v>703318.67141996673</v>
      </c>
      <c r="T92" s="16">
        <f>'Collections and ACP'!H83</f>
        <v>1392507.375</v>
      </c>
      <c r="U92" s="16">
        <f t="shared" si="69"/>
        <v>2095826.0464199667</v>
      </c>
      <c r="V92" s="16">
        <f t="shared" si="70"/>
        <v>1382315.7084592152</v>
      </c>
      <c r="W92" s="24">
        <f t="shared" si="71"/>
        <v>713510.33796075149</v>
      </c>
      <c r="X92" s="117"/>
    </row>
    <row r="93" spans="1:24" x14ac:dyDescent="0.3">
      <c r="A93" s="46" t="s">
        <v>50</v>
      </c>
      <c r="B93" s="58">
        <f t="shared" si="65"/>
        <v>0</v>
      </c>
      <c r="C93" s="58">
        <f t="shared" si="65"/>
        <v>24792.44374891503</v>
      </c>
      <c r="D93" s="58">
        <f t="shared" si="65"/>
        <v>131789.53127512502</v>
      </c>
      <c r="E93" s="58"/>
      <c r="F93" s="58">
        <f t="shared" si="66"/>
        <v>41601.453039743115</v>
      </c>
      <c r="G93" s="58"/>
      <c r="H93" s="58">
        <f t="shared" si="67"/>
        <v>118500</v>
      </c>
      <c r="I93" s="58">
        <v>72836.679055108369</v>
      </c>
      <c r="J93" s="62">
        <f t="shared" ref="J93:R93" si="77">$B$86*J8</f>
        <v>335238.50521391036</v>
      </c>
      <c r="K93" s="62">
        <f t="shared" si="77"/>
        <v>190498.43016758744</v>
      </c>
      <c r="L93" s="62">
        <f t="shared" si="77"/>
        <v>148804.12285024504</v>
      </c>
      <c r="M93" s="62">
        <f t="shared" si="77"/>
        <v>96665.413950233284</v>
      </c>
      <c r="N93" s="62">
        <f t="shared" si="77"/>
        <v>50407.009099312207</v>
      </c>
      <c r="O93" s="62">
        <f t="shared" si="77"/>
        <v>98396.082017175184</v>
      </c>
      <c r="P93" s="62">
        <f t="shared" si="77"/>
        <v>900.95436239999765</v>
      </c>
      <c r="Q93" s="62">
        <f t="shared" si="77"/>
        <v>47771.68018588522</v>
      </c>
      <c r="R93" s="62">
        <f t="shared" si="77"/>
        <v>5640.5655459827994</v>
      </c>
      <c r="S93" s="16">
        <f t="shared" si="73"/>
        <v>713510.33796075149</v>
      </c>
      <c r="T93" s="16">
        <f>'Collections and ACP'!H84</f>
        <v>1392034.875</v>
      </c>
      <c r="U93" s="16">
        <f t="shared" si="69"/>
        <v>2105545.2129607517</v>
      </c>
      <c r="V93" s="16">
        <f t="shared" si="70"/>
        <v>1363842.8705116231</v>
      </c>
      <c r="W93" s="24">
        <f t="shared" si="71"/>
        <v>741702.34244912863</v>
      </c>
      <c r="X93" s="117"/>
    </row>
    <row r="94" spans="1:24" x14ac:dyDescent="0.3">
      <c r="A94" s="46" t="s">
        <v>51</v>
      </c>
      <c r="B94" s="58">
        <f t="shared" si="65"/>
        <v>0</v>
      </c>
      <c r="C94" s="58">
        <f t="shared" si="65"/>
        <v>2431.4274149849998</v>
      </c>
      <c r="D94" s="58">
        <f t="shared" si="65"/>
        <v>10753.919641320001</v>
      </c>
      <c r="E94" s="58"/>
      <c r="F94" s="58">
        <f t="shared" si="66"/>
        <v>41647.300123964407</v>
      </c>
      <c r="G94" s="58"/>
      <c r="H94" s="58">
        <f t="shared" si="67"/>
        <v>118500</v>
      </c>
      <c r="I94" s="58">
        <v>72836.679055108369</v>
      </c>
      <c r="J94" s="62">
        <f t="shared" ref="J94:R94" si="78">$B$86*J9</f>
        <v>321828.96500535391</v>
      </c>
      <c r="K94" s="62">
        <f t="shared" si="78"/>
        <v>223034.37652021908</v>
      </c>
      <c r="L94" s="62">
        <f t="shared" si="78"/>
        <v>178960.13581191553</v>
      </c>
      <c r="M94" s="62">
        <f t="shared" si="78"/>
        <v>112946.19719529129</v>
      </c>
      <c r="N94" s="62">
        <f t="shared" si="78"/>
        <v>63722.6848841135</v>
      </c>
      <c r="O94" s="62">
        <f t="shared" si="78"/>
        <v>114664.055193491</v>
      </c>
      <c r="P94" s="62">
        <f t="shared" si="78"/>
        <v>6770.9225604479716</v>
      </c>
      <c r="Q94" s="62">
        <f t="shared" si="78"/>
        <v>70159.418501176522</v>
      </c>
      <c r="R94" s="62">
        <f t="shared" si="78"/>
        <v>13487.345426283753</v>
      </c>
      <c r="S94" s="16">
        <f t="shared" si="73"/>
        <v>741702.34244912863</v>
      </c>
      <c r="T94" s="16">
        <f>'Collections and ACP'!H85</f>
        <v>1392250.125</v>
      </c>
      <c r="U94" s="16">
        <f t="shared" si="69"/>
        <v>2133952.4674491286</v>
      </c>
      <c r="V94" s="16">
        <f t="shared" si="70"/>
        <v>1351743.4273336707</v>
      </c>
      <c r="W94" s="24">
        <f t="shared" si="71"/>
        <v>782209.04011545796</v>
      </c>
      <c r="X94" s="117"/>
    </row>
    <row r="95" spans="1:24" x14ac:dyDescent="0.3">
      <c r="A95" s="46" t="s">
        <v>52</v>
      </c>
      <c r="B95" s="58">
        <f t="shared" si="65"/>
        <v>0</v>
      </c>
      <c r="C95" s="58">
        <f t="shared" si="65"/>
        <v>0</v>
      </c>
      <c r="D95" s="58">
        <f t="shared" si="65"/>
        <v>0</v>
      </c>
      <c r="E95" s="58"/>
      <c r="F95" s="58">
        <f t="shared" si="66"/>
        <v>41772.252913350829</v>
      </c>
      <c r="G95" s="58"/>
      <c r="H95" s="58">
        <f t="shared" si="67"/>
        <v>118500</v>
      </c>
      <c r="I95" s="58">
        <v>72836.679055108369</v>
      </c>
      <c r="J95" s="62">
        <f t="shared" ref="J95:R95" si="79">$B$86*J10</f>
        <v>308955.80640513974</v>
      </c>
      <c r="K95" s="62">
        <f t="shared" si="79"/>
        <v>254268.8850187455</v>
      </c>
      <c r="L95" s="62">
        <f t="shared" si="79"/>
        <v>207729.36736574079</v>
      </c>
      <c r="M95" s="62">
        <f t="shared" si="79"/>
        <v>128475.01211153163</v>
      </c>
      <c r="N95" s="62">
        <f t="shared" si="79"/>
        <v>76505.733637522731</v>
      </c>
      <c r="O95" s="62">
        <f t="shared" si="79"/>
        <v>130281.30944275421</v>
      </c>
      <c r="P95" s="62">
        <f t="shared" si="79"/>
        <v>396.10465496486012</v>
      </c>
      <c r="Q95" s="62">
        <f t="shared" si="79"/>
        <v>88749.810993993407</v>
      </c>
      <c r="R95" s="62">
        <f t="shared" si="79"/>
        <v>19663.495038479683</v>
      </c>
      <c r="S95" s="16">
        <f t="shared" si="73"/>
        <v>782209.04011545796</v>
      </c>
      <c r="T95" s="16">
        <f>'Collections and ACP'!H86</f>
        <v>1393344.75</v>
      </c>
      <c r="U95" s="16">
        <f t="shared" si="69"/>
        <v>2175553.790115458</v>
      </c>
      <c r="V95" s="16">
        <f t="shared" si="70"/>
        <v>1448134.4566373318</v>
      </c>
      <c r="W95" s="24">
        <f t="shared" si="71"/>
        <v>727419.33347812621</v>
      </c>
      <c r="X95" s="117"/>
    </row>
    <row r="96" spans="1:24" x14ac:dyDescent="0.3">
      <c r="A96" s="46" t="s">
        <v>53</v>
      </c>
      <c r="B96" s="58">
        <f t="shared" si="65"/>
        <v>0</v>
      </c>
      <c r="C96" s="58">
        <f t="shared" si="65"/>
        <v>0</v>
      </c>
      <c r="D96" s="58">
        <f t="shared" si="65"/>
        <v>0</v>
      </c>
      <c r="E96" s="58"/>
      <c r="F96" s="58">
        <f t="shared" si="66"/>
        <v>41976.764160236184</v>
      </c>
      <c r="G96" s="58"/>
      <c r="H96" s="58">
        <f t="shared" si="67"/>
        <v>118500</v>
      </c>
      <c r="I96" s="58">
        <v>72836.679055108369</v>
      </c>
      <c r="J96" s="62">
        <f t="shared" ref="J96:R96" si="80">$B$86*J11</f>
        <v>296597.57414893416</v>
      </c>
      <c r="K96" s="62">
        <f t="shared" si="80"/>
        <v>284254.01317733078</v>
      </c>
      <c r="L96" s="62">
        <f t="shared" si="80"/>
        <v>235168.19147248156</v>
      </c>
      <c r="M96" s="62">
        <f t="shared" si="80"/>
        <v>143282.44111710211</v>
      </c>
      <c r="N96" s="62">
        <f t="shared" si="80"/>
        <v>88777.460440795592</v>
      </c>
      <c r="O96" s="62">
        <f t="shared" si="80"/>
        <v>145273.87352204687</v>
      </c>
      <c r="P96" s="62">
        <f t="shared" si="80"/>
        <v>-9274.95450768706</v>
      </c>
      <c r="Q96" s="62">
        <f t="shared" si="80"/>
        <v>131643.59883877149</v>
      </c>
      <c r="R96" s="62">
        <f t="shared" si="80"/>
        <v>31950.038325170364</v>
      </c>
      <c r="S96" s="16">
        <f t="shared" si="73"/>
        <v>727419.33347812621</v>
      </c>
      <c r="T96" s="16">
        <f>'Collections and ACP'!H87</f>
        <v>1394150.625</v>
      </c>
      <c r="U96" s="16">
        <f t="shared" si="69"/>
        <v>2121569.9584781262</v>
      </c>
      <c r="V96" s="16">
        <f t="shared" si="70"/>
        <v>1580985.6797502902</v>
      </c>
      <c r="W96" s="24">
        <f t="shared" si="71"/>
        <v>540584.27872783598</v>
      </c>
      <c r="X96" s="117"/>
    </row>
    <row r="97" spans="1:24" x14ac:dyDescent="0.3">
      <c r="A97" s="46" t="s">
        <v>54</v>
      </c>
      <c r="B97" s="58">
        <f t="shared" si="65"/>
        <v>0</v>
      </c>
      <c r="C97" s="58">
        <f t="shared" si="65"/>
        <v>0</v>
      </c>
      <c r="D97" s="58">
        <f t="shared" si="65"/>
        <v>0</v>
      </c>
      <c r="E97" s="58"/>
      <c r="F97" s="58">
        <f t="shared" si="66"/>
        <v>42028.817176130615</v>
      </c>
      <c r="G97" s="58"/>
      <c r="H97" s="58">
        <f t="shared" si="67"/>
        <v>118500</v>
      </c>
      <c r="I97" s="58">
        <v>72836.679055108369</v>
      </c>
      <c r="J97" s="62">
        <f t="shared" ref="J97:R97" si="81">$B$86*J12</f>
        <v>284733.6711829768</v>
      </c>
      <c r="K97" s="62">
        <f t="shared" si="81"/>
        <v>230770.32070056844</v>
      </c>
      <c r="L97" s="62">
        <f t="shared" si="81"/>
        <v>261330.7226209458</v>
      </c>
      <c r="M97" s="62">
        <f t="shared" si="81"/>
        <v>157397.8408149996</v>
      </c>
      <c r="N97" s="62">
        <f t="shared" si="81"/>
        <v>100558.31817193754</v>
      </c>
      <c r="O97" s="62">
        <f t="shared" si="81"/>
        <v>115385.16035028422</v>
      </c>
      <c r="P97" s="62">
        <f t="shared" si="81"/>
        <v>-25983.589267707048</v>
      </c>
      <c r="Q97" s="62">
        <f t="shared" si="81"/>
        <v>169975.20892433735</v>
      </c>
      <c r="R97" s="62">
        <f t="shared" si="81"/>
        <v>44133.401604967505</v>
      </c>
      <c r="S97" s="16">
        <f t="shared" si="73"/>
        <v>540584.27872783598</v>
      </c>
      <c r="T97" s="16">
        <f>'Collections and ACP'!H88</f>
        <v>1395058.875</v>
      </c>
      <c r="U97" s="16">
        <f t="shared" si="69"/>
        <v>1935643.153727836</v>
      </c>
      <c r="V97" s="16">
        <f t="shared" si="70"/>
        <v>1571666.5513345492</v>
      </c>
      <c r="W97" s="24">
        <f t="shared" si="71"/>
        <v>363976.60239328677</v>
      </c>
      <c r="X97" s="117"/>
    </row>
    <row r="98" spans="1:24" x14ac:dyDescent="0.3">
      <c r="A98" s="46" t="s">
        <v>55</v>
      </c>
      <c r="B98" s="58">
        <f t="shared" si="65"/>
        <v>0</v>
      </c>
      <c r="C98" s="58">
        <f t="shared" si="65"/>
        <v>0</v>
      </c>
      <c r="D98" s="58">
        <f t="shared" si="65"/>
        <v>0</v>
      </c>
      <c r="E98" s="58"/>
      <c r="F98" s="58">
        <f t="shared" si="66"/>
        <v>42160.991507654231</v>
      </c>
      <c r="G98" s="58"/>
      <c r="H98" s="58">
        <f t="shared" si="67"/>
        <v>118500</v>
      </c>
      <c r="I98" s="58">
        <v>72836.679055108369</v>
      </c>
      <c r="J98" s="62">
        <f t="shared" ref="J98:R98" si="82">$B$86*J13</f>
        <v>273344.3243356577</v>
      </c>
      <c r="K98" s="62">
        <f t="shared" si="82"/>
        <v>221539.50787254568</v>
      </c>
      <c r="L98" s="62">
        <f t="shared" si="82"/>
        <v>286268.90622943471</v>
      </c>
      <c r="M98" s="62">
        <f t="shared" si="82"/>
        <v>170849.39103826828</v>
      </c>
      <c r="N98" s="62">
        <f t="shared" si="82"/>
        <v>90667.356909895083</v>
      </c>
      <c r="O98" s="62">
        <f t="shared" si="82"/>
        <v>110769.75393627284</v>
      </c>
      <c r="P98" s="62">
        <f t="shared" si="82"/>
        <v>-50123.937026324769</v>
      </c>
      <c r="Q98" s="62">
        <f t="shared" si="82"/>
        <v>203432.24843713152</v>
      </c>
      <c r="R98" s="62">
        <f t="shared" si="82"/>
        <v>56194.077180233697</v>
      </c>
      <c r="S98" s="16">
        <f t="shared" si="73"/>
        <v>363976.60239328677</v>
      </c>
      <c r="T98" s="16">
        <f>'Collections and ACP'!H89</f>
        <v>1396066.875</v>
      </c>
      <c r="U98" s="16">
        <f t="shared" si="69"/>
        <v>1760043.4773932868</v>
      </c>
      <c r="V98" s="16">
        <f t="shared" si="70"/>
        <v>1596439.2994758775</v>
      </c>
      <c r="W98" s="24">
        <f t="shared" si="71"/>
        <v>163604.17791740922</v>
      </c>
      <c r="X98" s="117"/>
    </row>
    <row r="99" spans="1:24" x14ac:dyDescent="0.3">
      <c r="A99" s="46" t="s">
        <v>56</v>
      </c>
      <c r="B99" s="58">
        <f t="shared" si="65"/>
        <v>0</v>
      </c>
      <c r="C99" s="58">
        <f t="shared" si="65"/>
        <v>0</v>
      </c>
      <c r="D99" s="58">
        <f t="shared" si="65"/>
        <v>0</v>
      </c>
      <c r="E99" s="58"/>
      <c r="F99" s="58"/>
      <c r="G99" s="58"/>
      <c r="H99" s="58">
        <f t="shared" si="67"/>
        <v>118500</v>
      </c>
      <c r="I99" s="58">
        <v>72836.679055108369</v>
      </c>
      <c r="J99" s="62">
        <f t="shared" ref="J99:R99" si="83">$B$86*J14</f>
        <v>262410.55136223137</v>
      </c>
      <c r="K99" s="62">
        <f t="shared" si="83"/>
        <v>212677.92755764388</v>
      </c>
      <c r="L99" s="62">
        <f t="shared" si="83"/>
        <v>310032.60543101747</v>
      </c>
      <c r="M99" s="62">
        <f t="shared" si="83"/>
        <v>183664.14193332687</v>
      </c>
      <c r="N99" s="62">
        <f t="shared" si="83"/>
        <v>87040.662633499276</v>
      </c>
      <c r="O99" s="62">
        <f t="shared" si="83"/>
        <v>106338.96377882194</v>
      </c>
      <c r="P99" s="62">
        <f t="shared" si="83"/>
        <v>-82100.606867580223</v>
      </c>
      <c r="Q99" s="62">
        <f t="shared" si="83"/>
        <v>231694.01579424937</v>
      </c>
      <c r="R99" s="62">
        <f t="shared" si="83"/>
        <v>68112.038327985094</v>
      </c>
      <c r="S99" s="16">
        <f t="shared" si="73"/>
        <v>163604.17791740922</v>
      </c>
      <c r="T99" s="16">
        <f>'Collections and ACP'!H90</f>
        <v>1397090.625</v>
      </c>
      <c r="U99" s="16">
        <f t="shared" si="69"/>
        <v>1560694.8029174092</v>
      </c>
      <c r="V99" s="16">
        <f t="shared" si="70"/>
        <v>1571206.9790063035</v>
      </c>
      <c r="W99" s="24">
        <f t="shared" si="71"/>
        <v>-10512.176088894252</v>
      </c>
      <c r="X99" s="117"/>
    </row>
    <row r="100" spans="1:24" x14ac:dyDescent="0.3">
      <c r="A100" s="46" t="s">
        <v>57</v>
      </c>
      <c r="B100" s="58">
        <f t="shared" si="65"/>
        <v>0</v>
      </c>
      <c r="C100" s="58">
        <f t="shared" si="65"/>
        <v>0</v>
      </c>
      <c r="D100" s="58">
        <f t="shared" si="65"/>
        <v>0</v>
      </c>
      <c r="E100" s="58"/>
      <c r="F100" s="58"/>
      <c r="G100" s="58"/>
      <c r="H100" s="58">
        <f t="shared" si="67"/>
        <v>118500</v>
      </c>
      <c r="I100" s="58">
        <v>72836.679055108369</v>
      </c>
      <c r="J100" s="62">
        <f t="shared" ref="J100:R100" si="84">$B$86*J15</f>
        <v>251914.12930774211</v>
      </c>
      <c r="K100" s="62">
        <f t="shared" si="84"/>
        <v>204170.8104553381</v>
      </c>
      <c r="L100" s="62">
        <f t="shared" si="84"/>
        <v>332669.68438728293</v>
      </c>
      <c r="M100" s="62">
        <f t="shared" si="84"/>
        <v>195868.05915990012</v>
      </c>
      <c r="N100" s="62">
        <f t="shared" si="84"/>
        <v>83559.036128159292</v>
      </c>
      <c r="O100" s="62">
        <f t="shared" si="84"/>
        <v>102085.40522766905</v>
      </c>
      <c r="P100" s="62">
        <f t="shared" si="84"/>
        <v>-122328.94077067527</v>
      </c>
      <c r="Q100" s="62">
        <f t="shared" si="84"/>
        <v>254431.29316110842</v>
      </c>
      <c r="R100" s="62">
        <f t="shared" si="84"/>
        <v>79866.726336201275</v>
      </c>
      <c r="S100" s="16">
        <f t="shared" si="73"/>
        <v>-10512.176088894252</v>
      </c>
      <c r="T100" s="16">
        <f>'Collections and ACP'!H91</f>
        <v>1397702.25</v>
      </c>
      <c r="U100" s="16">
        <f t="shared" si="69"/>
        <v>1387190.0739111057</v>
      </c>
      <c r="V100" s="16">
        <f t="shared" si="70"/>
        <v>1573572.8824478344</v>
      </c>
      <c r="W100" s="24">
        <f t="shared" si="71"/>
        <v>-186382.80853672861</v>
      </c>
      <c r="X100" s="117"/>
    </row>
    <row r="101" spans="1:24" x14ac:dyDescent="0.3">
      <c r="A101" s="46" t="s">
        <v>58</v>
      </c>
      <c r="B101" s="58">
        <f t="shared" si="65"/>
        <v>0</v>
      </c>
      <c r="C101" s="58">
        <f t="shared" si="65"/>
        <v>0</v>
      </c>
      <c r="D101" s="58">
        <f t="shared" si="65"/>
        <v>0</v>
      </c>
      <c r="E101" s="58"/>
      <c r="F101" s="58"/>
      <c r="G101" s="58"/>
      <c r="H101" s="58"/>
      <c r="I101" s="58">
        <v>67379.073439167172</v>
      </c>
      <c r="J101" s="62">
        <f t="shared" ref="J101:R101" si="85">$B$86*J16</f>
        <v>120918.78206771621</v>
      </c>
      <c r="K101" s="62">
        <f t="shared" si="85"/>
        <v>183028.55827235247</v>
      </c>
      <c r="L101" s="62">
        <f t="shared" si="85"/>
        <v>354226.08826943039</v>
      </c>
      <c r="M101" s="62">
        <f t="shared" si="85"/>
        <v>201187.3930734958</v>
      </c>
      <c r="N101" s="62">
        <f t="shared" si="85"/>
        <v>80216.674683032921</v>
      </c>
      <c r="O101" s="62">
        <f t="shared" si="85"/>
        <v>91514.279136176236</v>
      </c>
      <c r="P101" s="62">
        <f t="shared" si="85"/>
        <v>-171235.281082147</v>
      </c>
      <c r="Q101" s="62">
        <f t="shared" si="85"/>
        <v>271306.13399292075</v>
      </c>
      <c r="R101" s="62">
        <f t="shared" si="85"/>
        <v>91437.037229182242</v>
      </c>
      <c r="S101" s="16">
        <f t="shared" si="73"/>
        <v>-186382.80853672861</v>
      </c>
      <c r="T101" s="16">
        <f>'Collections and ACP'!H92</f>
        <v>1398348</v>
      </c>
      <c r="U101" s="16">
        <f t="shared" si="69"/>
        <v>1211965.1914632714</v>
      </c>
      <c r="V101" s="16">
        <f t="shared" si="70"/>
        <v>1289978.7390813273</v>
      </c>
      <c r="W101" s="24">
        <f t="shared" si="71"/>
        <v>-78013.547618055949</v>
      </c>
      <c r="X101" s="117"/>
    </row>
    <row r="102" spans="1:24" x14ac:dyDescent="0.3">
      <c r="A102" s="46" t="s">
        <v>59</v>
      </c>
      <c r="B102" s="58">
        <f t="shared" si="65"/>
        <v>0</v>
      </c>
      <c r="C102" s="58">
        <f t="shared" si="65"/>
        <v>0</v>
      </c>
      <c r="D102" s="58">
        <f t="shared" si="65"/>
        <v>0</v>
      </c>
      <c r="E102" s="58"/>
      <c r="F102" s="58"/>
      <c r="G102" s="58"/>
      <c r="H102" s="58"/>
      <c r="I102" s="58">
        <v>67379.073439167172</v>
      </c>
      <c r="J102" s="62">
        <f t="shared" ref="J102:R102" si="86">$B$86*J17</f>
        <v>116082.03078500755</v>
      </c>
      <c r="K102" s="62">
        <f t="shared" si="86"/>
        <v>163452.85283028471</v>
      </c>
      <c r="L102" s="62">
        <f t="shared" si="86"/>
        <v>363600.4389340434</v>
      </c>
      <c r="M102" s="62">
        <f t="shared" si="86"/>
        <v>206228.1833491477</v>
      </c>
      <c r="N102" s="62">
        <f t="shared" si="86"/>
        <v>71910.09470890784</v>
      </c>
      <c r="O102" s="62">
        <f t="shared" si="86"/>
        <v>81726.426415142356</v>
      </c>
      <c r="P102" s="62">
        <f t="shared" si="86"/>
        <v>-229257.24439376936</v>
      </c>
      <c r="Q102" s="62">
        <f t="shared" si="86"/>
        <v>281971.64548390434</v>
      </c>
      <c r="R102" s="62">
        <f t="shared" si="86"/>
        <v>102801.30817469989</v>
      </c>
      <c r="S102" s="16">
        <f t="shared" si="73"/>
        <v>-78013.547618055949</v>
      </c>
      <c r="T102" s="16">
        <f>'Collections and ACP'!H93</f>
        <v>1398689.25</v>
      </c>
      <c r="U102" s="16">
        <f t="shared" si="69"/>
        <v>1320675.7023819441</v>
      </c>
      <c r="V102" s="16">
        <f t="shared" si="70"/>
        <v>1225894.8097265353</v>
      </c>
      <c r="W102" s="24">
        <f t="shared" si="71"/>
        <v>94780.892655408708</v>
      </c>
      <c r="X102" s="117"/>
    </row>
    <row r="103" spans="1:24" x14ac:dyDescent="0.3">
      <c r="A103" s="46" t="s">
        <v>60</v>
      </c>
      <c r="B103" s="58">
        <f t="shared" si="65"/>
        <v>0</v>
      </c>
      <c r="C103" s="58">
        <f t="shared" si="65"/>
        <v>0</v>
      </c>
      <c r="D103" s="58">
        <f t="shared" si="65"/>
        <v>0</v>
      </c>
      <c r="E103" s="58"/>
      <c r="F103" s="58"/>
      <c r="G103" s="58"/>
      <c r="H103" s="58"/>
      <c r="I103" s="58">
        <v>56003.944734503973</v>
      </c>
      <c r="J103" s="62">
        <f t="shared" ref="J103:R103" si="87">$B$86*J18</f>
        <v>111438.74955360725</v>
      </c>
      <c r="K103" s="62">
        <f t="shared" si="87"/>
        <v>144660.17560589968</v>
      </c>
      <c r="L103" s="62">
        <f t="shared" si="87"/>
        <v>372482.09860109515</v>
      </c>
      <c r="M103" s="62">
        <f t="shared" si="87"/>
        <v>211001.90058378055</v>
      </c>
      <c r="N103" s="62">
        <f t="shared" si="87"/>
        <v>64218.995321903501</v>
      </c>
      <c r="O103" s="62">
        <f t="shared" si="87"/>
        <v>72330.087802949842</v>
      </c>
      <c r="P103" s="62">
        <f t="shared" si="87"/>
        <v>-296844.00197542383</v>
      </c>
      <c r="Q103" s="62">
        <f t="shared" si="87"/>
        <v>286071.76580551738</v>
      </c>
      <c r="R103" s="62">
        <f t="shared" si="87"/>
        <v>113937.30356552424</v>
      </c>
      <c r="S103" s="16">
        <f t="shared" si="73"/>
        <v>94780.892655408708</v>
      </c>
      <c r="T103" s="16">
        <f>'Collections and ACP'!H94</f>
        <v>1399411.125</v>
      </c>
      <c r="U103" s="16">
        <f t="shared" si="69"/>
        <v>1494192.0176554087</v>
      </c>
      <c r="V103" s="16">
        <f t="shared" si="70"/>
        <v>1135301.0195993579</v>
      </c>
      <c r="W103" s="24">
        <f t="shared" si="71"/>
        <v>358890.99805605086</v>
      </c>
      <c r="X103" s="117"/>
    </row>
    <row r="104" spans="1:24" x14ac:dyDescent="0.3">
      <c r="A104" s="46" t="s">
        <v>61</v>
      </c>
      <c r="B104" s="58">
        <f t="shared" si="65"/>
        <v>0</v>
      </c>
      <c r="C104" s="58">
        <f t="shared" si="65"/>
        <v>0</v>
      </c>
      <c r="D104" s="58">
        <f t="shared" si="65"/>
        <v>0</v>
      </c>
      <c r="E104" s="58"/>
      <c r="F104" s="58"/>
      <c r="G104" s="58"/>
      <c r="H104" s="58"/>
      <c r="I104" s="58"/>
      <c r="J104" s="62">
        <f t="shared" ref="J104:R104" si="88">$B$86*J19</f>
        <v>106981.19957146294</v>
      </c>
      <c r="K104" s="62">
        <f t="shared" si="88"/>
        <v>126619.20547049004</v>
      </c>
      <c r="L104" s="62">
        <f t="shared" si="88"/>
        <v>380891.36349534243</v>
      </c>
      <c r="M104" s="62">
        <f t="shared" si="88"/>
        <v>215519.55490618508</v>
      </c>
      <c r="N104" s="62">
        <f t="shared" si="88"/>
        <v>56835.539910379368</v>
      </c>
      <c r="O104" s="62">
        <f t="shared" si="88"/>
        <v>63309.602735245018</v>
      </c>
      <c r="P104" s="62">
        <f t="shared" si="88"/>
        <v>-373879.4126402596</v>
      </c>
      <c r="Q104" s="62">
        <f t="shared" si="88"/>
        <v>255280.29743254615</v>
      </c>
      <c r="R104" s="62">
        <f t="shared" si="88"/>
        <v>117568.34473150298</v>
      </c>
      <c r="S104" s="16">
        <f t="shared" si="73"/>
        <v>358890.99805605086</v>
      </c>
      <c r="T104" s="16">
        <f>'Collections and ACP'!H95</f>
        <v>1399797</v>
      </c>
      <c r="U104" s="16">
        <f t="shared" si="69"/>
        <v>1758687.9980560509</v>
      </c>
      <c r="V104" s="16">
        <f t="shared" si="70"/>
        <v>949125.69561289437</v>
      </c>
      <c r="W104" s="24">
        <f t="shared" si="71"/>
        <v>809562.30244315648</v>
      </c>
      <c r="X104" s="117"/>
    </row>
    <row r="105" spans="1:24" x14ac:dyDescent="0.3">
      <c r="A105" s="46" t="s">
        <v>62</v>
      </c>
      <c r="B105" s="58">
        <f t="shared" si="65"/>
        <v>0</v>
      </c>
      <c r="C105" s="58">
        <f t="shared" si="65"/>
        <v>0</v>
      </c>
      <c r="D105" s="58">
        <f t="shared" si="65"/>
        <v>0</v>
      </c>
      <c r="E105" s="58"/>
      <c r="F105" s="58"/>
      <c r="G105" s="58"/>
      <c r="H105" s="58"/>
      <c r="I105" s="58"/>
      <c r="J105" s="62">
        <f t="shared" ref="J105:R105" si="89">$B$86*J20</f>
        <v>102701.95158860442</v>
      </c>
      <c r="K105" s="62">
        <f t="shared" si="89"/>
        <v>109299.87414049679</v>
      </c>
      <c r="L105" s="62">
        <f t="shared" si="89"/>
        <v>388847.71504962875</v>
      </c>
      <c r="M105" s="62">
        <f t="shared" si="89"/>
        <v>219791.71440396467</v>
      </c>
      <c r="N105" s="62">
        <f t="shared" si="89"/>
        <v>49747.422715316185</v>
      </c>
      <c r="O105" s="62">
        <f t="shared" si="89"/>
        <v>54649.937070248394</v>
      </c>
      <c r="P105" s="62">
        <f t="shared" si="89"/>
        <v>-456928.88400389889</v>
      </c>
      <c r="Q105" s="62">
        <f t="shared" si="89"/>
        <v>220304.86378834434</v>
      </c>
      <c r="R105" s="62">
        <f t="shared" si="89"/>
        <v>121029.71948415089</v>
      </c>
      <c r="S105" s="16">
        <f t="shared" si="73"/>
        <v>809562.30244315648</v>
      </c>
      <c r="T105" s="16">
        <f>'Collections and ACP'!H96</f>
        <v>1400135.625</v>
      </c>
      <c r="U105" s="16">
        <f t="shared" si="69"/>
        <v>2209697.9274431565</v>
      </c>
      <c r="V105" s="16">
        <f t="shared" si="70"/>
        <v>809444.3142368556</v>
      </c>
      <c r="W105" s="24">
        <f t="shared" si="71"/>
        <v>1400253.6132063009</v>
      </c>
      <c r="X105" s="117"/>
    </row>
    <row r="106" spans="1:24" x14ac:dyDescent="0.3">
      <c r="A106" s="46" t="s">
        <v>63</v>
      </c>
      <c r="B106" s="58">
        <f t="shared" si="65"/>
        <v>0</v>
      </c>
      <c r="C106" s="58">
        <f t="shared" si="65"/>
        <v>0</v>
      </c>
      <c r="D106" s="58">
        <f t="shared" si="65"/>
        <v>0</v>
      </c>
      <c r="E106" s="58"/>
      <c r="F106" s="58"/>
      <c r="G106" s="58"/>
      <c r="H106" s="58"/>
      <c r="I106" s="58"/>
      <c r="J106" s="62">
        <f t="shared" ref="J106:R106" si="90">$B$86*J21</f>
        <v>98593.873525060233</v>
      </c>
      <c r="K106" s="62">
        <f t="shared" si="90"/>
        <v>92673.316063703256</v>
      </c>
      <c r="L106" s="62">
        <f t="shared" si="90"/>
        <v>396369.85251127294</v>
      </c>
      <c r="M106" s="62">
        <f t="shared" si="90"/>
        <v>223828.52281336294</v>
      </c>
      <c r="N106" s="62">
        <f t="shared" si="90"/>
        <v>42942.830208055522</v>
      </c>
      <c r="O106" s="62">
        <f t="shared" si="90"/>
        <v>46336.658031851628</v>
      </c>
      <c r="P106" s="62">
        <f t="shared" si="90"/>
        <v>-546250.50059852726</v>
      </c>
      <c r="Q106" s="62">
        <f t="shared" si="90"/>
        <v>180942.5064412705</v>
      </c>
      <c r="R106" s="62">
        <f t="shared" si="90"/>
        <v>118621.91744575321</v>
      </c>
      <c r="S106" s="16">
        <f t="shared" si="73"/>
        <v>1400253.6132063009</v>
      </c>
      <c r="T106" s="16">
        <f>'Collections and ACP'!H97</f>
        <v>1400371.875</v>
      </c>
      <c r="U106" s="16">
        <f t="shared" si="69"/>
        <v>2800625.4882063009</v>
      </c>
      <c r="V106" s="16">
        <f t="shared" si="70"/>
        <v>654058.97644180292</v>
      </c>
      <c r="W106" s="24">
        <f t="shared" si="71"/>
        <v>2146566.511764498</v>
      </c>
      <c r="X106" s="117"/>
    </row>
    <row r="107" spans="1:24" x14ac:dyDescent="0.3">
      <c r="A107" s="46" t="s">
        <v>64</v>
      </c>
      <c r="B107" s="58">
        <f t="shared" si="65"/>
        <v>0</v>
      </c>
      <c r="C107" s="58">
        <f t="shared" si="65"/>
        <v>0</v>
      </c>
      <c r="D107" s="58">
        <f t="shared" si="65"/>
        <v>0</v>
      </c>
      <c r="E107" s="58"/>
      <c r="F107" s="58"/>
      <c r="G107" s="58"/>
      <c r="H107" s="58"/>
      <c r="I107" s="58"/>
      <c r="J107" s="62">
        <f t="shared" ref="J107:R107" si="91">$B$86*J22</f>
        <v>94650.118584057826</v>
      </c>
      <c r="K107" s="62">
        <f t="shared" si="91"/>
        <v>76711.820309981471</v>
      </c>
      <c r="L107" s="62">
        <f t="shared" si="91"/>
        <v>403475.7242441331</v>
      </c>
      <c r="M107" s="62">
        <f t="shared" si="91"/>
        <v>227639.71650145744</v>
      </c>
      <c r="N107" s="62">
        <f t="shared" si="91"/>
        <v>36410.421401085296</v>
      </c>
      <c r="O107" s="62">
        <f t="shared" si="91"/>
        <v>38355.910154990735</v>
      </c>
      <c r="P107" s="62">
        <f t="shared" si="91"/>
        <v>-642109.02532183926</v>
      </c>
      <c r="Q107" s="62">
        <f t="shared" si="91"/>
        <v>136985.00566907786</v>
      </c>
      <c r="R107" s="62">
        <f t="shared" si="91"/>
        <v>121705.63358903125</v>
      </c>
      <c r="S107" s="16">
        <f t="shared" si="73"/>
        <v>2146566.511764498</v>
      </c>
      <c r="T107" s="16">
        <f>'Collections and ACP'!H98</f>
        <v>1400371.875</v>
      </c>
      <c r="U107" s="16">
        <f t="shared" si="69"/>
        <v>3546938.386764498</v>
      </c>
      <c r="V107" s="16">
        <f t="shared" si="70"/>
        <v>493825.32513197564</v>
      </c>
      <c r="W107" s="24">
        <f t="shared" si="71"/>
        <v>3053113.0616325224</v>
      </c>
      <c r="X107" s="117"/>
    </row>
    <row r="108" spans="1:24" x14ac:dyDescent="0.3">
      <c r="A108" s="46" t="s">
        <v>65</v>
      </c>
      <c r="B108" s="58">
        <f t="shared" si="65"/>
        <v>0</v>
      </c>
      <c r="C108" s="58">
        <f t="shared" si="65"/>
        <v>0</v>
      </c>
      <c r="D108" s="58">
        <f t="shared" si="65"/>
        <v>0</v>
      </c>
      <c r="E108" s="58"/>
      <c r="F108" s="58"/>
      <c r="G108" s="58"/>
      <c r="H108" s="58"/>
      <c r="I108" s="58"/>
      <c r="J108" s="62">
        <f t="shared" ref="J108:R108" si="92">$B$86*J23</f>
        <v>90864.1138406955</v>
      </c>
      <c r="K108" s="62">
        <f t="shared" si="92"/>
        <v>73643.347497582203</v>
      </c>
      <c r="L108" s="62">
        <f t="shared" si="92"/>
        <v>410182.55777851236</v>
      </c>
      <c r="M108" s="62">
        <f t="shared" si="92"/>
        <v>231234.64076902508</v>
      </c>
      <c r="N108" s="62">
        <f t="shared" si="92"/>
        <v>30139.30894639387</v>
      </c>
      <c r="O108" s="62">
        <f t="shared" si="92"/>
        <v>36821.673748791101</v>
      </c>
      <c r="P108" s="62">
        <f t="shared" si="92"/>
        <v>-744776.06333784421</v>
      </c>
      <c r="Q108" s="62">
        <f t="shared" si="92"/>
        <v>88218.751098398949</v>
      </c>
      <c r="R108" s="62">
        <f t="shared" si="92"/>
        <v>124580.69240656687</v>
      </c>
      <c r="S108" s="16">
        <f t="shared" si="73"/>
        <v>3053113.0616325224</v>
      </c>
      <c r="T108" s="16">
        <f>'Collections and ACP'!H99</f>
        <v>1400371.875</v>
      </c>
      <c r="U108" s="16">
        <f t="shared" si="69"/>
        <v>4453484.9366325224</v>
      </c>
      <c r="V108" s="16">
        <f t="shared" si="70"/>
        <v>340909.0227481217</v>
      </c>
      <c r="W108" s="24">
        <f t="shared" si="71"/>
        <v>4112575.9138844009</v>
      </c>
      <c r="X108" s="117"/>
    </row>
    <row r="109" spans="1:24" x14ac:dyDescent="0.3">
      <c r="A109" s="46" t="s">
        <v>66</v>
      </c>
      <c r="B109" s="58">
        <f t="shared" si="65"/>
        <v>0</v>
      </c>
      <c r="C109" s="58">
        <f t="shared" si="65"/>
        <v>0</v>
      </c>
      <c r="D109" s="58">
        <f t="shared" si="65"/>
        <v>0</v>
      </c>
      <c r="E109" s="58"/>
      <c r="F109" s="58"/>
      <c r="G109" s="58"/>
      <c r="H109" s="57"/>
      <c r="I109" s="57"/>
      <c r="J109" s="62">
        <f t="shared" ref="J109:R109" si="93">$B$86*J24</f>
        <v>0</v>
      </c>
      <c r="K109" s="62">
        <f t="shared" si="93"/>
        <v>61337.280996431473</v>
      </c>
      <c r="L109" s="62">
        <f t="shared" si="93"/>
        <v>416506.88865899568</v>
      </c>
      <c r="M109" s="62">
        <f t="shared" si="93"/>
        <v>230078.46756517998</v>
      </c>
      <c r="N109" s="62">
        <f t="shared" si="93"/>
        <v>28933.736588538119</v>
      </c>
      <c r="O109" s="62">
        <f t="shared" si="93"/>
        <v>30668.640498215736</v>
      </c>
      <c r="P109" s="62">
        <f t="shared" si="93"/>
        <v>-854530.22986236063</v>
      </c>
      <c r="Q109" s="62">
        <f t="shared" si="93"/>
        <v>34424.609273826019</v>
      </c>
      <c r="R109" s="62">
        <f t="shared" si="93"/>
        <v>127233.41813839435</v>
      </c>
      <c r="S109" s="16">
        <f t="shared" si="73"/>
        <v>4112575.9138844009</v>
      </c>
      <c r="T109" s="16">
        <f>'Collections and ACP'!H100</f>
        <v>1400371.875</v>
      </c>
      <c r="U109" s="16">
        <f t="shared" si="69"/>
        <v>5512947.7888844013</v>
      </c>
      <c r="V109" s="16">
        <f t="shared" si="70"/>
        <v>74652.811857220717</v>
      </c>
      <c r="W109" s="24">
        <f t="shared" si="71"/>
        <v>5438294.9770271806</v>
      </c>
      <c r="X109" s="117"/>
    </row>
    <row r="110" spans="1:24" x14ac:dyDescent="0.3">
      <c r="A110" s="46" t="s">
        <v>67</v>
      </c>
      <c r="B110" s="58">
        <f t="shared" si="65"/>
        <v>0</v>
      </c>
      <c r="C110" s="58">
        <f t="shared" si="65"/>
        <v>0</v>
      </c>
      <c r="D110" s="58">
        <f t="shared" si="65"/>
        <v>0</v>
      </c>
      <c r="E110" s="58"/>
      <c r="F110" s="58"/>
      <c r="G110" s="58"/>
      <c r="H110" s="57"/>
      <c r="I110" s="57"/>
      <c r="J110" s="62">
        <f t="shared" ref="J110:R110" si="94">$B$86*J25</f>
        <v>0</v>
      </c>
      <c r="K110" s="62">
        <f t="shared" si="94"/>
        <v>50043.475633173839</v>
      </c>
      <c r="L110" s="62">
        <f t="shared" si="94"/>
        <v>414424.35421570105</v>
      </c>
      <c r="M110" s="62">
        <f t="shared" si="94"/>
        <v>190042.5298494148</v>
      </c>
      <c r="N110" s="62">
        <f t="shared" si="94"/>
        <v>24098.805821750004</v>
      </c>
      <c r="O110" s="62">
        <f t="shared" si="94"/>
        <v>25021.73781658692</v>
      </c>
      <c r="P110" s="62">
        <f t="shared" si="94"/>
        <v>-971657.32192302251</v>
      </c>
      <c r="Q110" s="62">
        <f t="shared" si="94"/>
        <v>-24622.211914493513</v>
      </c>
      <c r="R110" s="62">
        <f t="shared" si="94"/>
        <v>129649.78167831633</v>
      </c>
      <c r="S110" s="16">
        <f t="shared" si="73"/>
        <v>5438294.9770271806</v>
      </c>
      <c r="T110" s="16">
        <f>'Collections and ACP'!H101</f>
        <v>1400371.875</v>
      </c>
      <c r="U110" s="16">
        <f t="shared" si="69"/>
        <v>6838666.8520271806</v>
      </c>
      <c r="V110" s="16">
        <f t="shared" si="70"/>
        <v>-162998.84882257311</v>
      </c>
      <c r="W110" s="24">
        <f t="shared" si="71"/>
        <v>7001665.7008497538</v>
      </c>
      <c r="X110" s="117"/>
    </row>
    <row r="111" spans="1:24" x14ac:dyDescent="0.3">
      <c r="X111" s="117"/>
    </row>
  </sheetData>
  <printOptions horizontalCentered="1" verticalCentered="1"/>
  <pageMargins left="0.25" right="0.25" top="0.75" bottom="0.75" header="0.3" footer="0.3"/>
  <pageSetup scale="27" orientation="landscape" r:id="rId1"/>
  <headerFooter>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E2841-F74C-4EC9-A296-D7FCCDF054C4}">
  <sheetPr>
    <pageSetUpPr fitToPage="1"/>
  </sheetPr>
  <dimension ref="A1:Z146"/>
  <sheetViews>
    <sheetView zoomScaleNormal="100" workbookViewId="0">
      <pane xSplit="1" topLeftCell="M1" activePane="topRight" state="frozen"/>
      <selection pane="topRight" activeCell="B1" sqref="B1"/>
    </sheetView>
  </sheetViews>
  <sheetFormatPr defaultRowHeight="14.4" x14ac:dyDescent="0.3"/>
  <cols>
    <col min="1" max="1" width="17.44140625" bestFit="1" customWidth="1"/>
    <col min="2" max="2" width="14.44140625" bestFit="1" customWidth="1"/>
    <col min="3" max="3" width="14.21875" bestFit="1" customWidth="1"/>
    <col min="4" max="4" width="12.6640625" bestFit="1" customWidth="1"/>
    <col min="5" max="5" width="33.77734375" bestFit="1" customWidth="1"/>
    <col min="6" max="6" width="10.77734375" bestFit="1" customWidth="1"/>
    <col min="7" max="7" width="14.21875" bestFit="1" customWidth="1"/>
    <col min="8" max="8" width="27.6640625" bestFit="1" customWidth="1"/>
    <col min="9" max="9" width="25.109375" bestFit="1" customWidth="1"/>
    <col min="10" max="10" width="39.88671875" bestFit="1" customWidth="1"/>
    <col min="11" max="11" width="17.5546875" bestFit="1" customWidth="1"/>
    <col min="12" max="12" width="24" bestFit="1" customWidth="1"/>
    <col min="13" max="13" width="22.21875" bestFit="1" customWidth="1"/>
    <col min="14" max="14" width="19.6640625" bestFit="1" customWidth="1"/>
    <col min="15" max="15" width="23.5546875" bestFit="1" customWidth="1"/>
    <col min="16" max="16" width="18.21875" bestFit="1" customWidth="1"/>
    <col min="17" max="17" width="15.33203125" bestFit="1" customWidth="1"/>
    <col min="18" max="18" width="15.5546875" bestFit="1" customWidth="1"/>
    <col min="19" max="19" width="14.21875" bestFit="1" customWidth="1"/>
    <col min="20" max="20" width="21" bestFit="1" customWidth="1"/>
    <col min="21" max="21" width="20.77734375" bestFit="1" customWidth="1"/>
    <col min="22" max="22" width="14.77734375" bestFit="1" customWidth="1"/>
    <col min="23" max="23" width="10.109375" bestFit="1" customWidth="1"/>
    <col min="24" max="24" width="13.6640625" bestFit="1" customWidth="1"/>
    <col min="26" max="26" width="13.6640625" bestFit="1" customWidth="1"/>
  </cols>
  <sheetData>
    <row r="1" spans="1:25" x14ac:dyDescent="0.3">
      <c r="A1" t="s">
        <v>132</v>
      </c>
    </row>
    <row r="2" spans="1:25" ht="28.8" x14ac:dyDescent="0.3">
      <c r="A2" s="29" t="s">
        <v>43</v>
      </c>
      <c r="B2" s="29" t="s">
        <v>133</v>
      </c>
      <c r="C2" s="29" t="s">
        <v>134</v>
      </c>
      <c r="D2" s="29" t="s">
        <v>135</v>
      </c>
      <c r="E2" s="61" t="s">
        <v>136</v>
      </c>
      <c r="F2" s="29" t="s">
        <v>118</v>
      </c>
      <c r="G2" s="29" t="s">
        <v>137</v>
      </c>
      <c r="H2" s="29" t="s">
        <v>138</v>
      </c>
      <c r="I2" s="208" t="s">
        <v>204</v>
      </c>
      <c r="J2" s="61" t="s">
        <v>139</v>
      </c>
      <c r="K2" s="29" t="s">
        <v>6</v>
      </c>
      <c r="L2" s="29" t="s">
        <v>12</v>
      </c>
      <c r="M2" s="181" t="s">
        <v>21</v>
      </c>
      <c r="N2" s="29" t="s">
        <v>25</v>
      </c>
      <c r="O2" s="181" t="s">
        <v>29</v>
      </c>
      <c r="P2" s="181" t="s">
        <v>33</v>
      </c>
      <c r="Q2" s="29" t="s">
        <v>40</v>
      </c>
      <c r="R2" s="29" t="s">
        <v>41</v>
      </c>
      <c r="S2" s="29" t="s">
        <v>42</v>
      </c>
      <c r="T2" s="181" t="s">
        <v>119</v>
      </c>
      <c r="U2" s="61" t="s">
        <v>140</v>
      </c>
      <c r="V2" s="61" t="s">
        <v>141</v>
      </c>
    </row>
    <row r="3" spans="1:25" x14ac:dyDescent="0.3">
      <c r="A3" s="29"/>
      <c r="B3" s="29"/>
      <c r="C3" s="29"/>
      <c r="D3" s="29"/>
      <c r="E3" s="61" t="s">
        <v>142</v>
      </c>
      <c r="F3" s="29"/>
      <c r="G3" s="29"/>
      <c r="H3" s="29"/>
      <c r="I3" s="29"/>
      <c r="J3" s="61" t="s">
        <v>143</v>
      </c>
      <c r="K3" s="29"/>
      <c r="L3" s="29"/>
      <c r="M3" s="29"/>
      <c r="N3" s="29"/>
      <c r="O3" s="29"/>
      <c r="P3" s="29"/>
      <c r="Q3" s="29"/>
      <c r="R3" s="29"/>
      <c r="S3" s="29"/>
      <c r="T3" s="29"/>
      <c r="U3" s="61"/>
      <c r="V3" s="61"/>
    </row>
    <row r="4" spans="1:25" x14ac:dyDescent="0.3">
      <c r="A4" s="35" t="s">
        <v>144</v>
      </c>
      <c r="B4" s="8">
        <f t="shared" ref="B4:D26" si="0">B32+B60+B88</f>
        <v>169319.74700666824</v>
      </c>
      <c r="C4" s="8">
        <f t="shared" si="0"/>
        <v>332608.3312500001</v>
      </c>
      <c r="D4" s="8">
        <f t="shared" si="0"/>
        <v>150679.82421599873</v>
      </c>
      <c r="E4" s="46">
        <f t="shared" ref="E4:E26" si="1">SUM(B4:D4)</f>
        <v>652607.90247266705</v>
      </c>
      <c r="F4" s="8">
        <v>1861725</v>
      </c>
      <c r="G4" s="8">
        <v>3273</v>
      </c>
      <c r="H4" s="8">
        <v>730000</v>
      </c>
      <c r="I4" s="8">
        <v>58271.600000000006</v>
      </c>
      <c r="J4" s="46">
        <f t="shared" ref="J4:J26" si="2">SUM(F4:I4)</f>
        <v>2653269.6</v>
      </c>
      <c r="K4" s="56"/>
      <c r="L4" s="56"/>
      <c r="M4" s="56"/>
      <c r="N4" s="56"/>
      <c r="O4" s="56"/>
      <c r="P4" s="56"/>
      <c r="Q4" s="56"/>
      <c r="R4" s="56"/>
      <c r="S4" s="56"/>
      <c r="T4" s="56"/>
      <c r="U4" s="46">
        <f t="shared" ref="U4:U26" si="3">SUM(K4:T4)</f>
        <v>0</v>
      </c>
      <c r="V4" s="46">
        <f t="shared" ref="V4:V26" si="4">E4+J4+U4</f>
        <v>3305877.502472667</v>
      </c>
    </row>
    <row r="5" spans="1:25" x14ac:dyDescent="0.3">
      <c r="A5" s="35" t="s">
        <v>145</v>
      </c>
      <c r="B5" s="8">
        <f t="shared" si="0"/>
        <v>189970.99067999862</v>
      </c>
      <c r="C5" s="8">
        <f t="shared" si="0"/>
        <v>425962.73687066673</v>
      </c>
      <c r="D5" s="8">
        <f t="shared" si="0"/>
        <v>412123.88203066861</v>
      </c>
      <c r="E5" s="46">
        <f t="shared" si="1"/>
        <v>1028057.6095813341</v>
      </c>
      <c r="F5" s="8">
        <v>1861725</v>
      </c>
      <c r="G5" s="8">
        <v>21732</v>
      </c>
      <c r="H5" s="8">
        <v>2983670.5745999999</v>
      </c>
      <c r="I5" s="8">
        <v>65181.53333333334</v>
      </c>
      <c r="J5" s="46">
        <f t="shared" si="2"/>
        <v>4932309.1079333331</v>
      </c>
      <c r="K5" s="46"/>
      <c r="L5" s="46"/>
      <c r="M5" s="46"/>
      <c r="N5" s="46"/>
      <c r="O5" s="46"/>
      <c r="P5" s="46"/>
      <c r="Q5" s="46"/>
      <c r="R5" s="46"/>
      <c r="S5" s="46"/>
      <c r="T5" s="59"/>
      <c r="U5" s="46">
        <f t="shared" si="3"/>
        <v>0</v>
      </c>
      <c r="V5" s="46">
        <f t="shared" si="4"/>
        <v>5960366.7175146677</v>
      </c>
    </row>
    <row r="6" spans="1:25" x14ac:dyDescent="0.3">
      <c r="A6" s="35" t="s">
        <v>146</v>
      </c>
      <c r="B6" s="8">
        <f t="shared" si="0"/>
        <v>247868.06866665601</v>
      </c>
      <c r="C6" s="8">
        <f t="shared" si="0"/>
        <v>445976.34417918167</v>
      </c>
      <c r="D6" s="8">
        <f t="shared" si="0"/>
        <v>418357.61492576054</v>
      </c>
      <c r="E6" s="46">
        <f t="shared" si="1"/>
        <v>1112202.0277715982</v>
      </c>
      <c r="F6" s="8">
        <v>1861725</v>
      </c>
      <c r="G6" s="8">
        <v>5613</v>
      </c>
      <c r="H6" s="8">
        <v>4001148.5745999999</v>
      </c>
      <c r="I6" s="8">
        <v>64855.625666666674</v>
      </c>
      <c r="J6" s="46">
        <f t="shared" si="2"/>
        <v>5933342.2002666667</v>
      </c>
      <c r="K6" s="60">
        <f>'Total REC Delivery Activities'!B255</f>
        <v>324384.68665872002</v>
      </c>
      <c r="L6" s="60">
        <f>'Total REC Delivery Activities'!B256</f>
        <v>363420.19756986172</v>
      </c>
      <c r="M6" s="60">
        <f>'Total REC Delivery Activities'!B257</f>
        <v>0</v>
      </c>
      <c r="N6" s="60">
        <f>'Total REC Delivery Activities'!B258</f>
        <v>296210.64</v>
      </c>
      <c r="O6" s="60">
        <f>'Total REC Delivery Activities'!B259</f>
        <v>0</v>
      </c>
      <c r="P6" s="60">
        <f>'Total REC Delivery Activities'!B260</f>
        <v>182432.62174992182</v>
      </c>
      <c r="Q6" s="21">
        <f>'Total REC Delivery Activities'!B261</f>
        <v>0</v>
      </c>
      <c r="R6" s="21">
        <f>'Total REC Delivery Activities'!B262</f>
        <v>0</v>
      </c>
      <c r="S6" s="21">
        <f>'Total REC Delivery Activities'!B263</f>
        <v>0</v>
      </c>
      <c r="T6" s="209"/>
      <c r="U6" s="46">
        <f t="shared" si="3"/>
        <v>1166448.1459785036</v>
      </c>
      <c r="V6" s="46">
        <f t="shared" si="4"/>
        <v>8211992.3740167683</v>
      </c>
      <c r="W6" s="202"/>
      <c r="X6" s="202"/>
      <c r="Y6" s="202"/>
    </row>
    <row r="7" spans="1:25" x14ac:dyDescent="0.3">
      <c r="A7" s="35" t="s">
        <v>147</v>
      </c>
      <c r="B7" s="8">
        <f t="shared" si="0"/>
        <v>273855.57747992757</v>
      </c>
      <c r="C7" s="8">
        <f t="shared" si="0"/>
        <v>535408.98300473462</v>
      </c>
      <c r="D7" s="8">
        <f t="shared" si="0"/>
        <v>441111.42633333331</v>
      </c>
      <c r="E7" s="46">
        <f t="shared" si="1"/>
        <v>1250375.9868179956</v>
      </c>
      <c r="F7" s="8">
        <v>1861725</v>
      </c>
      <c r="G7" s="55"/>
      <c r="H7" s="8">
        <v>4001148.5745999999</v>
      </c>
      <c r="I7" s="8">
        <v>64531.347538333343</v>
      </c>
      <c r="J7" s="46">
        <f t="shared" si="2"/>
        <v>5927404.9221383333</v>
      </c>
      <c r="K7" s="60">
        <f>'Total REC Delivery Activities'!C255</f>
        <v>484881.49664270645</v>
      </c>
      <c r="L7" s="60">
        <f>'Total REC Delivery Activities'!C256</f>
        <v>534205.69628336059</v>
      </c>
      <c r="M7" s="60">
        <f>'Total REC Delivery Activities'!C257</f>
        <v>607231.81199999992</v>
      </c>
      <c r="N7" s="60">
        <f>'Total REC Delivery Activities'!C258</f>
        <v>442908.95945999998</v>
      </c>
      <c r="O7" s="60">
        <f>'Total REC Delivery Activities'!C259</f>
        <v>63685.287599999996</v>
      </c>
      <c r="P7" s="60">
        <f>'Total REC Delivery Activities'!C260</f>
        <v>267821.75849184627</v>
      </c>
      <c r="Q7" s="21">
        <f>'Total REC Delivery Activities'!C261</f>
        <v>0</v>
      </c>
      <c r="R7" s="21">
        <f>'Total REC Delivery Activities'!C262</f>
        <v>0</v>
      </c>
      <c r="S7" s="21">
        <f>'Total REC Delivery Activities'!C263</f>
        <v>0</v>
      </c>
      <c r="T7" s="209">
        <v>47000</v>
      </c>
      <c r="U7" s="46">
        <f t="shared" si="3"/>
        <v>2447735.0104779131</v>
      </c>
      <c r="V7" s="46">
        <f t="shared" si="4"/>
        <v>9625515.919434242</v>
      </c>
      <c r="W7" s="202"/>
      <c r="X7" s="202"/>
      <c r="Y7" s="202"/>
    </row>
    <row r="8" spans="1:25" x14ac:dyDescent="0.3">
      <c r="A8" s="35" t="s">
        <v>148</v>
      </c>
      <c r="B8" s="8">
        <f t="shared" si="0"/>
        <v>270963.85393586126</v>
      </c>
      <c r="C8" s="8">
        <f t="shared" si="0"/>
        <v>534691.60164686351</v>
      </c>
      <c r="D8" s="8">
        <f t="shared" si="0"/>
        <v>438905.86920166656</v>
      </c>
      <c r="E8" s="46">
        <f t="shared" si="1"/>
        <v>1244561.3247843913</v>
      </c>
      <c r="F8" s="8">
        <v>1861725</v>
      </c>
      <c r="G8" s="55"/>
      <c r="H8" s="8">
        <v>4001148.5745999999</v>
      </c>
      <c r="I8" s="8">
        <v>64208.690800641678</v>
      </c>
      <c r="J8" s="46">
        <f t="shared" si="2"/>
        <v>5927082.2654006416</v>
      </c>
      <c r="K8" s="60">
        <f>'Total REC Delivery Activities'!D255</f>
        <v>644575.82257677289</v>
      </c>
      <c r="L8" s="60">
        <f>'Total REC Delivery Activities'!D256</f>
        <v>704137.26750329183</v>
      </c>
      <c r="M8" s="60">
        <f>'Total REC Delivery Activities'!D257</f>
        <v>900554.39825999993</v>
      </c>
      <c r="N8" s="60">
        <f>'Total REC Delivery Activities'!D258</f>
        <v>588873.78732269991</v>
      </c>
      <c r="O8" s="60">
        <f>'Total REC Delivery Activities'!D259</f>
        <v>112759.985382</v>
      </c>
      <c r="P8" s="60">
        <f>'Total REC Delivery Activities'!D260</f>
        <v>352783.94955006108</v>
      </c>
      <c r="Q8" s="21">
        <f>'Total REC Delivery Activities'!D261</f>
        <v>0</v>
      </c>
      <c r="R8" s="21">
        <f>'Total REC Delivery Activities'!D262</f>
        <v>0</v>
      </c>
      <c r="S8" s="21">
        <f>'Total REC Delivery Activities'!D263</f>
        <v>0</v>
      </c>
      <c r="T8" s="209">
        <v>93530</v>
      </c>
      <c r="U8" s="46">
        <f t="shared" si="3"/>
        <v>3397215.2105948259</v>
      </c>
      <c r="V8" s="46">
        <f t="shared" si="4"/>
        <v>10568858.800779859</v>
      </c>
      <c r="W8" s="202"/>
      <c r="X8" s="202"/>
      <c r="Y8" s="202"/>
    </row>
    <row r="9" spans="1:25" x14ac:dyDescent="0.3">
      <c r="A9" s="35" t="s">
        <v>149</v>
      </c>
      <c r="B9" s="8">
        <f t="shared" si="0"/>
        <v>268076.40984284884</v>
      </c>
      <c r="C9" s="8">
        <f t="shared" si="0"/>
        <v>533994.06890657346</v>
      </c>
      <c r="D9" s="8">
        <f t="shared" si="0"/>
        <v>436711.3398556583</v>
      </c>
      <c r="E9" s="46">
        <f t="shared" si="1"/>
        <v>1238781.8186050807</v>
      </c>
      <c r="F9" s="8">
        <v>1861725</v>
      </c>
      <c r="G9" s="55"/>
      <c r="H9" s="8">
        <v>4001148.5745999999</v>
      </c>
      <c r="I9" s="8">
        <v>63887.64734663847</v>
      </c>
      <c r="J9" s="46">
        <f t="shared" si="2"/>
        <v>5926761.2219466381</v>
      </c>
      <c r="K9" s="60">
        <f>'Total REC Delivery Activities'!E255</f>
        <v>803471.67688116909</v>
      </c>
      <c r="L9" s="60">
        <f>'Total REC Delivery Activities'!E256</f>
        <v>873219.18086712353</v>
      </c>
      <c r="M9" s="60">
        <f>'Total REC Delivery Activities'!E257</f>
        <v>1192410.3715887</v>
      </c>
      <c r="N9" s="60">
        <f>'Total REC Delivery Activities'!E258</f>
        <v>734108.79104608647</v>
      </c>
      <c r="O9" s="60">
        <f>'Total REC Delivery Activities'!E259</f>
        <v>161589.30967509001</v>
      </c>
      <c r="P9" s="60">
        <f>'Total REC Delivery Activities'!E260</f>
        <v>437321.3296529848</v>
      </c>
      <c r="Q9" s="21">
        <f>'Total REC Delivery Activities'!E261</f>
        <v>460000</v>
      </c>
      <c r="R9" s="21">
        <f>'Total REC Delivery Activities'!E262</f>
        <v>1891521</v>
      </c>
      <c r="S9" s="21">
        <f>'Total REC Delivery Activities'!E263</f>
        <v>57870</v>
      </c>
      <c r="T9" s="209">
        <v>140295</v>
      </c>
      <c r="U9" s="46">
        <f t="shared" si="3"/>
        <v>6751806.6597111542</v>
      </c>
      <c r="V9" s="46">
        <f t="shared" si="4"/>
        <v>13917349.700262873</v>
      </c>
      <c r="W9" s="202"/>
      <c r="X9" s="202"/>
      <c r="Y9" s="202"/>
    </row>
    <row r="10" spans="1:25" x14ac:dyDescent="0.3">
      <c r="A10" s="35" t="s">
        <v>150</v>
      </c>
      <c r="B10" s="8">
        <f t="shared" si="0"/>
        <v>265193.0088036345</v>
      </c>
      <c r="C10" s="8">
        <f t="shared" si="0"/>
        <v>533299.57288012712</v>
      </c>
      <c r="D10" s="8">
        <f t="shared" si="0"/>
        <v>434527.78315638</v>
      </c>
      <c r="E10" s="46">
        <f t="shared" si="1"/>
        <v>1233020.3648401417</v>
      </c>
      <c r="F10" s="8">
        <v>1861725</v>
      </c>
      <c r="G10" s="55"/>
      <c r="H10" s="8">
        <v>4001148.5745999999</v>
      </c>
      <c r="I10" s="8">
        <v>63568.209109905278</v>
      </c>
      <c r="J10" s="46">
        <f t="shared" si="2"/>
        <v>5926441.7837099051</v>
      </c>
      <c r="K10" s="60">
        <f>'Total REC Delivery Activities'!F255</f>
        <v>961573.05191404314</v>
      </c>
      <c r="L10" s="60">
        <f>'Total REC Delivery Activities'!F256</f>
        <v>1041455.6846641359</v>
      </c>
      <c r="M10" s="60">
        <f>'Total REC Delivery Activities'!F257</f>
        <v>1482807.0650507563</v>
      </c>
      <c r="N10" s="60">
        <f>'Total REC Delivery Activities'!F258</f>
        <v>878617.61975085607</v>
      </c>
      <c r="O10" s="60">
        <f>'Total REC Delivery Activities'!F259</f>
        <v>210174.48734671454</v>
      </c>
      <c r="P10" s="60">
        <f>'Total REC Delivery Activities'!F260</f>
        <v>521436.022855394</v>
      </c>
      <c r="Q10" s="21">
        <f>'Total REC Delivery Activities'!F261</f>
        <v>3960000</v>
      </c>
      <c r="R10" s="21">
        <f>'Total REC Delivery Activities'!F262</f>
        <v>2938633.395</v>
      </c>
      <c r="S10" s="21">
        <f>'Total REC Delivery Activities'!F263</f>
        <v>138203.65</v>
      </c>
      <c r="T10" s="209">
        <v>187060</v>
      </c>
      <c r="U10" s="46">
        <f t="shared" si="3"/>
        <v>12319960.976581899</v>
      </c>
      <c r="V10" s="46">
        <f t="shared" si="4"/>
        <v>19479423.125131946</v>
      </c>
      <c r="W10" s="202"/>
      <c r="X10" s="202"/>
      <c r="Y10" s="202"/>
    </row>
    <row r="11" spans="1:25" x14ac:dyDescent="0.3">
      <c r="A11" s="35" t="s">
        <v>151</v>
      </c>
      <c r="B11" s="8">
        <f t="shared" si="0"/>
        <v>262329.90726961574</v>
      </c>
      <c r="C11" s="8">
        <f t="shared" si="0"/>
        <v>532009.76775148767</v>
      </c>
      <c r="D11" s="8">
        <f t="shared" si="0"/>
        <v>432355.14424059814</v>
      </c>
      <c r="E11" s="46">
        <f t="shared" si="1"/>
        <v>1226694.8192617015</v>
      </c>
      <c r="F11" s="8">
        <v>1861725</v>
      </c>
      <c r="G11" s="55"/>
      <c r="H11" s="8">
        <v>4001148.5745999999</v>
      </c>
      <c r="I11" s="8">
        <v>63250.368064355753</v>
      </c>
      <c r="J11" s="46">
        <f t="shared" si="2"/>
        <v>5926123.942664356</v>
      </c>
      <c r="K11" s="60">
        <f>'Total REC Delivery Activities'!G255</f>
        <v>1118883.920071753</v>
      </c>
      <c r="L11" s="60">
        <f>'Total REC Delivery Activities'!G256</f>
        <v>1208851.0059421633</v>
      </c>
      <c r="M11" s="60">
        <f>'Total REC Delivery Activities'!G257</f>
        <v>1771751.7750455027</v>
      </c>
      <c r="N11" s="60">
        <f>'Total REC Delivery Activities'!G258</f>
        <v>1022403.9043121018</v>
      </c>
      <c r="O11" s="60">
        <f>'Total REC Delivery Activities'!G259</f>
        <v>258516.73912998097</v>
      </c>
      <c r="P11" s="60">
        <f>'Total REC Delivery Activities'!G260</f>
        <v>605130.14259179099</v>
      </c>
      <c r="Q11" s="21">
        <f>'Total REC Delivery Activities'!G261</f>
        <v>5710000</v>
      </c>
      <c r="R11" s="21">
        <f>'Total REC Delivery Activities'!G262</f>
        <v>3923940.2280249996</v>
      </c>
      <c r="S11" s="21">
        <f>'Total REC Delivery Activities'!G263</f>
        <v>202512.63175</v>
      </c>
      <c r="T11" s="209">
        <v>233825</v>
      </c>
      <c r="U11" s="46">
        <f t="shared" si="3"/>
        <v>16055815.346868293</v>
      </c>
      <c r="V11" s="46">
        <f t="shared" si="4"/>
        <v>23208634.10879435</v>
      </c>
      <c r="W11" s="202"/>
      <c r="X11" s="202"/>
      <c r="Y11" s="202"/>
    </row>
    <row r="12" spans="1:25" x14ac:dyDescent="0.3">
      <c r="A12" s="35" t="s">
        <v>152</v>
      </c>
      <c r="B12" s="8">
        <f t="shared" si="0"/>
        <v>265397.02874326851</v>
      </c>
      <c r="C12" s="8">
        <f t="shared" si="0"/>
        <v>525317.70150061441</v>
      </c>
      <c r="D12" s="8">
        <f t="shared" si="0"/>
        <v>430193.36851939507</v>
      </c>
      <c r="E12" s="46">
        <f t="shared" si="1"/>
        <v>1220908.098763278</v>
      </c>
      <c r="F12" s="8">
        <v>1861725</v>
      </c>
      <c r="G12" s="55"/>
      <c r="H12" s="8">
        <v>4001148.5745999999</v>
      </c>
      <c r="I12" s="8">
        <v>62934.116224033976</v>
      </c>
      <c r="J12" s="46">
        <f t="shared" si="2"/>
        <v>5925807.6908240337</v>
      </c>
      <c r="K12" s="60">
        <f>'Total REC Delivery Activities'!H255</f>
        <v>1275408.2338886741</v>
      </c>
      <c r="L12" s="60">
        <f>'Total REC Delivery Activities'!H256</f>
        <v>1375409.3506138006</v>
      </c>
      <c r="M12" s="60">
        <f>'Total REC Delivery Activities'!H257</f>
        <v>2059251.7614902752</v>
      </c>
      <c r="N12" s="60">
        <f>'Total REC Delivery Activities'!H258</f>
        <v>1165471.2574505412</v>
      </c>
      <c r="O12" s="60">
        <f>'Total REC Delivery Activities'!H259</f>
        <v>306617.27965433104</v>
      </c>
      <c r="P12" s="60">
        <f>'Total REC Delivery Activities'!H260</f>
        <v>688405.79172950599</v>
      </c>
      <c r="Q12" s="21">
        <f>'Total REC Delivery Activities'!H261</f>
        <v>8210000</v>
      </c>
      <c r="R12" s="21">
        <f>'Total REC Delivery Activities'!H262</f>
        <v>5904320.5268848753</v>
      </c>
      <c r="S12" s="21">
        <f>'Total REC Delivery Activities'!H263</f>
        <v>326500.06859124999</v>
      </c>
      <c r="T12" s="209">
        <v>280590</v>
      </c>
      <c r="U12" s="46">
        <f t="shared" si="3"/>
        <v>21591974.270303253</v>
      </c>
      <c r="V12" s="46">
        <f t="shared" si="4"/>
        <v>28738690.059890565</v>
      </c>
      <c r="W12" s="202"/>
      <c r="X12" s="202"/>
      <c r="Y12" s="202"/>
    </row>
    <row r="13" spans="1:25" x14ac:dyDescent="0.3">
      <c r="A13" s="35" t="s">
        <v>153</v>
      </c>
      <c r="B13" s="8">
        <f t="shared" si="0"/>
        <v>266947.85627621756</v>
      </c>
      <c r="C13" s="8">
        <f t="shared" si="0"/>
        <v>519957.11104848213</v>
      </c>
      <c r="D13" s="8">
        <f t="shared" si="0"/>
        <v>428042.40167679812</v>
      </c>
      <c r="E13" s="46">
        <f t="shared" si="1"/>
        <v>1214947.369001498</v>
      </c>
      <c r="F13" s="8">
        <v>1861725</v>
      </c>
      <c r="G13" s="55"/>
      <c r="H13" s="8">
        <v>4001148.5745999999</v>
      </c>
      <c r="I13" s="8">
        <v>62619.445642913808</v>
      </c>
      <c r="J13" s="46">
        <f t="shared" si="2"/>
        <v>5925493.0202429136</v>
      </c>
      <c r="K13" s="60">
        <f>'Total REC Delivery Activities'!I255</f>
        <v>1431149.9261365107</v>
      </c>
      <c r="L13" s="60">
        <f>'Total REC Delivery Activities'!I256</f>
        <v>1541134.9035620796</v>
      </c>
      <c r="M13" s="60">
        <f>'Total REC Delivery Activities'!I257</f>
        <v>2345314.2480028239</v>
      </c>
      <c r="N13" s="60">
        <f>'Total REC Delivery Activities'!I258</f>
        <v>1307823.2738232887</v>
      </c>
      <c r="O13" s="60">
        <f>'Total REC Delivery Activities'!I259</f>
        <v>354477.31747605943</v>
      </c>
      <c r="P13" s="60">
        <f>'Total REC Delivery Activities'!I260</f>
        <v>771265.06262153259</v>
      </c>
      <c r="Q13" s="21">
        <f>'Total REC Delivery Activities'!I261</f>
        <v>10710000</v>
      </c>
      <c r="R13" s="21">
        <f>'Total REC Delivery Activities'!I262</f>
        <v>7884798.92425045</v>
      </c>
      <c r="S13" s="21">
        <f>'Total REC Delivery Activities'!I263</f>
        <v>450492.56824829371</v>
      </c>
      <c r="T13" s="209">
        <v>315751.65413533832</v>
      </c>
      <c r="U13" s="46">
        <f t="shared" si="3"/>
        <v>27112207.878256377</v>
      </c>
      <c r="V13" s="46">
        <f t="shared" si="4"/>
        <v>34252648.267500788</v>
      </c>
      <c r="W13" s="202"/>
      <c r="X13" s="202"/>
      <c r="Y13" s="202"/>
    </row>
    <row r="14" spans="1:25" x14ac:dyDescent="0.3">
      <c r="A14" s="35" t="s">
        <v>154</v>
      </c>
      <c r="B14" s="8">
        <f t="shared" si="0"/>
        <v>268496.13633817085</v>
      </c>
      <c r="C14" s="8">
        <f t="shared" si="0"/>
        <v>514916.76776419271</v>
      </c>
      <c r="D14" s="8">
        <f t="shared" si="0"/>
        <v>425902.18966841412</v>
      </c>
      <c r="E14" s="46">
        <f t="shared" si="1"/>
        <v>1209315.0937707778</v>
      </c>
      <c r="F14" s="8">
        <v>1861725</v>
      </c>
      <c r="G14" s="55"/>
      <c r="H14" s="8">
        <v>4001148.5745999999</v>
      </c>
      <c r="I14" s="8">
        <v>62306.348414699241</v>
      </c>
      <c r="J14" s="46">
        <f t="shared" si="2"/>
        <v>5925179.9230146995</v>
      </c>
      <c r="K14" s="60">
        <f>'Total REC Delivery Activities'!J255</f>
        <v>1586112.9099231083</v>
      </c>
      <c r="L14" s="60">
        <f>'Total REC Delivery Activities'!J256</f>
        <v>1706031.8287456173</v>
      </c>
      <c r="M14" s="60">
        <f>'Total REC Delivery Activities'!J257</f>
        <v>2629946.4220828097</v>
      </c>
      <c r="N14" s="60">
        <f>'Total REC Delivery Activities'!J258</f>
        <v>1449463.530114172</v>
      </c>
      <c r="O14" s="60">
        <f>'Total REC Delivery Activities'!J259</f>
        <v>402098.05510867911</v>
      </c>
      <c r="P14" s="60">
        <f>'Total REC Delivery Activities'!J260</f>
        <v>853710.03715909889</v>
      </c>
      <c r="Q14" s="21">
        <f>'Total REC Delivery Activities'!J261</f>
        <v>13210000</v>
      </c>
      <c r="R14" s="21">
        <f>'Total REC Delivery Activities'!J262</f>
        <v>9865374.9296291992</v>
      </c>
      <c r="S14" s="21">
        <f>'Total REC Delivery Activities'!J263</f>
        <v>574490.10540705221</v>
      </c>
      <c r="T14" s="209">
        <v>350913.30827067664</v>
      </c>
      <c r="U14" s="46">
        <f t="shared" si="3"/>
        <v>32628141.126440413</v>
      </c>
      <c r="V14" s="46">
        <f t="shared" si="4"/>
        <v>39762636.143225893</v>
      </c>
      <c r="W14" s="202"/>
      <c r="X14" s="202"/>
      <c r="Y14" s="202"/>
    </row>
    <row r="15" spans="1:25" x14ac:dyDescent="0.3">
      <c r="A15" s="35" t="s">
        <v>155</v>
      </c>
      <c r="B15" s="8">
        <f t="shared" si="0"/>
        <v>259208.53533333051</v>
      </c>
      <c r="C15" s="8">
        <f t="shared" si="0"/>
        <v>516272.09365560167</v>
      </c>
      <c r="D15" s="8">
        <f t="shared" si="0"/>
        <v>423772.67872007197</v>
      </c>
      <c r="E15" s="46">
        <f t="shared" si="1"/>
        <v>1199253.307709004</v>
      </c>
      <c r="F15" s="8">
        <v>1861725</v>
      </c>
      <c r="G15" s="55"/>
      <c r="H15" s="8">
        <v>4001148.5745999999</v>
      </c>
      <c r="I15" s="8">
        <v>61994.816672625748</v>
      </c>
      <c r="J15" s="46">
        <f t="shared" si="2"/>
        <v>5924868.3912726259</v>
      </c>
      <c r="K15" s="60">
        <f>'Total REC Delivery Activities'!K255</f>
        <v>1740301.0787907727</v>
      </c>
      <c r="L15" s="60">
        <f>'Total REC Delivery Activities'!K256</f>
        <v>1870104.2693032371</v>
      </c>
      <c r="M15" s="60">
        <f>'Total REC Delivery Activities'!K257</f>
        <v>2913155.4352923958</v>
      </c>
      <c r="N15" s="60">
        <f>'Total REC Delivery Activities'!K258</f>
        <v>1590395.5851236014</v>
      </c>
      <c r="O15" s="60">
        <f>'Total REC Delivery Activities'!K259</f>
        <v>449480.68905313581</v>
      </c>
      <c r="P15" s="60">
        <f>'Total REC Delivery Activities'!K260</f>
        <v>935742.78682397748</v>
      </c>
      <c r="Q15" s="21">
        <f>'Total REC Delivery Activities'!K261</f>
        <v>15710000</v>
      </c>
      <c r="R15" s="21">
        <f>'Total REC Delivery Activities'!K262</f>
        <v>11846048.054981053</v>
      </c>
      <c r="S15" s="21">
        <f>'Total REC Delivery Activities'!K263</f>
        <v>698492.65488001704</v>
      </c>
      <c r="T15" s="209">
        <v>386074.96240601491</v>
      </c>
      <c r="U15" s="46">
        <f t="shared" si="3"/>
        <v>38139795.516654208</v>
      </c>
      <c r="V15" s="46">
        <f t="shared" si="4"/>
        <v>45263917.215635836</v>
      </c>
      <c r="W15" s="202"/>
      <c r="X15" s="202"/>
      <c r="Y15" s="202"/>
    </row>
    <row r="16" spans="1:25" x14ac:dyDescent="0.3">
      <c r="A16" s="35" t="s">
        <v>156</v>
      </c>
      <c r="B16" s="8">
        <f t="shared" si="0"/>
        <v>258708.53533333103</v>
      </c>
      <c r="C16" s="8">
        <f t="shared" si="0"/>
        <v>516269.10076560167</v>
      </c>
      <c r="D16" s="8">
        <f t="shared" si="0"/>
        <v>421653.81532647164</v>
      </c>
      <c r="E16" s="46">
        <f t="shared" si="1"/>
        <v>1196631.4514254043</v>
      </c>
      <c r="F16" s="55"/>
      <c r="G16" s="55"/>
      <c r="H16" s="8">
        <v>4001148.5745999999</v>
      </c>
      <c r="I16" s="8">
        <v>61684.842589262618</v>
      </c>
      <c r="J16" s="46">
        <f t="shared" si="2"/>
        <v>4062833.4171892623</v>
      </c>
      <c r="K16" s="60">
        <f>'Total REC Delivery Activities'!L255</f>
        <v>1893718.3068140987</v>
      </c>
      <c r="L16" s="60">
        <f>'Total REC Delivery Activities'!L256</f>
        <v>2033356.3476580689</v>
      </c>
      <c r="M16" s="60">
        <f>'Total REC Delivery Activities'!L257</f>
        <v>3194948.4034359334</v>
      </c>
      <c r="N16" s="60">
        <f>'Total REC Delivery Activities'!L258</f>
        <v>1730622.9798579831</v>
      </c>
      <c r="O16" s="60">
        <f>'Total REC Delivery Activities'!L259</f>
        <v>496626.40982787008</v>
      </c>
      <c r="P16" s="60">
        <f>'Total REC Delivery Activities'!L260</f>
        <v>1017365.3727405316</v>
      </c>
      <c r="Q16" s="21">
        <f>'Total REC Delivery Activities'!L261</f>
        <v>18210000</v>
      </c>
      <c r="R16" s="21">
        <f>'Total REC Delivery Activities'!L262</f>
        <v>13826817.814706147</v>
      </c>
      <c r="S16" s="21">
        <f>'Total REC Delivery Activities'!L263</f>
        <v>822500.19160561694</v>
      </c>
      <c r="T16" s="209">
        <v>421236.61654135323</v>
      </c>
      <c r="U16" s="46">
        <f t="shared" si="3"/>
        <v>43647192.443187609</v>
      </c>
      <c r="V16" s="46">
        <f t="shared" si="4"/>
        <v>48906657.311802275</v>
      </c>
      <c r="W16" s="202"/>
      <c r="X16" s="202"/>
      <c r="Y16" s="202"/>
    </row>
    <row r="17" spans="1:26" x14ac:dyDescent="0.3">
      <c r="A17" s="35" t="s">
        <v>157</v>
      </c>
      <c r="B17" s="8">
        <f t="shared" si="0"/>
        <v>258389.6686666637</v>
      </c>
      <c r="C17" s="8">
        <f t="shared" si="0"/>
        <v>515866.85634960164</v>
      </c>
      <c r="D17" s="8">
        <f t="shared" si="0"/>
        <v>419545.54624983924</v>
      </c>
      <c r="E17" s="46">
        <f t="shared" si="1"/>
        <v>1193802.0712661045</v>
      </c>
      <c r="F17" s="55"/>
      <c r="G17" s="55"/>
      <c r="H17" s="8">
        <v>3571148.5745999999</v>
      </c>
      <c r="I17" s="8">
        <v>61376.418376316302</v>
      </c>
      <c r="J17" s="46">
        <f t="shared" si="2"/>
        <v>3632524.9929763163</v>
      </c>
      <c r="K17" s="60">
        <f>'Total REC Delivery Activities'!M255</f>
        <v>1965309.0819886685</v>
      </c>
      <c r="L17" s="60">
        <f>'Total REC Delivery Activities'!M256</f>
        <v>2109490.8657704527</v>
      </c>
      <c r="M17" s="60">
        <f>'Total REC Delivery Activities'!M257</f>
        <v>3475332.4067387534</v>
      </c>
      <c r="N17" s="60">
        <f>'Total REC Delivery Activities'!M258</f>
        <v>1796059.5512886932</v>
      </c>
      <c r="O17" s="60">
        <f>'Total REC Delivery Activities'!M259</f>
        <v>543536.40199873073</v>
      </c>
      <c r="P17" s="60">
        <f>'Total REC Delivery Activities'!M260</f>
        <v>1055429.1958021659</v>
      </c>
      <c r="Q17" s="21">
        <f>'Total REC Delivery Activities'!M261</f>
        <v>20710000</v>
      </c>
      <c r="R17" s="21">
        <f>'Total REC Delivery Activities'!M262</f>
        <v>15807683.725632615</v>
      </c>
      <c r="S17" s="21">
        <f>'Total REC Delivery Activities'!M263</f>
        <v>946512.69064758881</v>
      </c>
      <c r="T17" s="209">
        <v>456398.27067669155</v>
      </c>
      <c r="U17" s="46">
        <f t="shared" si="3"/>
        <v>48865752.190544359</v>
      </c>
      <c r="V17" s="46">
        <f t="shared" si="4"/>
        <v>53692079.254786782</v>
      </c>
      <c r="W17" s="202"/>
      <c r="X17" s="202"/>
      <c r="Y17" s="202"/>
    </row>
    <row r="18" spans="1:26" x14ac:dyDescent="0.3">
      <c r="A18" s="35" t="s">
        <v>158</v>
      </c>
      <c r="B18" s="8">
        <f t="shared" si="0"/>
        <v>200941.73533333145</v>
      </c>
      <c r="C18" s="8">
        <f t="shared" si="0"/>
        <v>444647.44733160239</v>
      </c>
      <c r="D18" s="8">
        <f t="shared" si="0"/>
        <v>417447.81851859001</v>
      </c>
      <c r="E18" s="46">
        <f t="shared" si="1"/>
        <v>1063037.0011835238</v>
      </c>
      <c r="F18" s="55"/>
      <c r="G18" s="55"/>
      <c r="H18" s="8">
        <v>3571148.5745999999</v>
      </c>
      <c r="I18" s="8">
        <v>61069.536284434718</v>
      </c>
      <c r="J18" s="46">
        <f t="shared" si="2"/>
        <v>3632218.1108844345</v>
      </c>
      <c r="K18" s="60">
        <f>'Total REC Delivery Activities'!N255</f>
        <v>2036541.9032873649</v>
      </c>
      <c r="L18" s="60">
        <f>'Total REC Delivery Activities'!N256</f>
        <v>2185244.7112922748</v>
      </c>
      <c r="M18" s="60">
        <f>'Total REC Delivery Activities'!N257</f>
        <v>3606135.1173650594</v>
      </c>
      <c r="N18" s="60">
        <f>'Total REC Delivery Activities'!N258</f>
        <v>1861168.9398622497</v>
      </c>
      <c r="O18" s="60">
        <f>'Total REC Delivery Activities'!N259</f>
        <v>565515.28209873708</v>
      </c>
      <c r="P18" s="60">
        <f>'Total REC Delivery Activities'!N260</f>
        <v>1093302.6997484921</v>
      </c>
      <c r="Q18" s="21">
        <f>'Total REC Delivery Activities'!N261</f>
        <v>23210000</v>
      </c>
      <c r="R18" s="21">
        <f>'Total REC Delivery Activities'!N262</f>
        <v>17788645.307004452</v>
      </c>
      <c r="S18" s="21">
        <f>'Total REC Delivery Activities'!N263</f>
        <v>1070530.1271943511</v>
      </c>
      <c r="T18" s="209">
        <v>491559.92481202987</v>
      </c>
      <c r="U18" s="46">
        <f t="shared" si="3"/>
        <v>53908644.012665004</v>
      </c>
      <c r="V18" s="46">
        <f t="shared" si="4"/>
        <v>58603899.124732964</v>
      </c>
      <c r="W18" s="202"/>
      <c r="X18" s="202"/>
      <c r="Y18" s="202"/>
    </row>
    <row r="19" spans="1:26" x14ac:dyDescent="0.3">
      <c r="A19" s="35" t="s">
        <v>159</v>
      </c>
      <c r="B19" s="8">
        <f t="shared" si="0"/>
        <v>78391.335333330877</v>
      </c>
      <c r="C19" s="8">
        <f t="shared" si="0"/>
        <v>189651.27373893515</v>
      </c>
      <c r="D19" s="8">
        <f t="shared" si="0"/>
        <v>319613.06666666653</v>
      </c>
      <c r="E19" s="46">
        <f t="shared" si="1"/>
        <v>587655.67573893256</v>
      </c>
      <c r="F19" s="55"/>
      <c r="G19" s="55"/>
      <c r="H19" s="8">
        <v>3271148.5745999999</v>
      </c>
      <c r="I19" s="8">
        <v>60764.188603012546</v>
      </c>
      <c r="J19" s="46">
        <f t="shared" si="2"/>
        <v>3331912.7632030123</v>
      </c>
      <c r="K19" s="60">
        <f>'Total REC Delivery Activities'!O255</f>
        <v>2107418.5604795683</v>
      </c>
      <c r="L19" s="60">
        <f>'Total REC Delivery Activities'!O256</f>
        <v>2260619.7875864874</v>
      </c>
      <c r="M19" s="60">
        <f>'Total REC Delivery Activities'!O257</f>
        <v>3736283.8144382345</v>
      </c>
      <c r="N19" s="60">
        <f>'Total REC Delivery Activities'!O258</f>
        <v>1925952.7814929388</v>
      </c>
      <c r="O19" s="60">
        <f>'Total REC Delivery Activities'!O259</f>
        <v>587384.26779824344</v>
      </c>
      <c r="P19" s="60">
        <f>'Total REC Delivery Activities'!O260</f>
        <v>1130986.8361750867</v>
      </c>
      <c r="Q19" s="21">
        <f>'Total REC Delivery Activities'!O261</f>
        <v>25710000</v>
      </c>
      <c r="R19" s="21">
        <f>'Total REC Delivery Activities'!O262</f>
        <v>19769702.080469429</v>
      </c>
      <c r="S19" s="21">
        <f>'Total REC Delivery Activities'!O263</f>
        <v>1194552.4765583791</v>
      </c>
      <c r="T19" s="209">
        <v>526721.57894736819</v>
      </c>
      <c r="U19" s="46">
        <f t="shared" si="3"/>
        <v>58949622.183945738</v>
      </c>
      <c r="V19" s="46">
        <f t="shared" si="4"/>
        <v>62869190.622887686</v>
      </c>
      <c r="W19" s="202"/>
      <c r="X19" s="202"/>
      <c r="Y19" s="202"/>
    </row>
    <row r="20" spans="1:26" x14ac:dyDescent="0.3">
      <c r="A20" s="35" t="s">
        <v>61</v>
      </c>
      <c r="B20" s="8">
        <f t="shared" si="0"/>
        <v>41124.268666664269</v>
      </c>
      <c r="C20" s="8">
        <f t="shared" si="0"/>
        <v>87254.919241601863</v>
      </c>
      <c r="D20" s="8">
        <f t="shared" si="0"/>
        <v>34303.26666666667</v>
      </c>
      <c r="E20" s="46">
        <f t="shared" si="1"/>
        <v>162682.45457493281</v>
      </c>
      <c r="F20" s="55"/>
      <c r="G20" s="55"/>
      <c r="H20" s="8"/>
      <c r="I20" s="8">
        <v>60460.367659997486</v>
      </c>
      <c r="J20" s="46">
        <f t="shared" si="2"/>
        <v>60460.367659997486</v>
      </c>
      <c r="K20" s="60">
        <f>'Total REC Delivery Activities'!P255</f>
        <v>2177940.8343858104</v>
      </c>
      <c r="L20" s="60">
        <f>'Total REC Delivery Activities'!P256</f>
        <v>2335617.9884992284</v>
      </c>
      <c r="M20" s="60">
        <f>'Total REC Delivery Activities'!P257</f>
        <v>3865781.7680260437</v>
      </c>
      <c r="N20" s="60">
        <f>'Total REC Delivery Activities'!P258</f>
        <v>1990412.703915474</v>
      </c>
      <c r="O20" s="60">
        <f>'Total REC Delivery Activities'!P259</f>
        <v>609143.90856925223</v>
      </c>
      <c r="P20" s="60">
        <f>'Total REC Delivery Activities'!P260</f>
        <v>1168482.5519195481</v>
      </c>
      <c r="Q20" s="21">
        <f>'Total REC Delivery Activities'!P261</f>
        <v>26960000</v>
      </c>
      <c r="R20" s="21">
        <f>'Total REC Delivery Activities'!P262</f>
        <v>20750853.570067085</v>
      </c>
      <c r="S20" s="21">
        <f>'Total REC Delivery Activities'!P263</f>
        <v>1256079.7141755873</v>
      </c>
      <c r="T20" s="209">
        <v>561883.23308270646</v>
      </c>
      <c r="U20" s="46">
        <f t="shared" si="3"/>
        <v>61676196.272640735</v>
      </c>
      <c r="V20" s="46">
        <f t="shared" si="4"/>
        <v>61899339.094875664</v>
      </c>
      <c r="W20" s="202"/>
      <c r="X20" s="202"/>
      <c r="Y20" s="202"/>
    </row>
    <row r="21" spans="1:26" x14ac:dyDescent="0.3">
      <c r="A21" s="35" t="s">
        <v>62</v>
      </c>
      <c r="B21" s="8">
        <f t="shared" si="0"/>
        <v>154.260456</v>
      </c>
      <c r="C21" s="8">
        <f t="shared" si="0"/>
        <v>0</v>
      </c>
      <c r="D21" s="8">
        <f t="shared" si="0"/>
        <v>0</v>
      </c>
      <c r="E21" s="46">
        <f t="shared" si="1"/>
        <v>154.260456</v>
      </c>
      <c r="F21" s="55"/>
      <c r="G21" s="55"/>
      <c r="H21" s="8"/>
      <c r="I21" s="8">
        <v>60158.065821697499</v>
      </c>
      <c r="J21" s="46">
        <f t="shared" si="2"/>
        <v>60158.065821697499</v>
      </c>
      <c r="K21" s="60">
        <f>'Total REC Delivery Activities'!Q255</f>
        <v>1947221.327618036</v>
      </c>
      <c r="L21" s="60">
        <f>'Total REC Delivery Activities'!Q256</f>
        <v>2073143.9004997772</v>
      </c>
      <c r="M21" s="60">
        <f>'Total REC Delivery Activities'!Q257</f>
        <v>3994632.2318459135</v>
      </c>
      <c r="N21" s="60">
        <f>'Total REC Delivery Activities'!Q258</f>
        <v>2054550.3267258967</v>
      </c>
      <c r="O21" s="60">
        <f>'Total REC Delivery Activities'!Q259</f>
        <v>630794.75113640598</v>
      </c>
      <c r="P21" s="60">
        <f>'Total REC Delivery Activities'!Q260</f>
        <v>1036571.9502498886</v>
      </c>
      <c r="Q21" s="21">
        <f>'Total REC Delivery Activities'!Q261</f>
        <v>28210000</v>
      </c>
      <c r="R21" s="21">
        <f>'Total REC Delivery Activities'!Q262</f>
        <v>21732099.302216746</v>
      </c>
      <c r="S21" s="21">
        <f>'Total REC Delivery Activities'!Q263</f>
        <v>1317611.8156047093</v>
      </c>
      <c r="T21" s="209">
        <v>597044.88721804484</v>
      </c>
      <c r="U21" s="46">
        <f t="shared" si="3"/>
        <v>63593670.493115418</v>
      </c>
      <c r="V21" s="46">
        <f t="shared" si="4"/>
        <v>63653982.819393113</v>
      </c>
      <c r="W21" s="202"/>
      <c r="X21" s="202"/>
      <c r="Y21" s="202"/>
    </row>
    <row r="22" spans="1:26" x14ac:dyDescent="0.3">
      <c r="A22" s="35" t="s">
        <v>63</v>
      </c>
      <c r="B22" s="8">
        <f t="shared" si="0"/>
        <v>0</v>
      </c>
      <c r="C22" s="8">
        <f t="shared" si="0"/>
        <v>0</v>
      </c>
      <c r="D22" s="8">
        <f t="shared" si="0"/>
        <v>0</v>
      </c>
      <c r="E22" s="46">
        <f t="shared" si="1"/>
        <v>0</v>
      </c>
      <c r="F22" s="55"/>
      <c r="G22" s="55"/>
      <c r="H22" s="8"/>
      <c r="I22" s="8">
        <v>59857.275492589011</v>
      </c>
      <c r="J22" s="46">
        <f t="shared" si="2"/>
        <v>59857.275492589011</v>
      </c>
      <c r="K22" s="60">
        <f>'Total REC Delivery Activities'!R255</f>
        <v>1868168.281306586</v>
      </c>
      <c r="L22" s="60">
        <f>'Total REC Delivery Activities'!R256</f>
        <v>1988978.6654276103</v>
      </c>
      <c r="M22" s="60">
        <f>'Total REC Delivery Activities'!R257</f>
        <v>4122838.4433466839</v>
      </c>
      <c r="N22" s="60">
        <f>'Total REC Delivery Activities'!R258</f>
        <v>2118367.2614222672</v>
      </c>
      <c r="O22" s="60">
        <f>'Total REC Delivery Activities'!R259</f>
        <v>593264.84294269339</v>
      </c>
      <c r="P22" s="60">
        <f>'Total REC Delivery Activities'!R260</f>
        <v>994489.33271380514</v>
      </c>
      <c r="Q22" s="21">
        <f>'Total REC Delivery Activities'!R261</f>
        <v>29460000</v>
      </c>
      <c r="R22" s="21">
        <f>'Total REC Delivery Activities'!R262</f>
        <v>22713438.805705667</v>
      </c>
      <c r="S22" s="21">
        <f>'Total REC Delivery Activities'!R263</f>
        <v>1379148.7565266858</v>
      </c>
      <c r="T22" s="209">
        <v>632206.5413533831</v>
      </c>
      <c r="U22" s="46">
        <f t="shared" si="3"/>
        <v>65870900.930745378</v>
      </c>
      <c r="V22" s="46">
        <f t="shared" si="4"/>
        <v>65930758.206237964</v>
      </c>
      <c r="W22" s="202"/>
      <c r="X22" s="202"/>
      <c r="Y22" s="202"/>
    </row>
    <row r="23" spans="1:26" x14ac:dyDescent="0.3">
      <c r="A23" s="35" t="s">
        <v>64</v>
      </c>
      <c r="B23" s="8">
        <f t="shared" si="0"/>
        <v>0</v>
      </c>
      <c r="C23" s="8">
        <f t="shared" si="0"/>
        <v>0</v>
      </c>
      <c r="D23" s="8">
        <f t="shared" si="0"/>
        <v>0</v>
      </c>
      <c r="E23" s="46">
        <f t="shared" si="1"/>
        <v>0</v>
      </c>
      <c r="F23" s="55"/>
      <c r="G23" s="55"/>
      <c r="H23" s="8"/>
      <c r="I23" s="8">
        <v>59557.989115126067</v>
      </c>
      <c r="J23" s="46">
        <f t="shared" si="2"/>
        <v>59557.989115126067</v>
      </c>
      <c r="K23" s="60">
        <f>'Total REC Delivery Activities'!S255</f>
        <v>1789510.5002266932</v>
      </c>
      <c r="L23" s="60">
        <f>'Total REC Delivery Activities'!S256</f>
        <v>1905234.2565308043</v>
      </c>
      <c r="M23" s="60">
        <f>'Total REC Delivery Activities'!S257</f>
        <v>4250403.6237899503</v>
      </c>
      <c r="N23" s="60">
        <f>'Total REC Delivery Activities'!S258</f>
        <v>2181865.1114451559</v>
      </c>
      <c r="O23" s="60">
        <f>'Total REC Delivery Activities'!S259</f>
        <v>569179.55153851898</v>
      </c>
      <c r="P23" s="60">
        <f>'Total REC Delivery Activities'!S260</f>
        <v>952617.12826540216</v>
      </c>
      <c r="Q23" s="21">
        <f>'Total REC Delivery Activities'!S261</f>
        <v>30710000</v>
      </c>
      <c r="R23" s="21">
        <f>'Total REC Delivery Activities'!S262</f>
        <v>23694871.611677136</v>
      </c>
      <c r="S23" s="21">
        <f>'Total REC Delivery Activities'!S263</f>
        <v>1440690.5127440523</v>
      </c>
      <c r="T23" s="209">
        <v>667368.19548872148</v>
      </c>
      <c r="U23" s="46">
        <f t="shared" si="3"/>
        <v>68161740.491706431</v>
      </c>
      <c r="V23" s="46">
        <f t="shared" si="4"/>
        <v>68221298.48082155</v>
      </c>
      <c r="W23" s="202"/>
      <c r="X23" s="202"/>
      <c r="Y23" s="202"/>
    </row>
    <row r="24" spans="1:26" x14ac:dyDescent="0.3">
      <c r="A24" s="35" t="s">
        <v>65</v>
      </c>
      <c r="B24" s="8">
        <f t="shared" si="0"/>
        <v>0</v>
      </c>
      <c r="C24" s="8">
        <f t="shared" si="0"/>
        <v>0</v>
      </c>
      <c r="D24" s="8">
        <f t="shared" si="0"/>
        <v>0</v>
      </c>
      <c r="E24" s="46">
        <f t="shared" si="1"/>
        <v>0</v>
      </c>
      <c r="F24" s="55"/>
      <c r="G24" s="55"/>
      <c r="H24" s="8"/>
      <c r="I24" s="8">
        <v>59260.199169550433</v>
      </c>
      <c r="J24" s="46">
        <f t="shared" si="2"/>
        <v>59260.199169550433</v>
      </c>
      <c r="K24" s="60">
        <f>'Total REC Delivery Activities'!T255</f>
        <v>1711246.0080521998</v>
      </c>
      <c r="L24" s="60">
        <f>'Total REC Delivery Activities'!T256</f>
        <v>1821908.5696784819</v>
      </c>
      <c r="M24" s="60">
        <f>'Total REC Delivery Activities'!T257</f>
        <v>4377330.9783310005</v>
      </c>
      <c r="N24" s="60">
        <f>'Total REC Delivery Activities'!T258</f>
        <v>2245045.4722179295</v>
      </c>
      <c r="O24" s="60">
        <f>'Total REC Delivery Activities'!T259</f>
        <v>545214.68659136526</v>
      </c>
      <c r="P24" s="60">
        <f>'Total REC Delivery Activities'!T260</f>
        <v>910954.28483924095</v>
      </c>
      <c r="Q24" s="21">
        <f>'Total REC Delivery Activities'!T261</f>
        <v>31960000</v>
      </c>
      <c r="R24" s="21">
        <f>'Total REC Delivery Activities'!T262</f>
        <v>24676397.253618751</v>
      </c>
      <c r="S24" s="21">
        <f>'Total REC Delivery Activities'!T263</f>
        <v>1502237.060180332</v>
      </c>
      <c r="T24" s="209">
        <v>702529.84962405975</v>
      </c>
      <c r="U24" s="46">
        <f t="shared" si="3"/>
        <v>70452864.163133353</v>
      </c>
      <c r="V24" s="46">
        <f t="shared" si="4"/>
        <v>70512124.362302899</v>
      </c>
      <c r="W24" s="202"/>
      <c r="X24" s="202"/>
      <c r="Y24" s="202"/>
    </row>
    <row r="25" spans="1:26" x14ac:dyDescent="0.3">
      <c r="A25" s="35" t="s">
        <v>66</v>
      </c>
      <c r="B25" s="8">
        <f t="shared" si="0"/>
        <v>0</v>
      </c>
      <c r="C25" s="8">
        <f t="shared" si="0"/>
        <v>0</v>
      </c>
      <c r="D25" s="8">
        <f t="shared" si="0"/>
        <v>0</v>
      </c>
      <c r="E25" s="46">
        <f t="shared" si="1"/>
        <v>0</v>
      </c>
      <c r="F25" s="55"/>
      <c r="G25" s="55"/>
      <c r="H25" s="8"/>
      <c r="I25" s="8">
        <v>58963.898173702677</v>
      </c>
      <c r="J25" s="46">
        <f t="shared" si="2"/>
        <v>58963.898173702677</v>
      </c>
      <c r="K25" s="60">
        <f>'Total REC Delivery Activities'!U255</f>
        <v>1552313.471629939</v>
      </c>
      <c r="L25" s="60">
        <f>'Total REC Delivery Activities'!U256</f>
        <v>1652698.2114097476</v>
      </c>
      <c r="M25" s="60">
        <f>'Total REC Delivery Activities'!U257</f>
        <v>4503623.6960993446</v>
      </c>
      <c r="N25" s="60">
        <f>'Total REC Delivery Activities'!U258</f>
        <v>2233820.24485684</v>
      </c>
      <c r="O25" s="60">
        <f>'Total REC Delivery Activities'!U259</f>
        <v>521369.64596894744</v>
      </c>
      <c r="P25" s="60">
        <f>'Total REC Delivery Activities'!U260</f>
        <v>826349.1057048738</v>
      </c>
      <c r="Q25" s="21">
        <f>'Total REC Delivery Activities'!U261</f>
        <v>33210000</v>
      </c>
      <c r="R25" s="21">
        <f>'Total REC Delivery Activities'!U262</f>
        <v>25658015.267350659</v>
      </c>
      <c r="S25" s="21">
        <f>'Total REC Delivery Activities'!U263</f>
        <v>1563788.3748794305</v>
      </c>
      <c r="T25" s="209">
        <v>737691.50375939801</v>
      </c>
      <c r="U25" s="46">
        <f t="shared" si="3"/>
        <v>72459669.521659181</v>
      </c>
      <c r="V25" s="46">
        <f t="shared" si="4"/>
        <v>72518633.419832885</v>
      </c>
      <c r="W25" s="202"/>
      <c r="X25" s="202"/>
      <c r="Y25" s="202"/>
    </row>
    <row r="26" spans="1:26" x14ac:dyDescent="0.3">
      <c r="A26" s="35" t="s">
        <v>67</v>
      </c>
      <c r="B26" s="8">
        <f t="shared" si="0"/>
        <v>0</v>
      </c>
      <c r="C26" s="8">
        <f t="shared" si="0"/>
        <v>0</v>
      </c>
      <c r="D26" s="8">
        <f t="shared" si="0"/>
        <v>0</v>
      </c>
      <c r="E26" s="46">
        <f t="shared" si="1"/>
        <v>0</v>
      </c>
      <c r="F26" s="55"/>
      <c r="G26" s="55"/>
      <c r="H26" s="8"/>
      <c r="I26" s="8">
        <v>58669.078682834166</v>
      </c>
      <c r="J26" s="46">
        <f t="shared" si="2"/>
        <v>58669.078682834166</v>
      </c>
      <c r="K26" s="60">
        <f>'Total REC Delivery Activities'!V255</f>
        <v>1394175.5978897894</v>
      </c>
      <c r="L26" s="60">
        <f>'Total REC Delivery Activities'!V256</f>
        <v>1484333.9049323569</v>
      </c>
      <c r="M26" s="60">
        <f>'Total REC Delivery Activities'!V257</f>
        <v>4481105.5776188485</v>
      </c>
      <c r="N26" s="60">
        <f>'Total REC Delivery Activities'!V258</f>
        <v>1954695.894319705</v>
      </c>
      <c r="O26" s="60">
        <f>'Total REC Delivery Activities'!V259</f>
        <v>472947.26843964169</v>
      </c>
      <c r="P26" s="60">
        <f>'Total REC Delivery Activities'!V260</f>
        <v>742166.95246617845</v>
      </c>
      <c r="Q26" s="21">
        <f>'Total REC Delivery Activities'!V261</f>
        <v>34460000</v>
      </c>
      <c r="R26" s="21">
        <f>'Total REC Delivery Activities'!V262</f>
        <v>26639725.191013902</v>
      </c>
      <c r="S26" s="21">
        <f>'Total REC Delivery Activities'!V263</f>
        <v>1625344.4330050333</v>
      </c>
      <c r="T26" s="209">
        <v>772853.15789473639</v>
      </c>
      <c r="U26" s="46">
        <f t="shared" si="3"/>
        <v>74027347.97758019</v>
      </c>
      <c r="V26" s="46">
        <f t="shared" si="4"/>
        <v>74086017.05626303</v>
      </c>
      <c r="W26" s="202"/>
      <c r="X26" s="202"/>
      <c r="Y26" s="202"/>
    </row>
    <row r="28" spans="1:26" x14ac:dyDescent="0.3">
      <c r="E28" s="19"/>
      <c r="F28" s="19"/>
      <c r="J28" s="202"/>
    </row>
    <row r="29" spans="1:26" x14ac:dyDescent="0.3">
      <c r="A29" s="35" t="s">
        <v>94</v>
      </c>
      <c r="B29" s="126">
        <v>0.27317999999999998</v>
      </c>
    </row>
    <row r="30" spans="1:26" ht="28.8" x14ac:dyDescent="0.3">
      <c r="A30" s="29" t="s">
        <v>43</v>
      </c>
      <c r="B30" s="29" t="s">
        <v>133</v>
      </c>
      <c r="C30" s="29" t="s">
        <v>134</v>
      </c>
      <c r="D30" s="29" t="s">
        <v>135</v>
      </c>
      <c r="E30" s="61" t="s">
        <v>136</v>
      </c>
      <c r="F30" s="29" t="s">
        <v>118</v>
      </c>
      <c r="G30" s="29" t="s">
        <v>137</v>
      </c>
      <c r="H30" s="29" t="s">
        <v>138</v>
      </c>
      <c r="I30" s="208" t="s">
        <v>204</v>
      </c>
      <c r="J30" s="61" t="s">
        <v>139</v>
      </c>
      <c r="K30" s="29" t="s">
        <v>6</v>
      </c>
      <c r="L30" s="29" t="s">
        <v>12</v>
      </c>
      <c r="M30" s="181" t="s">
        <v>21</v>
      </c>
      <c r="N30" s="29" t="s">
        <v>25</v>
      </c>
      <c r="O30" s="181" t="s">
        <v>29</v>
      </c>
      <c r="P30" s="181" t="s">
        <v>33</v>
      </c>
      <c r="Q30" s="29" t="s">
        <v>40</v>
      </c>
      <c r="R30" s="29" t="s">
        <v>41</v>
      </c>
      <c r="S30" s="29" t="s">
        <v>42</v>
      </c>
      <c r="T30" s="181" t="s">
        <v>119</v>
      </c>
      <c r="U30" s="61" t="s">
        <v>140</v>
      </c>
      <c r="V30" s="61" t="s">
        <v>141</v>
      </c>
    </row>
    <row r="31" spans="1:26" x14ac:dyDescent="0.3">
      <c r="A31" s="29"/>
      <c r="B31" s="29"/>
      <c r="C31" s="29"/>
      <c r="D31" s="29"/>
      <c r="E31" s="61" t="s">
        <v>142</v>
      </c>
      <c r="F31" s="29"/>
      <c r="G31" s="29"/>
      <c r="H31" s="29"/>
      <c r="I31" s="29"/>
      <c r="J31" s="61" t="s">
        <v>143</v>
      </c>
      <c r="K31" s="29"/>
      <c r="L31" s="29"/>
      <c r="M31" s="29"/>
      <c r="N31" s="29"/>
      <c r="O31" s="29"/>
      <c r="P31" s="29"/>
      <c r="Q31" s="29"/>
      <c r="R31" s="29"/>
      <c r="S31" s="29"/>
      <c r="T31" s="29"/>
      <c r="U31" s="61"/>
      <c r="V31" s="61"/>
    </row>
    <row r="32" spans="1:26" x14ac:dyDescent="0.3">
      <c r="A32" s="35" t="s">
        <v>144</v>
      </c>
      <c r="B32" s="8">
        <v>49863.21758400221</v>
      </c>
      <c r="C32" s="8">
        <v>94276.694500000056</v>
      </c>
      <c r="D32" s="8">
        <v>60761.28791599875</v>
      </c>
      <c r="E32" s="46">
        <f t="shared" ref="E32:E54" si="5">SUM(B32:D32)</f>
        <v>204901.20000000103</v>
      </c>
      <c r="F32" s="8">
        <v>600000</v>
      </c>
      <c r="G32" s="8">
        <v>3273</v>
      </c>
      <c r="H32" s="8">
        <v>214109</v>
      </c>
      <c r="I32" s="8">
        <f t="shared" ref="I32:I54" si="6">I4*$B$29</f>
        <v>15918.635688</v>
      </c>
      <c r="J32" s="46">
        <f t="shared" ref="J32:J54" si="7">SUM(F32:I32)</f>
        <v>833300.63568800001</v>
      </c>
      <c r="K32" s="46">
        <f t="shared" ref="K32:S32" si="8">$B$29*K4</f>
        <v>0</v>
      </c>
      <c r="L32" s="46">
        <f t="shared" si="8"/>
        <v>0</v>
      </c>
      <c r="M32" s="46">
        <f t="shared" si="8"/>
        <v>0</v>
      </c>
      <c r="N32" s="46">
        <f t="shared" si="8"/>
        <v>0</v>
      </c>
      <c r="O32" s="46">
        <f t="shared" si="8"/>
        <v>0</v>
      </c>
      <c r="P32" s="46">
        <f t="shared" si="8"/>
        <v>0</v>
      </c>
      <c r="Q32" s="46">
        <f t="shared" si="8"/>
        <v>0</v>
      </c>
      <c r="R32" s="46">
        <f t="shared" si="8"/>
        <v>0</v>
      </c>
      <c r="S32" s="46">
        <f t="shared" si="8"/>
        <v>0</v>
      </c>
      <c r="T32" s="46">
        <f t="shared" ref="T32:T54" si="9">T4*$B$29</f>
        <v>0</v>
      </c>
      <c r="U32" s="46">
        <f t="shared" ref="U32:U54" si="10">SUM(K32:T32)</f>
        <v>0</v>
      </c>
      <c r="V32" s="46">
        <f t="shared" ref="V32:V54" si="11">E32+J32+U32</f>
        <v>1038201.835688001</v>
      </c>
      <c r="X32" s="19"/>
      <c r="Z32" s="19"/>
    </row>
    <row r="33" spans="1:26" x14ac:dyDescent="0.3">
      <c r="A33" s="35" t="s">
        <v>145</v>
      </c>
      <c r="B33" s="8">
        <v>60091.659567998628</v>
      </c>
      <c r="C33" s="8">
        <v>121338.67020400011</v>
      </c>
      <c r="D33" s="8">
        <v>114836.47689466861</v>
      </c>
      <c r="E33" s="46">
        <f t="shared" si="5"/>
        <v>296266.80666666734</v>
      </c>
      <c r="F33" s="8">
        <v>600000</v>
      </c>
      <c r="G33" s="8">
        <v>2838</v>
      </c>
      <c r="H33" s="8">
        <v>875109.28229999996</v>
      </c>
      <c r="I33" s="8">
        <f t="shared" si="6"/>
        <v>17806.291276</v>
      </c>
      <c r="J33" s="46">
        <f t="shared" si="7"/>
        <v>1495753.5735760001</v>
      </c>
      <c r="K33" s="46">
        <f t="shared" ref="K33:S33" si="12">$B$29*K5</f>
        <v>0</v>
      </c>
      <c r="L33" s="46">
        <f t="shared" si="12"/>
        <v>0</v>
      </c>
      <c r="M33" s="46">
        <f t="shared" si="12"/>
        <v>0</v>
      </c>
      <c r="N33" s="46">
        <f t="shared" si="12"/>
        <v>0</v>
      </c>
      <c r="O33" s="46">
        <f t="shared" si="12"/>
        <v>0</v>
      </c>
      <c r="P33" s="46">
        <f t="shared" si="12"/>
        <v>0</v>
      </c>
      <c r="Q33" s="46">
        <f t="shared" si="12"/>
        <v>0</v>
      </c>
      <c r="R33" s="46">
        <f t="shared" si="12"/>
        <v>0</v>
      </c>
      <c r="S33" s="46">
        <f t="shared" si="12"/>
        <v>0</v>
      </c>
      <c r="T33" s="46">
        <f t="shared" si="9"/>
        <v>0</v>
      </c>
      <c r="U33" s="46">
        <f t="shared" si="10"/>
        <v>0</v>
      </c>
      <c r="V33" s="46">
        <f t="shared" si="11"/>
        <v>1792020.3802426674</v>
      </c>
      <c r="X33" s="19"/>
      <c r="Z33" s="19"/>
    </row>
    <row r="34" spans="1:26" x14ac:dyDescent="0.3">
      <c r="A34" s="35" t="s">
        <v>146</v>
      </c>
      <c r="B34" s="8">
        <v>67712.598998357076</v>
      </c>
      <c r="C34" s="8">
        <v>120928.42778471862</v>
      </c>
      <c r="D34" s="8">
        <v>117921</v>
      </c>
      <c r="E34" s="46">
        <f t="shared" si="5"/>
        <v>306562.02678307571</v>
      </c>
      <c r="F34" s="8">
        <v>600000</v>
      </c>
      <c r="G34" s="8">
        <v>327</v>
      </c>
      <c r="H34" s="8">
        <v>1173535.2823000001</v>
      </c>
      <c r="I34" s="8">
        <f t="shared" si="6"/>
        <v>17717.259819620002</v>
      </c>
      <c r="J34" s="46">
        <f t="shared" si="7"/>
        <v>1791579.5421196201</v>
      </c>
      <c r="K34" s="46">
        <f t="shared" ref="K34:S34" si="13">$B$29*K6</f>
        <v>88615.408701429129</v>
      </c>
      <c r="L34" s="46">
        <f t="shared" si="13"/>
        <v>99279.129572134814</v>
      </c>
      <c r="M34" s="46">
        <f t="shared" si="13"/>
        <v>0</v>
      </c>
      <c r="N34" s="46">
        <f t="shared" si="13"/>
        <v>80918.822635199991</v>
      </c>
      <c r="O34" s="46">
        <f t="shared" si="13"/>
        <v>0</v>
      </c>
      <c r="P34" s="46">
        <f t="shared" si="13"/>
        <v>49836.94360964364</v>
      </c>
      <c r="Q34" s="46">
        <f t="shared" si="13"/>
        <v>0</v>
      </c>
      <c r="R34" s="46">
        <f t="shared" si="13"/>
        <v>0</v>
      </c>
      <c r="S34" s="46">
        <f t="shared" si="13"/>
        <v>0</v>
      </c>
      <c r="T34" s="46">
        <f t="shared" si="9"/>
        <v>0</v>
      </c>
      <c r="U34" s="46">
        <f t="shared" si="10"/>
        <v>318650.30451840756</v>
      </c>
      <c r="V34" s="46">
        <f t="shared" si="11"/>
        <v>2416791.8734211037</v>
      </c>
      <c r="W34" s="202"/>
      <c r="X34" s="19"/>
      <c r="Z34" s="19"/>
    </row>
    <row r="35" spans="1:26" x14ac:dyDescent="0.3">
      <c r="A35" s="35" t="s">
        <v>147</v>
      </c>
      <c r="B35" s="8">
        <v>74811.866655966602</v>
      </c>
      <c r="C35" s="8">
        <v>145554.31623470967</v>
      </c>
      <c r="D35" s="8">
        <v>120502.81944573998</v>
      </c>
      <c r="E35" s="46">
        <f t="shared" si="5"/>
        <v>340869.00233641622</v>
      </c>
      <c r="F35" s="8">
        <v>600000</v>
      </c>
      <c r="G35" s="55"/>
      <c r="H35" s="8">
        <v>1173535.2823000001</v>
      </c>
      <c r="I35" s="8">
        <f t="shared" si="6"/>
        <v>17628.673520521901</v>
      </c>
      <c r="J35" s="46">
        <f t="shared" si="7"/>
        <v>1791163.955820522</v>
      </c>
      <c r="K35" s="46">
        <f t="shared" ref="K35:S35" si="14">$B$29*K7</f>
        <v>132459.92725285454</v>
      </c>
      <c r="L35" s="46">
        <f t="shared" si="14"/>
        <v>145934.31211068845</v>
      </c>
      <c r="M35" s="46">
        <f t="shared" si="14"/>
        <v>165883.58640215997</v>
      </c>
      <c r="N35" s="46">
        <f t="shared" si="14"/>
        <v>120993.86954528278</v>
      </c>
      <c r="O35" s="46">
        <f t="shared" si="14"/>
        <v>17397.546866567998</v>
      </c>
      <c r="P35" s="46">
        <f t="shared" si="14"/>
        <v>73163.547984802557</v>
      </c>
      <c r="Q35" s="46">
        <f t="shared" si="14"/>
        <v>0</v>
      </c>
      <c r="R35" s="46">
        <f t="shared" si="14"/>
        <v>0</v>
      </c>
      <c r="S35" s="46">
        <f t="shared" si="14"/>
        <v>0</v>
      </c>
      <c r="T35" s="46">
        <f t="shared" si="9"/>
        <v>12839.46</v>
      </c>
      <c r="U35" s="46">
        <f t="shared" si="10"/>
        <v>668672.2501623563</v>
      </c>
      <c r="V35" s="46">
        <f t="shared" si="11"/>
        <v>2800705.2083192943</v>
      </c>
      <c r="W35" s="202"/>
      <c r="X35" s="19"/>
      <c r="Z35" s="19"/>
    </row>
    <row r="36" spans="1:26" x14ac:dyDescent="0.3">
      <c r="A36" s="35" t="s">
        <v>148</v>
      </c>
      <c r="B36" s="8">
        <v>74021.90561819858</v>
      </c>
      <c r="C36" s="8">
        <v>145385.53315947813</v>
      </c>
      <c r="D36" s="8">
        <v>119900.30534851128</v>
      </c>
      <c r="E36" s="46">
        <f t="shared" si="5"/>
        <v>339307.74412618799</v>
      </c>
      <c r="F36" s="8">
        <v>600000</v>
      </c>
      <c r="G36" s="55"/>
      <c r="H36" s="8">
        <v>1173535.2823000001</v>
      </c>
      <c r="I36" s="8">
        <f t="shared" si="6"/>
        <v>17540.530152919291</v>
      </c>
      <c r="J36" s="46">
        <f t="shared" si="7"/>
        <v>1791075.8124529193</v>
      </c>
      <c r="K36" s="46">
        <f t="shared" ref="K36:S36" si="15">$B$29*K8</f>
        <v>176085.2232115228</v>
      </c>
      <c r="L36" s="46">
        <f t="shared" si="15"/>
        <v>192356.21873654926</v>
      </c>
      <c r="M36" s="46">
        <f t="shared" si="15"/>
        <v>246013.45051666675</v>
      </c>
      <c r="N36" s="46">
        <f t="shared" si="15"/>
        <v>160868.54122081515</v>
      </c>
      <c r="O36" s="46">
        <f t="shared" si="15"/>
        <v>30803.772806654757</v>
      </c>
      <c r="P36" s="46">
        <f t="shared" si="15"/>
        <v>96373.51933808568</v>
      </c>
      <c r="Q36" s="46">
        <f t="shared" si="15"/>
        <v>0</v>
      </c>
      <c r="R36" s="46">
        <f t="shared" si="15"/>
        <v>0</v>
      </c>
      <c r="S36" s="46">
        <f t="shared" si="15"/>
        <v>0</v>
      </c>
      <c r="T36" s="46">
        <f t="shared" si="9"/>
        <v>25550.525399999999</v>
      </c>
      <c r="U36" s="46">
        <f t="shared" si="10"/>
        <v>928051.25123029447</v>
      </c>
      <c r="V36" s="46">
        <f t="shared" si="11"/>
        <v>3058434.8078094018</v>
      </c>
      <c r="W36" s="202"/>
      <c r="X36" s="19"/>
      <c r="Z36" s="19"/>
    </row>
    <row r="37" spans="1:26" x14ac:dyDescent="0.3">
      <c r="A37" s="35" t="s">
        <v>149</v>
      </c>
      <c r="B37" s="8">
        <v>73233.113640869444</v>
      </c>
      <c r="C37" s="8">
        <v>145221.91138187278</v>
      </c>
      <c r="D37" s="8">
        <v>119300.80382176873</v>
      </c>
      <c r="E37" s="46">
        <f t="shared" si="5"/>
        <v>337755.82884451095</v>
      </c>
      <c r="F37" s="8">
        <v>600000</v>
      </c>
      <c r="G37" s="55"/>
      <c r="H37" s="8">
        <v>1173535.2823000001</v>
      </c>
      <c r="I37" s="8">
        <f t="shared" si="6"/>
        <v>17452.827502154694</v>
      </c>
      <c r="J37" s="46">
        <f t="shared" si="7"/>
        <v>1790988.1098021548</v>
      </c>
      <c r="K37" s="46">
        <f t="shared" ref="K37:S37" si="16">$B$29*K9</f>
        <v>219492.39269039774</v>
      </c>
      <c r="L37" s="46">
        <f t="shared" si="16"/>
        <v>238546.01582928078</v>
      </c>
      <c r="M37" s="46">
        <f t="shared" si="16"/>
        <v>325742.66531060106</v>
      </c>
      <c r="N37" s="46">
        <f t="shared" si="16"/>
        <v>200543.83953796988</v>
      </c>
      <c r="O37" s="46">
        <f t="shared" si="16"/>
        <v>44142.967617041089</v>
      </c>
      <c r="P37" s="46">
        <f t="shared" si="16"/>
        <v>119467.44083460238</v>
      </c>
      <c r="Q37" s="46">
        <f t="shared" si="16"/>
        <v>125662.79999999999</v>
      </c>
      <c r="R37" s="46">
        <f t="shared" si="16"/>
        <v>516725.70677999995</v>
      </c>
      <c r="S37" s="46">
        <f t="shared" si="16"/>
        <v>15808.926599999999</v>
      </c>
      <c r="T37" s="46">
        <f t="shared" si="9"/>
        <v>38325.788099999998</v>
      </c>
      <c r="U37" s="46">
        <f t="shared" si="10"/>
        <v>1844458.5432998927</v>
      </c>
      <c r="V37" s="46">
        <f t="shared" si="11"/>
        <v>3973202.4819465587</v>
      </c>
      <c r="W37" s="202"/>
      <c r="X37" s="19"/>
      <c r="Z37" s="19"/>
    </row>
    <row r="38" spans="1:26" x14ac:dyDescent="0.3">
      <c r="A38" s="35" t="s">
        <v>150</v>
      </c>
      <c r="B38" s="8">
        <v>72445.426144976867</v>
      </c>
      <c r="C38" s="8">
        <v>145059.1211445056</v>
      </c>
      <c r="D38" s="8">
        <v>118704.29980265988</v>
      </c>
      <c r="E38" s="46">
        <f t="shared" si="5"/>
        <v>336208.84709214233</v>
      </c>
      <c r="F38" s="8">
        <v>600000</v>
      </c>
      <c r="G38" s="55"/>
      <c r="H38" s="8">
        <v>1173535.2823000001</v>
      </c>
      <c r="I38" s="8">
        <f t="shared" si="6"/>
        <v>17365.563364643924</v>
      </c>
      <c r="J38" s="46">
        <f t="shared" si="7"/>
        <v>1790900.8456646439</v>
      </c>
      <c r="K38" s="46">
        <f t="shared" ref="K38:S38" si="17">$B$29*K10</f>
        <v>262682.52632187831</v>
      </c>
      <c r="L38" s="46">
        <f t="shared" si="17"/>
        <v>284504.86393654865</v>
      </c>
      <c r="M38" s="46">
        <f t="shared" si="17"/>
        <v>405073.2340305656</v>
      </c>
      <c r="N38" s="46">
        <f t="shared" si="17"/>
        <v>240020.76136353886</v>
      </c>
      <c r="O38" s="46">
        <f t="shared" si="17"/>
        <v>57415.466453375469</v>
      </c>
      <c r="P38" s="46">
        <f t="shared" si="17"/>
        <v>142445.89272363653</v>
      </c>
      <c r="Q38" s="46">
        <f t="shared" si="17"/>
        <v>1081792.7999999998</v>
      </c>
      <c r="R38" s="46">
        <f t="shared" si="17"/>
        <v>802775.87084609992</v>
      </c>
      <c r="S38" s="46">
        <f t="shared" si="17"/>
        <v>37754.473106999998</v>
      </c>
      <c r="T38" s="46">
        <f t="shared" si="9"/>
        <v>51101.050799999997</v>
      </c>
      <c r="U38" s="46">
        <f t="shared" si="10"/>
        <v>3365566.9395826426</v>
      </c>
      <c r="V38" s="46">
        <f t="shared" si="11"/>
        <v>5492676.6323394291</v>
      </c>
      <c r="W38" s="202"/>
      <c r="X38" s="19"/>
      <c r="Z38" s="19"/>
    </row>
    <row r="39" spans="1:26" x14ac:dyDescent="0.3">
      <c r="A39" s="35" t="s">
        <v>151</v>
      </c>
      <c r="B39" s="8">
        <v>71663.284067913628</v>
      </c>
      <c r="C39" s="8">
        <v>144897.61541087515</v>
      </c>
      <c r="D39" s="8">
        <v>118110.77830364657</v>
      </c>
      <c r="E39" s="46">
        <f t="shared" si="5"/>
        <v>334671.67778243532</v>
      </c>
      <c r="F39" s="8">
        <v>600000</v>
      </c>
      <c r="G39" s="55"/>
      <c r="H39" s="8">
        <v>1173535.2823000001</v>
      </c>
      <c r="I39" s="8">
        <f t="shared" si="6"/>
        <v>17278.735547820703</v>
      </c>
      <c r="J39" s="46">
        <f t="shared" si="7"/>
        <v>1790814.0178478209</v>
      </c>
      <c r="K39" s="46">
        <f t="shared" ref="K39:S39" si="18">$B$29*K11</f>
        <v>305656.70928520145</v>
      </c>
      <c r="L39" s="46">
        <f t="shared" si="18"/>
        <v>330233.91780328011</v>
      </c>
      <c r="M39" s="46">
        <f t="shared" si="18"/>
        <v>484007.1499069304</v>
      </c>
      <c r="N39" s="46">
        <f t="shared" si="18"/>
        <v>279300.29857997992</v>
      </c>
      <c r="O39" s="46">
        <f t="shared" si="18"/>
        <v>70621.60279552819</v>
      </c>
      <c r="P39" s="46">
        <f t="shared" si="18"/>
        <v>165309.45235322544</v>
      </c>
      <c r="Q39" s="46">
        <f t="shared" si="18"/>
        <v>1559857.7999999998</v>
      </c>
      <c r="R39" s="46">
        <f t="shared" si="18"/>
        <v>1071941.9914918693</v>
      </c>
      <c r="S39" s="46">
        <f t="shared" si="18"/>
        <v>55322.400741464997</v>
      </c>
      <c r="T39" s="46">
        <f t="shared" si="9"/>
        <v>63876.313499999997</v>
      </c>
      <c r="U39" s="46">
        <f t="shared" si="10"/>
        <v>4386127.6364574805</v>
      </c>
      <c r="V39" s="46">
        <f t="shared" si="11"/>
        <v>6511613.3320877366</v>
      </c>
      <c r="W39" s="202"/>
      <c r="X39" s="19"/>
      <c r="Z39" s="19"/>
    </row>
    <row r="40" spans="1:26" x14ac:dyDescent="0.3">
      <c r="A40" s="35" t="s">
        <v>152</v>
      </c>
      <c r="B40" s="8">
        <v>72503.89211208609</v>
      </c>
      <c r="C40" s="8">
        <v>143117.1612761626</v>
      </c>
      <c r="D40" s="8">
        <v>117520.22441212833</v>
      </c>
      <c r="E40" s="46">
        <f t="shared" si="5"/>
        <v>333141.27780037699</v>
      </c>
      <c r="F40" s="8">
        <v>600000</v>
      </c>
      <c r="G40" s="55"/>
      <c r="H40" s="8">
        <v>1173535.2823000001</v>
      </c>
      <c r="I40" s="8">
        <f t="shared" si="6"/>
        <v>17192.3418700816</v>
      </c>
      <c r="J40" s="46">
        <f t="shared" si="7"/>
        <v>1790727.6241700817</v>
      </c>
      <c r="K40" s="46">
        <f t="shared" ref="K40:S40" si="19">$B$29*K12</f>
        <v>348416.02133370796</v>
      </c>
      <c r="L40" s="46">
        <f t="shared" si="19"/>
        <v>375734.32640067802</v>
      </c>
      <c r="M40" s="46">
        <f t="shared" si="19"/>
        <v>562546.39620391338</v>
      </c>
      <c r="N40" s="46">
        <f t="shared" si="19"/>
        <v>318383.43811033882</v>
      </c>
      <c r="O40" s="46">
        <f t="shared" si="19"/>
        <v>83761.708455970147</v>
      </c>
      <c r="P40" s="46">
        <f t="shared" si="19"/>
        <v>188058.69418466644</v>
      </c>
      <c r="Q40" s="46">
        <f t="shared" si="19"/>
        <v>2242807.7999999998</v>
      </c>
      <c r="R40" s="46">
        <f t="shared" si="19"/>
        <v>1612942.2815344101</v>
      </c>
      <c r="S40" s="46">
        <f t="shared" si="19"/>
        <v>89193.28873775767</v>
      </c>
      <c r="T40" s="46">
        <f t="shared" si="9"/>
        <v>76651.576199999996</v>
      </c>
      <c r="U40" s="46">
        <f t="shared" si="10"/>
        <v>5898495.5311614424</v>
      </c>
      <c r="V40" s="46">
        <f t="shared" si="11"/>
        <v>8022364.4331319015</v>
      </c>
      <c r="W40" s="202"/>
      <c r="X40" s="19"/>
      <c r="Z40" s="19"/>
    </row>
    <row r="41" spans="1:26" x14ac:dyDescent="0.3">
      <c r="A41" s="35" t="s">
        <v>153</v>
      </c>
      <c r="B41" s="8">
        <v>72928.913077537116</v>
      </c>
      <c r="C41" s="8">
        <v>141757.43873402398</v>
      </c>
      <c r="D41" s="8">
        <v>116932.62329006768</v>
      </c>
      <c r="E41" s="46">
        <f t="shared" si="5"/>
        <v>331618.97510162881</v>
      </c>
      <c r="F41" s="8">
        <v>600000</v>
      </c>
      <c r="G41" s="55"/>
      <c r="H41" s="8">
        <v>1173535.2823000001</v>
      </c>
      <c r="I41" s="8">
        <f t="shared" si="6"/>
        <v>17106.380160731194</v>
      </c>
      <c r="J41" s="46">
        <f t="shared" si="7"/>
        <v>1790641.6624607313</v>
      </c>
      <c r="K41" s="46">
        <f t="shared" ref="K41:S41" si="20">$B$29*K13</f>
        <v>390961.53682197194</v>
      </c>
      <c r="L41" s="46">
        <f t="shared" si="20"/>
        <v>421007.2329550889</v>
      </c>
      <c r="M41" s="46">
        <f t="shared" si="20"/>
        <v>640692.94626941136</v>
      </c>
      <c r="N41" s="46">
        <f t="shared" si="20"/>
        <v>357271.16194304597</v>
      </c>
      <c r="O41" s="46">
        <f t="shared" si="20"/>
        <v>96836.113588109904</v>
      </c>
      <c r="P41" s="46">
        <f t="shared" si="20"/>
        <v>210694.18980695025</v>
      </c>
      <c r="Q41" s="46">
        <f t="shared" si="20"/>
        <v>2925757.8</v>
      </c>
      <c r="R41" s="46">
        <f t="shared" si="20"/>
        <v>2153969.3701267377</v>
      </c>
      <c r="S41" s="46">
        <f t="shared" si="20"/>
        <v>123065.55979406886</v>
      </c>
      <c r="T41" s="46">
        <f t="shared" si="9"/>
        <v>86257.036876691709</v>
      </c>
      <c r="U41" s="46">
        <f t="shared" si="10"/>
        <v>7406512.9481820753</v>
      </c>
      <c r="V41" s="46">
        <f t="shared" si="11"/>
        <v>9528773.585744435</v>
      </c>
      <c r="W41" s="202"/>
      <c r="X41" s="19"/>
      <c r="Z41" s="19"/>
    </row>
    <row r="42" spans="1:26" x14ac:dyDescent="0.3">
      <c r="A42" s="35" t="s">
        <v>154</v>
      </c>
      <c r="B42" s="8">
        <v>73353.238124861513</v>
      </c>
      <c r="C42" s="8">
        <v>140403.26045309601</v>
      </c>
      <c r="D42" s="8">
        <v>116347.96017361735</v>
      </c>
      <c r="E42" s="46">
        <f t="shared" si="5"/>
        <v>330104.45875157486</v>
      </c>
      <c r="F42" s="8">
        <v>600000</v>
      </c>
      <c r="G42" s="55"/>
      <c r="H42" s="8">
        <v>1173535.2823000001</v>
      </c>
      <c r="I42" s="8">
        <f t="shared" si="6"/>
        <v>17020.848259927538</v>
      </c>
      <c r="J42" s="46">
        <f t="shared" si="7"/>
        <v>1790556.1305599276</v>
      </c>
      <c r="K42" s="46">
        <f t="shared" ref="K42:S42" si="21">$B$29*K14</f>
        <v>433294.32473279472</v>
      </c>
      <c r="L42" s="46">
        <f t="shared" si="21"/>
        <v>466053.77497672767</v>
      </c>
      <c r="M42" s="46">
        <f t="shared" si="21"/>
        <v>718448.7635845819</v>
      </c>
      <c r="N42" s="46">
        <f t="shared" si="21"/>
        <v>395964.44715658948</v>
      </c>
      <c r="O42" s="46">
        <f t="shared" si="21"/>
        <v>109845.14669458896</v>
      </c>
      <c r="P42" s="46">
        <f t="shared" si="21"/>
        <v>233216.50795112262</v>
      </c>
      <c r="Q42" s="46">
        <f t="shared" si="21"/>
        <v>3608707.8</v>
      </c>
      <c r="R42" s="46">
        <f t="shared" si="21"/>
        <v>2695023.1232761042</v>
      </c>
      <c r="S42" s="46">
        <f t="shared" si="21"/>
        <v>156939.2069950985</v>
      </c>
      <c r="T42" s="46">
        <f t="shared" si="9"/>
        <v>95862.497553383437</v>
      </c>
      <c r="U42" s="46">
        <f t="shared" si="10"/>
        <v>8913355.5929209925</v>
      </c>
      <c r="V42" s="46">
        <f t="shared" si="11"/>
        <v>11034016.182232495</v>
      </c>
      <c r="W42" s="202"/>
      <c r="X42" s="19"/>
      <c r="Z42" s="19"/>
    </row>
    <row r="43" spans="1:26" x14ac:dyDescent="0.3">
      <c r="A43" s="35" t="s">
        <v>155</v>
      </c>
      <c r="B43" s="8">
        <v>70810.587682359226</v>
      </c>
      <c r="C43" s="8">
        <v>140314.35527483863</v>
      </c>
      <c r="D43" s="8">
        <v>115766.22037274925</v>
      </c>
      <c r="E43" s="46">
        <f t="shared" si="5"/>
        <v>326891.1633299471</v>
      </c>
      <c r="F43" s="8">
        <v>600000</v>
      </c>
      <c r="G43" s="55"/>
      <c r="H43" s="8">
        <v>1173535.2823000001</v>
      </c>
      <c r="I43" s="8">
        <f t="shared" si="6"/>
        <v>16935.744018627902</v>
      </c>
      <c r="J43" s="46">
        <f t="shared" si="7"/>
        <v>1790471.0263186279</v>
      </c>
      <c r="K43" s="46">
        <f t="shared" ref="K43:S43" si="22">$B$29*K15</f>
        <v>475415.44870406325</v>
      </c>
      <c r="L43" s="46">
        <f t="shared" si="22"/>
        <v>510875.08428825828</v>
      </c>
      <c r="M43" s="46">
        <f t="shared" si="22"/>
        <v>795815.8018131766</v>
      </c>
      <c r="N43" s="46">
        <f t="shared" si="22"/>
        <v>434464.26594406541</v>
      </c>
      <c r="O43" s="46">
        <f t="shared" si="22"/>
        <v>122789.13463553564</v>
      </c>
      <c r="P43" s="46">
        <f t="shared" si="22"/>
        <v>255626.21450457413</v>
      </c>
      <c r="Q43" s="46">
        <f t="shared" si="22"/>
        <v>4291657.8</v>
      </c>
      <c r="R43" s="46">
        <f t="shared" si="22"/>
        <v>3236103.4076597239</v>
      </c>
      <c r="S43" s="46">
        <f t="shared" si="22"/>
        <v>190814.22346012303</v>
      </c>
      <c r="T43" s="46">
        <f t="shared" si="9"/>
        <v>105467.95823007515</v>
      </c>
      <c r="U43" s="46">
        <f t="shared" si="10"/>
        <v>10419029.339239594</v>
      </c>
      <c r="V43" s="46">
        <f t="shared" si="11"/>
        <v>12536391.52888817</v>
      </c>
      <c r="W43" s="202"/>
      <c r="X43" s="19"/>
    </row>
    <row r="44" spans="1:26" x14ac:dyDescent="0.3">
      <c r="A44" s="35" t="s">
        <v>156</v>
      </c>
      <c r="B44" s="8">
        <v>70673.997682359361</v>
      </c>
      <c r="C44" s="8">
        <v>140313.53573483863</v>
      </c>
      <c r="D44" s="8">
        <v>115187.3892708855</v>
      </c>
      <c r="E44" s="46">
        <f t="shared" si="5"/>
        <v>326174.92268808349</v>
      </c>
      <c r="F44" s="55"/>
      <c r="G44" s="55"/>
      <c r="H44" s="8">
        <v>1173535.2823000001</v>
      </c>
      <c r="I44" s="8">
        <f t="shared" si="6"/>
        <v>16851.065298534762</v>
      </c>
      <c r="J44" s="46">
        <f t="shared" si="7"/>
        <v>1190386.3475985348</v>
      </c>
      <c r="K44" s="46">
        <f t="shared" ref="K44:S44" si="23">$B$29*K16</f>
        <v>517325.96705547546</v>
      </c>
      <c r="L44" s="46">
        <f t="shared" si="23"/>
        <v>555472.28705323127</v>
      </c>
      <c r="M44" s="46">
        <f t="shared" si="23"/>
        <v>872796.0048506282</v>
      </c>
      <c r="N44" s="46">
        <f t="shared" si="23"/>
        <v>472771.58563760377</v>
      </c>
      <c r="O44" s="46">
        <f t="shared" si="23"/>
        <v>135668.40263677755</v>
      </c>
      <c r="P44" s="46">
        <f t="shared" si="23"/>
        <v>277923.8725252584</v>
      </c>
      <c r="Q44" s="46">
        <f t="shared" si="23"/>
        <v>4974607.8</v>
      </c>
      <c r="R44" s="46">
        <f t="shared" si="23"/>
        <v>3777210.0906214248</v>
      </c>
      <c r="S44" s="46">
        <f t="shared" si="23"/>
        <v>224690.60234282241</v>
      </c>
      <c r="T44" s="46">
        <f t="shared" si="9"/>
        <v>115073.41890676686</v>
      </c>
      <c r="U44" s="46">
        <f t="shared" si="10"/>
        <v>11923540.031629987</v>
      </c>
      <c r="V44" s="46">
        <f t="shared" si="11"/>
        <v>13440101.301916605</v>
      </c>
      <c r="W44" s="202"/>
      <c r="X44" s="19"/>
    </row>
    <row r="45" spans="1:26" x14ac:dyDescent="0.3">
      <c r="A45" s="35" t="s">
        <v>157</v>
      </c>
      <c r="B45" s="8">
        <v>70586.88968635918</v>
      </c>
      <c r="C45" s="8">
        <v>140203.38955883862</v>
      </c>
      <c r="D45" s="8">
        <v>114611.45232453107</v>
      </c>
      <c r="E45" s="46">
        <f t="shared" si="5"/>
        <v>325401.73156972887</v>
      </c>
      <c r="F45" s="55"/>
      <c r="G45" s="55"/>
      <c r="H45" s="8">
        <v>1047416.2823000001</v>
      </c>
      <c r="I45" s="8">
        <f t="shared" si="6"/>
        <v>16766.809972042087</v>
      </c>
      <c r="J45" s="46">
        <f t="shared" si="7"/>
        <v>1064183.0922720421</v>
      </c>
      <c r="K45" s="46">
        <f t="shared" ref="K45:S45" si="24">$B$29*K17</f>
        <v>536883.1350176644</v>
      </c>
      <c r="L45" s="46">
        <f t="shared" si="24"/>
        <v>576270.71471117216</v>
      </c>
      <c r="M45" s="46">
        <f t="shared" si="24"/>
        <v>949391.30687289254</v>
      </c>
      <c r="N45" s="46">
        <f t="shared" si="24"/>
        <v>490647.54822104517</v>
      </c>
      <c r="O45" s="46">
        <f t="shared" si="24"/>
        <v>148483.27429801325</v>
      </c>
      <c r="P45" s="46">
        <f t="shared" si="24"/>
        <v>288322.14770923567</v>
      </c>
      <c r="Q45" s="46">
        <f t="shared" si="24"/>
        <v>5657557.7999999998</v>
      </c>
      <c r="R45" s="46">
        <f t="shared" si="24"/>
        <v>4318343.040168318</v>
      </c>
      <c r="S45" s="46">
        <f t="shared" si="24"/>
        <v>258568.33683110829</v>
      </c>
      <c r="T45" s="46">
        <f t="shared" si="9"/>
        <v>124678.87958345859</v>
      </c>
      <c r="U45" s="46">
        <f t="shared" si="10"/>
        <v>13349146.18341291</v>
      </c>
      <c r="V45" s="46">
        <f t="shared" si="11"/>
        <v>14738731.007254681</v>
      </c>
      <c r="W45" s="202"/>
      <c r="X45" s="19"/>
      <c r="Z45" s="19"/>
    </row>
    <row r="46" spans="1:26" x14ac:dyDescent="0.3">
      <c r="A46" s="35" t="s">
        <v>158</v>
      </c>
      <c r="B46" s="8">
        <v>54893.263258359482</v>
      </c>
      <c r="C46" s="8">
        <v>120701.45181083883</v>
      </c>
      <c r="D46" s="8">
        <v>114038.39506290843</v>
      </c>
      <c r="E46" s="46">
        <f t="shared" si="5"/>
        <v>289633.11013210675</v>
      </c>
      <c r="F46" s="55"/>
      <c r="G46" s="55"/>
      <c r="H46" s="8">
        <v>1047416.2823000001</v>
      </c>
      <c r="I46" s="8">
        <f t="shared" si="6"/>
        <v>16682.975922181875</v>
      </c>
      <c r="J46" s="46">
        <f t="shared" si="7"/>
        <v>1064099.258222182</v>
      </c>
      <c r="K46" s="46">
        <f t="shared" ref="K46:S46" si="25">$B$29*K18</f>
        <v>556342.51714004227</v>
      </c>
      <c r="L46" s="46">
        <f t="shared" si="25"/>
        <v>596965.15023082355</v>
      </c>
      <c r="M46" s="46">
        <f t="shared" si="25"/>
        <v>985123.99136178684</v>
      </c>
      <c r="N46" s="46">
        <f t="shared" si="25"/>
        <v>508434.13099156931</v>
      </c>
      <c r="O46" s="46">
        <f t="shared" si="25"/>
        <v>154487.46476373298</v>
      </c>
      <c r="P46" s="46">
        <f t="shared" si="25"/>
        <v>298668.43151729304</v>
      </c>
      <c r="Q46" s="46">
        <f t="shared" si="25"/>
        <v>6340507.7999999998</v>
      </c>
      <c r="R46" s="46">
        <f t="shared" si="25"/>
        <v>4859502.1249674754</v>
      </c>
      <c r="S46" s="46">
        <f t="shared" si="25"/>
        <v>292447.42014695279</v>
      </c>
      <c r="T46" s="46">
        <f t="shared" si="9"/>
        <v>134284.34026015032</v>
      </c>
      <c r="U46" s="46">
        <f t="shared" si="10"/>
        <v>14726763.371379828</v>
      </c>
      <c r="V46" s="46">
        <f t="shared" si="11"/>
        <v>16080495.739734117</v>
      </c>
      <c r="W46" s="202"/>
      <c r="X46" s="19"/>
      <c r="Z46" s="19"/>
    </row>
    <row r="47" spans="1:26" x14ac:dyDescent="0.3">
      <c r="A47" s="35" t="s">
        <v>159</v>
      </c>
      <c r="B47" s="8">
        <v>21414.944986359329</v>
      </c>
      <c r="C47" s="8">
        <v>50954.900774838665</v>
      </c>
      <c r="D47" s="8">
        <v>87311.897551999951</v>
      </c>
      <c r="E47" s="46">
        <f t="shared" si="5"/>
        <v>159681.74331319795</v>
      </c>
      <c r="F47" s="55"/>
      <c r="G47" s="55"/>
      <c r="H47" s="8">
        <v>959426.28230000008</v>
      </c>
      <c r="I47" s="8">
        <f t="shared" si="6"/>
        <v>16599.561042570967</v>
      </c>
      <c r="J47" s="46">
        <f t="shared" si="7"/>
        <v>976025.84334257105</v>
      </c>
      <c r="K47" s="46">
        <f t="shared" ref="K47:S47" si="26">$B$29*K19</f>
        <v>575704.60235180845</v>
      </c>
      <c r="L47" s="46">
        <f t="shared" si="26"/>
        <v>617556.11357287655</v>
      </c>
      <c r="M47" s="46">
        <f t="shared" si="26"/>
        <v>1020678.0124282368</v>
      </c>
      <c r="N47" s="46">
        <f t="shared" si="26"/>
        <v>526131.78084824095</v>
      </c>
      <c r="O47" s="46">
        <f t="shared" si="26"/>
        <v>160461.63427712413</v>
      </c>
      <c r="P47" s="46">
        <f t="shared" si="26"/>
        <v>308962.98390631017</v>
      </c>
      <c r="Q47" s="46">
        <f t="shared" si="26"/>
        <v>7023457.7999999998</v>
      </c>
      <c r="R47" s="46">
        <f t="shared" si="26"/>
        <v>5400687.2143426379</v>
      </c>
      <c r="S47" s="46">
        <f t="shared" si="26"/>
        <v>326327.84554621798</v>
      </c>
      <c r="T47" s="46">
        <f t="shared" si="9"/>
        <v>143889.80093684205</v>
      </c>
      <c r="U47" s="46">
        <f t="shared" si="10"/>
        <v>16103857.788210295</v>
      </c>
      <c r="V47" s="46">
        <f t="shared" si="11"/>
        <v>17239565.374866065</v>
      </c>
      <c r="W47" s="202"/>
      <c r="X47" s="19"/>
      <c r="Z47" s="19"/>
    </row>
    <row r="48" spans="1:26" x14ac:dyDescent="0.3">
      <c r="A48" s="35" t="s">
        <v>61</v>
      </c>
      <c r="B48" s="8">
        <v>11234.327714359344</v>
      </c>
      <c r="C48" s="8">
        <v>23892.925070838683</v>
      </c>
      <c r="D48" s="8">
        <v>9370.9663880000007</v>
      </c>
      <c r="E48" s="46">
        <f t="shared" si="5"/>
        <v>44498.219173198027</v>
      </c>
      <c r="F48" s="55"/>
      <c r="G48" s="55"/>
      <c r="H48" s="55"/>
      <c r="I48" s="8">
        <f t="shared" si="6"/>
        <v>16516.56323735811</v>
      </c>
      <c r="J48" s="46">
        <f t="shared" si="7"/>
        <v>16516.56323735811</v>
      </c>
      <c r="K48" s="46">
        <f t="shared" ref="K48:S48" si="27">$B$29*K20</f>
        <v>594969.87713751569</v>
      </c>
      <c r="L48" s="46">
        <f t="shared" si="27"/>
        <v>638044.12209821912</v>
      </c>
      <c r="M48" s="46">
        <f t="shared" si="27"/>
        <v>1056054.2633893546</v>
      </c>
      <c r="N48" s="46">
        <f t="shared" si="27"/>
        <v>543740.94245562912</v>
      </c>
      <c r="O48" s="46">
        <f t="shared" si="27"/>
        <v>166405.9329429483</v>
      </c>
      <c r="P48" s="46">
        <f t="shared" si="27"/>
        <v>319206.06353338214</v>
      </c>
      <c r="Q48" s="46">
        <f t="shared" si="27"/>
        <v>7364932.7999999998</v>
      </c>
      <c r="R48" s="46">
        <f t="shared" si="27"/>
        <v>5668718.1782709258</v>
      </c>
      <c r="S48" s="46">
        <f t="shared" si="27"/>
        <v>343135.85631848691</v>
      </c>
      <c r="T48" s="46">
        <f t="shared" si="9"/>
        <v>153495.26161353374</v>
      </c>
      <c r="U48" s="46">
        <f t="shared" si="10"/>
        <v>16848703.297759995</v>
      </c>
      <c r="V48" s="46">
        <f t="shared" si="11"/>
        <v>16909718.080170549</v>
      </c>
      <c r="W48" s="202"/>
      <c r="X48" s="19"/>
      <c r="Z48" s="19"/>
    </row>
    <row r="49" spans="1:26" x14ac:dyDescent="0.3">
      <c r="A49" s="35" t="s">
        <v>62</v>
      </c>
      <c r="B49" s="57"/>
      <c r="C49" s="57"/>
      <c r="D49" s="57"/>
      <c r="E49" s="46">
        <f t="shared" si="5"/>
        <v>0</v>
      </c>
      <c r="F49" s="55"/>
      <c r="G49" s="55"/>
      <c r="H49" s="55"/>
      <c r="I49" s="8">
        <f t="shared" si="6"/>
        <v>16433.98042117132</v>
      </c>
      <c r="J49" s="46">
        <f t="shared" si="7"/>
        <v>16433.98042117132</v>
      </c>
      <c r="K49" s="46">
        <f t="shared" ref="K49:S49" si="28">$B$29*K21</f>
        <v>531941.92227869504</v>
      </c>
      <c r="L49" s="46">
        <f t="shared" si="28"/>
        <v>566341.45073852909</v>
      </c>
      <c r="M49" s="46">
        <f t="shared" si="28"/>
        <v>1091253.6330956665</v>
      </c>
      <c r="N49" s="46">
        <f t="shared" si="28"/>
        <v>561262.05825498037</v>
      </c>
      <c r="O49" s="46">
        <f t="shared" si="28"/>
        <v>172320.51011544338</v>
      </c>
      <c r="P49" s="46">
        <f t="shared" si="28"/>
        <v>283170.72536926455</v>
      </c>
      <c r="Q49" s="46">
        <f t="shared" si="28"/>
        <v>7706407.7999999998</v>
      </c>
      <c r="R49" s="46">
        <f t="shared" si="28"/>
        <v>5936774.8873795699</v>
      </c>
      <c r="S49" s="46">
        <f t="shared" si="28"/>
        <v>359945.19578689447</v>
      </c>
      <c r="T49" s="46">
        <f t="shared" si="9"/>
        <v>163100.72229022547</v>
      </c>
      <c r="U49" s="46">
        <f t="shared" si="10"/>
        <v>17372518.905309267</v>
      </c>
      <c r="V49" s="46">
        <f t="shared" si="11"/>
        <v>17388952.885730438</v>
      </c>
      <c r="W49" s="202"/>
      <c r="X49" s="19"/>
      <c r="Z49" s="19"/>
    </row>
    <row r="50" spans="1:26" x14ac:dyDescent="0.3">
      <c r="A50" s="35" t="s">
        <v>63</v>
      </c>
      <c r="B50" s="57"/>
      <c r="C50" s="57"/>
      <c r="D50" s="57"/>
      <c r="E50" s="46">
        <f t="shared" si="5"/>
        <v>0</v>
      </c>
      <c r="F50" s="55"/>
      <c r="G50" s="55"/>
      <c r="H50" s="55"/>
      <c r="I50" s="8">
        <f t="shared" si="6"/>
        <v>16351.810519065464</v>
      </c>
      <c r="J50" s="46">
        <f t="shared" si="7"/>
        <v>16351.810519065464</v>
      </c>
      <c r="K50" s="46">
        <f t="shared" ref="K50:S50" si="29">$B$29*K22</f>
        <v>510346.2110873331</v>
      </c>
      <c r="L50" s="46">
        <f t="shared" si="29"/>
        <v>543349.19182151451</v>
      </c>
      <c r="M50" s="46">
        <f t="shared" si="29"/>
        <v>1126277.005953447</v>
      </c>
      <c r="N50" s="46">
        <f t="shared" si="29"/>
        <v>578695.56847533491</v>
      </c>
      <c r="O50" s="46">
        <f t="shared" si="29"/>
        <v>162068.08979508496</v>
      </c>
      <c r="P50" s="46">
        <f t="shared" si="29"/>
        <v>271674.59591075726</v>
      </c>
      <c r="Q50" s="46">
        <f t="shared" si="29"/>
        <v>8047882.7999999998</v>
      </c>
      <c r="R50" s="46">
        <f t="shared" si="29"/>
        <v>6204857.2129426738</v>
      </c>
      <c r="S50" s="46">
        <f t="shared" si="29"/>
        <v>376755.85730795999</v>
      </c>
      <c r="T50" s="46">
        <f t="shared" si="9"/>
        <v>172706.18296691717</v>
      </c>
      <c r="U50" s="46">
        <f t="shared" si="10"/>
        <v>17994612.716261022</v>
      </c>
      <c r="V50" s="46">
        <f t="shared" si="11"/>
        <v>18010964.526780088</v>
      </c>
      <c r="W50" s="202"/>
      <c r="X50" s="19"/>
      <c r="Z50" s="19"/>
    </row>
    <row r="51" spans="1:26" x14ac:dyDescent="0.3">
      <c r="A51" s="35" t="s">
        <v>64</v>
      </c>
      <c r="B51" s="57"/>
      <c r="C51" s="57"/>
      <c r="D51" s="57"/>
      <c r="E51" s="46">
        <f t="shared" si="5"/>
        <v>0</v>
      </c>
      <c r="F51" s="55"/>
      <c r="G51" s="55"/>
      <c r="H51" s="55"/>
      <c r="I51" s="8">
        <f t="shared" si="6"/>
        <v>16270.051466470139</v>
      </c>
      <c r="J51" s="46">
        <f t="shared" si="7"/>
        <v>16270.051466470139</v>
      </c>
      <c r="K51" s="46">
        <f t="shared" ref="K51:S51" si="30">$B$29*K23</f>
        <v>488858.47845192801</v>
      </c>
      <c r="L51" s="46">
        <f t="shared" si="30"/>
        <v>520471.89419908507</v>
      </c>
      <c r="M51" s="46">
        <f t="shared" si="30"/>
        <v>1161125.2619469385</v>
      </c>
      <c r="N51" s="46">
        <f t="shared" si="30"/>
        <v>596041.91114458768</v>
      </c>
      <c r="O51" s="46">
        <f t="shared" si="30"/>
        <v>155488.46988929261</v>
      </c>
      <c r="P51" s="46">
        <f t="shared" si="30"/>
        <v>260235.94709954254</v>
      </c>
      <c r="Q51" s="46">
        <f t="shared" si="30"/>
        <v>8389357.7999999989</v>
      </c>
      <c r="R51" s="46">
        <f t="shared" si="30"/>
        <v>6472965.0268779593</v>
      </c>
      <c r="S51" s="46">
        <f t="shared" si="30"/>
        <v>393567.8342714202</v>
      </c>
      <c r="T51" s="46">
        <f t="shared" si="9"/>
        <v>182311.64364360893</v>
      </c>
      <c r="U51" s="46">
        <f t="shared" si="10"/>
        <v>18620424.267524362</v>
      </c>
      <c r="V51" s="46">
        <f t="shared" si="11"/>
        <v>18636694.31899083</v>
      </c>
      <c r="W51" s="202"/>
      <c r="X51" s="19"/>
      <c r="Z51" s="19"/>
    </row>
    <row r="52" spans="1:26" x14ac:dyDescent="0.3">
      <c r="A52" s="35" t="s">
        <v>65</v>
      </c>
      <c r="B52" s="57"/>
      <c r="C52" s="57"/>
      <c r="D52" s="57"/>
      <c r="E52" s="46">
        <f t="shared" si="5"/>
        <v>0</v>
      </c>
      <c r="F52" s="55"/>
      <c r="G52" s="55"/>
      <c r="H52" s="55"/>
      <c r="I52" s="8">
        <f t="shared" si="6"/>
        <v>16188.701209137786</v>
      </c>
      <c r="J52" s="46">
        <f t="shared" si="7"/>
        <v>16188.701209137786</v>
      </c>
      <c r="K52" s="46">
        <f t="shared" ref="K52:S52" si="31">$B$29*K24</f>
        <v>467478.18447969994</v>
      </c>
      <c r="L52" s="46">
        <f t="shared" si="31"/>
        <v>497708.98306476767</v>
      </c>
      <c r="M52" s="46">
        <f t="shared" si="31"/>
        <v>1195799.2766604626</v>
      </c>
      <c r="N52" s="46">
        <f t="shared" si="31"/>
        <v>613301.52210049389</v>
      </c>
      <c r="O52" s="46">
        <f t="shared" si="31"/>
        <v>148941.74808302915</v>
      </c>
      <c r="P52" s="46">
        <f t="shared" si="31"/>
        <v>248854.49153238384</v>
      </c>
      <c r="Q52" s="46">
        <f t="shared" si="31"/>
        <v>8730832.7999999989</v>
      </c>
      <c r="R52" s="46">
        <f t="shared" si="31"/>
        <v>6741098.2017435702</v>
      </c>
      <c r="S52" s="46">
        <f t="shared" si="31"/>
        <v>410381.1201000631</v>
      </c>
      <c r="T52" s="46">
        <f t="shared" si="9"/>
        <v>191917.10432030063</v>
      </c>
      <c r="U52" s="46">
        <f t="shared" si="10"/>
        <v>19246313.432084765</v>
      </c>
      <c r="V52" s="46">
        <f t="shared" si="11"/>
        <v>19262502.133293904</v>
      </c>
      <c r="W52" s="202"/>
      <c r="X52" s="19"/>
      <c r="Z52" s="19"/>
    </row>
    <row r="53" spans="1:26" x14ac:dyDescent="0.3">
      <c r="A53" s="35" t="s">
        <v>66</v>
      </c>
      <c r="B53" s="57"/>
      <c r="C53" s="57"/>
      <c r="D53" s="57"/>
      <c r="E53" s="46">
        <f t="shared" si="5"/>
        <v>0</v>
      </c>
      <c r="F53" s="55"/>
      <c r="G53" s="55"/>
      <c r="H53" s="55"/>
      <c r="I53" s="8">
        <f t="shared" si="6"/>
        <v>16107.757703092097</v>
      </c>
      <c r="J53" s="46">
        <f t="shared" si="7"/>
        <v>16107.757703092097</v>
      </c>
      <c r="K53" s="46">
        <f t="shared" ref="K53:S53" si="32">$B$29*K25</f>
        <v>424060.99417986674</v>
      </c>
      <c r="L53" s="46">
        <f t="shared" si="32"/>
        <v>451484.09739291482</v>
      </c>
      <c r="M53" s="46">
        <f t="shared" si="32"/>
        <v>1230299.9213004189</v>
      </c>
      <c r="N53" s="46">
        <f t="shared" si="32"/>
        <v>610235.01448999147</v>
      </c>
      <c r="O53" s="46">
        <f t="shared" si="32"/>
        <v>142427.75988579704</v>
      </c>
      <c r="P53" s="46">
        <f t="shared" si="32"/>
        <v>225742.04869645741</v>
      </c>
      <c r="Q53" s="46">
        <f t="shared" si="32"/>
        <v>9072307.7999999989</v>
      </c>
      <c r="R53" s="46">
        <f t="shared" si="32"/>
        <v>7009256.610734852</v>
      </c>
      <c r="S53" s="46">
        <f t="shared" si="32"/>
        <v>427195.70824956277</v>
      </c>
      <c r="T53" s="46">
        <f t="shared" si="9"/>
        <v>201522.56499699233</v>
      </c>
      <c r="U53" s="46">
        <f t="shared" si="10"/>
        <v>19794532.51992685</v>
      </c>
      <c r="V53" s="46">
        <f t="shared" si="11"/>
        <v>19810640.277629942</v>
      </c>
      <c r="W53" s="202"/>
      <c r="X53" s="19"/>
      <c r="Z53" s="19"/>
    </row>
    <row r="54" spans="1:26" x14ac:dyDescent="0.3">
      <c r="A54" s="35" t="s">
        <v>67</v>
      </c>
      <c r="B54" s="57"/>
      <c r="C54" s="57"/>
      <c r="D54" s="57"/>
      <c r="E54" s="46">
        <f t="shared" si="5"/>
        <v>0</v>
      </c>
      <c r="F54" s="55"/>
      <c r="G54" s="55"/>
      <c r="H54" s="55"/>
      <c r="I54" s="8">
        <f t="shared" si="6"/>
        <v>16027.218914576637</v>
      </c>
      <c r="J54" s="46">
        <f t="shared" si="7"/>
        <v>16027.218914576637</v>
      </c>
      <c r="K54" s="46">
        <f t="shared" ref="K54:S54" si="33">$B$29*K26</f>
        <v>380860.88983153261</v>
      </c>
      <c r="L54" s="46">
        <f t="shared" si="33"/>
        <v>405490.33614942123</v>
      </c>
      <c r="M54" s="46">
        <f t="shared" si="33"/>
        <v>1224148.4216939169</v>
      </c>
      <c r="N54" s="46">
        <f t="shared" si="33"/>
        <v>533983.82441025693</v>
      </c>
      <c r="O54" s="46">
        <f t="shared" si="33"/>
        <v>129199.7347923413</v>
      </c>
      <c r="P54" s="46">
        <f t="shared" si="33"/>
        <v>202745.16807471061</v>
      </c>
      <c r="Q54" s="46">
        <f t="shared" si="33"/>
        <v>9413782.7999999989</v>
      </c>
      <c r="R54" s="46">
        <f t="shared" si="33"/>
        <v>7277440.1276811771</v>
      </c>
      <c r="S54" s="46">
        <f t="shared" si="33"/>
        <v>444011.59220831498</v>
      </c>
      <c r="T54" s="46">
        <f t="shared" si="9"/>
        <v>211128.02567368408</v>
      </c>
      <c r="U54" s="46">
        <f t="shared" si="10"/>
        <v>20222790.920515355</v>
      </c>
      <c r="V54" s="46">
        <f t="shared" si="11"/>
        <v>20238818.139429931</v>
      </c>
      <c r="W54" s="202"/>
      <c r="X54" s="19"/>
      <c r="Z54" s="19"/>
    </row>
    <row r="55" spans="1:26" x14ac:dyDescent="0.3">
      <c r="Z55" s="19"/>
    </row>
    <row r="57" spans="1:26" x14ac:dyDescent="0.3">
      <c r="A57" s="35" t="s">
        <v>106</v>
      </c>
      <c r="B57" s="126">
        <v>0.72445000000000004</v>
      </c>
    </row>
    <row r="58" spans="1:26" ht="28.8" x14ac:dyDescent="0.3">
      <c r="A58" s="29" t="s">
        <v>43</v>
      </c>
      <c r="B58" s="29" t="s">
        <v>133</v>
      </c>
      <c r="C58" s="29" t="s">
        <v>134</v>
      </c>
      <c r="D58" s="29" t="s">
        <v>135</v>
      </c>
      <c r="E58" s="61" t="s">
        <v>136</v>
      </c>
      <c r="F58" s="29" t="s">
        <v>118</v>
      </c>
      <c r="G58" s="29" t="s">
        <v>137</v>
      </c>
      <c r="H58" s="29" t="s">
        <v>138</v>
      </c>
      <c r="I58" s="208" t="s">
        <v>204</v>
      </c>
      <c r="J58" s="61" t="s">
        <v>139</v>
      </c>
      <c r="K58" s="29" t="s">
        <v>6</v>
      </c>
      <c r="L58" s="29" t="s">
        <v>12</v>
      </c>
      <c r="M58" s="181" t="s">
        <v>21</v>
      </c>
      <c r="N58" s="29" t="s">
        <v>25</v>
      </c>
      <c r="O58" s="181" t="s">
        <v>29</v>
      </c>
      <c r="P58" s="181" t="s">
        <v>33</v>
      </c>
      <c r="Q58" s="29" t="s">
        <v>40</v>
      </c>
      <c r="R58" s="29" t="s">
        <v>41</v>
      </c>
      <c r="S58" s="29" t="s">
        <v>42</v>
      </c>
      <c r="T58" s="181" t="s">
        <v>119</v>
      </c>
      <c r="U58" s="61" t="s">
        <v>140</v>
      </c>
      <c r="V58" s="61" t="s">
        <v>141</v>
      </c>
    </row>
    <row r="59" spans="1:26" x14ac:dyDescent="0.3">
      <c r="A59" s="29"/>
      <c r="B59" s="29"/>
      <c r="C59" s="29"/>
      <c r="D59" s="29"/>
      <c r="E59" s="61" t="s">
        <v>142</v>
      </c>
      <c r="F59" s="29"/>
      <c r="G59" s="29"/>
      <c r="H59" s="29"/>
      <c r="I59" s="29"/>
      <c r="J59" s="61" t="s">
        <v>143</v>
      </c>
      <c r="K59" s="29"/>
      <c r="L59" s="29"/>
      <c r="M59" s="29"/>
      <c r="N59" s="29"/>
      <c r="O59" s="29"/>
      <c r="P59" s="29"/>
      <c r="Q59" s="29"/>
      <c r="R59" s="29"/>
      <c r="S59" s="29"/>
      <c r="T59" s="29"/>
      <c r="U59" s="61"/>
      <c r="V59" s="61"/>
    </row>
    <row r="60" spans="1:26" x14ac:dyDescent="0.3">
      <c r="A60" s="35" t="s">
        <v>144</v>
      </c>
      <c r="B60" s="8">
        <v>119023.936166666</v>
      </c>
      <c r="C60" s="8">
        <v>237513.73</v>
      </c>
      <c r="D60" s="8">
        <v>89625.331749999998</v>
      </c>
      <c r="E60" s="46">
        <f t="shared" ref="E60:E82" si="34">SUM(B60:D60)</f>
        <v>446162.99791666603</v>
      </c>
      <c r="F60" s="8">
        <v>1261725</v>
      </c>
      <c r="G60" s="8">
        <v>0</v>
      </c>
      <c r="H60" s="8">
        <v>513482</v>
      </c>
      <c r="I60" s="8">
        <f t="shared" ref="I60:I82" si="35">I4*$B$57</f>
        <v>42214.860620000007</v>
      </c>
      <c r="J60" s="46">
        <f t="shared" ref="J60:J82" si="36">SUM(F60:I60)</f>
        <v>1817421.8606199999</v>
      </c>
      <c r="K60" s="46">
        <f t="shared" ref="K60:S60" si="37">$B$57*K4</f>
        <v>0</v>
      </c>
      <c r="L60" s="46">
        <f t="shared" si="37"/>
        <v>0</v>
      </c>
      <c r="M60" s="46">
        <f t="shared" si="37"/>
        <v>0</v>
      </c>
      <c r="N60" s="46">
        <f t="shared" si="37"/>
        <v>0</v>
      </c>
      <c r="O60" s="46">
        <f t="shared" si="37"/>
        <v>0</v>
      </c>
      <c r="P60" s="46">
        <f t="shared" si="37"/>
        <v>0</v>
      </c>
      <c r="Q60" s="46">
        <f t="shared" si="37"/>
        <v>0</v>
      </c>
      <c r="R60" s="46">
        <f t="shared" si="37"/>
        <v>0</v>
      </c>
      <c r="S60" s="46">
        <f t="shared" si="37"/>
        <v>0</v>
      </c>
      <c r="T60" s="46">
        <f t="shared" ref="T60:T82" si="38">T4*$B$57</f>
        <v>0</v>
      </c>
      <c r="U60" s="46">
        <f t="shared" ref="U60:U82" si="39">SUM(K60:T60)</f>
        <v>0</v>
      </c>
      <c r="V60" s="46">
        <f t="shared" ref="V60:V82" si="40">E60+J60+U60</f>
        <v>2263584.8585366658</v>
      </c>
      <c r="X60" s="19"/>
      <c r="Z60" s="19"/>
    </row>
    <row r="61" spans="1:26" x14ac:dyDescent="0.3">
      <c r="A61" s="35" t="s">
        <v>145</v>
      </c>
      <c r="B61" s="8">
        <v>129358</v>
      </c>
      <c r="C61" s="8">
        <v>300768</v>
      </c>
      <c r="D61" s="8">
        <v>296318.01636000001</v>
      </c>
      <c r="E61" s="46">
        <f t="shared" si="34"/>
        <v>726444.01636000001</v>
      </c>
      <c r="F61" s="8">
        <v>1261725</v>
      </c>
      <c r="G61" s="8">
        <v>18445</v>
      </c>
      <c r="H61" s="8">
        <v>2098715</v>
      </c>
      <c r="I61" s="8">
        <f t="shared" si="35"/>
        <v>47220.761823333341</v>
      </c>
      <c r="J61" s="46">
        <f t="shared" si="36"/>
        <v>3426105.7618233333</v>
      </c>
      <c r="K61" s="46">
        <f t="shared" ref="K61:S61" si="41">$B$57*K5</f>
        <v>0</v>
      </c>
      <c r="L61" s="46">
        <f t="shared" si="41"/>
        <v>0</v>
      </c>
      <c r="M61" s="46">
        <f t="shared" si="41"/>
        <v>0</v>
      </c>
      <c r="N61" s="46">
        <f t="shared" si="41"/>
        <v>0</v>
      </c>
      <c r="O61" s="46">
        <f t="shared" si="41"/>
        <v>0</v>
      </c>
      <c r="P61" s="46">
        <f t="shared" si="41"/>
        <v>0</v>
      </c>
      <c r="Q61" s="46">
        <f t="shared" si="41"/>
        <v>0</v>
      </c>
      <c r="R61" s="46">
        <f t="shared" si="41"/>
        <v>0</v>
      </c>
      <c r="S61" s="46">
        <f t="shared" si="41"/>
        <v>0</v>
      </c>
      <c r="T61" s="46">
        <f t="shared" si="38"/>
        <v>0</v>
      </c>
      <c r="U61" s="46">
        <f t="shared" si="39"/>
        <v>0</v>
      </c>
      <c r="V61" s="46">
        <f t="shared" si="40"/>
        <v>4152549.7781833336</v>
      </c>
      <c r="X61" s="19"/>
      <c r="Z61" s="19"/>
    </row>
    <row r="62" spans="1:26" x14ac:dyDescent="0.3">
      <c r="A62" s="35" t="s">
        <v>146</v>
      </c>
      <c r="B62" s="8">
        <v>179568.02234555894</v>
      </c>
      <c r="C62" s="8">
        <v>320691.84972779639</v>
      </c>
      <c r="D62" s="8">
        <v>299456.95726998051</v>
      </c>
      <c r="E62" s="46">
        <f t="shared" si="34"/>
        <v>799716.82934333594</v>
      </c>
      <c r="F62" s="8">
        <v>1261725</v>
      </c>
      <c r="G62" s="8">
        <v>5286</v>
      </c>
      <c r="H62" s="8">
        <v>2814409</v>
      </c>
      <c r="I62" s="8">
        <f t="shared" si="35"/>
        <v>46984.658014216671</v>
      </c>
      <c r="J62" s="46">
        <f t="shared" si="36"/>
        <v>4128404.6580142165</v>
      </c>
      <c r="K62" s="46">
        <f t="shared" ref="K62:S62" si="42">$B$57*K6</f>
        <v>235000.48624990974</v>
      </c>
      <c r="L62" s="46">
        <f t="shared" si="42"/>
        <v>263279.76212948636</v>
      </c>
      <c r="M62" s="46">
        <f t="shared" si="42"/>
        <v>0</v>
      </c>
      <c r="N62" s="46">
        <f t="shared" si="42"/>
        <v>214589.79814800003</v>
      </c>
      <c r="O62" s="46">
        <f t="shared" si="42"/>
        <v>0</v>
      </c>
      <c r="P62" s="46">
        <f t="shared" si="42"/>
        <v>132163.31282673086</v>
      </c>
      <c r="Q62" s="46">
        <f t="shared" si="42"/>
        <v>0</v>
      </c>
      <c r="R62" s="46">
        <f t="shared" si="42"/>
        <v>0</v>
      </c>
      <c r="S62" s="46">
        <f t="shared" si="42"/>
        <v>0</v>
      </c>
      <c r="T62" s="46">
        <f t="shared" si="38"/>
        <v>0</v>
      </c>
      <c r="U62" s="46">
        <f t="shared" si="39"/>
        <v>845033.35935412708</v>
      </c>
      <c r="V62" s="46">
        <f t="shared" si="40"/>
        <v>5773154.8467116794</v>
      </c>
      <c r="W62" s="202"/>
      <c r="X62" s="19"/>
    </row>
    <row r="63" spans="1:26" x14ac:dyDescent="0.3">
      <c r="A63" s="35" t="s">
        <v>147</v>
      </c>
      <c r="B63" s="8">
        <v>198394.67310533352</v>
      </c>
      <c r="C63" s="8">
        <v>385997.60010335833</v>
      </c>
      <c r="D63" s="8">
        <v>319563.17280718335</v>
      </c>
      <c r="E63" s="46">
        <f t="shared" si="34"/>
        <v>903955.4460158752</v>
      </c>
      <c r="F63" s="8">
        <v>1261725</v>
      </c>
      <c r="G63" s="55"/>
      <c r="H63" s="8">
        <v>2814409</v>
      </c>
      <c r="I63" s="8">
        <f t="shared" si="35"/>
        <v>46749.734724145594</v>
      </c>
      <c r="J63" s="46">
        <f t="shared" si="36"/>
        <v>4122883.7347241454</v>
      </c>
      <c r="K63" s="46">
        <f t="shared" ref="K63:S63" si="43">$B$57*K7</f>
        <v>351272.40024280868</v>
      </c>
      <c r="L63" s="46">
        <f t="shared" si="43"/>
        <v>387005.31667248061</v>
      </c>
      <c r="M63" s="46">
        <f t="shared" si="43"/>
        <v>439909.08620339999</v>
      </c>
      <c r="N63" s="46">
        <f t="shared" si="43"/>
        <v>320865.395680797</v>
      </c>
      <c r="O63" s="46">
        <f t="shared" si="43"/>
        <v>46136.806601819997</v>
      </c>
      <c r="P63" s="46">
        <f t="shared" si="43"/>
        <v>194023.47293941805</v>
      </c>
      <c r="Q63" s="46">
        <f t="shared" si="43"/>
        <v>0</v>
      </c>
      <c r="R63" s="46">
        <f t="shared" si="43"/>
        <v>0</v>
      </c>
      <c r="S63" s="46">
        <f t="shared" si="43"/>
        <v>0</v>
      </c>
      <c r="T63" s="46">
        <f t="shared" si="38"/>
        <v>34049.15</v>
      </c>
      <c r="U63" s="46">
        <f t="shared" si="39"/>
        <v>1773261.6283407244</v>
      </c>
      <c r="V63" s="46">
        <f t="shared" si="40"/>
        <v>6800100.8090807442</v>
      </c>
      <c r="W63" s="202"/>
      <c r="X63" s="19"/>
    </row>
    <row r="64" spans="1:26" x14ac:dyDescent="0.3">
      <c r="A64" s="35" t="s">
        <v>148</v>
      </c>
      <c r="B64" s="8">
        <v>196299.76398383471</v>
      </c>
      <c r="C64" s="8">
        <v>385550.00182071875</v>
      </c>
      <c r="D64" s="8">
        <v>317965.35694314737</v>
      </c>
      <c r="E64" s="46">
        <f t="shared" si="34"/>
        <v>899815.12274770078</v>
      </c>
      <c r="F64" s="8">
        <v>1261725</v>
      </c>
      <c r="G64" s="55"/>
      <c r="H64" s="8">
        <v>2814409</v>
      </c>
      <c r="I64" s="8">
        <f t="shared" si="35"/>
        <v>46515.986050524865</v>
      </c>
      <c r="J64" s="46">
        <f t="shared" si="36"/>
        <v>4122649.9860505247</v>
      </c>
      <c r="K64" s="46">
        <f t="shared" ref="K64:S64" si="44">$B$57*K8</f>
        <v>466962.95466574316</v>
      </c>
      <c r="L64" s="46">
        <f t="shared" si="44"/>
        <v>510112.24344275979</v>
      </c>
      <c r="M64" s="46">
        <f t="shared" si="44"/>
        <v>652406.63381945703</v>
      </c>
      <c r="N64" s="46">
        <f t="shared" si="44"/>
        <v>426609.61522592994</v>
      </c>
      <c r="O64" s="46">
        <f t="shared" si="44"/>
        <v>81688.971409989899</v>
      </c>
      <c r="P64" s="46">
        <f t="shared" si="44"/>
        <v>255574.33225154175</v>
      </c>
      <c r="Q64" s="46">
        <f t="shared" si="44"/>
        <v>0</v>
      </c>
      <c r="R64" s="46">
        <f t="shared" si="44"/>
        <v>0</v>
      </c>
      <c r="S64" s="46">
        <f t="shared" si="44"/>
        <v>0</v>
      </c>
      <c r="T64" s="46">
        <f t="shared" si="38"/>
        <v>67757.808499999999</v>
      </c>
      <c r="U64" s="46">
        <f t="shared" si="39"/>
        <v>2461112.5593154212</v>
      </c>
      <c r="V64" s="46">
        <f t="shared" si="40"/>
        <v>7483577.668113647</v>
      </c>
      <c r="W64" s="202"/>
      <c r="X64" s="19"/>
    </row>
    <row r="65" spans="1:24" x14ac:dyDescent="0.3">
      <c r="A65" s="35" t="s">
        <v>149</v>
      </c>
      <c r="B65" s="8">
        <v>194207.95511065185</v>
      </c>
      <c r="C65" s="8">
        <v>385116.09085803403</v>
      </c>
      <c r="D65" s="8">
        <v>316375.53015843168</v>
      </c>
      <c r="E65" s="46">
        <f t="shared" si="34"/>
        <v>895699.5761271175</v>
      </c>
      <c r="F65" s="8">
        <v>1261725</v>
      </c>
      <c r="G65" s="55"/>
      <c r="H65" s="8">
        <v>2814409</v>
      </c>
      <c r="I65" s="8">
        <f t="shared" si="35"/>
        <v>46283.406120272244</v>
      </c>
      <c r="J65" s="46">
        <f t="shared" si="36"/>
        <v>4122417.4061202724</v>
      </c>
      <c r="K65" s="46">
        <f t="shared" ref="K65:S65" si="45">$B$57*K9</f>
        <v>582075.05631656293</v>
      </c>
      <c r="L65" s="46">
        <f t="shared" si="45"/>
        <v>632603.63557918766</v>
      </c>
      <c r="M65" s="46">
        <f t="shared" si="45"/>
        <v>863841.6936974338</v>
      </c>
      <c r="N65" s="46">
        <f t="shared" si="45"/>
        <v>531825.11367333739</v>
      </c>
      <c r="O65" s="46">
        <f t="shared" si="45"/>
        <v>117063.37539411896</v>
      </c>
      <c r="P65" s="46">
        <f t="shared" si="45"/>
        <v>316817.43726710486</v>
      </c>
      <c r="Q65" s="46">
        <f t="shared" si="45"/>
        <v>333247</v>
      </c>
      <c r="R65" s="46">
        <f t="shared" si="45"/>
        <v>1370312.38845</v>
      </c>
      <c r="S65" s="46">
        <f t="shared" si="45"/>
        <v>41923.921500000004</v>
      </c>
      <c r="T65" s="46">
        <f t="shared" si="38"/>
        <v>101636.71275000001</v>
      </c>
      <c r="U65" s="46">
        <f t="shared" si="39"/>
        <v>4891346.3346277457</v>
      </c>
      <c r="V65" s="46">
        <f t="shared" si="40"/>
        <v>9909463.3168751355</v>
      </c>
      <c r="W65" s="202"/>
      <c r="X65" s="19"/>
    </row>
    <row r="66" spans="1:24" x14ac:dyDescent="0.3">
      <c r="A66" s="35" t="s">
        <v>150</v>
      </c>
      <c r="B66" s="8">
        <v>192119.07522779302</v>
      </c>
      <c r="C66" s="8">
        <v>384684.3850689549</v>
      </c>
      <c r="D66" s="8">
        <v>314793.65250763949</v>
      </c>
      <c r="E66" s="46">
        <f t="shared" si="34"/>
        <v>891597.11280438746</v>
      </c>
      <c r="F66" s="8">
        <v>1261725</v>
      </c>
      <c r="G66" s="55"/>
      <c r="H66" s="8">
        <v>2814409</v>
      </c>
      <c r="I66" s="8">
        <f t="shared" si="35"/>
        <v>46051.989089670882</v>
      </c>
      <c r="J66" s="46">
        <f t="shared" si="36"/>
        <v>4122185.9890896711</v>
      </c>
      <c r="K66" s="46">
        <f t="shared" ref="K66:S66" si="46">$B$57*K10</f>
        <v>696611.59745912859</v>
      </c>
      <c r="L66" s="46">
        <f t="shared" si="46"/>
        <v>754482.57075493329</v>
      </c>
      <c r="M66" s="46">
        <f t="shared" si="46"/>
        <v>1074219.5782760205</v>
      </c>
      <c r="N66" s="46">
        <f t="shared" si="46"/>
        <v>636514.53462850768</v>
      </c>
      <c r="O66" s="46">
        <f t="shared" si="46"/>
        <v>152260.90735832736</v>
      </c>
      <c r="P66" s="46">
        <f t="shared" si="46"/>
        <v>377754.32675759023</v>
      </c>
      <c r="Q66" s="46">
        <f t="shared" si="46"/>
        <v>2868822</v>
      </c>
      <c r="R66" s="46">
        <f t="shared" si="46"/>
        <v>2128892.96300775</v>
      </c>
      <c r="S66" s="46">
        <f t="shared" si="46"/>
        <v>100121.6342425</v>
      </c>
      <c r="T66" s="46">
        <f t="shared" si="38"/>
        <v>135515.617</v>
      </c>
      <c r="U66" s="46">
        <f t="shared" si="39"/>
        <v>8925195.7294847574</v>
      </c>
      <c r="V66" s="46">
        <f t="shared" si="40"/>
        <v>13938978.831378816</v>
      </c>
      <c r="W66" s="202"/>
      <c r="X66" s="19"/>
    </row>
    <row r="67" spans="1:24" x14ac:dyDescent="0.3">
      <c r="A67" s="35" t="s">
        <v>151</v>
      </c>
      <c r="B67" s="8">
        <v>190044.90132147312</v>
      </c>
      <c r="C67" s="8">
        <v>384256.08567394584</v>
      </c>
      <c r="D67" s="8">
        <v>313219.68424510129</v>
      </c>
      <c r="E67" s="46">
        <f t="shared" si="34"/>
        <v>887520.67124052031</v>
      </c>
      <c r="F67" s="8">
        <v>1261725</v>
      </c>
      <c r="G67" s="55"/>
      <c r="H67" s="8">
        <v>2814409</v>
      </c>
      <c r="I67" s="8">
        <f t="shared" si="35"/>
        <v>45821.729144222525</v>
      </c>
      <c r="J67" s="46">
        <f t="shared" si="36"/>
        <v>4121955.7291442226</v>
      </c>
      <c r="K67" s="46">
        <f t="shared" ref="K67:S67" si="47">$B$57*K11</f>
        <v>810575.45589598152</v>
      </c>
      <c r="L67" s="46">
        <f t="shared" si="47"/>
        <v>875752.11125480023</v>
      </c>
      <c r="M67" s="46">
        <f t="shared" si="47"/>
        <v>1283545.5734317144</v>
      </c>
      <c r="N67" s="46">
        <f t="shared" si="47"/>
        <v>740680.50847890216</v>
      </c>
      <c r="O67" s="46">
        <f t="shared" si="47"/>
        <v>187282.45166271471</v>
      </c>
      <c r="P67" s="46">
        <f t="shared" si="47"/>
        <v>438386.53180062299</v>
      </c>
      <c r="Q67" s="46">
        <f t="shared" si="47"/>
        <v>4136609.5</v>
      </c>
      <c r="R67" s="46">
        <f t="shared" si="47"/>
        <v>2842698.4981927113</v>
      </c>
      <c r="S67" s="46">
        <f t="shared" si="47"/>
        <v>146710.27607128752</v>
      </c>
      <c r="T67" s="46">
        <f t="shared" si="38"/>
        <v>169394.52125000002</v>
      </c>
      <c r="U67" s="46">
        <f t="shared" si="39"/>
        <v>11631635.428038735</v>
      </c>
      <c r="V67" s="46">
        <f t="shared" si="40"/>
        <v>16641111.828423478</v>
      </c>
      <c r="W67" s="202"/>
      <c r="X67" s="19"/>
    </row>
    <row r="68" spans="1:24" x14ac:dyDescent="0.3">
      <c r="A68" s="35" t="s">
        <v>152</v>
      </c>
      <c r="B68" s="8">
        <v>192274.12197306089</v>
      </c>
      <c r="C68" s="8">
        <v>379534.47355778608</v>
      </c>
      <c r="D68" s="8">
        <v>311653.58582387579</v>
      </c>
      <c r="E68" s="46">
        <f t="shared" si="34"/>
        <v>883462.18135472271</v>
      </c>
      <c r="F68" s="8">
        <v>1261725</v>
      </c>
      <c r="G68" s="55"/>
      <c r="H68" s="8">
        <v>2814409</v>
      </c>
      <c r="I68" s="8">
        <f t="shared" si="35"/>
        <v>45592.620498501419</v>
      </c>
      <c r="J68" s="46">
        <f t="shared" si="36"/>
        <v>4121726.6204985012</v>
      </c>
      <c r="K68" s="46">
        <f t="shared" ref="K68:S68" si="48">$B$57*K12</f>
        <v>923969.49504065001</v>
      </c>
      <c r="L68" s="46">
        <f t="shared" si="48"/>
        <v>996415.30405216792</v>
      </c>
      <c r="M68" s="46">
        <f t="shared" si="48"/>
        <v>1491824.9386116299</v>
      </c>
      <c r="N68" s="46">
        <f t="shared" si="48"/>
        <v>844325.6524600446</v>
      </c>
      <c r="O68" s="46">
        <f t="shared" si="48"/>
        <v>222128.88824558014</v>
      </c>
      <c r="P68" s="46">
        <f t="shared" si="48"/>
        <v>498715.57581844064</v>
      </c>
      <c r="Q68" s="46">
        <f t="shared" si="48"/>
        <v>5947734.5</v>
      </c>
      <c r="R68" s="46">
        <f t="shared" si="48"/>
        <v>4277385.0057017477</v>
      </c>
      <c r="S68" s="46">
        <f t="shared" si="48"/>
        <v>236532.97469093106</v>
      </c>
      <c r="T68" s="46">
        <f t="shared" si="38"/>
        <v>203273.42550000001</v>
      </c>
      <c r="U68" s="46">
        <f t="shared" si="39"/>
        <v>15642305.760121193</v>
      </c>
      <c r="V68" s="46">
        <f t="shared" si="40"/>
        <v>20647494.561974417</v>
      </c>
      <c r="W68" s="202"/>
      <c r="X68" s="19"/>
    </row>
    <row r="69" spans="1:24" x14ac:dyDescent="0.3">
      <c r="A69" s="35" t="s">
        <v>153</v>
      </c>
      <c r="B69" s="8">
        <v>193401.24122930586</v>
      </c>
      <c r="C69" s="8">
        <v>375928.60564779153</v>
      </c>
      <c r="D69" s="8">
        <v>310095.31789475639</v>
      </c>
      <c r="E69" s="46">
        <f t="shared" si="34"/>
        <v>879425.16477185371</v>
      </c>
      <c r="F69" s="8">
        <v>1261725</v>
      </c>
      <c r="G69" s="55"/>
      <c r="H69" s="8">
        <v>2814409</v>
      </c>
      <c r="I69" s="8">
        <f t="shared" si="35"/>
        <v>45364.657396008908</v>
      </c>
      <c r="J69" s="46">
        <f t="shared" si="36"/>
        <v>4121498.6573960087</v>
      </c>
      <c r="K69" s="46">
        <f t="shared" ref="K69:S69" si="49">$B$57*K13</f>
        <v>1036796.5639895952</v>
      </c>
      <c r="L69" s="46">
        <f t="shared" si="49"/>
        <v>1116475.1808855487</v>
      </c>
      <c r="M69" s="46">
        <f t="shared" si="49"/>
        <v>1699062.906965646</v>
      </c>
      <c r="N69" s="46">
        <f t="shared" si="49"/>
        <v>947452.57072128158</v>
      </c>
      <c r="O69" s="46">
        <f t="shared" si="49"/>
        <v>256801.09264553126</v>
      </c>
      <c r="P69" s="46">
        <f t="shared" si="49"/>
        <v>558742.97461616935</v>
      </c>
      <c r="Q69" s="46">
        <f t="shared" si="49"/>
        <v>7758859.5</v>
      </c>
      <c r="R69" s="46">
        <f t="shared" si="49"/>
        <v>5712142.5806732392</v>
      </c>
      <c r="S69" s="46">
        <f t="shared" si="49"/>
        <v>326359.34106747637</v>
      </c>
      <c r="T69" s="46">
        <f t="shared" si="38"/>
        <v>228746.28583834585</v>
      </c>
      <c r="U69" s="46">
        <f t="shared" si="39"/>
        <v>19641438.997402836</v>
      </c>
      <c r="V69" s="46">
        <f t="shared" si="40"/>
        <v>24642362.819570698</v>
      </c>
      <c r="W69" s="202"/>
      <c r="X69" s="19"/>
    </row>
    <row r="70" spans="1:24" x14ac:dyDescent="0.3">
      <c r="A70" s="35" t="s">
        <v>154</v>
      </c>
      <c r="B70" s="8">
        <v>194526.51497018788</v>
      </c>
      <c r="C70" s="8">
        <v>372337.44064443005</v>
      </c>
      <c r="D70" s="8">
        <v>308544.84130528261</v>
      </c>
      <c r="E70" s="46">
        <f t="shared" si="34"/>
        <v>875408.79691990046</v>
      </c>
      <c r="F70" s="8">
        <v>1261725</v>
      </c>
      <c r="G70" s="55"/>
      <c r="H70" s="8">
        <v>2814409</v>
      </c>
      <c r="I70" s="8">
        <f t="shared" si="35"/>
        <v>45137.834109028867</v>
      </c>
      <c r="J70" s="46">
        <f t="shared" si="36"/>
        <v>4121271.8341090288</v>
      </c>
      <c r="K70" s="46">
        <f t="shared" ref="K70:S70" si="50">$B$57*K14</f>
        <v>1149059.4975937959</v>
      </c>
      <c r="L70" s="46">
        <f t="shared" si="50"/>
        <v>1235934.7583347624</v>
      </c>
      <c r="M70" s="46">
        <f t="shared" si="50"/>
        <v>1905264.6854778917</v>
      </c>
      <c r="N70" s="46">
        <f t="shared" si="50"/>
        <v>1050063.8543912119</v>
      </c>
      <c r="O70" s="46">
        <f t="shared" si="50"/>
        <v>291299.93602348259</v>
      </c>
      <c r="P70" s="46">
        <f t="shared" si="50"/>
        <v>618470.23641990928</v>
      </c>
      <c r="Q70" s="46">
        <f t="shared" si="50"/>
        <v>9569984.5</v>
      </c>
      <c r="R70" s="46">
        <f t="shared" si="50"/>
        <v>7146970.8677698737</v>
      </c>
      <c r="S70" s="46">
        <f t="shared" si="50"/>
        <v>416189.35686213901</v>
      </c>
      <c r="T70" s="46">
        <f t="shared" si="38"/>
        <v>254219.14617669172</v>
      </c>
      <c r="U70" s="46">
        <f t="shared" si="39"/>
        <v>23637456.83904976</v>
      </c>
      <c r="V70" s="46">
        <f t="shared" si="40"/>
        <v>28634137.470078692</v>
      </c>
      <c r="W70" s="202"/>
      <c r="X70" s="19"/>
    </row>
    <row r="71" spans="1:24" x14ac:dyDescent="0.3">
      <c r="A71" s="35" t="s">
        <v>155</v>
      </c>
      <c r="B71" s="8">
        <v>187783.62342223129</v>
      </c>
      <c r="C71" s="8">
        <v>372101.67171409639</v>
      </c>
      <c r="D71" s="8">
        <v>307002.11709875613</v>
      </c>
      <c r="E71" s="46">
        <f t="shared" si="34"/>
        <v>866887.41223508376</v>
      </c>
      <c r="F71" s="8">
        <v>1261725</v>
      </c>
      <c r="G71" s="55"/>
      <c r="H71" s="8">
        <v>2814409</v>
      </c>
      <c r="I71" s="8">
        <f t="shared" si="35"/>
        <v>44912.144938483725</v>
      </c>
      <c r="J71" s="46">
        <f t="shared" si="36"/>
        <v>4121046.1449384838</v>
      </c>
      <c r="K71" s="46">
        <f t="shared" ref="K71:S71" si="51">$B$57*K15</f>
        <v>1260761.1165299753</v>
      </c>
      <c r="L71" s="46">
        <f t="shared" si="51"/>
        <v>1354797.0378967302</v>
      </c>
      <c r="M71" s="46">
        <f t="shared" si="51"/>
        <v>2110435.4550975761</v>
      </c>
      <c r="N71" s="46">
        <f t="shared" si="51"/>
        <v>1152162.081642793</v>
      </c>
      <c r="O71" s="46">
        <f t="shared" si="51"/>
        <v>325626.28518454428</v>
      </c>
      <c r="P71" s="46">
        <f t="shared" si="51"/>
        <v>677898.86191463051</v>
      </c>
      <c r="Q71" s="46">
        <f t="shared" si="51"/>
        <v>11381109.5</v>
      </c>
      <c r="R71" s="46">
        <f t="shared" si="51"/>
        <v>8581869.5134310238</v>
      </c>
      <c r="S71" s="46">
        <f t="shared" si="51"/>
        <v>506023.00382782839</v>
      </c>
      <c r="T71" s="46">
        <f t="shared" si="38"/>
        <v>279692.0065150375</v>
      </c>
      <c r="U71" s="46">
        <f t="shared" si="39"/>
        <v>27630374.86204014</v>
      </c>
      <c r="V71" s="46">
        <f t="shared" si="40"/>
        <v>32618308.419213708</v>
      </c>
      <c r="W71" s="202"/>
    </row>
    <row r="72" spans="1:24" x14ac:dyDescent="0.3">
      <c r="A72" s="35" t="s">
        <v>156</v>
      </c>
      <c r="B72" s="8">
        <v>187421.39842223166</v>
      </c>
      <c r="C72" s="8">
        <v>372099.49836409639</v>
      </c>
      <c r="D72" s="8">
        <v>305467.10651326238</v>
      </c>
      <c r="E72" s="46">
        <f t="shared" si="34"/>
        <v>864988.00329959043</v>
      </c>
      <c r="F72" s="55"/>
      <c r="G72" s="55"/>
      <c r="H72" s="8">
        <v>2814409</v>
      </c>
      <c r="I72" s="8">
        <f t="shared" si="35"/>
        <v>44687.584213791306</v>
      </c>
      <c r="J72" s="46">
        <f t="shared" si="36"/>
        <v>2859096.5842137914</v>
      </c>
      <c r="K72" s="46">
        <f t="shared" ref="K72:S72" si="52">$B$57*K16</f>
        <v>1371904.2273714738</v>
      </c>
      <c r="L72" s="46">
        <f t="shared" si="52"/>
        <v>1473065.0060608881</v>
      </c>
      <c r="M72" s="46">
        <f t="shared" si="52"/>
        <v>2314580.370869162</v>
      </c>
      <c r="N72" s="46">
        <f t="shared" si="52"/>
        <v>1253749.8177581159</v>
      </c>
      <c r="O72" s="46">
        <f t="shared" si="52"/>
        <v>359781.00259980053</v>
      </c>
      <c r="P72" s="46">
        <f t="shared" si="52"/>
        <v>737030.34428187809</v>
      </c>
      <c r="Q72" s="46">
        <f t="shared" si="52"/>
        <v>13192234.5</v>
      </c>
      <c r="R72" s="46">
        <f t="shared" si="52"/>
        <v>10016838.165863868</v>
      </c>
      <c r="S72" s="46">
        <f t="shared" si="52"/>
        <v>595860.2638086892</v>
      </c>
      <c r="T72" s="46">
        <f t="shared" si="38"/>
        <v>305164.86685338337</v>
      </c>
      <c r="U72" s="46">
        <f t="shared" si="39"/>
        <v>31620208.565467261</v>
      </c>
      <c r="V72" s="46">
        <f t="shared" si="40"/>
        <v>35344293.152980641</v>
      </c>
      <c r="W72" s="202"/>
    </row>
    <row r="73" spans="1:24" x14ac:dyDescent="0.3">
      <c r="A73" s="35" t="s">
        <v>157</v>
      </c>
      <c r="B73" s="8">
        <v>187190.39546556454</v>
      </c>
      <c r="C73" s="8">
        <v>371807.40012409637</v>
      </c>
      <c r="D73" s="8">
        <v>303939.77098069608</v>
      </c>
      <c r="E73" s="46">
        <f t="shared" si="34"/>
        <v>862937.56657035695</v>
      </c>
      <c r="F73" s="55"/>
      <c r="G73" s="55"/>
      <c r="H73" s="8">
        <v>2511947</v>
      </c>
      <c r="I73" s="8">
        <f t="shared" si="35"/>
        <v>44464.146292722347</v>
      </c>
      <c r="J73" s="46">
        <f t="shared" si="36"/>
        <v>2556411.1462927223</v>
      </c>
      <c r="K73" s="46">
        <f t="shared" ref="K73:S73" si="53">$B$57*K17</f>
        <v>1423768.1644466911</v>
      </c>
      <c r="L73" s="46">
        <f t="shared" si="53"/>
        <v>1528220.6577074046</v>
      </c>
      <c r="M73" s="46">
        <f t="shared" si="53"/>
        <v>2517704.56206189</v>
      </c>
      <c r="N73" s="46">
        <f t="shared" si="53"/>
        <v>1301155.3419310939</v>
      </c>
      <c r="O73" s="46">
        <f t="shared" si="53"/>
        <v>393764.9464279805</v>
      </c>
      <c r="P73" s="46">
        <f t="shared" si="53"/>
        <v>764605.68089887907</v>
      </c>
      <c r="Q73" s="46">
        <f t="shared" si="53"/>
        <v>15003359.5</v>
      </c>
      <c r="R73" s="46">
        <f t="shared" si="53"/>
        <v>11451876.475034548</v>
      </c>
      <c r="S73" s="46">
        <f t="shared" si="53"/>
        <v>685701.1187396457</v>
      </c>
      <c r="T73" s="46">
        <f t="shared" si="38"/>
        <v>330637.72719172924</v>
      </c>
      <c r="U73" s="46">
        <f t="shared" si="39"/>
        <v>35400794.174439862</v>
      </c>
      <c r="V73" s="46">
        <f t="shared" si="40"/>
        <v>38820142.887302943</v>
      </c>
      <c r="W73" s="202"/>
    </row>
    <row r="74" spans="1:24" x14ac:dyDescent="0.3">
      <c r="A74" s="35" t="s">
        <v>158</v>
      </c>
      <c r="B74" s="8">
        <v>145572.24016223199</v>
      </c>
      <c r="C74" s="8">
        <v>320089.92885409691</v>
      </c>
      <c r="D74" s="8">
        <v>302420.07212579256</v>
      </c>
      <c r="E74" s="46">
        <f t="shared" si="34"/>
        <v>768082.24114212138</v>
      </c>
      <c r="F74" s="55"/>
      <c r="G74" s="55"/>
      <c r="H74" s="8">
        <v>2511947</v>
      </c>
      <c r="I74" s="8">
        <f t="shared" si="35"/>
        <v>44241.825561258731</v>
      </c>
      <c r="J74" s="46">
        <f t="shared" si="36"/>
        <v>2556188.8255612589</v>
      </c>
      <c r="K74" s="46">
        <f t="shared" ref="K74:S74" si="54">$B$57*K18</f>
        <v>1475372.7818365316</v>
      </c>
      <c r="L74" s="46">
        <f t="shared" si="54"/>
        <v>1583100.5310956885</v>
      </c>
      <c r="M74" s="46">
        <f t="shared" si="54"/>
        <v>2612464.5857751174</v>
      </c>
      <c r="N74" s="46">
        <f t="shared" si="54"/>
        <v>1348323.8384832069</v>
      </c>
      <c r="O74" s="46">
        <f t="shared" si="54"/>
        <v>409687.54611643008</v>
      </c>
      <c r="P74" s="46">
        <f t="shared" si="54"/>
        <v>792043.14083279518</v>
      </c>
      <c r="Q74" s="46">
        <f t="shared" si="54"/>
        <v>16814484.5</v>
      </c>
      <c r="R74" s="46">
        <f t="shared" si="54"/>
        <v>12886984.092659377</v>
      </c>
      <c r="S74" s="46">
        <f t="shared" si="54"/>
        <v>775545.55064594769</v>
      </c>
      <c r="T74" s="46">
        <f t="shared" si="38"/>
        <v>356110.58753007505</v>
      </c>
      <c r="U74" s="46">
        <f t="shared" si="39"/>
        <v>39054117.154975168</v>
      </c>
      <c r="V74" s="46">
        <f t="shared" si="40"/>
        <v>42378388.221678548</v>
      </c>
      <c r="W74" s="202"/>
    </row>
    <row r="75" spans="1:24" x14ac:dyDescent="0.3">
      <c r="A75" s="35" t="s">
        <v>159</v>
      </c>
      <c r="B75" s="8">
        <v>56790.602882231557</v>
      </c>
      <c r="C75" s="8">
        <v>135128.03963076315</v>
      </c>
      <c r="D75" s="8">
        <v>231543.68614666659</v>
      </c>
      <c r="E75" s="46">
        <f t="shared" si="34"/>
        <v>423462.32865966129</v>
      </c>
      <c r="F75" s="55"/>
      <c r="G75" s="55"/>
      <c r="H75" s="8">
        <v>2300927</v>
      </c>
      <c r="I75" s="8">
        <f t="shared" si="35"/>
        <v>44020.616433452444</v>
      </c>
      <c r="J75" s="46">
        <f t="shared" si="36"/>
        <v>2344947.6164334523</v>
      </c>
      <c r="K75" s="46">
        <f t="shared" ref="K75:S75" si="55">$B$57*K19</f>
        <v>1526719.3761394233</v>
      </c>
      <c r="L75" s="46">
        <f t="shared" si="55"/>
        <v>1637706.0051170308</v>
      </c>
      <c r="M75" s="46">
        <f t="shared" si="55"/>
        <v>2706750.8093697792</v>
      </c>
      <c r="N75" s="46">
        <f t="shared" si="55"/>
        <v>1395256.4925525596</v>
      </c>
      <c r="O75" s="46">
        <f t="shared" si="55"/>
        <v>425530.53280643746</v>
      </c>
      <c r="P75" s="46">
        <f t="shared" si="55"/>
        <v>819343.41346704157</v>
      </c>
      <c r="Q75" s="46">
        <f t="shared" si="55"/>
        <v>18625609.5</v>
      </c>
      <c r="R75" s="46">
        <f t="shared" si="55"/>
        <v>14322160.672196079</v>
      </c>
      <c r="S75" s="46">
        <f t="shared" si="55"/>
        <v>865393.54164271778</v>
      </c>
      <c r="T75" s="46">
        <f t="shared" si="38"/>
        <v>381583.44786842092</v>
      </c>
      <c r="U75" s="46">
        <f t="shared" si="39"/>
        <v>42706053.791159488</v>
      </c>
      <c r="V75" s="46">
        <f t="shared" si="40"/>
        <v>45474463.736252598</v>
      </c>
      <c r="W75" s="202"/>
    </row>
    <row r="76" spans="1:24" x14ac:dyDescent="0.3">
      <c r="A76" s="35" t="s">
        <v>61</v>
      </c>
      <c r="B76" s="8">
        <v>29792.476435564931</v>
      </c>
      <c r="C76" s="8">
        <v>63361.994170763188</v>
      </c>
      <c r="D76" s="8">
        <v>24851.00153666667</v>
      </c>
      <c r="E76" s="46">
        <f t="shared" si="34"/>
        <v>118005.47214299478</v>
      </c>
      <c r="F76" s="55"/>
      <c r="G76" s="55"/>
      <c r="H76" s="8"/>
      <c r="I76" s="8">
        <f t="shared" si="35"/>
        <v>43800.513351285183</v>
      </c>
      <c r="J76" s="46">
        <f t="shared" si="36"/>
        <v>43800.513351285183</v>
      </c>
      <c r="K76" s="46">
        <f t="shared" ref="K76:S76" si="56">$B$57*K20</f>
        <v>1577809.2374708005</v>
      </c>
      <c r="L76" s="46">
        <f t="shared" si="56"/>
        <v>1692038.451768266</v>
      </c>
      <c r="M76" s="46">
        <f t="shared" si="56"/>
        <v>2800565.6018464677</v>
      </c>
      <c r="N76" s="46">
        <f t="shared" si="56"/>
        <v>1441954.4833515652</v>
      </c>
      <c r="O76" s="46">
        <f t="shared" si="56"/>
        <v>441294.3045629948</v>
      </c>
      <c r="P76" s="46">
        <f t="shared" si="56"/>
        <v>846507.18473811669</v>
      </c>
      <c r="Q76" s="46">
        <f t="shared" si="56"/>
        <v>19531172</v>
      </c>
      <c r="R76" s="46">
        <f t="shared" si="56"/>
        <v>15032955.868835101</v>
      </c>
      <c r="S76" s="46">
        <f t="shared" si="56"/>
        <v>909966.9489345043</v>
      </c>
      <c r="T76" s="46">
        <f t="shared" si="38"/>
        <v>407056.30820676673</v>
      </c>
      <c r="U76" s="46">
        <f t="shared" si="39"/>
        <v>44681320.389714584</v>
      </c>
      <c r="V76" s="46">
        <f t="shared" si="40"/>
        <v>44843126.375208862</v>
      </c>
      <c r="W76" s="202"/>
    </row>
    <row r="77" spans="1:24" x14ac:dyDescent="0.3">
      <c r="A77" s="35" t="s">
        <v>62</v>
      </c>
      <c r="B77" s="57"/>
      <c r="C77" s="57"/>
      <c r="D77" s="57"/>
      <c r="E77" s="46">
        <f t="shared" si="34"/>
        <v>0</v>
      </c>
      <c r="F77" s="55"/>
      <c r="G77" s="55"/>
      <c r="H77" s="8"/>
      <c r="I77" s="8">
        <f t="shared" si="35"/>
        <v>43581.510784528757</v>
      </c>
      <c r="J77" s="46">
        <f t="shared" si="36"/>
        <v>43581.510784528757</v>
      </c>
      <c r="K77" s="46">
        <f t="shared" ref="K77:S77" si="57">$B$57*K21</f>
        <v>1410664.4907928861</v>
      </c>
      <c r="L77" s="46">
        <f t="shared" si="57"/>
        <v>1501889.0987170637</v>
      </c>
      <c r="M77" s="46">
        <f t="shared" si="57"/>
        <v>2893911.3203607723</v>
      </c>
      <c r="N77" s="46">
        <f t="shared" si="57"/>
        <v>1488418.9841965758</v>
      </c>
      <c r="O77" s="46">
        <f t="shared" si="57"/>
        <v>456979.25746076932</v>
      </c>
      <c r="P77" s="46">
        <f t="shared" si="57"/>
        <v>750944.54935853183</v>
      </c>
      <c r="Q77" s="46">
        <f t="shared" si="57"/>
        <v>20436734.5</v>
      </c>
      <c r="R77" s="46">
        <f t="shared" si="57"/>
        <v>15743819.339490922</v>
      </c>
      <c r="S77" s="46">
        <f t="shared" si="57"/>
        <v>954543.87981483177</v>
      </c>
      <c r="T77" s="46">
        <f t="shared" si="38"/>
        <v>432529.1685451126</v>
      </c>
      <c r="U77" s="46">
        <f t="shared" si="39"/>
        <v>46070434.588737465</v>
      </c>
      <c r="V77" s="46">
        <f t="shared" si="40"/>
        <v>46114016.099521995</v>
      </c>
      <c r="W77" s="202"/>
    </row>
    <row r="78" spans="1:24" x14ac:dyDescent="0.3">
      <c r="A78" s="35" t="s">
        <v>63</v>
      </c>
      <c r="B78" s="57"/>
      <c r="C78" s="57"/>
      <c r="D78" s="57"/>
      <c r="E78" s="46">
        <f t="shared" si="34"/>
        <v>0</v>
      </c>
      <c r="F78" s="55"/>
      <c r="G78" s="55"/>
      <c r="H78" s="8"/>
      <c r="I78" s="8">
        <f t="shared" si="35"/>
        <v>43363.60323060611</v>
      </c>
      <c r="J78" s="46">
        <f t="shared" si="36"/>
        <v>43363.60323060611</v>
      </c>
      <c r="K78" s="46">
        <f t="shared" ref="K78:S78" si="58">$B$57*K22</f>
        <v>1353394.5113925564</v>
      </c>
      <c r="L78" s="46">
        <f t="shared" si="58"/>
        <v>1440915.5941690323</v>
      </c>
      <c r="M78" s="46">
        <f t="shared" si="58"/>
        <v>2986790.3102825051</v>
      </c>
      <c r="N78" s="46">
        <f t="shared" si="58"/>
        <v>1534651.1625373615</v>
      </c>
      <c r="O78" s="46">
        <f t="shared" si="58"/>
        <v>429790.71546983422</v>
      </c>
      <c r="P78" s="46">
        <f t="shared" si="58"/>
        <v>720457.79708451615</v>
      </c>
      <c r="Q78" s="46">
        <f t="shared" si="58"/>
        <v>21342297</v>
      </c>
      <c r="R78" s="46">
        <f t="shared" si="58"/>
        <v>16454750.742793471</v>
      </c>
      <c r="S78" s="46">
        <f t="shared" si="58"/>
        <v>999124.31666575756</v>
      </c>
      <c r="T78" s="46">
        <f t="shared" si="38"/>
        <v>458002.02888345841</v>
      </c>
      <c r="U78" s="46">
        <f t="shared" si="39"/>
        <v>47720174.179278493</v>
      </c>
      <c r="V78" s="46">
        <f t="shared" si="40"/>
        <v>47763537.782509096</v>
      </c>
      <c r="W78" s="202"/>
    </row>
    <row r="79" spans="1:24" x14ac:dyDescent="0.3">
      <c r="A79" s="35" t="s">
        <v>64</v>
      </c>
      <c r="B79" s="57"/>
      <c r="C79" s="57"/>
      <c r="D79" s="57"/>
      <c r="E79" s="46">
        <f t="shared" si="34"/>
        <v>0</v>
      </c>
      <c r="F79" s="55"/>
      <c r="G79" s="55"/>
      <c r="H79" s="8"/>
      <c r="I79" s="8">
        <f t="shared" si="35"/>
        <v>43146.785214453084</v>
      </c>
      <c r="J79" s="46">
        <f t="shared" si="36"/>
        <v>43146.785214453084</v>
      </c>
      <c r="K79" s="46">
        <f t="shared" ref="K79:S79" si="59">$B$57*K23</f>
        <v>1296410.881889228</v>
      </c>
      <c r="L79" s="46">
        <f t="shared" si="59"/>
        <v>1380246.9571437412</v>
      </c>
      <c r="M79" s="46">
        <f t="shared" si="59"/>
        <v>3079204.9052546294</v>
      </c>
      <c r="N79" s="46">
        <f t="shared" si="59"/>
        <v>1580652.1799864434</v>
      </c>
      <c r="O79" s="46">
        <f t="shared" si="59"/>
        <v>412342.12611208012</v>
      </c>
      <c r="P79" s="46">
        <f t="shared" si="59"/>
        <v>690123.4785718706</v>
      </c>
      <c r="Q79" s="46">
        <f t="shared" si="59"/>
        <v>22247859.5</v>
      </c>
      <c r="R79" s="46">
        <f t="shared" si="59"/>
        <v>17165749.739079501</v>
      </c>
      <c r="S79" s="46">
        <f t="shared" si="59"/>
        <v>1043708.2419574287</v>
      </c>
      <c r="T79" s="46">
        <f t="shared" si="38"/>
        <v>483474.88922180427</v>
      </c>
      <c r="U79" s="46">
        <f t="shared" si="39"/>
        <v>49379772.899216726</v>
      </c>
      <c r="V79" s="46">
        <f t="shared" si="40"/>
        <v>49422919.68443118</v>
      </c>
      <c r="W79" s="202"/>
    </row>
    <row r="80" spans="1:24" x14ac:dyDescent="0.3">
      <c r="A80" s="35" t="s">
        <v>65</v>
      </c>
      <c r="B80" s="57"/>
      <c r="C80" s="57"/>
      <c r="D80" s="57"/>
      <c r="E80" s="46">
        <f t="shared" si="34"/>
        <v>0</v>
      </c>
      <c r="F80" s="55"/>
      <c r="G80" s="55"/>
      <c r="H80" s="8"/>
      <c r="I80" s="8">
        <f t="shared" si="35"/>
        <v>42931.051288380811</v>
      </c>
      <c r="J80" s="46">
        <f t="shared" si="36"/>
        <v>42931.051288380811</v>
      </c>
      <c r="K80" s="46">
        <f t="shared" ref="K80:S80" si="60">$B$57*K24</f>
        <v>1239712.1705334163</v>
      </c>
      <c r="L80" s="46">
        <f t="shared" si="60"/>
        <v>1319881.6633035762</v>
      </c>
      <c r="M80" s="46">
        <f t="shared" si="60"/>
        <v>3171157.4272518936</v>
      </c>
      <c r="N80" s="46">
        <f t="shared" si="60"/>
        <v>1626423.1923482791</v>
      </c>
      <c r="O80" s="46">
        <f t="shared" si="60"/>
        <v>394980.77970111457</v>
      </c>
      <c r="P80" s="46">
        <f t="shared" si="60"/>
        <v>659940.83165178809</v>
      </c>
      <c r="Q80" s="46">
        <f t="shared" si="60"/>
        <v>23153422</v>
      </c>
      <c r="R80" s="46">
        <f t="shared" si="60"/>
        <v>17876815.990384106</v>
      </c>
      <c r="S80" s="46">
        <f t="shared" si="60"/>
        <v>1088295.6382476415</v>
      </c>
      <c r="T80" s="46">
        <f t="shared" si="38"/>
        <v>508947.74956015009</v>
      </c>
      <c r="U80" s="46">
        <f t="shared" si="39"/>
        <v>51039577.442981958</v>
      </c>
      <c r="V80" s="46">
        <f t="shared" si="40"/>
        <v>51082508.49427034</v>
      </c>
      <c r="W80" s="202"/>
    </row>
    <row r="81" spans="1:24" x14ac:dyDescent="0.3">
      <c r="A81" s="35" t="s">
        <v>66</v>
      </c>
      <c r="B81" s="57"/>
      <c r="C81" s="57"/>
      <c r="D81" s="57"/>
      <c r="E81" s="46">
        <f t="shared" si="34"/>
        <v>0</v>
      </c>
      <c r="F81" s="55"/>
      <c r="G81" s="55"/>
      <c r="H81" s="8"/>
      <c r="I81" s="8">
        <f t="shared" si="35"/>
        <v>42716.396031938908</v>
      </c>
      <c r="J81" s="46">
        <f t="shared" si="36"/>
        <v>42716.396031938908</v>
      </c>
      <c r="K81" s="46">
        <f t="shared" ref="K81:S81" si="61">$B$57*K25</f>
        <v>1124573.4945223094</v>
      </c>
      <c r="L81" s="46">
        <f t="shared" si="61"/>
        <v>1197297.2192557917</v>
      </c>
      <c r="M81" s="46">
        <f t="shared" si="61"/>
        <v>3262650.1866391706</v>
      </c>
      <c r="N81" s="46">
        <f t="shared" si="61"/>
        <v>1618291.0763865379</v>
      </c>
      <c r="O81" s="46">
        <f t="shared" si="61"/>
        <v>377706.240022204</v>
      </c>
      <c r="P81" s="46">
        <f t="shared" si="61"/>
        <v>598648.60962789587</v>
      </c>
      <c r="Q81" s="46">
        <f t="shared" si="61"/>
        <v>24058984.5</v>
      </c>
      <c r="R81" s="46">
        <f t="shared" si="61"/>
        <v>18587949.160432186</v>
      </c>
      <c r="S81" s="46">
        <f t="shared" si="61"/>
        <v>1132886.4881814036</v>
      </c>
      <c r="T81" s="46">
        <f t="shared" si="38"/>
        <v>534420.60989849595</v>
      </c>
      <c r="U81" s="46">
        <f t="shared" si="39"/>
        <v>52493407.584965996</v>
      </c>
      <c r="V81" s="46">
        <f t="shared" si="40"/>
        <v>52536123.980997935</v>
      </c>
      <c r="W81" s="202"/>
    </row>
    <row r="82" spans="1:24" x14ac:dyDescent="0.3">
      <c r="A82" s="35" t="s">
        <v>67</v>
      </c>
      <c r="B82" s="57"/>
      <c r="C82" s="57"/>
      <c r="D82" s="57"/>
      <c r="E82" s="46">
        <f t="shared" si="34"/>
        <v>0</v>
      </c>
      <c r="F82" s="55"/>
      <c r="G82" s="55"/>
      <c r="H82" s="8"/>
      <c r="I82" s="8">
        <f t="shared" si="35"/>
        <v>42502.814051779213</v>
      </c>
      <c r="J82" s="46">
        <f t="shared" si="36"/>
        <v>42502.814051779213</v>
      </c>
      <c r="K82" s="46">
        <f t="shared" ref="K82:S82" si="62">$B$57*K26</f>
        <v>1010010.5118912579</v>
      </c>
      <c r="L82" s="46">
        <f t="shared" si="62"/>
        <v>1075325.697428246</v>
      </c>
      <c r="M82" s="46">
        <f t="shared" si="62"/>
        <v>3246336.9357059752</v>
      </c>
      <c r="N82" s="46">
        <f t="shared" si="62"/>
        <v>1416079.4406399103</v>
      </c>
      <c r="O82" s="46">
        <f t="shared" si="62"/>
        <v>342626.64862109843</v>
      </c>
      <c r="P82" s="46">
        <f t="shared" si="62"/>
        <v>537662.84871412301</v>
      </c>
      <c r="Q82" s="46">
        <f t="shared" si="62"/>
        <v>24964547</v>
      </c>
      <c r="R82" s="46">
        <f t="shared" si="62"/>
        <v>19299148.914630022</v>
      </c>
      <c r="S82" s="46">
        <f t="shared" si="62"/>
        <v>1177480.7744904964</v>
      </c>
      <c r="T82" s="46">
        <f t="shared" si="38"/>
        <v>559893.47023684182</v>
      </c>
      <c r="U82" s="46">
        <f t="shared" si="39"/>
        <v>53629112.242357969</v>
      </c>
      <c r="V82" s="46">
        <f t="shared" si="40"/>
        <v>53671615.056409746</v>
      </c>
      <c r="W82" s="202"/>
    </row>
    <row r="85" spans="1:24" x14ac:dyDescent="0.3">
      <c r="A85" s="35" t="s">
        <v>130</v>
      </c>
      <c r="B85" s="126">
        <v>2.3700000000000001E-3</v>
      </c>
    </row>
    <row r="86" spans="1:24" ht="28.8" x14ac:dyDescent="0.3">
      <c r="A86" s="29" t="s">
        <v>43</v>
      </c>
      <c r="B86" s="29" t="s">
        <v>133</v>
      </c>
      <c r="C86" s="29" t="s">
        <v>134</v>
      </c>
      <c r="D86" s="29" t="s">
        <v>135</v>
      </c>
      <c r="E86" s="61" t="s">
        <v>136</v>
      </c>
      <c r="F86" s="29" t="s">
        <v>118</v>
      </c>
      <c r="G86" s="29" t="s">
        <v>137</v>
      </c>
      <c r="H86" s="29" t="s">
        <v>138</v>
      </c>
      <c r="I86" s="208" t="s">
        <v>204</v>
      </c>
      <c r="J86" s="61" t="s">
        <v>139</v>
      </c>
      <c r="K86" s="29" t="s">
        <v>6</v>
      </c>
      <c r="L86" s="29" t="s">
        <v>12</v>
      </c>
      <c r="M86" s="181" t="s">
        <v>21</v>
      </c>
      <c r="N86" s="29" t="s">
        <v>25</v>
      </c>
      <c r="O86" s="181" t="s">
        <v>29</v>
      </c>
      <c r="P86" s="181" t="s">
        <v>33</v>
      </c>
      <c r="Q86" s="29" t="s">
        <v>40</v>
      </c>
      <c r="R86" s="29" t="s">
        <v>41</v>
      </c>
      <c r="S86" s="29" t="s">
        <v>42</v>
      </c>
      <c r="T86" s="181" t="s">
        <v>119</v>
      </c>
      <c r="U86" s="61" t="s">
        <v>140</v>
      </c>
      <c r="V86" s="61" t="s">
        <v>141</v>
      </c>
    </row>
    <row r="87" spans="1:24" x14ac:dyDescent="0.3">
      <c r="A87" s="29"/>
      <c r="B87" s="29"/>
      <c r="C87" s="29"/>
      <c r="D87" s="29"/>
      <c r="E87" s="61" t="s">
        <v>142</v>
      </c>
      <c r="F87" s="29"/>
      <c r="G87" s="29"/>
      <c r="H87" s="29"/>
      <c r="I87" s="29"/>
      <c r="J87" s="61" t="s">
        <v>143</v>
      </c>
      <c r="K87" s="29"/>
      <c r="L87" s="29"/>
      <c r="M87" s="29"/>
      <c r="N87" s="29"/>
      <c r="O87" s="29"/>
      <c r="P87" s="29"/>
      <c r="Q87" s="29"/>
      <c r="R87" s="29"/>
      <c r="S87" s="29"/>
      <c r="T87" s="29"/>
      <c r="U87" s="61"/>
      <c r="V87" s="61"/>
    </row>
    <row r="88" spans="1:24" x14ac:dyDescent="0.3">
      <c r="A88" s="35" t="s">
        <v>144</v>
      </c>
      <c r="B88" s="8">
        <v>432.59325600001927</v>
      </c>
      <c r="C88" s="8">
        <v>817.90675000000056</v>
      </c>
      <c r="D88" s="8">
        <v>293.20454999999998</v>
      </c>
      <c r="E88" s="46">
        <f t="shared" ref="E88:E110" si="63">SUM(B88:D88)</f>
        <v>1543.7045560000197</v>
      </c>
      <c r="F88" s="8"/>
      <c r="G88" s="8"/>
      <c r="H88" s="8">
        <v>2409</v>
      </c>
      <c r="I88" s="8">
        <f t="shared" ref="I88:I110" si="64">I4*$B$85</f>
        <v>138.10369200000002</v>
      </c>
      <c r="J88" s="46">
        <f t="shared" ref="J88:J110" si="65">SUM(F88:I88)</f>
        <v>2547.1036920000001</v>
      </c>
      <c r="K88" s="46">
        <f t="shared" ref="K88:S88" si="66">$B$85*K4</f>
        <v>0</v>
      </c>
      <c r="L88" s="46">
        <f t="shared" si="66"/>
        <v>0</v>
      </c>
      <c r="M88" s="46">
        <f t="shared" si="66"/>
        <v>0</v>
      </c>
      <c r="N88" s="46">
        <f t="shared" si="66"/>
        <v>0</v>
      </c>
      <c r="O88" s="46">
        <f t="shared" si="66"/>
        <v>0</v>
      </c>
      <c r="P88" s="46">
        <f t="shared" si="66"/>
        <v>0</v>
      </c>
      <c r="Q88" s="46">
        <f t="shared" si="66"/>
        <v>0</v>
      </c>
      <c r="R88" s="46">
        <f t="shared" si="66"/>
        <v>0</v>
      </c>
      <c r="S88" s="46">
        <f t="shared" si="66"/>
        <v>0</v>
      </c>
      <c r="T88" s="46">
        <f t="shared" ref="T88:T110" si="67">T4*$B$85</f>
        <v>0</v>
      </c>
      <c r="U88" s="46">
        <f t="shared" ref="U88:U110" si="68">SUM(K88:T88)</f>
        <v>0</v>
      </c>
      <c r="V88" s="46">
        <f t="shared" ref="V88:V110" si="69">E88+J88+U88</f>
        <v>4090.8082480000198</v>
      </c>
      <c r="X88" s="19"/>
    </row>
    <row r="89" spans="1:24" x14ac:dyDescent="0.3">
      <c r="A89" s="35" t="s">
        <v>145</v>
      </c>
      <c r="B89" s="8">
        <v>521.33111199998814</v>
      </c>
      <c r="C89" s="8">
        <v>3856.0666666666662</v>
      </c>
      <c r="D89" s="8">
        <v>969.38877600000001</v>
      </c>
      <c r="E89" s="46">
        <f t="shared" si="63"/>
        <v>5346.7865546666544</v>
      </c>
      <c r="F89" s="8"/>
      <c r="G89" s="8">
        <v>449</v>
      </c>
      <c r="H89" s="8">
        <v>9846.2922999999992</v>
      </c>
      <c r="I89" s="8">
        <f t="shared" si="64"/>
        <v>154.48023400000002</v>
      </c>
      <c r="J89" s="46">
        <f t="shared" si="65"/>
        <v>10449.772534</v>
      </c>
      <c r="K89" s="46">
        <f t="shared" ref="K89:S89" si="70">$B$85*K5</f>
        <v>0</v>
      </c>
      <c r="L89" s="46">
        <f t="shared" si="70"/>
        <v>0</v>
      </c>
      <c r="M89" s="46">
        <f t="shared" si="70"/>
        <v>0</v>
      </c>
      <c r="N89" s="46">
        <f t="shared" si="70"/>
        <v>0</v>
      </c>
      <c r="O89" s="46">
        <f t="shared" si="70"/>
        <v>0</v>
      </c>
      <c r="P89" s="46">
        <f t="shared" si="70"/>
        <v>0</v>
      </c>
      <c r="Q89" s="46">
        <f t="shared" si="70"/>
        <v>0</v>
      </c>
      <c r="R89" s="46">
        <f t="shared" si="70"/>
        <v>0</v>
      </c>
      <c r="S89" s="46">
        <f t="shared" si="70"/>
        <v>0</v>
      </c>
      <c r="T89" s="46">
        <f t="shared" si="67"/>
        <v>0</v>
      </c>
      <c r="U89" s="46">
        <f t="shared" si="68"/>
        <v>0</v>
      </c>
      <c r="V89" s="46">
        <f t="shared" si="69"/>
        <v>15796.559088666654</v>
      </c>
      <c r="X89" s="19"/>
    </row>
    <row r="90" spans="1:24" x14ac:dyDescent="0.3">
      <c r="A90" s="35" t="s">
        <v>146</v>
      </c>
      <c r="B90" s="8">
        <v>587.44732273997477</v>
      </c>
      <c r="C90" s="8">
        <v>4356.0666666666657</v>
      </c>
      <c r="D90" s="8">
        <v>979.65765578004539</v>
      </c>
      <c r="E90" s="46">
        <f t="shared" si="63"/>
        <v>5923.171645186686</v>
      </c>
      <c r="F90" s="8"/>
      <c r="G90" s="8"/>
      <c r="H90" s="8">
        <v>13204.292299999999</v>
      </c>
      <c r="I90" s="8">
        <f t="shared" si="64"/>
        <v>153.70783283000003</v>
      </c>
      <c r="J90" s="46">
        <f t="shared" si="65"/>
        <v>13358.000132829999</v>
      </c>
      <c r="K90" s="46">
        <f t="shared" ref="K90:S90" si="71">$B$85*K6</f>
        <v>768.79170738116647</v>
      </c>
      <c r="L90" s="46">
        <f t="shared" si="71"/>
        <v>861.30586824057229</v>
      </c>
      <c r="M90" s="46">
        <f t="shared" si="71"/>
        <v>0</v>
      </c>
      <c r="N90" s="46">
        <f t="shared" si="71"/>
        <v>702.01921680000009</v>
      </c>
      <c r="O90" s="46">
        <f t="shared" si="71"/>
        <v>0</v>
      </c>
      <c r="P90" s="46">
        <f t="shared" si="71"/>
        <v>432.36531354731471</v>
      </c>
      <c r="Q90" s="46">
        <f t="shared" si="71"/>
        <v>0</v>
      </c>
      <c r="R90" s="46">
        <f t="shared" si="71"/>
        <v>0</v>
      </c>
      <c r="S90" s="46">
        <f t="shared" si="71"/>
        <v>0</v>
      </c>
      <c r="T90" s="46">
        <f t="shared" si="67"/>
        <v>0</v>
      </c>
      <c r="U90" s="46">
        <f t="shared" si="68"/>
        <v>2764.4821059690535</v>
      </c>
      <c r="V90" s="46">
        <f t="shared" si="69"/>
        <v>22045.653883985739</v>
      </c>
      <c r="W90" s="202"/>
      <c r="X90" s="19"/>
    </row>
    <row r="91" spans="1:24" x14ac:dyDescent="0.3">
      <c r="A91" s="35" t="s">
        <v>147</v>
      </c>
      <c r="B91" s="8">
        <v>649.03771862742838</v>
      </c>
      <c r="C91" s="8">
        <v>3857.0666666666662</v>
      </c>
      <c r="D91" s="8">
        <v>1045.43408041</v>
      </c>
      <c r="E91" s="46">
        <f t="shared" si="63"/>
        <v>5551.538465704095</v>
      </c>
      <c r="F91" s="8"/>
      <c r="G91" s="55"/>
      <c r="H91" s="8">
        <v>13204.292299999999</v>
      </c>
      <c r="I91" s="8">
        <f t="shared" si="64"/>
        <v>152.93929366585004</v>
      </c>
      <c r="J91" s="46">
        <f t="shared" si="65"/>
        <v>13357.231593665849</v>
      </c>
      <c r="K91" s="46">
        <f t="shared" ref="K91:S91" si="72">$B$85*K7</f>
        <v>1149.1691470432143</v>
      </c>
      <c r="L91" s="46">
        <f t="shared" si="72"/>
        <v>1266.0675001915647</v>
      </c>
      <c r="M91" s="46">
        <f t="shared" si="72"/>
        <v>1439.1393944399999</v>
      </c>
      <c r="N91" s="46">
        <f t="shared" si="72"/>
        <v>1049.6942339202001</v>
      </c>
      <c r="O91" s="46">
        <f t="shared" si="72"/>
        <v>150.93413161199999</v>
      </c>
      <c r="P91" s="46">
        <f t="shared" si="72"/>
        <v>634.73756762567564</v>
      </c>
      <c r="Q91" s="46">
        <f t="shared" si="72"/>
        <v>0</v>
      </c>
      <c r="R91" s="46">
        <f t="shared" si="72"/>
        <v>0</v>
      </c>
      <c r="S91" s="46">
        <f t="shared" si="72"/>
        <v>0</v>
      </c>
      <c r="T91" s="46">
        <f t="shared" si="67"/>
        <v>111.39</v>
      </c>
      <c r="U91" s="46">
        <f t="shared" si="68"/>
        <v>5801.1319748326541</v>
      </c>
      <c r="V91" s="46">
        <f t="shared" si="69"/>
        <v>24709.902034202598</v>
      </c>
      <c r="W91" s="202"/>
      <c r="X91" s="19"/>
    </row>
    <row r="92" spans="1:24" x14ac:dyDescent="0.3">
      <c r="A92" s="35" t="s">
        <v>148</v>
      </c>
      <c r="B92" s="8">
        <v>642.18433382799128</v>
      </c>
      <c r="C92" s="8">
        <v>3756.0666666666662</v>
      </c>
      <c r="D92" s="8">
        <v>1040.20691000795</v>
      </c>
      <c r="E92" s="46">
        <f t="shared" si="63"/>
        <v>5438.4579105026069</v>
      </c>
      <c r="F92" s="8"/>
      <c r="G92" s="55"/>
      <c r="H92" s="8">
        <v>13204.292299999999</v>
      </c>
      <c r="I92" s="8">
        <f t="shared" si="64"/>
        <v>152.1745971975208</v>
      </c>
      <c r="J92" s="46">
        <f t="shared" si="65"/>
        <v>13356.466897197521</v>
      </c>
      <c r="K92" s="46">
        <f t="shared" ref="K92:S92" si="73">$B$85*K8</f>
        <v>1527.6446995069518</v>
      </c>
      <c r="L92" s="46">
        <f t="shared" si="73"/>
        <v>1668.8053239828018</v>
      </c>
      <c r="M92" s="46">
        <f t="shared" si="73"/>
        <v>2134.3139238762001</v>
      </c>
      <c r="N92" s="46">
        <f t="shared" si="73"/>
        <v>1395.630875954799</v>
      </c>
      <c r="O92" s="46">
        <f t="shared" si="73"/>
        <v>267.24116535534</v>
      </c>
      <c r="P92" s="46">
        <f t="shared" si="73"/>
        <v>836.09796043364486</v>
      </c>
      <c r="Q92" s="46">
        <f t="shared" si="73"/>
        <v>0</v>
      </c>
      <c r="R92" s="46">
        <f t="shared" si="73"/>
        <v>0</v>
      </c>
      <c r="S92" s="46">
        <f t="shared" si="73"/>
        <v>0</v>
      </c>
      <c r="T92" s="46">
        <f t="shared" si="67"/>
        <v>221.6661</v>
      </c>
      <c r="U92" s="46">
        <f t="shared" si="68"/>
        <v>8051.4000491097377</v>
      </c>
      <c r="V92" s="46">
        <f t="shared" si="69"/>
        <v>26846.324856809864</v>
      </c>
      <c r="W92" s="202"/>
      <c r="X92" s="19"/>
    </row>
    <row r="93" spans="1:24" x14ac:dyDescent="0.3">
      <c r="A93" s="35" t="s">
        <v>149</v>
      </c>
      <c r="B93" s="8">
        <v>635.34109132755179</v>
      </c>
      <c r="C93" s="8">
        <v>3656.0666666666662</v>
      </c>
      <c r="D93" s="8">
        <v>1035.0058754579102</v>
      </c>
      <c r="E93" s="46">
        <f t="shared" si="63"/>
        <v>5326.4136334521281</v>
      </c>
      <c r="F93" s="8"/>
      <c r="G93" s="55"/>
      <c r="H93" s="8">
        <v>13204.292299999999</v>
      </c>
      <c r="I93" s="8">
        <f t="shared" si="64"/>
        <v>151.41372421153318</v>
      </c>
      <c r="J93" s="46">
        <f t="shared" si="65"/>
        <v>13355.706024211533</v>
      </c>
      <c r="K93" s="46">
        <f t="shared" ref="K93:S93" si="74">$B$85*K9</f>
        <v>1904.2278742083708</v>
      </c>
      <c r="L93" s="46">
        <f t="shared" si="74"/>
        <v>2069.5294586550831</v>
      </c>
      <c r="M93" s="46">
        <f t="shared" si="74"/>
        <v>2826.012580665219</v>
      </c>
      <c r="N93" s="46">
        <f t="shared" si="74"/>
        <v>1739.837834779225</v>
      </c>
      <c r="O93" s="46">
        <f t="shared" si="74"/>
        <v>382.96666392996337</v>
      </c>
      <c r="P93" s="46">
        <f t="shared" si="74"/>
        <v>1036.451551277574</v>
      </c>
      <c r="Q93" s="46">
        <f t="shared" si="74"/>
        <v>1090.2</v>
      </c>
      <c r="R93" s="46">
        <f t="shared" si="74"/>
        <v>4482.9047700000001</v>
      </c>
      <c r="S93" s="46">
        <f t="shared" si="74"/>
        <v>137.15190000000001</v>
      </c>
      <c r="T93" s="46">
        <f t="shared" si="67"/>
        <v>332.49915000000004</v>
      </c>
      <c r="U93" s="46">
        <f t="shared" si="68"/>
        <v>16001.781783515438</v>
      </c>
      <c r="V93" s="46">
        <f t="shared" si="69"/>
        <v>34683.901441179099</v>
      </c>
      <c r="W93" s="202"/>
      <c r="X93" s="19"/>
    </row>
    <row r="94" spans="1:24" x14ac:dyDescent="0.3">
      <c r="A94" s="35" t="s">
        <v>150</v>
      </c>
      <c r="B94" s="8">
        <v>628.50743086461375</v>
      </c>
      <c r="C94" s="8">
        <v>3556.0666666666662</v>
      </c>
      <c r="D94" s="8">
        <v>1029.8308460806206</v>
      </c>
      <c r="E94" s="46">
        <f t="shared" si="63"/>
        <v>5214.4049436119003</v>
      </c>
      <c r="F94" s="8"/>
      <c r="G94" s="55"/>
      <c r="H94" s="8">
        <v>13204.292299999999</v>
      </c>
      <c r="I94" s="8">
        <f t="shared" si="64"/>
        <v>150.65665559047551</v>
      </c>
      <c r="J94" s="46">
        <f t="shared" si="65"/>
        <v>13354.948955590475</v>
      </c>
      <c r="K94" s="46">
        <f t="shared" ref="K94:S94" si="75">$B$85*K10</f>
        <v>2278.9281330362824</v>
      </c>
      <c r="L94" s="46">
        <f t="shared" si="75"/>
        <v>2468.2499726540022</v>
      </c>
      <c r="M94" s="46">
        <f t="shared" si="75"/>
        <v>3514.2527441702928</v>
      </c>
      <c r="N94" s="46">
        <f t="shared" si="75"/>
        <v>2082.323758809529</v>
      </c>
      <c r="O94" s="46">
        <f t="shared" si="75"/>
        <v>498.11353501171351</v>
      </c>
      <c r="P94" s="46">
        <f t="shared" si="75"/>
        <v>1235.8033741672839</v>
      </c>
      <c r="Q94" s="46">
        <f t="shared" si="75"/>
        <v>9385.2000000000007</v>
      </c>
      <c r="R94" s="46">
        <f t="shared" si="75"/>
        <v>6964.5611461500002</v>
      </c>
      <c r="S94" s="46">
        <f t="shared" si="75"/>
        <v>327.54265049999998</v>
      </c>
      <c r="T94" s="46">
        <f t="shared" si="67"/>
        <v>443.3322</v>
      </c>
      <c r="U94" s="46">
        <f t="shared" si="68"/>
        <v>29198.307514499105</v>
      </c>
      <c r="V94" s="46">
        <f t="shared" si="69"/>
        <v>47767.661413701484</v>
      </c>
      <c r="W94" s="202"/>
      <c r="X94" s="19"/>
    </row>
    <row r="95" spans="1:24" x14ac:dyDescent="0.3">
      <c r="A95" s="35" t="s">
        <v>151</v>
      </c>
      <c r="B95" s="8">
        <v>621.72188022898933</v>
      </c>
      <c r="C95" s="8">
        <v>2856.0666666666662</v>
      </c>
      <c r="D95" s="8">
        <v>1024.6816918502175</v>
      </c>
      <c r="E95" s="46">
        <f t="shared" si="63"/>
        <v>4502.4702387458728</v>
      </c>
      <c r="F95" s="8"/>
      <c r="G95" s="55"/>
      <c r="H95" s="8">
        <v>13204.292299999999</v>
      </c>
      <c r="I95" s="8">
        <f t="shared" si="64"/>
        <v>149.90337231252315</v>
      </c>
      <c r="J95" s="46">
        <f t="shared" si="65"/>
        <v>13354.195672312522</v>
      </c>
      <c r="K95" s="46">
        <f t="shared" ref="K95:S95" si="76">$B$85*K11</f>
        <v>2651.7548905700546</v>
      </c>
      <c r="L95" s="46">
        <f t="shared" si="76"/>
        <v>2864.976884082927</v>
      </c>
      <c r="M95" s="46">
        <f t="shared" si="76"/>
        <v>4199.051706857842</v>
      </c>
      <c r="N95" s="46">
        <f t="shared" si="76"/>
        <v>2423.0972532196815</v>
      </c>
      <c r="O95" s="46">
        <f t="shared" si="76"/>
        <v>612.68467173805493</v>
      </c>
      <c r="P95" s="46">
        <f t="shared" si="76"/>
        <v>1434.1584379425447</v>
      </c>
      <c r="Q95" s="46">
        <f t="shared" si="76"/>
        <v>13532.7</v>
      </c>
      <c r="R95" s="46">
        <f t="shared" si="76"/>
        <v>9299.7383404192497</v>
      </c>
      <c r="S95" s="46">
        <f t="shared" si="76"/>
        <v>479.95493724750003</v>
      </c>
      <c r="T95" s="46">
        <f t="shared" si="67"/>
        <v>554.16525000000001</v>
      </c>
      <c r="U95" s="46">
        <f t="shared" si="68"/>
        <v>38052.282372077854</v>
      </c>
      <c r="V95" s="46">
        <f t="shared" si="69"/>
        <v>55908.948283136247</v>
      </c>
      <c r="W95" s="202"/>
      <c r="X95" s="19"/>
    </row>
    <row r="96" spans="1:24" x14ac:dyDescent="0.3">
      <c r="A96" s="35" t="s">
        <v>152</v>
      </c>
      <c r="B96" s="8">
        <v>619.01465812154595</v>
      </c>
      <c r="C96" s="8">
        <v>2666.0666666657348</v>
      </c>
      <c r="D96" s="8">
        <v>1019.5582833909664</v>
      </c>
      <c r="E96" s="46">
        <f t="shared" si="63"/>
        <v>4304.6396081782468</v>
      </c>
      <c r="F96" s="8"/>
      <c r="G96" s="55"/>
      <c r="H96" s="8">
        <v>13204.292299999999</v>
      </c>
      <c r="I96" s="8">
        <f t="shared" si="64"/>
        <v>149.15385545096052</v>
      </c>
      <c r="J96" s="46">
        <f t="shared" si="65"/>
        <v>13353.44615545096</v>
      </c>
      <c r="K96" s="46">
        <f t="shared" ref="K96:S96" si="77">$B$85*K12</f>
        <v>3022.7175143161576</v>
      </c>
      <c r="L96" s="46">
        <f t="shared" si="77"/>
        <v>3259.7201609547074</v>
      </c>
      <c r="M96" s="46">
        <f t="shared" si="77"/>
        <v>4880.4266747319525</v>
      </c>
      <c r="N96" s="46">
        <f t="shared" si="77"/>
        <v>2762.166880157783</v>
      </c>
      <c r="O96" s="46">
        <f t="shared" si="77"/>
        <v>726.68295278076459</v>
      </c>
      <c r="P96" s="46">
        <f t="shared" si="77"/>
        <v>1631.5217263989293</v>
      </c>
      <c r="Q96" s="46">
        <f t="shared" si="77"/>
        <v>19457.7</v>
      </c>
      <c r="R96" s="46">
        <f t="shared" si="77"/>
        <v>13993.239648717155</v>
      </c>
      <c r="S96" s="46">
        <f t="shared" si="77"/>
        <v>773.80516256126248</v>
      </c>
      <c r="T96" s="46">
        <f t="shared" si="67"/>
        <v>664.99830000000009</v>
      </c>
      <c r="U96" s="46">
        <f t="shared" si="68"/>
        <v>51172.979020618717</v>
      </c>
      <c r="V96" s="46">
        <f t="shared" si="69"/>
        <v>68831.064784247923</v>
      </c>
      <c r="W96" s="202"/>
      <c r="X96" s="19"/>
    </row>
    <row r="97" spans="1:24" x14ac:dyDescent="0.3">
      <c r="A97" s="35" t="s">
        <v>153</v>
      </c>
      <c r="B97" s="8">
        <v>617.70196937463595</v>
      </c>
      <c r="C97" s="8">
        <v>2271.0666666666662</v>
      </c>
      <c r="D97" s="8">
        <v>1014.4604919740115</v>
      </c>
      <c r="E97" s="46">
        <f t="shared" si="63"/>
        <v>3903.2291280153136</v>
      </c>
      <c r="F97" s="8"/>
      <c r="G97" s="55"/>
      <c r="H97" s="8">
        <v>13204.292299999999</v>
      </c>
      <c r="I97" s="8">
        <f t="shared" si="64"/>
        <v>148.40808617370573</v>
      </c>
      <c r="J97" s="46">
        <f t="shared" si="65"/>
        <v>13352.700386173705</v>
      </c>
      <c r="K97" s="46">
        <f t="shared" ref="K97:S97" si="78">$B$85*K13</f>
        <v>3391.8253249435306</v>
      </c>
      <c r="L97" s="46">
        <f t="shared" si="78"/>
        <v>3652.4897214421289</v>
      </c>
      <c r="M97" s="46">
        <f t="shared" si="78"/>
        <v>5558.3947677666929</v>
      </c>
      <c r="N97" s="46">
        <f t="shared" si="78"/>
        <v>3099.5411589611945</v>
      </c>
      <c r="O97" s="46">
        <f t="shared" si="78"/>
        <v>840.11124241826087</v>
      </c>
      <c r="P97" s="46">
        <f t="shared" si="78"/>
        <v>1827.8981984130323</v>
      </c>
      <c r="Q97" s="46">
        <f t="shared" si="78"/>
        <v>25382.7</v>
      </c>
      <c r="R97" s="46">
        <f t="shared" si="78"/>
        <v>18686.973450473568</v>
      </c>
      <c r="S97" s="46">
        <f t="shared" si="78"/>
        <v>1067.6673867484562</v>
      </c>
      <c r="T97" s="46">
        <f t="shared" si="67"/>
        <v>748.33142030075192</v>
      </c>
      <c r="U97" s="46">
        <f t="shared" si="68"/>
        <v>64255.932671467621</v>
      </c>
      <c r="V97" s="46">
        <f t="shared" si="69"/>
        <v>81511.862185656646</v>
      </c>
      <c r="W97" s="202"/>
      <c r="X97" s="19"/>
    </row>
    <row r="98" spans="1:24" x14ac:dyDescent="0.3">
      <c r="A98" s="35" t="s">
        <v>154</v>
      </c>
      <c r="B98" s="8">
        <v>616.38324312146494</v>
      </c>
      <c r="C98" s="8">
        <v>2176.0666666666662</v>
      </c>
      <c r="D98" s="8">
        <v>1009.3881895141413</v>
      </c>
      <c r="E98" s="46">
        <f t="shared" si="63"/>
        <v>3801.8380993022724</v>
      </c>
      <c r="F98" s="8"/>
      <c r="G98" s="55"/>
      <c r="H98" s="8">
        <v>13204.292299999999</v>
      </c>
      <c r="I98" s="8">
        <f t="shared" si="64"/>
        <v>147.66604574283721</v>
      </c>
      <c r="J98" s="46">
        <f t="shared" si="65"/>
        <v>13351.958345742836</v>
      </c>
      <c r="K98" s="46">
        <f t="shared" ref="K98:S98" si="79">$B$85*K14</f>
        <v>3759.087596517767</v>
      </c>
      <c r="L98" s="46">
        <f t="shared" si="79"/>
        <v>4043.2954341271134</v>
      </c>
      <c r="M98" s="46">
        <f t="shared" si="79"/>
        <v>6232.9730203362597</v>
      </c>
      <c r="N98" s="46">
        <f t="shared" si="79"/>
        <v>3435.2285663705879</v>
      </c>
      <c r="O98" s="46">
        <f t="shared" si="79"/>
        <v>952.97239060756954</v>
      </c>
      <c r="P98" s="46">
        <f t="shared" si="79"/>
        <v>2023.2927880670645</v>
      </c>
      <c r="Q98" s="46">
        <f t="shared" si="79"/>
        <v>31307.7</v>
      </c>
      <c r="R98" s="46">
        <f t="shared" si="79"/>
        <v>23380.938583221203</v>
      </c>
      <c r="S98" s="46">
        <f t="shared" si="79"/>
        <v>1361.5415498147138</v>
      </c>
      <c r="T98" s="46">
        <f t="shared" si="67"/>
        <v>831.66454060150375</v>
      </c>
      <c r="U98" s="46">
        <f t="shared" si="68"/>
        <v>77328.69446966378</v>
      </c>
      <c r="V98" s="46">
        <f t="shared" si="69"/>
        <v>94482.490914708891</v>
      </c>
      <c r="W98" s="202"/>
      <c r="X98" s="19"/>
    </row>
    <row r="99" spans="1:24" x14ac:dyDescent="0.3">
      <c r="A99" s="35" t="s">
        <v>155</v>
      </c>
      <c r="B99" s="8">
        <v>614.32422873999337</v>
      </c>
      <c r="C99" s="8">
        <v>3856.0666666666662</v>
      </c>
      <c r="D99" s="8">
        <v>1004.3412485665706</v>
      </c>
      <c r="E99" s="46">
        <f t="shared" si="63"/>
        <v>5474.7321439732295</v>
      </c>
      <c r="F99" s="8"/>
      <c r="G99" s="55"/>
      <c r="H99" s="8">
        <v>13204.292299999999</v>
      </c>
      <c r="I99" s="8">
        <f t="shared" si="64"/>
        <v>146.92771551412304</v>
      </c>
      <c r="J99" s="46">
        <f t="shared" si="65"/>
        <v>13351.220015514122</v>
      </c>
      <c r="K99" s="46">
        <f t="shared" ref="K99:S99" si="80">$B$85*K15</f>
        <v>4124.5135567341313</v>
      </c>
      <c r="L99" s="46">
        <f t="shared" si="80"/>
        <v>4432.1471182486721</v>
      </c>
      <c r="M99" s="46">
        <f t="shared" si="80"/>
        <v>6904.1783816429788</v>
      </c>
      <c r="N99" s="46">
        <f t="shared" si="80"/>
        <v>3769.2375367429354</v>
      </c>
      <c r="O99" s="46">
        <f t="shared" si="80"/>
        <v>1065.2692330559319</v>
      </c>
      <c r="P99" s="46">
        <f t="shared" si="80"/>
        <v>2217.7104047728267</v>
      </c>
      <c r="Q99" s="46">
        <f t="shared" si="80"/>
        <v>37232.700000000004</v>
      </c>
      <c r="R99" s="46">
        <f t="shared" si="80"/>
        <v>28075.133890305096</v>
      </c>
      <c r="S99" s="46">
        <f t="shared" si="80"/>
        <v>1655.4275920656405</v>
      </c>
      <c r="T99" s="46">
        <f t="shared" si="67"/>
        <v>914.99766090225535</v>
      </c>
      <c r="U99" s="46">
        <f t="shared" si="68"/>
        <v>90391.315374470461</v>
      </c>
      <c r="V99" s="46">
        <f t="shared" si="69"/>
        <v>109217.26753395781</v>
      </c>
      <c r="W99" s="202"/>
    </row>
    <row r="100" spans="1:24" x14ac:dyDescent="0.3">
      <c r="A100" s="35" t="s">
        <v>156</v>
      </c>
      <c r="B100" s="8">
        <v>613.13922873999456</v>
      </c>
      <c r="C100" s="8">
        <v>3856.0666666666662</v>
      </c>
      <c r="D100" s="8">
        <v>999.31954232373766</v>
      </c>
      <c r="E100" s="46">
        <f t="shared" si="63"/>
        <v>5468.5254377303982</v>
      </c>
      <c r="F100" s="55"/>
      <c r="G100" s="55"/>
      <c r="H100" s="8">
        <v>13204.292299999999</v>
      </c>
      <c r="I100" s="8">
        <f t="shared" si="64"/>
        <v>146.19307693655242</v>
      </c>
      <c r="J100" s="46">
        <f t="shared" si="65"/>
        <v>13350.485376936551</v>
      </c>
      <c r="K100" s="46">
        <f t="shared" ref="K100:S100" si="81">$B$85*K16</f>
        <v>4488.1123871494146</v>
      </c>
      <c r="L100" s="46">
        <f t="shared" si="81"/>
        <v>4819.0545439496236</v>
      </c>
      <c r="M100" s="46">
        <f t="shared" si="81"/>
        <v>7572.0277161431623</v>
      </c>
      <c r="N100" s="46">
        <f t="shared" si="81"/>
        <v>4101.5764622634197</v>
      </c>
      <c r="O100" s="46">
        <f t="shared" si="81"/>
        <v>1177.0045912920523</v>
      </c>
      <c r="P100" s="46">
        <f t="shared" si="81"/>
        <v>2411.1559333950599</v>
      </c>
      <c r="Q100" s="46">
        <f t="shared" si="81"/>
        <v>43157.700000000004</v>
      </c>
      <c r="R100" s="46">
        <f t="shared" si="81"/>
        <v>32769.558220853571</v>
      </c>
      <c r="S100" s="46">
        <f t="shared" si="81"/>
        <v>1949.3254541053122</v>
      </c>
      <c r="T100" s="46">
        <f t="shared" si="67"/>
        <v>998.33078120300718</v>
      </c>
      <c r="U100" s="46">
        <f t="shared" si="68"/>
        <v>103443.84609035464</v>
      </c>
      <c r="V100" s="46">
        <f t="shared" si="69"/>
        <v>122262.85690502159</v>
      </c>
      <c r="W100" s="202"/>
    </row>
    <row r="101" spans="1:24" x14ac:dyDescent="0.3">
      <c r="A101" s="35" t="s">
        <v>157</v>
      </c>
      <c r="B101" s="8">
        <v>612.38351473999296</v>
      </c>
      <c r="C101" s="8">
        <v>3856.0666666666662</v>
      </c>
      <c r="D101" s="8">
        <v>994.32294461211904</v>
      </c>
      <c r="E101" s="46">
        <f t="shared" si="63"/>
        <v>5462.7731260187775</v>
      </c>
      <c r="F101" s="55"/>
      <c r="G101" s="55"/>
      <c r="H101" s="8">
        <v>11785.292299999999</v>
      </c>
      <c r="I101" s="8">
        <f t="shared" si="64"/>
        <v>145.46211155186964</v>
      </c>
      <c r="J101" s="46">
        <f t="shared" si="65"/>
        <v>11930.754411551869</v>
      </c>
      <c r="K101" s="46">
        <f t="shared" ref="K101:S101" si="82">$B$85*K17</f>
        <v>4657.7825243131447</v>
      </c>
      <c r="L101" s="46">
        <f t="shared" si="82"/>
        <v>4999.4933518759735</v>
      </c>
      <c r="M101" s="46">
        <f t="shared" si="82"/>
        <v>8236.5378039708467</v>
      </c>
      <c r="N101" s="46">
        <f t="shared" si="82"/>
        <v>4256.661136554203</v>
      </c>
      <c r="O101" s="46">
        <f t="shared" si="82"/>
        <v>1288.1812727369918</v>
      </c>
      <c r="P101" s="46">
        <f t="shared" si="82"/>
        <v>2501.3671940511335</v>
      </c>
      <c r="Q101" s="46">
        <f t="shared" si="82"/>
        <v>49082.700000000004</v>
      </c>
      <c r="R101" s="46">
        <f t="shared" si="82"/>
        <v>37464.210429749299</v>
      </c>
      <c r="S101" s="46">
        <f t="shared" si="82"/>
        <v>2243.2350768347856</v>
      </c>
      <c r="T101" s="46">
        <f t="shared" si="67"/>
        <v>1081.663901503759</v>
      </c>
      <c r="U101" s="46">
        <f t="shared" si="68"/>
        <v>115811.83269159016</v>
      </c>
      <c r="V101" s="46">
        <f t="shared" si="69"/>
        <v>133205.36022916081</v>
      </c>
      <c r="W101" s="202"/>
    </row>
    <row r="102" spans="1:24" x14ac:dyDescent="0.3">
      <c r="A102" s="35" t="s">
        <v>158</v>
      </c>
      <c r="B102" s="8">
        <v>476.23191273999555</v>
      </c>
      <c r="C102" s="8">
        <v>3856.0666666666662</v>
      </c>
      <c r="D102" s="8">
        <v>989.35132988905855</v>
      </c>
      <c r="E102" s="46">
        <f t="shared" si="63"/>
        <v>5321.6499092957201</v>
      </c>
      <c r="F102" s="55"/>
      <c r="G102" s="55"/>
      <c r="H102" s="8">
        <v>11785.292299999999</v>
      </c>
      <c r="I102" s="8">
        <f t="shared" si="64"/>
        <v>144.73480099411029</v>
      </c>
      <c r="J102" s="46">
        <f t="shared" si="65"/>
        <v>11930.02710099411</v>
      </c>
      <c r="K102" s="46">
        <f t="shared" ref="K102:S102" si="83">$B$85*K18</f>
        <v>4826.6043107910555</v>
      </c>
      <c r="L102" s="46">
        <f t="shared" si="83"/>
        <v>5179.0299657626911</v>
      </c>
      <c r="M102" s="46">
        <f t="shared" si="83"/>
        <v>8546.5402281551906</v>
      </c>
      <c r="N102" s="46">
        <f t="shared" si="83"/>
        <v>4410.9703874735324</v>
      </c>
      <c r="O102" s="46">
        <f t="shared" si="83"/>
        <v>1340.271218574007</v>
      </c>
      <c r="P102" s="46">
        <f t="shared" si="83"/>
        <v>2591.1273984039262</v>
      </c>
      <c r="Q102" s="46">
        <f t="shared" si="83"/>
        <v>55007.700000000004</v>
      </c>
      <c r="R102" s="46">
        <f t="shared" si="83"/>
        <v>42159.089377600554</v>
      </c>
      <c r="S102" s="46">
        <f t="shared" si="83"/>
        <v>2537.1564014506121</v>
      </c>
      <c r="T102" s="46">
        <f t="shared" si="67"/>
        <v>1164.997021804511</v>
      </c>
      <c r="U102" s="46">
        <f t="shared" si="68"/>
        <v>127763.48631001607</v>
      </c>
      <c r="V102" s="46">
        <f t="shared" si="69"/>
        <v>145015.1633203059</v>
      </c>
      <c r="W102" s="202"/>
    </row>
    <row r="103" spans="1:24" x14ac:dyDescent="0.3">
      <c r="A103" s="35" t="s">
        <v>159</v>
      </c>
      <c r="B103" s="8">
        <v>185.78746473999419</v>
      </c>
      <c r="C103" s="8">
        <v>3568.3333333333335</v>
      </c>
      <c r="D103" s="8">
        <v>757.48296799999969</v>
      </c>
      <c r="E103" s="46">
        <f t="shared" si="63"/>
        <v>4511.6037660733273</v>
      </c>
      <c r="F103" s="55"/>
      <c r="G103" s="55"/>
      <c r="H103" s="8">
        <v>10795.292299999999</v>
      </c>
      <c r="I103" s="8">
        <f t="shared" si="64"/>
        <v>144.01112698913974</v>
      </c>
      <c r="J103" s="46">
        <f t="shared" si="65"/>
        <v>10939.30342698914</v>
      </c>
      <c r="K103" s="46">
        <f t="shared" ref="K103:S103" si="84">$B$85*K19</f>
        <v>4994.5819883365775</v>
      </c>
      <c r="L103" s="46">
        <f t="shared" si="84"/>
        <v>5357.6688965799758</v>
      </c>
      <c r="M103" s="46">
        <f t="shared" si="84"/>
        <v>8854.9926402186156</v>
      </c>
      <c r="N103" s="46">
        <f t="shared" si="84"/>
        <v>4564.5080921382651</v>
      </c>
      <c r="O103" s="46">
        <f t="shared" si="84"/>
        <v>1392.100714681837</v>
      </c>
      <c r="P103" s="46">
        <f t="shared" si="84"/>
        <v>2680.4388017349556</v>
      </c>
      <c r="Q103" s="46">
        <f t="shared" si="84"/>
        <v>60932.700000000004</v>
      </c>
      <c r="R103" s="46">
        <f t="shared" si="84"/>
        <v>46854.19393071255</v>
      </c>
      <c r="S103" s="46">
        <f t="shared" si="84"/>
        <v>2831.0893694433589</v>
      </c>
      <c r="T103" s="46">
        <f t="shared" si="67"/>
        <v>1248.3301421052627</v>
      </c>
      <c r="U103" s="46">
        <f t="shared" si="68"/>
        <v>139710.60457595141</v>
      </c>
      <c r="V103" s="46">
        <f t="shared" si="69"/>
        <v>155161.51176901389</v>
      </c>
      <c r="W103" s="202"/>
    </row>
    <row r="104" spans="1:24" x14ac:dyDescent="0.3">
      <c r="A104" s="35" t="s">
        <v>61</v>
      </c>
      <c r="B104" s="8">
        <v>97.464516739994323</v>
      </c>
      <c r="C104" s="8"/>
      <c r="D104" s="8">
        <v>81.298742000000018</v>
      </c>
      <c r="E104" s="46">
        <f t="shared" si="63"/>
        <v>178.76325873999434</v>
      </c>
      <c r="F104" s="55"/>
      <c r="G104" s="55"/>
      <c r="H104" s="55"/>
      <c r="I104" s="8">
        <f t="shared" si="64"/>
        <v>143.29107135419406</v>
      </c>
      <c r="J104" s="46">
        <f t="shared" si="65"/>
        <v>143.29107135419406</v>
      </c>
      <c r="K104" s="46">
        <f t="shared" ref="K104:S104" si="85">$B$85*K20</f>
        <v>5161.7197774943706</v>
      </c>
      <c r="L104" s="46">
        <f t="shared" si="85"/>
        <v>5535.4146327431718</v>
      </c>
      <c r="M104" s="46">
        <f t="shared" si="85"/>
        <v>9161.902790221724</v>
      </c>
      <c r="N104" s="46">
        <f t="shared" si="85"/>
        <v>4717.2781082796737</v>
      </c>
      <c r="O104" s="46">
        <f t="shared" si="85"/>
        <v>1443.6710633091279</v>
      </c>
      <c r="P104" s="46">
        <f t="shared" si="85"/>
        <v>2769.3036480493292</v>
      </c>
      <c r="Q104" s="46">
        <f t="shared" si="85"/>
        <v>63895.200000000004</v>
      </c>
      <c r="R104" s="46">
        <f t="shared" si="85"/>
        <v>49179.522961058996</v>
      </c>
      <c r="S104" s="46">
        <f t="shared" si="85"/>
        <v>2976.908922596142</v>
      </c>
      <c r="T104" s="46">
        <f t="shared" si="67"/>
        <v>1331.6632624060144</v>
      </c>
      <c r="U104" s="46">
        <f t="shared" si="68"/>
        <v>146172.58516615853</v>
      </c>
      <c r="V104" s="46">
        <f t="shared" si="69"/>
        <v>146494.63949625273</v>
      </c>
      <c r="W104" s="202"/>
    </row>
    <row r="105" spans="1:24" x14ac:dyDescent="0.3">
      <c r="A105" s="35" t="s">
        <v>62</v>
      </c>
      <c r="B105" s="8">
        <v>154.260456</v>
      </c>
      <c r="C105" s="57"/>
      <c r="D105" s="8">
        <v>0</v>
      </c>
      <c r="E105" s="46">
        <f t="shared" si="63"/>
        <v>154.260456</v>
      </c>
      <c r="F105" s="55"/>
      <c r="G105" s="55"/>
      <c r="H105" s="55"/>
      <c r="I105" s="8">
        <f t="shared" si="64"/>
        <v>142.57461599742308</v>
      </c>
      <c r="J105" s="46">
        <f t="shared" si="65"/>
        <v>142.57461599742308</v>
      </c>
      <c r="K105" s="46">
        <f t="shared" ref="K105:S105" si="86">$B$85*K21</f>
        <v>4614.9145464547455</v>
      </c>
      <c r="L105" s="46">
        <f t="shared" si="86"/>
        <v>4913.3510441844719</v>
      </c>
      <c r="M105" s="46">
        <f t="shared" si="86"/>
        <v>9467.2783894748154</v>
      </c>
      <c r="N105" s="46">
        <f t="shared" si="86"/>
        <v>4869.2842743403753</v>
      </c>
      <c r="O105" s="46">
        <f t="shared" si="86"/>
        <v>1494.9835601932823</v>
      </c>
      <c r="P105" s="46">
        <f t="shared" si="86"/>
        <v>2456.675522092236</v>
      </c>
      <c r="Q105" s="46">
        <f t="shared" si="86"/>
        <v>66857.7</v>
      </c>
      <c r="R105" s="46">
        <f t="shared" si="86"/>
        <v>51505.075346253689</v>
      </c>
      <c r="S105" s="46">
        <f t="shared" si="86"/>
        <v>3122.7400029831615</v>
      </c>
      <c r="T105" s="46">
        <f t="shared" si="67"/>
        <v>1414.9963827067663</v>
      </c>
      <c r="U105" s="46">
        <f t="shared" si="68"/>
        <v>150716.99906868354</v>
      </c>
      <c r="V105" s="46">
        <f t="shared" si="69"/>
        <v>151013.83414068096</v>
      </c>
      <c r="W105" s="202"/>
    </row>
    <row r="106" spans="1:24" x14ac:dyDescent="0.3">
      <c r="A106" s="35" t="s">
        <v>63</v>
      </c>
      <c r="B106" s="8">
        <v>0</v>
      </c>
      <c r="C106" s="57"/>
      <c r="D106" s="8">
        <v>0</v>
      </c>
      <c r="E106" s="46">
        <f t="shared" si="63"/>
        <v>0</v>
      </c>
      <c r="F106" s="55"/>
      <c r="G106" s="55"/>
      <c r="H106" s="55"/>
      <c r="I106" s="8">
        <f t="shared" si="64"/>
        <v>141.86174291743598</v>
      </c>
      <c r="J106" s="46">
        <f t="shared" si="65"/>
        <v>141.86174291743598</v>
      </c>
      <c r="K106" s="46">
        <f t="shared" ref="K106:S106" si="87">$B$85*K22</f>
        <v>4427.5588266966088</v>
      </c>
      <c r="L106" s="46">
        <f t="shared" si="87"/>
        <v>4713.8794370634369</v>
      </c>
      <c r="M106" s="46">
        <f t="shared" si="87"/>
        <v>9771.1271107316406</v>
      </c>
      <c r="N106" s="46">
        <f t="shared" si="87"/>
        <v>5020.5304095707734</v>
      </c>
      <c r="O106" s="46">
        <f t="shared" si="87"/>
        <v>1406.0376777741835</v>
      </c>
      <c r="P106" s="46">
        <f t="shared" si="87"/>
        <v>2356.9397185317184</v>
      </c>
      <c r="Q106" s="46">
        <f t="shared" si="87"/>
        <v>69820.2</v>
      </c>
      <c r="R106" s="46">
        <f t="shared" si="87"/>
        <v>53830.849969522431</v>
      </c>
      <c r="S106" s="46">
        <f t="shared" si="87"/>
        <v>3268.5825529682456</v>
      </c>
      <c r="T106" s="46">
        <f t="shared" si="67"/>
        <v>1498.329503007518</v>
      </c>
      <c r="U106" s="46">
        <f t="shared" si="68"/>
        <v>156114.03520586656</v>
      </c>
      <c r="V106" s="46">
        <f t="shared" si="69"/>
        <v>156255.89694878401</v>
      </c>
      <c r="W106" s="202"/>
    </row>
    <row r="107" spans="1:24" x14ac:dyDescent="0.3">
      <c r="A107" s="35" t="s">
        <v>64</v>
      </c>
      <c r="B107" s="8">
        <v>0</v>
      </c>
      <c r="C107" s="57"/>
      <c r="D107" s="8">
        <v>0</v>
      </c>
      <c r="E107" s="46">
        <f t="shared" si="63"/>
        <v>0</v>
      </c>
      <c r="F107" s="55"/>
      <c r="G107" s="55"/>
      <c r="H107" s="55"/>
      <c r="I107" s="8">
        <f t="shared" si="64"/>
        <v>141.15243420284878</v>
      </c>
      <c r="J107" s="46">
        <f t="shared" si="65"/>
        <v>141.15243420284878</v>
      </c>
      <c r="K107" s="46">
        <f t="shared" ref="K107:S107" si="88">$B$85*K23</f>
        <v>4241.1398855372636</v>
      </c>
      <c r="L107" s="46">
        <f t="shared" si="88"/>
        <v>4515.4051879780063</v>
      </c>
      <c r="M107" s="46">
        <f t="shared" si="88"/>
        <v>10073.456588382183</v>
      </c>
      <c r="N107" s="46">
        <f t="shared" si="88"/>
        <v>5171.0203141250195</v>
      </c>
      <c r="O107" s="46">
        <f t="shared" si="88"/>
        <v>1348.95553714629</v>
      </c>
      <c r="P107" s="46">
        <f t="shared" si="88"/>
        <v>2257.7025939890032</v>
      </c>
      <c r="Q107" s="46">
        <f t="shared" si="88"/>
        <v>72782.700000000012</v>
      </c>
      <c r="R107" s="46">
        <f t="shared" si="88"/>
        <v>56156.845719674813</v>
      </c>
      <c r="S107" s="46">
        <f t="shared" si="88"/>
        <v>3414.4365152034043</v>
      </c>
      <c r="T107" s="46">
        <f t="shared" si="67"/>
        <v>1581.66262330827</v>
      </c>
      <c r="U107" s="46">
        <f t="shared" si="68"/>
        <v>161543.32496534428</v>
      </c>
      <c r="V107" s="46">
        <f t="shared" si="69"/>
        <v>161684.47739954712</v>
      </c>
      <c r="W107" s="202"/>
    </row>
    <row r="108" spans="1:24" x14ac:dyDescent="0.3">
      <c r="A108" s="35" t="s">
        <v>65</v>
      </c>
      <c r="B108" s="8">
        <v>0</v>
      </c>
      <c r="C108" s="57"/>
      <c r="D108" s="8">
        <v>0</v>
      </c>
      <c r="E108" s="46">
        <f t="shared" si="63"/>
        <v>0</v>
      </c>
      <c r="F108" s="55"/>
      <c r="G108" s="55"/>
      <c r="H108" s="55"/>
      <c r="I108" s="8">
        <f t="shared" si="64"/>
        <v>140.44667203183454</v>
      </c>
      <c r="J108" s="46">
        <f t="shared" si="65"/>
        <v>140.44667203183454</v>
      </c>
      <c r="K108" s="46">
        <f t="shared" ref="K108:S108" si="89">$B$85*K24</f>
        <v>4055.6530390837138</v>
      </c>
      <c r="L108" s="46">
        <f t="shared" si="89"/>
        <v>4317.9233101380023</v>
      </c>
      <c r="M108" s="46">
        <f t="shared" si="89"/>
        <v>10374.274418644472</v>
      </c>
      <c r="N108" s="46">
        <f t="shared" si="89"/>
        <v>5320.7577691564929</v>
      </c>
      <c r="O108" s="46">
        <f t="shared" si="89"/>
        <v>1292.1588072215357</v>
      </c>
      <c r="P108" s="46">
        <f t="shared" si="89"/>
        <v>2158.9616550690012</v>
      </c>
      <c r="Q108" s="46">
        <f t="shared" si="89"/>
        <v>75745.200000000012</v>
      </c>
      <c r="R108" s="46">
        <f t="shared" si="89"/>
        <v>58483.061491076442</v>
      </c>
      <c r="S108" s="46">
        <f t="shared" si="89"/>
        <v>3560.3018326273873</v>
      </c>
      <c r="T108" s="46">
        <f t="shared" si="67"/>
        <v>1664.9957436090217</v>
      </c>
      <c r="U108" s="46">
        <f t="shared" si="68"/>
        <v>166973.28806662609</v>
      </c>
      <c r="V108" s="46">
        <f t="shared" si="69"/>
        <v>167113.73473865792</v>
      </c>
      <c r="W108" s="202"/>
    </row>
    <row r="109" spans="1:24" x14ac:dyDescent="0.3">
      <c r="A109" s="35" t="s">
        <v>66</v>
      </c>
      <c r="B109" s="8">
        <v>0</v>
      </c>
      <c r="C109" s="57"/>
      <c r="D109" s="8">
        <v>0</v>
      </c>
      <c r="E109" s="46">
        <f t="shared" si="63"/>
        <v>0</v>
      </c>
      <c r="F109" s="55"/>
      <c r="G109" s="55"/>
      <c r="H109" s="55"/>
      <c r="I109" s="8">
        <f t="shared" si="64"/>
        <v>139.74443867167534</v>
      </c>
      <c r="J109" s="46">
        <f t="shared" si="65"/>
        <v>139.74443867167534</v>
      </c>
      <c r="K109" s="46">
        <f t="shared" ref="K109:S109" si="90">$B$85*K25</f>
        <v>3678.9829277629556</v>
      </c>
      <c r="L109" s="46">
        <f t="shared" si="90"/>
        <v>3916.8947610411019</v>
      </c>
      <c r="M109" s="46">
        <f t="shared" si="90"/>
        <v>10673.588159755447</v>
      </c>
      <c r="N109" s="46">
        <f t="shared" si="90"/>
        <v>5294.1539803107107</v>
      </c>
      <c r="O109" s="46">
        <f t="shared" si="90"/>
        <v>1235.6460609464054</v>
      </c>
      <c r="P109" s="46">
        <f t="shared" si="90"/>
        <v>1958.447380520551</v>
      </c>
      <c r="Q109" s="46">
        <f t="shared" si="90"/>
        <v>78707.700000000012</v>
      </c>
      <c r="R109" s="46">
        <f t="shared" si="90"/>
        <v>60809.496183621064</v>
      </c>
      <c r="S109" s="46">
        <f t="shared" si="90"/>
        <v>3706.1784484642503</v>
      </c>
      <c r="T109" s="46">
        <f t="shared" si="67"/>
        <v>1748.3288639097734</v>
      </c>
      <c r="U109" s="46">
        <f t="shared" si="68"/>
        <v>171729.41676633226</v>
      </c>
      <c r="V109" s="46">
        <f t="shared" si="69"/>
        <v>171869.16120500394</v>
      </c>
      <c r="W109" s="202"/>
    </row>
    <row r="110" spans="1:24" x14ac:dyDescent="0.3">
      <c r="A110" s="35" t="s">
        <v>67</v>
      </c>
      <c r="B110" s="8">
        <v>0</v>
      </c>
      <c r="C110" s="57"/>
      <c r="D110" s="8">
        <v>0</v>
      </c>
      <c r="E110" s="46">
        <f t="shared" si="63"/>
        <v>0</v>
      </c>
      <c r="F110" s="55"/>
      <c r="G110" s="55"/>
      <c r="H110" s="55"/>
      <c r="I110" s="8">
        <f t="shared" si="64"/>
        <v>139.04571647831699</v>
      </c>
      <c r="J110" s="46">
        <f t="shared" si="65"/>
        <v>139.04571647831699</v>
      </c>
      <c r="K110" s="46">
        <f t="shared" ref="K110:S110" si="91">$B$85*K26</f>
        <v>3304.1961669988009</v>
      </c>
      <c r="L110" s="46">
        <f t="shared" si="91"/>
        <v>3517.8713546896861</v>
      </c>
      <c r="M110" s="46">
        <f t="shared" si="91"/>
        <v>10620.220218956672</v>
      </c>
      <c r="N110" s="46">
        <f t="shared" si="91"/>
        <v>4632.6292695377015</v>
      </c>
      <c r="O110" s="46">
        <f t="shared" si="91"/>
        <v>1120.885026201951</v>
      </c>
      <c r="P110" s="46">
        <f t="shared" si="91"/>
        <v>1758.935677344843</v>
      </c>
      <c r="Q110" s="46">
        <f t="shared" si="91"/>
        <v>81670.200000000012</v>
      </c>
      <c r="R110" s="46">
        <f t="shared" si="91"/>
        <v>63136.148702702951</v>
      </c>
      <c r="S110" s="46">
        <f t="shared" si="91"/>
        <v>3852.0663062219292</v>
      </c>
      <c r="T110" s="46">
        <f t="shared" si="67"/>
        <v>1831.6619842105254</v>
      </c>
      <c r="U110" s="46">
        <f t="shared" si="68"/>
        <v>175444.81470686509</v>
      </c>
      <c r="V110" s="46">
        <f t="shared" si="69"/>
        <v>175583.8604233434</v>
      </c>
      <c r="W110" s="202"/>
    </row>
    <row r="114" spans="5:5" x14ac:dyDescent="0.3">
      <c r="E114" s="202"/>
    </row>
    <row r="115" spans="5:5" x14ac:dyDescent="0.3">
      <c r="E115" s="202"/>
    </row>
    <row r="116" spans="5:5" x14ac:dyDescent="0.3">
      <c r="E116" s="202"/>
    </row>
    <row r="117" spans="5:5" x14ac:dyDescent="0.3">
      <c r="E117" s="202"/>
    </row>
    <row r="118" spans="5:5" x14ac:dyDescent="0.3">
      <c r="E118" s="202"/>
    </row>
    <row r="119" spans="5:5" x14ac:dyDescent="0.3">
      <c r="E119" s="202"/>
    </row>
    <row r="120" spans="5:5" x14ac:dyDescent="0.3">
      <c r="E120" s="202"/>
    </row>
    <row r="121" spans="5:5" x14ac:dyDescent="0.3">
      <c r="E121" s="202"/>
    </row>
    <row r="122" spans="5:5" x14ac:dyDescent="0.3">
      <c r="E122" s="202"/>
    </row>
    <row r="123" spans="5:5" x14ac:dyDescent="0.3">
      <c r="E123" s="202"/>
    </row>
    <row r="124" spans="5:5" x14ac:dyDescent="0.3">
      <c r="E124" s="202"/>
    </row>
    <row r="125" spans="5:5" x14ac:dyDescent="0.3">
      <c r="E125" s="202"/>
    </row>
    <row r="126" spans="5:5" x14ac:dyDescent="0.3">
      <c r="E126" s="202"/>
    </row>
    <row r="127" spans="5:5" x14ac:dyDescent="0.3">
      <c r="E127" s="202"/>
    </row>
    <row r="128" spans="5:5" x14ac:dyDescent="0.3">
      <c r="E128" s="202"/>
    </row>
    <row r="129" spans="5:5" x14ac:dyDescent="0.3">
      <c r="E129" s="202"/>
    </row>
    <row r="130" spans="5:5" x14ac:dyDescent="0.3">
      <c r="E130" s="202"/>
    </row>
    <row r="131" spans="5:5" x14ac:dyDescent="0.3">
      <c r="E131" s="202"/>
    </row>
    <row r="132" spans="5:5" x14ac:dyDescent="0.3">
      <c r="E132" s="202"/>
    </row>
    <row r="133" spans="5:5" x14ac:dyDescent="0.3">
      <c r="E133" s="202"/>
    </row>
    <row r="134" spans="5:5" x14ac:dyDescent="0.3">
      <c r="E134" s="202"/>
    </row>
    <row r="135" spans="5:5" x14ac:dyDescent="0.3">
      <c r="E135" s="202"/>
    </row>
    <row r="136" spans="5:5" x14ac:dyDescent="0.3">
      <c r="E136" s="202"/>
    </row>
    <row r="137" spans="5:5" x14ac:dyDescent="0.3">
      <c r="E137" s="202"/>
    </row>
    <row r="138" spans="5:5" x14ac:dyDescent="0.3">
      <c r="E138" s="202"/>
    </row>
    <row r="139" spans="5:5" x14ac:dyDescent="0.3">
      <c r="E139" s="202"/>
    </row>
    <row r="140" spans="5:5" x14ac:dyDescent="0.3">
      <c r="E140" s="202"/>
    </row>
    <row r="141" spans="5:5" x14ac:dyDescent="0.3">
      <c r="E141" s="202"/>
    </row>
    <row r="142" spans="5:5" x14ac:dyDescent="0.3">
      <c r="E142" s="202"/>
    </row>
    <row r="143" spans="5:5" x14ac:dyDescent="0.3">
      <c r="E143" s="202"/>
    </row>
    <row r="144" spans="5:5" x14ac:dyDescent="0.3">
      <c r="E144" s="202"/>
    </row>
    <row r="145" spans="5:5" x14ac:dyDescent="0.3">
      <c r="E145" s="202"/>
    </row>
    <row r="146" spans="5:5" x14ac:dyDescent="0.3">
      <c r="E146" s="202"/>
    </row>
  </sheetData>
  <printOptions horizontalCentered="1" verticalCentered="1"/>
  <pageMargins left="0.7" right="0.7" top="0.75" bottom="0.75" header="0.3" footer="0.3"/>
  <pageSetup scale="28" orientation="landscape" r:id="rId1"/>
  <headerFooter>
    <oddHeader>&amp;A</oddHeader>
  </headerFooter>
  <rowBreaks count="3" manualBreakCount="3">
    <brk id="27" max="16383" man="1"/>
    <brk id="55" max="16383" man="1"/>
    <brk id="8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6B1D2-F241-4865-9F4D-738E50AD81D8}">
  <dimension ref="A1:Y79"/>
  <sheetViews>
    <sheetView workbookViewId="0"/>
  </sheetViews>
  <sheetFormatPr defaultRowHeight="14.4" x14ac:dyDescent="0.3"/>
  <cols>
    <col min="2" max="2" width="17.21875" bestFit="1" customWidth="1"/>
    <col min="25" max="25" width="24.77734375" bestFit="1" customWidth="1"/>
  </cols>
  <sheetData>
    <row r="1" spans="1:25" x14ac:dyDescent="0.3">
      <c r="B1" s="125" t="s">
        <v>303</v>
      </c>
    </row>
    <row r="2" spans="1:25" ht="15" thickBot="1" x14ac:dyDescent="0.35">
      <c r="C2" t="s">
        <v>43</v>
      </c>
    </row>
    <row r="3" spans="1:25" ht="18" x14ac:dyDescent="0.3">
      <c r="C3" s="213">
        <v>2022</v>
      </c>
      <c r="D3" s="213">
        <v>2023</v>
      </c>
      <c r="E3" s="213">
        <v>2024</v>
      </c>
      <c r="F3" s="213">
        <v>2025</v>
      </c>
      <c r="G3" s="213">
        <v>2026</v>
      </c>
      <c r="H3" s="213">
        <v>2027</v>
      </c>
      <c r="I3" s="213">
        <v>2028</v>
      </c>
      <c r="J3" s="213">
        <v>2029</v>
      </c>
      <c r="K3" s="213">
        <v>2030</v>
      </c>
      <c r="L3" s="213">
        <v>2031</v>
      </c>
      <c r="M3" s="213">
        <v>2032</v>
      </c>
      <c r="N3" s="213">
        <v>2033</v>
      </c>
      <c r="O3" s="213">
        <v>2034</v>
      </c>
      <c r="P3" s="213">
        <v>2035</v>
      </c>
      <c r="Q3" s="213">
        <v>2036</v>
      </c>
      <c r="R3" s="213">
        <v>2037</v>
      </c>
      <c r="S3" s="213">
        <v>2038</v>
      </c>
      <c r="T3" s="213">
        <v>2039</v>
      </c>
      <c r="U3" s="213">
        <v>2040</v>
      </c>
      <c r="V3" s="213">
        <v>2041</v>
      </c>
      <c r="W3" s="213">
        <v>2042</v>
      </c>
      <c r="Y3" s="256" t="s">
        <v>296</v>
      </c>
    </row>
    <row r="4" spans="1:25" ht="15" thickBot="1" x14ac:dyDescent="0.35">
      <c r="B4" t="s">
        <v>297</v>
      </c>
      <c r="C4" s="254">
        <f>Y4</f>
        <v>48.5</v>
      </c>
      <c r="D4" s="254">
        <f t="shared" ref="D4:W4" si="0">C4*(1+$Y6)</f>
        <v>49.47</v>
      </c>
      <c r="E4" s="254">
        <f t="shared" si="0"/>
        <v>50.459400000000002</v>
      </c>
      <c r="F4" s="254">
        <f t="shared" si="0"/>
        <v>51.468588000000004</v>
      </c>
      <c r="G4" s="254">
        <f t="shared" si="0"/>
        <v>52.497959760000008</v>
      </c>
      <c r="H4" s="254">
        <f t="shared" si="0"/>
        <v>53.547918955200011</v>
      </c>
      <c r="I4" s="254">
        <f t="shared" si="0"/>
        <v>54.61887733430401</v>
      </c>
      <c r="J4" s="254">
        <f t="shared" si="0"/>
        <v>55.71125488099009</v>
      </c>
      <c r="K4" s="254">
        <f t="shared" si="0"/>
        <v>56.825479978609891</v>
      </c>
      <c r="L4" s="254">
        <f t="shared" si="0"/>
        <v>57.961989578182092</v>
      </c>
      <c r="M4" s="254">
        <f t="shared" si="0"/>
        <v>59.121229369745734</v>
      </c>
      <c r="N4" s="254">
        <f t="shared" si="0"/>
        <v>60.303653957140646</v>
      </c>
      <c r="O4" s="254">
        <f t="shared" si="0"/>
        <v>61.509727036283458</v>
      </c>
      <c r="P4" s="254">
        <f t="shared" si="0"/>
        <v>62.739921577009127</v>
      </c>
      <c r="Q4" s="254">
        <f t="shared" si="0"/>
        <v>63.994720008549308</v>
      </c>
      <c r="R4" s="254">
        <f t="shared" si="0"/>
        <v>65.274614408720296</v>
      </c>
      <c r="S4" s="254">
        <f t="shared" si="0"/>
        <v>66.580106696894703</v>
      </c>
      <c r="T4" s="254">
        <f t="shared" si="0"/>
        <v>67.911708830832595</v>
      </c>
      <c r="U4" s="254">
        <f t="shared" si="0"/>
        <v>69.269943007449243</v>
      </c>
      <c r="V4" s="254">
        <f t="shared" si="0"/>
        <v>70.655341867598224</v>
      </c>
      <c r="W4" s="254">
        <f t="shared" si="0"/>
        <v>72.068448704950185</v>
      </c>
      <c r="Y4" s="259">
        <v>48.5</v>
      </c>
    </row>
    <row r="5" spans="1:25" x14ac:dyDescent="0.3">
      <c r="Y5" s="256" t="s">
        <v>298</v>
      </c>
    </row>
    <row r="6" spans="1:25" ht="15" thickBot="1" x14ac:dyDescent="0.35">
      <c r="Y6" s="259">
        <v>0.02</v>
      </c>
    </row>
    <row r="7" spans="1:25" x14ac:dyDescent="0.3">
      <c r="B7" t="s">
        <v>287</v>
      </c>
      <c r="F7" s="255">
        <f t="shared" ref="F7:W7" si="1">$Y$12-F4</f>
        <v>0.8264119999999977</v>
      </c>
      <c r="G7" s="255">
        <f t="shared" si="1"/>
        <v>-0.20295976000000593</v>
      </c>
      <c r="H7" s="255">
        <f t="shared" si="1"/>
        <v>-1.2529189552000091</v>
      </c>
      <c r="I7" s="255">
        <f t="shared" si="1"/>
        <v>-2.323877334304008</v>
      </c>
      <c r="J7" s="255">
        <f t="shared" si="1"/>
        <v>-3.4162548809900883</v>
      </c>
      <c r="K7" s="255">
        <f t="shared" si="1"/>
        <v>-4.5304799786098897</v>
      </c>
      <c r="L7" s="255">
        <f t="shared" si="1"/>
        <v>-5.6669895781820898</v>
      </c>
      <c r="M7" s="255">
        <f t="shared" si="1"/>
        <v>-6.8262293697457324</v>
      </c>
      <c r="N7" s="255">
        <f t="shared" si="1"/>
        <v>-8.0086539571406448</v>
      </c>
      <c r="O7" s="255">
        <f t="shared" si="1"/>
        <v>-9.2147270362834561</v>
      </c>
      <c r="P7" s="255">
        <f t="shared" si="1"/>
        <v>-10.444921577009126</v>
      </c>
      <c r="Q7" s="255">
        <f t="shared" si="1"/>
        <v>-11.699720008549306</v>
      </c>
      <c r="R7" s="255">
        <f t="shared" si="1"/>
        <v>-12.979614408720295</v>
      </c>
      <c r="S7" s="255">
        <f t="shared" si="1"/>
        <v>-14.285106696894701</v>
      </c>
      <c r="T7" s="255">
        <f t="shared" si="1"/>
        <v>-15.616708830832593</v>
      </c>
      <c r="U7" s="255">
        <f t="shared" si="1"/>
        <v>-16.974943007449241</v>
      </c>
      <c r="V7" s="255">
        <f t="shared" si="1"/>
        <v>-18.360341867598223</v>
      </c>
      <c r="W7" s="255">
        <f t="shared" si="1"/>
        <v>-19.773448704950184</v>
      </c>
    </row>
    <row r="8" spans="1:25" ht="15" thickBot="1" x14ac:dyDescent="0.35">
      <c r="A8">
        <v>1</v>
      </c>
      <c r="B8" t="s">
        <v>288</v>
      </c>
      <c r="G8" s="255">
        <f t="shared" ref="G8:W8" si="2">($Y$12*(1+(($Y$15)*$A8))-G$31)</f>
        <v>0.84294023999999723</v>
      </c>
      <c r="H8" s="255">
        <f t="shared" si="2"/>
        <v>-0.20701895520000591</v>
      </c>
      <c r="I8" s="255">
        <f t="shared" si="2"/>
        <v>-1.2779773343040048</v>
      </c>
      <c r="J8" s="255">
        <f t="shared" si="2"/>
        <v>-2.3703548809900852</v>
      </c>
      <c r="K8" s="255">
        <f t="shared" si="2"/>
        <v>-3.4845799786098866</v>
      </c>
      <c r="L8" s="255">
        <f t="shared" si="2"/>
        <v>-4.6210895781820867</v>
      </c>
      <c r="M8" s="255">
        <f t="shared" si="2"/>
        <v>-5.7803293697457292</v>
      </c>
      <c r="N8" s="255">
        <f t="shared" si="2"/>
        <v>-6.9627539571406416</v>
      </c>
      <c r="O8" s="255">
        <f t="shared" si="2"/>
        <v>-8.168827036283453</v>
      </c>
      <c r="P8" s="255">
        <f t="shared" si="2"/>
        <v>-9.3990215770091226</v>
      </c>
      <c r="Q8" s="255">
        <f t="shared" si="2"/>
        <v>-10.653820008549303</v>
      </c>
      <c r="R8" s="255">
        <f t="shared" si="2"/>
        <v>-11.933714408720292</v>
      </c>
      <c r="S8" s="255">
        <f t="shared" si="2"/>
        <v>-13.239206696894698</v>
      </c>
      <c r="T8" s="255">
        <f t="shared" si="2"/>
        <v>-14.57080883083259</v>
      </c>
      <c r="U8" s="255">
        <f t="shared" si="2"/>
        <v>-15.929043007449238</v>
      </c>
      <c r="V8" s="255">
        <f t="shared" si="2"/>
        <v>-17.314441867598219</v>
      </c>
      <c r="W8" s="255">
        <f t="shared" si="2"/>
        <v>-18.727548704950181</v>
      </c>
    </row>
    <row r="9" spans="1:25" x14ac:dyDescent="0.3">
      <c r="A9">
        <v>2</v>
      </c>
      <c r="B9" t="s">
        <v>289</v>
      </c>
      <c r="H9" s="255">
        <f t="shared" ref="H9:W9" si="3">($Y$12*(1+(($Y$15)*$A9))-H$31)</f>
        <v>0.83888104479999015</v>
      </c>
      <c r="I9" s="255">
        <f t="shared" si="3"/>
        <v>-0.23207733430400879</v>
      </c>
      <c r="J9" s="255">
        <f t="shared" si="3"/>
        <v>-1.3244548809900891</v>
      </c>
      <c r="K9" s="255">
        <f t="shared" si="3"/>
        <v>-2.4386799786098905</v>
      </c>
      <c r="L9" s="255">
        <f t="shared" si="3"/>
        <v>-3.5751895781820906</v>
      </c>
      <c r="M9" s="255">
        <f t="shared" si="3"/>
        <v>-4.7344293697457331</v>
      </c>
      <c r="N9" s="255">
        <f t="shared" si="3"/>
        <v>-5.9168539571406455</v>
      </c>
      <c r="O9" s="255">
        <f t="shared" si="3"/>
        <v>-7.1229270362834569</v>
      </c>
      <c r="P9" s="255">
        <f t="shared" si="3"/>
        <v>-8.3531215770091265</v>
      </c>
      <c r="Q9" s="255">
        <f t="shared" si="3"/>
        <v>-9.6079200085493071</v>
      </c>
      <c r="R9" s="255">
        <f t="shared" si="3"/>
        <v>-10.887814408720295</v>
      </c>
      <c r="S9" s="255">
        <f t="shared" si="3"/>
        <v>-12.193306696894702</v>
      </c>
      <c r="T9" s="255">
        <f t="shared" si="3"/>
        <v>-13.524908830832594</v>
      </c>
      <c r="U9" s="255">
        <f t="shared" si="3"/>
        <v>-14.883143007449242</v>
      </c>
      <c r="V9" s="255">
        <f t="shared" si="3"/>
        <v>-16.268541867598223</v>
      </c>
      <c r="W9" s="255">
        <f t="shared" si="3"/>
        <v>-17.681648704950184</v>
      </c>
      <c r="Y9" s="257" t="s">
        <v>299</v>
      </c>
    </row>
    <row r="10" spans="1:25" x14ac:dyDescent="0.3">
      <c r="A10">
        <v>3</v>
      </c>
      <c r="B10" t="s">
        <v>290</v>
      </c>
      <c r="I10" s="255">
        <f t="shared" ref="I10:W10" si="4">($Y$12*(1+(($Y$15)*$A10))-I$31)</f>
        <v>0.81382266569599437</v>
      </c>
      <c r="J10" s="255">
        <f t="shared" si="4"/>
        <v>-0.27855488099008596</v>
      </c>
      <c r="K10" s="255">
        <f t="shared" si="4"/>
        <v>-1.3927799786098873</v>
      </c>
      <c r="L10" s="255">
        <f t="shared" si="4"/>
        <v>-2.5292895781820874</v>
      </c>
      <c r="M10" s="255">
        <f t="shared" si="4"/>
        <v>-3.68852936974573</v>
      </c>
      <c r="N10" s="255">
        <f t="shared" si="4"/>
        <v>-4.8709539571406424</v>
      </c>
      <c r="O10" s="255">
        <f t="shared" si="4"/>
        <v>-6.0770270362834538</v>
      </c>
      <c r="P10" s="255">
        <f t="shared" si="4"/>
        <v>-7.3072215770091233</v>
      </c>
      <c r="Q10" s="255">
        <f t="shared" si="4"/>
        <v>-8.5620200085493039</v>
      </c>
      <c r="R10" s="255">
        <f t="shared" si="4"/>
        <v>-9.8419144087202923</v>
      </c>
      <c r="S10" s="255">
        <f t="shared" si="4"/>
        <v>-11.147406696894699</v>
      </c>
      <c r="T10" s="255">
        <f t="shared" si="4"/>
        <v>-12.479008830832591</v>
      </c>
      <c r="U10" s="255">
        <f t="shared" si="4"/>
        <v>-13.837243007449239</v>
      </c>
      <c r="V10" s="255">
        <f t="shared" si="4"/>
        <v>-15.22264186759822</v>
      </c>
      <c r="W10" s="255">
        <f t="shared" si="4"/>
        <v>-16.635748704950181</v>
      </c>
      <c r="Y10" s="258"/>
    </row>
    <row r="11" spans="1:25" x14ac:dyDescent="0.3">
      <c r="A11">
        <v>4</v>
      </c>
      <c r="B11" t="s">
        <v>291</v>
      </c>
      <c r="J11" s="255">
        <f t="shared" ref="J11:W11" si="5">($Y$12*(1+(($Y$15)*$A11))-J$31)</f>
        <v>0.7673451190099172</v>
      </c>
      <c r="K11" s="255">
        <f t="shared" si="5"/>
        <v>-0.34687997860988418</v>
      </c>
      <c r="L11" s="255">
        <f t="shared" si="5"/>
        <v>-1.4833895781820843</v>
      </c>
      <c r="M11" s="255">
        <f t="shared" si="5"/>
        <v>-2.6426293697457268</v>
      </c>
      <c r="N11" s="255">
        <f t="shared" si="5"/>
        <v>-3.8250539571406392</v>
      </c>
      <c r="O11" s="255">
        <f t="shared" si="5"/>
        <v>-5.0311270362834506</v>
      </c>
      <c r="P11" s="255">
        <f t="shared" si="5"/>
        <v>-6.2613215770091202</v>
      </c>
      <c r="Q11" s="255">
        <f t="shared" si="5"/>
        <v>-7.5161200085493007</v>
      </c>
      <c r="R11" s="255">
        <f t="shared" si="5"/>
        <v>-8.7960144087202892</v>
      </c>
      <c r="S11" s="255">
        <f t="shared" si="5"/>
        <v>-10.101506696894695</v>
      </c>
      <c r="T11" s="255">
        <f t="shared" si="5"/>
        <v>-11.433108830832587</v>
      </c>
      <c r="U11" s="255">
        <f t="shared" si="5"/>
        <v>-12.791343007449235</v>
      </c>
      <c r="V11" s="255">
        <f t="shared" si="5"/>
        <v>-14.176741867598217</v>
      </c>
      <c r="W11" s="255">
        <f t="shared" si="5"/>
        <v>-15.589848704950178</v>
      </c>
      <c r="Y11" s="258" t="s">
        <v>300</v>
      </c>
    </row>
    <row r="12" spans="1:25" x14ac:dyDescent="0.3">
      <c r="A12">
        <v>5</v>
      </c>
      <c r="B12" t="s">
        <v>292</v>
      </c>
      <c r="K12" s="255">
        <f t="shared" ref="K12:W12" si="6">($Y$12*(1+(($Y$15)*$A12))-K$31)</f>
        <v>0.69902002139011188</v>
      </c>
      <c r="L12" s="255">
        <f t="shared" si="6"/>
        <v>-0.43748957818208822</v>
      </c>
      <c r="M12" s="255">
        <f t="shared" si="6"/>
        <v>-1.5967293697457308</v>
      </c>
      <c r="N12" s="255">
        <f t="shared" si="6"/>
        <v>-2.7791539571406432</v>
      </c>
      <c r="O12" s="255">
        <f t="shared" si="6"/>
        <v>-3.9852270362834545</v>
      </c>
      <c r="P12" s="255">
        <f t="shared" si="6"/>
        <v>-5.2154215770091241</v>
      </c>
      <c r="Q12" s="255">
        <f t="shared" si="6"/>
        <v>-6.4702200085493047</v>
      </c>
      <c r="R12" s="255">
        <f t="shared" si="6"/>
        <v>-7.7501144087202931</v>
      </c>
      <c r="S12" s="255">
        <f t="shared" si="6"/>
        <v>-9.0556066968946993</v>
      </c>
      <c r="T12" s="255">
        <f t="shared" si="6"/>
        <v>-10.387208830832591</v>
      </c>
      <c r="U12" s="255">
        <f t="shared" si="6"/>
        <v>-11.745443007449239</v>
      </c>
      <c r="V12" s="255">
        <f t="shared" si="6"/>
        <v>-13.130841867598221</v>
      </c>
      <c r="W12" s="255">
        <f t="shared" si="6"/>
        <v>-14.543948704950182</v>
      </c>
      <c r="Y12" s="260">
        <v>52.295000000000002</v>
      </c>
    </row>
    <row r="13" spans="1:25" x14ac:dyDescent="0.3">
      <c r="A13">
        <v>6</v>
      </c>
      <c r="B13" t="s">
        <v>293</v>
      </c>
      <c r="L13" s="255">
        <f t="shared" ref="L13:W13" si="7">($Y$12*(1+(($Y$15)*$A13))-L$31)</f>
        <v>0.60841042181791494</v>
      </c>
      <c r="M13" s="255">
        <f t="shared" si="7"/>
        <v>-0.5508293697457276</v>
      </c>
      <c r="N13" s="255">
        <f t="shared" si="7"/>
        <v>-1.73325395714064</v>
      </c>
      <c r="O13" s="255">
        <f t="shared" si="7"/>
        <v>-2.9393270362834514</v>
      </c>
      <c r="P13" s="255">
        <f t="shared" si="7"/>
        <v>-4.169521577009121</v>
      </c>
      <c r="Q13" s="255">
        <f t="shared" si="7"/>
        <v>-5.4243200085493015</v>
      </c>
      <c r="R13" s="255">
        <f t="shared" si="7"/>
        <v>-6.70421440872029</v>
      </c>
      <c r="S13" s="255">
        <f t="shared" si="7"/>
        <v>-8.0097066968946962</v>
      </c>
      <c r="T13" s="255">
        <f t="shared" si="7"/>
        <v>-9.3413088308325882</v>
      </c>
      <c r="U13" s="255">
        <f t="shared" si="7"/>
        <v>-10.699543007449236</v>
      </c>
      <c r="V13" s="255">
        <f t="shared" si="7"/>
        <v>-12.084941867598218</v>
      </c>
      <c r="W13" s="255">
        <f t="shared" si="7"/>
        <v>-13.498048704950179</v>
      </c>
      <c r="Y13" s="258"/>
    </row>
    <row r="14" spans="1:25" x14ac:dyDescent="0.3">
      <c r="A14">
        <v>7</v>
      </c>
      <c r="B14" t="s">
        <v>294</v>
      </c>
      <c r="M14" s="255">
        <f t="shared" ref="M14:W14" si="8">($Y$12*(1+(($Y$15)*$A14))-M$31)</f>
        <v>0.49507063025427556</v>
      </c>
      <c r="N14" s="255">
        <f t="shared" si="8"/>
        <v>-0.68735395714063685</v>
      </c>
      <c r="O14" s="255">
        <f t="shared" si="8"/>
        <v>-1.8934270362834482</v>
      </c>
      <c r="P14" s="255">
        <f t="shared" si="8"/>
        <v>-3.1236215770091178</v>
      </c>
      <c r="Q14" s="255">
        <f t="shared" si="8"/>
        <v>-4.3784200085492984</v>
      </c>
      <c r="R14" s="255">
        <f t="shared" si="8"/>
        <v>-5.6583144087202868</v>
      </c>
      <c r="S14" s="255">
        <f t="shared" si="8"/>
        <v>-6.963806696894693</v>
      </c>
      <c r="T14" s="255">
        <f t="shared" si="8"/>
        <v>-8.2954088308325851</v>
      </c>
      <c r="U14" s="255">
        <f t="shared" si="8"/>
        <v>-9.653643007449233</v>
      </c>
      <c r="V14" s="255">
        <f t="shared" si="8"/>
        <v>-11.039041867598215</v>
      </c>
      <c r="W14" s="255">
        <f t="shared" si="8"/>
        <v>-12.452148704950176</v>
      </c>
      <c r="Y14" s="258" t="s">
        <v>301</v>
      </c>
    </row>
    <row r="15" spans="1:25" ht="15" thickBot="1" x14ac:dyDescent="0.35">
      <c r="A15">
        <v>8</v>
      </c>
      <c r="B15" t="s">
        <v>295</v>
      </c>
      <c r="M15" s="255"/>
      <c r="N15" s="255">
        <f t="shared" ref="N15:W15" si="9">($Y$12*(1+(($Y$15)*$A15))-N$31)</f>
        <v>0.3585460428593521</v>
      </c>
      <c r="O15" s="255">
        <f t="shared" si="9"/>
        <v>-0.84752703628345927</v>
      </c>
      <c r="P15" s="255">
        <f t="shared" si="9"/>
        <v>-2.0777215770091289</v>
      </c>
      <c r="Q15" s="255">
        <f t="shared" si="9"/>
        <v>-3.3325200085493094</v>
      </c>
      <c r="R15" s="255">
        <f t="shared" si="9"/>
        <v>-4.6124144087202978</v>
      </c>
      <c r="S15" s="255">
        <f t="shared" si="9"/>
        <v>-5.9179066968947041</v>
      </c>
      <c r="T15" s="255">
        <f t="shared" si="9"/>
        <v>-7.2495088308325961</v>
      </c>
      <c r="U15" s="255">
        <f t="shared" si="9"/>
        <v>-8.607743007449244</v>
      </c>
      <c r="V15" s="255">
        <f t="shared" si="9"/>
        <v>-9.9931418675982258</v>
      </c>
      <c r="W15" s="255">
        <f t="shared" si="9"/>
        <v>-11.406248704950187</v>
      </c>
      <c r="Y15" s="261">
        <v>0.02</v>
      </c>
    </row>
    <row r="16" spans="1:25" x14ac:dyDescent="0.3">
      <c r="A16">
        <v>9</v>
      </c>
      <c r="B16" t="s">
        <v>304</v>
      </c>
      <c r="O16" s="255">
        <f t="shared" ref="O16:W16" si="10">($Y$12*(1+(($Y$15)*$A16))-O$31)</f>
        <v>0.19837296371654389</v>
      </c>
      <c r="P16" s="255">
        <f t="shared" si="10"/>
        <v>-1.0318215770091257</v>
      </c>
      <c r="Q16" s="255">
        <f t="shared" si="10"/>
        <v>-2.2866200085493062</v>
      </c>
      <c r="R16" s="255">
        <f t="shared" si="10"/>
        <v>-3.5665144087202947</v>
      </c>
      <c r="S16" s="255">
        <f t="shared" si="10"/>
        <v>-4.8720066968947009</v>
      </c>
      <c r="T16" s="255">
        <f t="shared" si="10"/>
        <v>-6.203608830832593</v>
      </c>
      <c r="U16" s="255">
        <f t="shared" si="10"/>
        <v>-7.5618430074492409</v>
      </c>
      <c r="V16" s="255">
        <f t="shared" si="10"/>
        <v>-8.9472418675982226</v>
      </c>
      <c r="W16" s="255">
        <f t="shared" si="10"/>
        <v>-10.360348704950184</v>
      </c>
    </row>
    <row r="17" spans="1:25" x14ac:dyDescent="0.3">
      <c r="A17">
        <v>10</v>
      </c>
      <c r="B17" t="s">
        <v>305</v>
      </c>
      <c r="P17" s="255">
        <f t="shared" ref="P17:W17" si="11">($Y$12*(1+(($Y$15)*$A17))-P$31)</f>
        <v>1.4078422990870365E-2</v>
      </c>
      <c r="Q17" s="255">
        <f t="shared" si="11"/>
        <v>-1.2407200085493102</v>
      </c>
      <c r="R17" s="255">
        <f t="shared" si="11"/>
        <v>-2.5206144087202986</v>
      </c>
      <c r="S17" s="255">
        <f t="shared" si="11"/>
        <v>-3.8261066968947048</v>
      </c>
      <c r="T17" s="255">
        <f t="shared" si="11"/>
        <v>-5.1577088308325969</v>
      </c>
      <c r="U17" s="255">
        <f t="shared" si="11"/>
        <v>-6.5159430074492448</v>
      </c>
      <c r="V17" s="255">
        <f t="shared" si="11"/>
        <v>-7.9013418675982265</v>
      </c>
      <c r="W17" s="255">
        <f t="shared" si="11"/>
        <v>-9.3144487049501876</v>
      </c>
    </row>
    <row r="18" spans="1:25" x14ac:dyDescent="0.3">
      <c r="A18">
        <v>11</v>
      </c>
      <c r="B18" t="s">
        <v>306</v>
      </c>
      <c r="Q18" s="255">
        <f t="shared" ref="Q18:W18" si="12">($Y$12*(1+(($Y$15)*$A18))-Q$31)</f>
        <v>-0.19482000854930703</v>
      </c>
      <c r="R18" s="255">
        <f t="shared" si="12"/>
        <v>-1.4747144087202955</v>
      </c>
      <c r="S18" s="255">
        <f t="shared" si="12"/>
        <v>-2.7802066968947017</v>
      </c>
      <c r="T18" s="255">
        <f t="shared" si="12"/>
        <v>-4.1118088308325937</v>
      </c>
      <c r="U18" s="255">
        <f t="shared" si="12"/>
        <v>-5.4700430074492417</v>
      </c>
      <c r="V18" s="255">
        <f t="shared" si="12"/>
        <v>-6.8554418675982234</v>
      </c>
      <c r="W18" s="255">
        <f t="shared" si="12"/>
        <v>-8.2685487049501845</v>
      </c>
    </row>
    <row r="19" spans="1:25" x14ac:dyDescent="0.3">
      <c r="A19">
        <v>12</v>
      </c>
      <c r="B19" t="s">
        <v>307</v>
      </c>
      <c r="R19" s="255">
        <f t="shared" ref="R19:W19" si="13">($Y$12*(1+(($Y$15)*$A19))-R$31)</f>
        <v>-0.42881440872029941</v>
      </c>
      <c r="S19" s="255">
        <f t="shared" si="13"/>
        <v>-1.7343066968947056</v>
      </c>
      <c r="T19" s="255">
        <f t="shared" si="13"/>
        <v>-3.0659088308325977</v>
      </c>
      <c r="U19" s="255">
        <f t="shared" si="13"/>
        <v>-4.4241430074492456</v>
      </c>
      <c r="V19" s="255">
        <f t="shared" si="13"/>
        <v>-5.8095418675982273</v>
      </c>
      <c r="W19" s="255">
        <f t="shared" si="13"/>
        <v>-7.2226487049501884</v>
      </c>
    </row>
    <row r="20" spans="1:25" x14ac:dyDescent="0.3">
      <c r="A20">
        <v>13</v>
      </c>
      <c r="B20" t="s">
        <v>308</v>
      </c>
      <c r="S20" s="255">
        <f>($Y$12*(1+(($Y$15)*$A20))-S$31)</f>
        <v>-0.68840669689470246</v>
      </c>
      <c r="T20" s="255">
        <f>($Y$12*(1+(($Y$15)*$A20))-T$31)</f>
        <v>-2.0200088308325945</v>
      </c>
      <c r="U20" s="255">
        <f>($Y$12*(1+(($Y$15)*$A20))-U$31)</f>
        <v>-3.3782430074492424</v>
      </c>
      <c r="V20" s="255">
        <f>($Y$12*(1+(($Y$15)*$A20))-V$31)</f>
        <v>-4.7636418675982242</v>
      </c>
      <c r="W20" s="255">
        <f>($Y$12*(1+(($Y$15)*$A20))-W$31)</f>
        <v>-6.1767487049501852</v>
      </c>
    </row>
    <row r="21" spans="1:25" x14ac:dyDescent="0.3">
      <c r="A21">
        <v>14</v>
      </c>
      <c r="B21" t="s">
        <v>309</v>
      </c>
      <c r="T21" s="255">
        <f>($Y$12*(1+(($Y$15)*$A21))-T$31)</f>
        <v>-0.97410883083259137</v>
      </c>
      <c r="U21" s="255">
        <f>($Y$12*(1+(($Y$15)*$A21))-U$31)</f>
        <v>-2.3323430074492393</v>
      </c>
      <c r="V21" s="255">
        <f>($Y$12*(1+(($Y$15)*$A21))-V$31)</f>
        <v>-3.717741867598221</v>
      </c>
      <c r="W21" s="255">
        <f>($Y$12*(1+(($Y$15)*$A21))-W$31)</f>
        <v>-5.1308487049501821</v>
      </c>
    </row>
    <row r="22" spans="1:25" x14ac:dyDescent="0.3">
      <c r="A22">
        <v>15</v>
      </c>
      <c r="B22" t="s">
        <v>310</v>
      </c>
      <c r="U22" s="255">
        <f>($Y$12*(1+(($Y$15)*$A22))-U$31)</f>
        <v>-1.2864430074492361</v>
      </c>
      <c r="V22" s="255">
        <f>($Y$12*(1+(($Y$15)*$A22))-V$31)</f>
        <v>-2.6718418675982178</v>
      </c>
      <c r="W22" s="255">
        <f>($Y$12*(1+(($Y$15)*$A22))-W$31)</f>
        <v>-4.0849487049501789</v>
      </c>
    </row>
    <row r="23" spans="1:25" x14ac:dyDescent="0.3">
      <c r="A23">
        <v>16</v>
      </c>
      <c r="B23" t="s">
        <v>311</v>
      </c>
      <c r="V23" s="255">
        <f>($Y$12*(1+(($Y$15)*$A23))-V$31)</f>
        <v>-1.6259418675982147</v>
      </c>
      <c r="W23" s="255">
        <f>($Y$12*(1+(($Y$15)*$A23))-W$31)</f>
        <v>-3.0390487049501758</v>
      </c>
    </row>
    <row r="24" spans="1:25" x14ac:dyDescent="0.3">
      <c r="A24">
        <v>17</v>
      </c>
      <c r="B24" t="s">
        <v>312</v>
      </c>
      <c r="W24" s="255">
        <f>($Y$12*(1+(($Y$15)*$A24))-W$31)</f>
        <v>-1.9931487049501726</v>
      </c>
    </row>
    <row r="25" spans="1:25" x14ac:dyDescent="0.3">
      <c r="A25">
        <v>18</v>
      </c>
      <c r="B25" t="s">
        <v>313</v>
      </c>
    </row>
    <row r="28" spans="1:25" x14ac:dyDescent="0.3">
      <c r="B28" s="125" t="s">
        <v>302</v>
      </c>
    </row>
    <row r="29" spans="1:25" ht="15" thickBot="1" x14ac:dyDescent="0.35">
      <c r="C29" t="s">
        <v>43</v>
      </c>
    </row>
    <row r="30" spans="1:25" ht="18" x14ac:dyDescent="0.3">
      <c r="C30" s="213">
        <v>2022</v>
      </c>
      <c r="D30" s="213">
        <v>2023</v>
      </c>
      <c r="E30" s="213">
        <v>2024</v>
      </c>
      <c r="F30" s="213">
        <v>2025</v>
      </c>
      <c r="G30" s="213">
        <v>2026</v>
      </c>
      <c r="H30" s="213">
        <v>2027</v>
      </c>
      <c r="I30" s="213">
        <v>2028</v>
      </c>
      <c r="J30" s="213">
        <v>2029</v>
      </c>
      <c r="K30" s="213">
        <v>2030</v>
      </c>
      <c r="L30" s="213">
        <v>2031</v>
      </c>
      <c r="M30" s="213">
        <v>2032</v>
      </c>
      <c r="N30" s="213">
        <v>2033</v>
      </c>
      <c r="O30" s="213">
        <v>2034</v>
      </c>
      <c r="P30" s="213">
        <v>2035</v>
      </c>
      <c r="Q30" s="213">
        <v>2036</v>
      </c>
      <c r="R30" s="213">
        <v>2037</v>
      </c>
      <c r="S30" s="213">
        <v>2038</v>
      </c>
      <c r="T30" s="213">
        <v>2039</v>
      </c>
      <c r="U30" s="213">
        <v>2040</v>
      </c>
      <c r="V30" s="213">
        <v>2041</v>
      </c>
      <c r="W30" s="213">
        <v>2042</v>
      </c>
      <c r="Y30" s="256" t="s">
        <v>296</v>
      </c>
    </row>
    <row r="31" spans="1:25" ht="15" thickBot="1" x14ac:dyDescent="0.35">
      <c r="B31" t="s">
        <v>297</v>
      </c>
      <c r="C31" s="254">
        <f>Y31</f>
        <v>48.5</v>
      </c>
      <c r="D31" s="254">
        <f t="shared" ref="D31:P31" si="14">C31*(1+$Y33)</f>
        <v>49.47</v>
      </c>
      <c r="E31" s="254">
        <f t="shared" si="14"/>
        <v>50.459400000000002</v>
      </c>
      <c r="F31" s="254">
        <f t="shared" si="14"/>
        <v>51.468588000000004</v>
      </c>
      <c r="G31" s="254">
        <f t="shared" si="14"/>
        <v>52.497959760000008</v>
      </c>
      <c r="H31" s="254">
        <f t="shared" si="14"/>
        <v>53.547918955200011</v>
      </c>
      <c r="I31" s="254">
        <f t="shared" si="14"/>
        <v>54.61887733430401</v>
      </c>
      <c r="J31" s="254">
        <f t="shared" si="14"/>
        <v>55.71125488099009</v>
      </c>
      <c r="K31" s="254">
        <f t="shared" si="14"/>
        <v>56.825479978609891</v>
      </c>
      <c r="L31" s="254">
        <f t="shared" si="14"/>
        <v>57.961989578182092</v>
      </c>
      <c r="M31" s="254">
        <f t="shared" si="14"/>
        <v>59.121229369745734</v>
      </c>
      <c r="N31" s="254">
        <f t="shared" si="14"/>
        <v>60.303653957140646</v>
      </c>
      <c r="O31" s="254">
        <f t="shared" si="14"/>
        <v>61.509727036283458</v>
      </c>
      <c r="P31" s="254">
        <f t="shared" si="14"/>
        <v>62.739921577009127</v>
      </c>
      <c r="Q31" s="254">
        <f t="shared" ref="Q31:W31" si="15">P31*(1+$Y33)</f>
        <v>63.994720008549308</v>
      </c>
      <c r="R31" s="254">
        <f t="shared" si="15"/>
        <v>65.274614408720296</v>
      </c>
      <c r="S31" s="254">
        <f t="shared" si="15"/>
        <v>66.580106696894703</v>
      </c>
      <c r="T31" s="254">
        <f t="shared" si="15"/>
        <v>67.911708830832595</v>
      </c>
      <c r="U31" s="254">
        <f t="shared" si="15"/>
        <v>69.269943007449243</v>
      </c>
      <c r="V31" s="254">
        <f t="shared" si="15"/>
        <v>70.655341867598224</v>
      </c>
      <c r="W31" s="254">
        <f t="shared" si="15"/>
        <v>72.068448704950185</v>
      </c>
      <c r="Y31" s="259">
        <v>48.5</v>
      </c>
    </row>
    <row r="32" spans="1:25" x14ac:dyDescent="0.3">
      <c r="Y32" s="256" t="s">
        <v>298</v>
      </c>
    </row>
    <row r="33" spans="1:25" ht="15" thickBot="1" x14ac:dyDescent="0.35">
      <c r="Y33" s="259">
        <v>0.02</v>
      </c>
    </row>
    <row r="34" spans="1:25" x14ac:dyDescent="0.3">
      <c r="B34" t="s">
        <v>287</v>
      </c>
      <c r="F34" s="255">
        <f t="shared" ref="F34:P34" si="16">$Y$39-F31</f>
        <v>10.656411999999996</v>
      </c>
      <c r="G34" s="255">
        <f t="shared" si="16"/>
        <v>9.6270402399999924</v>
      </c>
      <c r="H34" s="255">
        <f t="shared" si="16"/>
        <v>8.5770810447999892</v>
      </c>
      <c r="I34" s="255">
        <f t="shared" si="16"/>
        <v>7.5061226656959903</v>
      </c>
      <c r="J34" s="255">
        <f t="shared" si="16"/>
        <v>6.41374511900991</v>
      </c>
      <c r="K34" s="255">
        <f t="shared" si="16"/>
        <v>5.2995200213901086</v>
      </c>
      <c r="L34" s="255">
        <f t="shared" si="16"/>
        <v>4.1630104218179085</v>
      </c>
      <c r="M34" s="255">
        <f t="shared" si="16"/>
        <v>3.0037706302542659</v>
      </c>
      <c r="N34" s="255">
        <f t="shared" si="16"/>
        <v>1.8213460428593535</v>
      </c>
      <c r="O34" s="255">
        <f t="shared" si="16"/>
        <v>0.61527296371654217</v>
      </c>
      <c r="P34" s="255">
        <f t="shared" si="16"/>
        <v>-0.61492157700912742</v>
      </c>
      <c r="Q34" s="255">
        <f t="shared" ref="Q34:W34" si="17">$Y$39-Q31</f>
        <v>-1.869720008549308</v>
      </c>
      <c r="R34" s="255">
        <f t="shared" si="17"/>
        <v>-3.1496144087202964</v>
      </c>
      <c r="S34" s="255">
        <f t="shared" si="17"/>
        <v>-4.4551066968947026</v>
      </c>
      <c r="T34" s="255">
        <f t="shared" si="17"/>
        <v>-5.7867088308325947</v>
      </c>
      <c r="U34" s="255">
        <f t="shared" si="17"/>
        <v>-7.1449430074492426</v>
      </c>
      <c r="V34" s="255">
        <f t="shared" si="17"/>
        <v>-8.5303418675982243</v>
      </c>
      <c r="W34" s="255">
        <f t="shared" si="17"/>
        <v>-9.9434487049501854</v>
      </c>
    </row>
    <row r="35" spans="1:25" ht="15" thickBot="1" x14ac:dyDescent="0.35">
      <c r="A35">
        <v>1</v>
      </c>
      <c r="B35" t="s">
        <v>288</v>
      </c>
      <c r="G35" s="255">
        <f t="shared" ref="G35:P35" si="18">($Y$39*(1+(($Y$42)*$A35))-G$31)</f>
        <v>10.869540239999992</v>
      </c>
      <c r="H35" s="255">
        <f t="shared" si="18"/>
        <v>9.8195810447999889</v>
      </c>
      <c r="I35" s="255">
        <f t="shared" si="18"/>
        <v>8.74862266569599</v>
      </c>
      <c r="J35" s="255">
        <f t="shared" si="18"/>
        <v>7.6562451190099097</v>
      </c>
      <c r="K35" s="255">
        <f t="shared" si="18"/>
        <v>6.5420200213901083</v>
      </c>
      <c r="L35" s="255">
        <f t="shared" si="18"/>
        <v>5.4055104218179082</v>
      </c>
      <c r="M35" s="255">
        <f t="shared" si="18"/>
        <v>4.2462706302542657</v>
      </c>
      <c r="N35" s="255">
        <f t="shared" si="18"/>
        <v>3.0638460428593532</v>
      </c>
      <c r="O35" s="255">
        <f t="shared" si="18"/>
        <v>1.8577729637165419</v>
      </c>
      <c r="P35" s="255">
        <f t="shared" si="18"/>
        <v>0.6275784229908723</v>
      </c>
      <c r="Q35" s="255">
        <f t="shared" ref="Q35:W42" si="19">($Y$39*(1+(($Y$42)*$A35))-Q$31)</f>
        <v>-0.62722000854930826</v>
      </c>
      <c r="R35" s="255">
        <f t="shared" si="19"/>
        <v>-1.9071144087202967</v>
      </c>
      <c r="S35" s="255">
        <f t="shared" si="19"/>
        <v>-3.2126066968947029</v>
      </c>
      <c r="T35" s="255">
        <f t="shared" si="19"/>
        <v>-4.544208830832595</v>
      </c>
      <c r="U35" s="255">
        <f t="shared" si="19"/>
        <v>-5.9024430074492429</v>
      </c>
      <c r="V35" s="255">
        <f t="shared" si="19"/>
        <v>-7.2878418675982246</v>
      </c>
      <c r="W35" s="255">
        <f t="shared" si="19"/>
        <v>-8.7009487049501857</v>
      </c>
    </row>
    <row r="36" spans="1:25" x14ac:dyDescent="0.3">
      <c r="A36">
        <v>2</v>
      </c>
      <c r="B36" t="s">
        <v>289</v>
      </c>
      <c r="H36" s="255">
        <f t="shared" ref="H36:P36" si="20">($Y$39*(1+(($Y$42)*$A36))-H$31)</f>
        <v>11.062081044799989</v>
      </c>
      <c r="I36" s="255">
        <f t="shared" si="20"/>
        <v>9.9911226656959897</v>
      </c>
      <c r="J36" s="255">
        <f t="shared" si="20"/>
        <v>8.8987451190099094</v>
      </c>
      <c r="K36" s="255">
        <f t="shared" si="20"/>
        <v>7.784520021390108</v>
      </c>
      <c r="L36" s="255">
        <f t="shared" si="20"/>
        <v>6.6480104218179079</v>
      </c>
      <c r="M36" s="255">
        <f t="shared" si="20"/>
        <v>5.4887706302542654</v>
      </c>
      <c r="N36" s="255">
        <f t="shared" si="20"/>
        <v>4.306346042859353</v>
      </c>
      <c r="O36" s="255">
        <f t="shared" si="20"/>
        <v>3.1002729637165416</v>
      </c>
      <c r="P36" s="255">
        <f t="shared" si="20"/>
        <v>1.870078422990872</v>
      </c>
      <c r="Q36" s="255">
        <f t="shared" si="19"/>
        <v>0.61527999145069145</v>
      </c>
      <c r="R36" s="255">
        <f t="shared" si="19"/>
        <v>-0.66461440872029698</v>
      </c>
      <c r="S36" s="255">
        <f t="shared" si="19"/>
        <v>-1.9701066968947032</v>
      </c>
      <c r="T36" s="255">
        <f t="shared" si="19"/>
        <v>-3.3017088308325953</v>
      </c>
      <c r="U36" s="255">
        <f t="shared" si="19"/>
        <v>-4.6599430074492432</v>
      </c>
      <c r="V36" s="255">
        <f t="shared" si="19"/>
        <v>-6.0453418675982249</v>
      </c>
      <c r="W36" s="255">
        <f t="shared" si="19"/>
        <v>-7.458448704950186</v>
      </c>
      <c r="Y36" s="257" t="s">
        <v>299</v>
      </c>
    </row>
    <row r="37" spans="1:25" x14ac:dyDescent="0.3">
      <c r="A37">
        <v>3</v>
      </c>
      <c r="B37" t="s">
        <v>290</v>
      </c>
      <c r="I37" s="255">
        <f t="shared" ref="I37:P37" si="21">($Y$39*(1+(($Y$42)*$A37))-I$31)</f>
        <v>11.233622665695997</v>
      </c>
      <c r="J37" s="255">
        <f t="shared" si="21"/>
        <v>10.141245119009916</v>
      </c>
      <c r="K37" s="255">
        <f t="shared" si="21"/>
        <v>9.0270200213901148</v>
      </c>
      <c r="L37" s="255">
        <f t="shared" si="21"/>
        <v>7.8905104218179147</v>
      </c>
      <c r="M37" s="255">
        <f t="shared" si="21"/>
        <v>6.7312706302542722</v>
      </c>
      <c r="N37" s="255">
        <f t="shared" si="21"/>
        <v>5.5488460428593598</v>
      </c>
      <c r="O37" s="255">
        <f t="shared" si="21"/>
        <v>4.3427729637165484</v>
      </c>
      <c r="P37" s="255">
        <f t="shared" si="21"/>
        <v>3.1125784229908788</v>
      </c>
      <c r="Q37" s="255">
        <f t="shared" si="19"/>
        <v>1.8577799914506983</v>
      </c>
      <c r="R37" s="255">
        <f t="shared" si="19"/>
        <v>0.57788559127970984</v>
      </c>
      <c r="S37" s="255">
        <f t="shared" si="19"/>
        <v>-0.72760669689469637</v>
      </c>
      <c r="T37" s="255">
        <f t="shared" si="19"/>
        <v>-2.0592088308325884</v>
      </c>
      <c r="U37" s="255">
        <f t="shared" si="19"/>
        <v>-3.4174430074492363</v>
      </c>
      <c r="V37" s="255">
        <f t="shared" si="19"/>
        <v>-4.8028418675982181</v>
      </c>
      <c r="W37" s="255">
        <f t="shared" si="19"/>
        <v>-6.2159487049501791</v>
      </c>
      <c r="Y37" s="258"/>
    </row>
    <row r="38" spans="1:25" x14ac:dyDescent="0.3">
      <c r="A38">
        <v>4</v>
      </c>
      <c r="B38" t="s">
        <v>291</v>
      </c>
      <c r="J38" s="255">
        <f t="shared" ref="J38:P38" si="22">($Y$39*(1+(($Y$42)*$A38))-J$31)</f>
        <v>11.383745119009909</v>
      </c>
      <c r="K38" s="255">
        <f t="shared" si="22"/>
        <v>10.269520021390107</v>
      </c>
      <c r="L38" s="255">
        <f t="shared" si="22"/>
        <v>9.1330104218179073</v>
      </c>
      <c r="M38" s="255">
        <f t="shared" si="22"/>
        <v>7.9737706302542648</v>
      </c>
      <c r="N38" s="255">
        <f t="shared" si="22"/>
        <v>6.7913460428593524</v>
      </c>
      <c r="O38" s="255">
        <f t="shared" si="22"/>
        <v>5.585272963716541</v>
      </c>
      <c r="P38" s="255">
        <f t="shared" si="22"/>
        <v>4.3550784229908714</v>
      </c>
      <c r="Q38" s="255">
        <f t="shared" si="19"/>
        <v>3.1002799914506909</v>
      </c>
      <c r="R38" s="255">
        <f t="shared" si="19"/>
        <v>1.8203855912797025</v>
      </c>
      <c r="S38" s="255">
        <f t="shared" si="19"/>
        <v>0.51489330310529624</v>
      </c>
      <c r="T38" s="255">
        <f t="shared" si="19"/>
        <v>-0.81670883083259582</v>
      </c>
      <c r="U38" s="255">
        <f t="shared" si="19"/>
        <v>-2.1749430074492437</v>
      </c>
      <c r="V38" s="255">
        <f t="shared" si="19"/>
        <v>-3.5603418675982255</v>
      </c>
      <c r="W38" s="255">
        <f t="shared" si="19"/>
        <v>-4.9734487049501865</v>
      </c>
      <c r="Y38" s="258" t="s">
        <v>300</v>
      </c>
    </row>
    <row r="39" spans="1:25" x14ac:dyDescent="0.3">
      <c r="A39">
        <v>5</v>
      </c>
      <c r="B39" t="s">
        <v>292</v>
      </c>
      <c r="K39" s="255">
        <f t="shared" ref="K39:P39" si="23">($Y$39*(1+(($Y$42)*$A39))-K$31)</f>
        <v>11.512020021390114</v>
      </c>
      <c r="L39" s="255">
        <f t="shared" si="23"/>
        <v>10.375510421817914</v>
      </c>
      <c r="M39" s="255">
        <f t="shared" si="23"/>
        <v>9.2162706302542716</v>
      </c>
      <c r="N39" s="255">
        <f t="shared" si="23"/>
        <v>8.0338460428593592</v>
      </c>
      <c r="O39" s="255">
        <f t="shared" si="23"/>
        <v>6.8277729637165478</v>
      </c>
      <c r="P39" s="255">
        <f t="shared" si="23"/>
        <v>5.5975784229908783</v>
      </c>
      <c r="Q39" s="255">
        <f t="shared" si="19"/>
        <v>4.3427799914506977</v>
      </c>
      <c r="R39" s="255">
        <f t="shared" si="19"/>
        <v>3.0628855912797093</v>
      </c>
      <c r="S39" s="255">
        <f t="shared" si="19"/>
        <v>1.7573933031053031</v>
      </c>
      <c r="T39" s="255">
        <f t="shared" si="19"/>
        <v>0.425791169167411</v>
      </c>
      <c r="U39" s="255">
        <f t="shared" si="19"/>
        <v>-0.93244300744923692</v>
      </c>
      <c r="V39" s="255">
        <f t="shared" si="19"/>
        <v>-2.3178418675982186</v>
      </c>
      <c r="W39" s="255">
        <f t="shared" si="19"/>
        <v>-3.7309487049501797</v>
      </c>
      <c r="Y39" s="260">
        <v>62.125</v>
      </c>
    </row>
    <row r="40" spans="1:25" x14ac:dyDescent="0.3">
      <c r="A40">
        <v>6</v>
      </c>
      <c r="B40" t="s">
        <v>293</v>
      </c>
      <c r="L40" s="255">
        <f>($Y$39*(1+(($Y$42)*$A40))-L$31)</f>
        <v>11.618010421817921</v>
      </c>
      <c r="M40" s="255">
        <f>($Y$39*(1+(($Y$42)*$A40))-M$31)</f>
        <v>10.458770630254278</v>
      </c>
      <c r="N40" s="255">
        <f>($Y$39*(1+(($Y$42)*$A40))-N$31)</f>
        <v>9.276346042859366</v>
      </c>
      <c r="O40" s="255">
        <f>($Y$39*(1+(($Y$42)*$A40))-O$31)</f>
        <v>8.0702729637165547</v>
      </c>
      <c r="P40" s="255">
        <f>($Y$39*(1+(($Y$42)*$A40))-P$31)</f>
        <v>6.8400784229908851</v>
      </c>
      <c r="Q40" s="255">
        <f t="shared" si="19"/>
        <v>5.5852799914507045</v>
      </c>
      <c r="R40" s="255">
        <f t="shared" si="19"/>
        <v>4.3053855912797161</v>
      </c>
      <c r="S40" s="255">
        <f t="shared" si="19"/>
        <v>2.9998933031053099</v>
      </c>
      <c r="T40" s="255">
        <f t="shared" si="19"/>
        <v>1.6682911691674178</v>
      </c>
      <c r="U40" s="255">
        <f t="shared" si="19"/>
        <v>0.31005699255076991</v>
      </c>
      <c r="V40" s="255">
        <f t="shared" si="19"/>
        <v>-1.0753418675982118</v>
      </c>
      <c r="W40" s="255">
        <f t="shared" si="19"/>
        <v>-2.4884487049501729</v>
      </c>
      <c r="Y40" s="258"/>
    </row>
    <row r="41" spans="1:25" x14ac:dyDescent="0.3">
      <c r="A41">
        <v>7</v>
      </c>
      <c r="B41" t="s">
        <v>294</v>
      </c>
      <c r="M41" s="255">
        <f>($Y$39*(1+(($Y$42)*$A41))-M$31)</f>
        <v>11.701270630254271</v>
      </c>
      <c r="N41" s="255">
        <f>($Y$39*(1+(($Y$42)*$A41))-N$31)</f>
        <v>10.518846042859359</v>
      </c>
      <c r="O41" s="255">
        <f>($Y$39*(1+(($Y$42)*$A41))-O$31)</f>
        <v>9.3127729637165473</v>
      </c>
      <c r="P41" s="255">
        <f>($Y$39*(1+(($Y$42)*$A41))-P$31)</f>
        <v>8.0825784229908777</v>
      </c>
      <c r="Q41" s="255">
        <f t="shared" si="19"/>
        <v>6.8277799914506971</v>
      </c>
      <c r="R41" s="255">
        <f t="shared" si="19"/>
        <v>5.5478855912797087</v>
      </c>
      <c r="S41" s="255">
        <f t="shared" si="19"/>
        <v>4.2423933031053025</v>
      </c>
      <c r="T41" s="255">
        <f t="shared" si="19"/>
        <v>2.9107911691674104</v>
      </c>
      <c r="U41" s="255">
        <f t="shared" si="19"/>
        <v>1.5525569925507625</v>
      </c>
      <c r="V41" s="255">
        <f t="shared" si="19"/>
        <v>0.16715813240178079</v>
      </c>
      <c r="W41" s="255">
        <f t="shared" si="19"/>
        <v>-1.2459487049501803</v>
      </c>
      <c r="Y41" s="258" t="s">
        <v>301</v>
      </c>
    </row>
    <row r="42" spans="1:25" ht="15" thickBot="1" x14ac:dyDescent="0.35">
      <c r="A42">
        <v>8</v>
      </c>
      <c r="B42" t="s">
        <v>295</v>
      </c>
      <c r="M42" s="255"/>
      <c r="N42" s="255">
        <f>($Y$39*(1+(($Y$42)*$A42))-N$31)</f>
        <v>11.761346042859351</v>
      </c>
      <c r="O42" s="255">
        <f>($Y$39*(1+(($Y$42)*$A42))-O$31)</f>
        <v>10.55527296371654</v>
      </c>
      <c r="P42" s="255">
        <f>($Y$39*(1+(($Y$42)*$A42))-P$31)</f>
        <v>9.3250784229908703</v>
      </c>
      <c r="Q42" s="255">
        <f t="shared" si="19"/>
        <v>8.0702799914506897</v>
      </c>
      <c r="R42" s="255">
        <f t="shared" si="19"/>
        <v>6.7903855912797013</v>
      </c>
      <c r="S42" s="255">
        <f t="shared" si="19"/>
        <v>5.4848933031052951</v>
      </c>
      <c r="T42" s="255">
        <f t="shared" si="19"/>
        <v>4.153291169167403</v>
      </c>
      <c r="U42" s="255">
        <f t="shared" si="19"/>
        <v>2.7950569925507551</v>
      </c>
      <c r="V42" s="255">
        <f t="shared" si="19"/>
        <v>1.4096581324017734</v>
      </c>
      <c r="W42" s="255">
        <f t="shared" si="19"/>
        <v>-3.4487049501876754E-3</v>
      </c>
      <c r="Y42" s="261">
        <v>0.02</v>
      </c>
    </row>
    <row r="43" spans="1:25" x14ac:dyDescent="0.3">
      <c r="A43">
        <v>9</v>
      </c>
      <c r="B43" t="s">
        <v>304</v>
      </c>
      <c r="O43" s="255">
        <f t="shared" ref="O43:W43" si="24">($Y$39*(1+(($Y$42)*$A43))-O$31)</f>
        <v>11.797772963716533</v>
      </c>
      <c r="P43" s="255">
        <f t="shared" si="24"/>
        <v>10.567578422990863</v>
      </c>
      <c r="Q43" s="255">
        <f t="shared" si="24"/>
        <v>9.3127799914506824</v>
      </c>
      <c r="R43" s="255">
        <f t="shared" si="24"/>
        <v>8.0328855912796939</v>
      </c>
      <c r="S43" s="255">
        <f t="shared" si="24"/>
        <v>6.7273933031052877</v>
      </c>
      <c r="T43" s="255">
        <f t="shared" si="24"/>
        <v>5.3957911691673957</v>
      </c>
      <c r="U43" s="255">
        <f t="shared" si="24"/>
        <v>4.0375569925507477</v>
      </c>
      <c r="V43" s="255">
        <f t="shared" si="24"/>
        <v>2.652158132401766</v>
      </c>
      <c r="W43" s="255">
        <f t="shared" si="24"/>
        <v>1.2390512950498049</v>
      </c>
    </row>
    <row r="44" spans="1:25" x14ac:dyDescent="0.3">
      <c r="A44">
        <v>10</v>
      </c>
      <c r="B44" t="s">
        <v>305</v>
      </c>
      <c r="P44" s="255">
        <f t="shared" ref="P44:W44" si="25">($Y$39*(1+(($Y$42)*$A44))-P$31)</f>
        <v>11.81007842299087</v>
      </c>
      <c r="Q44" s="255">
        <f t="shared" si="25"/>
        <v>10.555279991450689</v>
      </c>
      <c r="R44" s="255">
        <f t="shared" si="25"/>
        <v>9.2753855912797007</v>
      </c>
      <c r="S44" s="255">
        <f t="shared" si="25"/>
        <v>7.9698933031052945</v>
      </c>
      <c r="T44" s="255">
        <f t="shared" si="25"/>
        <v>6.6382911691674025</v>
      </c>
      <c r="U44" s="255">
        <f t="shared" si="25"/>
        <v>5.2800569925507546</v>
      </c>
      <c r="V44" s="255">
        <f t="shared" si="25"/>
        <v>3.8946581324017728</v>
      </c>
      <c r="W44" s="255">
        <f t="shared" si="25"/>
        <v>2.4815512950498118</v>
      </c>
    </row>
    <row r="45" spans="1:25" x14ac:dyDescent="0.3">
      <c r="A45">
        <v>11</v>
      </c>
      <c r="B45" t="s">
        <v>306</v>
      </c>
      <c r="Q45" s="255">
        <f t="shared" ref="Q45:W45" si="26">($Y$39*(1+(($Y$42)*$A45))-Q$31)</f>
        <v>11.797779991450696</v>
      </c>
      <c r="R45" s="255">
        <f t="shared" si="26"/>
        <v>10.517885591279708</v>
      </c>
      <c r="S45" s="255">
        <f t="shared" si="26"/>
        <v>9.2123933031053014</v>
      </c>
      <c r="T45" s="255">
        <f t="shared" si="26"/>
        <v>7.8807911691674093</v>
      </c>
      <c r="U45" s="255">
        <f t="shared" si="26"/>
        <v>6.5225569925507614</v>
      </c>
      <c r="V45" s="255">
        <f t="shared" si="26"/>
        <v>5.1371581324017797</v>
      </c>
      <c r="W45" s="255">
        <f t="shared" si="26"/>
        <v>3.7240512950498186</v>
      </c>
    </row>
    <row r="46" spans="1:25" x14ac:dyDescent="0.3">
      <c r="A46">
        <v>12</v>
      </c>
      <c r="B46" t="s">
        <v>307</v>
      </c>
      <c r="R46" s="255">
        <f t="shared" ref="R46:W46" si="27">($Y$39*(1+(($Y$42)*$A46))-R$31)</f>
        <v>11.7603855912797</v>
      </c>
      <c r="S46" s="255">
        <f t="shared" si="27"/>
        <v>10.454893303105294</v>
      </c>
      <c r="T46" s="255">
        <f t="shared" si="27"/>
        <v>9.1232911691674019</v>
      </c>
      <c r="U46" s="255">
        <f t="shared" si="27"/>
        <v>7.765056992550754</v>
      </c>
      <c r="V46" s="255">
        <f t="shared" si="27"/>
        <v>6.3796581324017723</v>
      </c>
      <c r="W46" s="255">
        <f t="shared" si="27"/>
        <v>4.9665512950498112</v>
      </c>
    </row>
    <row r="47" spans="1:25" x14ac:dyDescent="0.3">
      <c r="A47">
        <v>13</v>
      </c>
      <c r="B47" t="s">
        <v>308</v>
      </c>
      <c r="S47" s="255">
        <f>($Y$39*(1+(($Y$42)*$A47))-S$31)</f>
        <v>11.697393303105301</v>
      </c>
      <c r="T47" s="255">
        <f>($Y$39*(1+(($Y$42)*$A47))-T$31)</f>
        <v>10.365791169167409</v>
      </c>
      <c r="U47" s="255">
        <f>($Y$39*(1+(($Y$42)*$A47))-U$31)</f>
        <v>9.0075569925507608</v>
      </c>
      <c r="V47" s="255">
        <f>($Y$39*(1+(($Y$42)*$A47))-V$31)</f>
        <v>7.6221581324017791</v>
      </c>
      <c r="W47" s="255">
        <f>($Y$39*(1+(($Y$42)*$A47))-W$31)</f>
        <v>6.209051295049818</v>
      </c>
    </row>
    <row r="48" spans="1:25" x14ac:dyDescent="0.3">
      <c r="A48">
        <v>14</v>
      </c>
      <c r="B48" t="s">
        <v>309</v>
      </c>
      <c r="T48" s="255">
        <f>($Y$39*(1+(($Y$42)*$A48))-T$31)</f>
        <v>11.608291169167401</v>
      </c>
      <c r="U48" s="255">
        <f>($Y$39*(1+(($Y$42)*$A48))-U$31)</f>
        <v>10.250056992550753</v>
      </c>
      <c r="V48" s="255">
        <f>($Y$39*(1+(($Y$42)*$A48))-V$31)</f>
        <v>8.8646581324017717</v>
      </c>
      <c r="W48" s="255">
        <f>($Y$39*(1+(($Y$42)*$A48))-W$31)</f>
        <v>7.4515512950498106</v>
      </c>
    </row>
    <row r="49" spans="1:25" x14ac:dyDescent="0.3">
      <c r="A49">
        <v>15</v>
      </c>
      <c r="B49" t="s">
        <v>310</v>
      </c>
      <c r="U49" s="255">
        <f>($Y$39*(1+(($Y$42)*$A49))-U$31)</f>
        <v>11.49255699255076</v>
      </c>
      <c r="V49" s="255">
        <f>($Y$39*(1+(($Y$42)*$A49))-V$31)</f>
        <v>10.107158132401779</v>
      </c>
      <c r="W49" s="255">
        <f>($Y$39*(1+(($Y$42)*$A49))-W$31)</f>
        <v>8.6940512950498174</v>
      </c>
    </row>
    <row r="50" spans="1:25" x14ac:dyDescent="0.3">
      <c r="A50">
        <v>16</v>
      </c>
      <c r="B50" t="s">
        <v>311</v>
      </c>
      <c r="V50" s="255">
        <f>($Y$39*(1+(($Y$42)*$A50))-V$31)</f>
        <v>11.349658132401785</v>
      </c>
      <c r="W50" s="255">
        <f>($Y$39*(1+(($Y$42)*$A50))-W$31)</f>
        <v>9.9365512950498243</v>
      </c>
    </row>
    <row r="51" spans="1:25" x14ac:dyDescent="0.3">
      <c r="A51">
        <v>17</v>
      </c>
      <c r="B51" t="s">
        <v>312</v>
      </c>
      <c r="W51" s="255">
        <f>($Y$39*(1+(($Y$42)*$A51))-W$31)</f>
        <v>11.179051295049817</v>
      </c>
    </row>
    <row r="52" spans="1:25" x14ac:dyDescent="0.3">
      <c r="A52">
        <v>18</v>
      </c>
      <c r="B52" t="s">
        <v>313</v>
      </c>
    </row>
    <row r="55" spans="1:25" x14ac:dyDescent="0.3">
      <c r="B55" s="125" t="s">
        <v>42</v>
      </c>
    </row>
    <row r="56" spans="1:25" ht="15" thickBot="1" x14ac:dyDescent="0.35">
      <c r="C56" t="s">
        <v>43</v>
      </c>
    </row>
    <row r="57" spans="1:25" ht="18" x14ac:dyDescent="0.3">
      <c r="C57" s="213">
        <v>2022</v>
      </c>
      <c r="D57" s="213">
        <v>2023</v>
      </c>
      <c r="E57" s="213">
        <v>2024</v>
      </c>
      <c r="F57" s="213">
        <v>2025</v>
      </c>
      <c r="G57" s="213">
        <v>2026</v>
      </c>
      <c r="H57" s="213">
        <v>2027</v>
      </c>
      <c r="I57" s="213">
        <v>2028</v>
      </c>
      <c r="J57" s="213">
        <v>2029</v>
      </c>
      <c r="K57" s="213">
        <v>2030</v>
      </c>
      <c r="L57" s="213">
        <v>2031</v>
      </c>
      <c r="M57" s="213">
        <v>2032</v>
      </c>
      <c r="N57" s="213">
        <v>2033</v>
      </c>
      <c r="O57" s="213">
        <v>2034</v>
      </c>
      <c r="P57" s="213">
        <v>2035</v>
      </c>
      <c r="Q57" s="213">
        <v>2036</v>
      </c>
      <c r="R57" s="213">
        <v>2037</v>
      </c>
      <c r="S57" s="213">
        <v>2038</v>
      </c>
      <c r="T57" s="213">
        <v>2039</v>
      </c>
      <c r="U57" s="213">
        <v>2040</v>
      </c>
      <c r="V57" s="213">
        <v>2041</v>
      </c>
      <c r="W57" s="213">
        <v>2042</v>
      </c>
      <c r="Y57" s="256" t="s">
        <v>296</v>
      </c>
    </row>
    <row r="58" spans="1:25" ht="15" thickBot="1" x14ac:dyDescent="0.35">
      <c r="B58" t="s">
        <v>297</v>
      </c>
      <c r="C58" s="254">
        <f>Y58</f>
        <v>48.5</v>
      </c>
      <c r="D58" s="254">
        <f t="shared" ref="D58:P58" si="28">C58*(1+$Y60)</f>
        <v>49.47</v>
      </c>
      <c r="E58" s="254">
        <f t="shared" si="28"/>
        <v>50.459400000000002</v>
      </c>
      <c r="F58" s="254">
        <f t="shared" si="28"/>
        <v>51.468588000000004</v>
      </c>
      <c r="G58" s="254">
        <f t="shared" si="28"/>
        <v>52.497959760000008</v>
      </c>
      <c r="H58" s="254">
        <f t="shared" si="28"/>
        <v>53.547918955200011</v>
      </c>
      <c r="I58" s="254">
        <f t="shared" si="28"/>
        <v>54.61887733430401</v>
      </c>
      <c r="J58" s="254">
        <f t="shared" si="28"/>
        <v>55.71125488099009</v>
      </c>
      <c r="K58" s="254">
        <f t="shared" si="28"/>
        <v>56.825479978609891</v>
      </c>
      <c r="L58" s="254">
        <f t="shared" si="28"/>
        <v>57.961989578182092</v>
      </c>
      <c r="M58" s="254">
        <f t="shared" si="28"/>
        <v>59.121229369745734</v>
      </c>
      <c r="N58" s="254">
        <f t="shared" si="28"/>
        <v>60.303653957140646</v>
      </c>
      <c r="O58" s="254">
        <f t="shared" si="28"/>
        <v>61.509727036283458</v>
      </c>
      <c r="P58" s="254">
        <f t="shared" si="28"/>
        <v>62.739921577009127</v>
      </c>
      <c r="Q58" s="254">
        <f t="shared" ref="Q58:W58" si="29">P58*(1+$Y60)</f>
        <v>63.994720008549308</v>
      </c>
      <c r="R58" s="254">
        <f t="shared" si="29"/>
        <v>65.274614408720296</v>
      </c>
      <c r="S58" s="254">
        <f t="shared" si="29"/>
        <v>66.580106696894703</v>
      </c>
      <c r="T58" s="254">
        <f t="shared" si="29"/>
        <v>67.911708830832595</v>
      </c>
      <c r="U58" s="254">
        <f t="shared" si="29"/>
        <v>69.269943007449243</v>
      </c>
      <c r="V58" s="254">
        <f t="shared" si="29"/>
        <v>70.655341867598224</v>
      </c>
      <c r="W58" s="254">
        <f t="shared" si="29"/>
        <v>72.068448704950185</v>
      </c>
      <c r="Y58" s="259">
        <v>48.5</v>
      </c>
    </row>
    <row r="59" spans="1:25" x14ac:dyDescent="0.3">
      <c r="Y59" s="256" t="s">
        <v>298</v>
      </c>
    </row>
    <row r="60" spans="1:25" ht="15" thickBot="1" x14ac:dyDescent="0.35">
      <c r="Y60" s="259">
        <v>0.02</v>
      </c>
    </row>
    <row r="61" spans="1:25" x14ac:dyDescent="0.3">
      <c r="B61" t="s">
        <v>287</v>
      </c>
      <c r="F61" s="255">
        <f t="shared" ref="F61:P61" si="30">$Y$66-F58</f>
        <v>41.126411999999995</v>
      </c>
      <c r="G61" s="255">
        <f t="shared" si="30"/>
        <v>40.097040239999991</v>
      </c>
      <c r="H61" s="255">
        <f t="shared" si="30"/>
        <v>39.047081044799988</v>
      </c>
      <c r="I61" s="255">
        <f t="shared" si="30"/>
        <v>37.976122665695989</v>
      </c>
      <c r="J61" s="255">
        <f t="shared" si="30"/>
        <v>36.883745119009909</v>
      </c>
      <c r="K61" s="255">
        <f t="shared" si="30"/>
        <v>35.769520021390107</v>
      </c>
      <c r="L61" s="255">
        <f t="shared" si="30"/>
        <v>34.633010421817907</v>
      </c>
      <c r="M61" s="255">
        <f t="shared" si="30"/>
        <v>33.473770630254265</v>
      </c>
      <c r="N61" s="255">
        <f t="shared" si="30"/>
        <v>32.291346042859352</v>
      </c>
      <c r="O61" s="255">
        <f t="shared" si="30"/>
        <v>31.085272963716541</v>
      </c>
      <c r="P61" s="255">
        <f t="shared" si="30"/>
        <v>29.855078422990871</v>
      </c>
      <c r="Q61" s="255">
        <f t="shared" ref="Q61:W61" si="31">$Y$66-Q58</f>
        <v>28.600279991450691</v>
      </c>
      <c r="R61" s="255">
        <f t="shared" si="31"/>
        <v>27.320385591279702</v>
      </c>
      <c r="S61" s="255">
        <f t="shared" si="31"/>
        <v>26.014893303105296</v>
      </c>
      <c r="T61" s="255">
        <f t="shared" si="31"/>
        <v>24.683291169167404</v>
      </c>
      <c r="U61" s="255">
        <f t="shared" si="31"/>
        <v>23.325056992550756</v>
      </c>
      <c r="V61" s="255">
        <f t="shared" si="31"/>
        <v>21.939658132401775</v>
      </c>
      <c r="W61" s="255">
        <f t="shared" si="31"/>
        <v>20.526551295049813</v>
      </c>
    </row>
    <row r="62" spans="1:25" ht="15" thickBot="1" x14ac:dyDescent="0.35">
      <c r="A62">
        <v>1</v>
      </c>
      <c r="B62" t="s">
        <v>288</v>
      </c>
      <c r="G62" s="255">
        <f t="shared" ref="G62:W62" si="32">($Y$66*(1+(($Y$42)*$A62))-G$31)</f>
        <v>41.948940239999992</v>
      </c>
      <c r="H62" s="255">
        <f t="shared" si="32"/>
        <v>40.898981044799989</v>
      </c>
      <c r="I62" s="255">
        <f t="shared" si="32"/>
        <v>39.82802266569599</v>
      </c>
      <c r="J62" s="255">
        <f t="shared" si="32"/>
        <v>38.735645119009909</v>
      </c>
      <c r="K62" s="255">
        <f t="shared" si="32"/>
        <v>37.621420021390108</v>
      </c>
      <c r="L62" s="255">
        <f t="shared" si="32"/>
        <v>36.484910421817908</v>
      </c>
      <c r="M62" s="255">
        <f t="shared" si="32"/>
        <v>35.325670630254265</v>
      </c>
      <c r="N62" s="255">
        <f t="shared" si="32"/>
        <v>34.143246042859353</v>
      </c>
      <c r="O62" s="255">
        <f t="shared" si="32"/>
        <v>32.937172963716542</v>
      </c>
      <c r="P62" s="255">
        <f t="shared" si="32"/>
        <v>31.706978422990872</v>
      </c>
      <c r="Q62" s="255">
        <f t="shared" si="32"/>
        <v>30.452179991450691</v>
      </c>
      <c r="R62" s="255">
        <f t="shared" si="32"/>
        <v>29.172285591279703</v>
      </c>
      <c r="S62" s="255">
        <f t="shared" si="32"/>
        <v>27.866793303105297</v>
      </c>
      <c r="T62" s="255">
        <f t="shared" si="32"/>
        <v>26.535191169167405</v>
      </c>
      <c r="U62" s="255">
        <f t="shared" si="32"/>
        <v>25.176956992550757</v>
      </c>
      <c r="V62" s="255">
        <f t="shared" si="32"/>
        <v>23.791558132401775</v>
      </c>
      <c r="W62" s="255">
        <f t="shared" si="32"/>
        <v>22.378451295049814</v>
      </c>
    </row>
    <row r="63" spans="1:25" x14ac:dyDescent="0.3">
      <c r="A63">
        <v>2</v>
      </c>
      <c r="B63" t="s">
        <v>289</v>
      </c>
      <c r="H63" s="255">
        <f t="shared" ref="H63:W63" si="33">($Y$66*(1+(($Y$42)*$A63))-H$31)</f>
        <v>42.750881044799989</v>
      </c>
      <c r="I63" s="255">
        <f t="shared" si="33"/>
        <v>41.67992266569599</v>
      </c>
      <c r="J63" s="255">
        <f t="shared" si="33"/>
        <v>40.58754511900991</v>
      </c>
      <c r="K63" s="255">
        <f t="shared" si="33"/>
        <v>39.473320021390109</v>
      </c>
      <c r="L63" s="255">
        <f t="shared" si="33"/>
        <v>38.336810421817908</v>
      </c>
      <c r="M63" s="255">
        <f t="shared" si="33"/>
        <v>37.177570630254266</v>
      </c>
      <c r="N63" s="255">
        <f t="shared" si="33"/>
        <v>35.995146042859353</v>
      </c>
      <c r="O63" s="255">
        <f t="shared" si="33"/>
        <v>34.789072963716542</v>
      </c>
      <c r="P63" s="255">
        <f t="shared" si="33"/>
        <v>33.558878422990873</v>
      </c>
      <c r="Q63" s="255">
        <f t="shared" si="33"/>
        <v>32.304079991450692</v>
      </c>
      <c r="R63" s="255">
        <f t="shared" si="33"/>
        <v>31.024185591279704</v>
      </c>
      <c r="S63" s="255">
        <f t="shared" si="33"/>
        <v>29.718693303105297</v>
      </c>
      <c r="T63" s="255">
        <f t="shared" si="33"/>
        <v>28.387091169167405</v>
      </c>
      <c r="U63" s="255">
        <f t="shared" si="33"/>
        <v>27.028856992550757</v>
      </c>
      <c r="V63" s="255">
        <f t="shared" si="33"/>
        <v>25.643458132401776</v>
      </c>
      <c r="W63" s="255">
        <f t="shared" si="33"/>
        <v>24.230351295049815</v>
      </c>
      <c r="Y63" s="257" t="s">
        <v>299</v>
      </c>
    </row>
    <row r="64" spans="1:25" x14ac:dyDescent="0.3">
      <c r="A64">
        <v>3</v>
      </c>
      <c r="B64" t="s">
        <v>290</v>
      </c>
      <c r="I64" s="255">
        <f t="shared" ref="I64:W64" si="34">($Y$66*(1+(($Y$42)*$A64))-I$31)</f>
        <v>43.531822665695991</v>
      </c>
      <c r="J64" s="255">
        <f t="shared" si="34"/>
        <v>42.43944511900991</v>
      </c>
      <c r="K64" s="255">
        <f t="shared" si="34"/>
        <v>41.325220021390109</v>
      </c>
      <c r="L64" s="255">
        <f t="shared" si="34"/>
        <v>40.188710421817909</v>
      </c>
      <c r="M64" s="255">
        <f t="shared" si="34"/>
        <v>39.029470630254266</v>
      </c>
      <c r="N64" s="255">
        <f t="shared" si="34"/>
        <v>37.847046042859354</v>
      </c>
      <c r="O64" s="255">
        <f t="shared" si="34"/>
        <v>36.640972963716543</v>
      </c>
      <c r="P64" s="255">
        <f t="shared" si="34"/>
        <v>35.410778422990873</v>
      </c>
      <c r="Q64" s="255">
        <f t="shared" si="34"/>
        <v>34.155979991450693</v>
      </c>
      <c r="R64" s="255">
        <f t="shared" si="34"/>
        <v>32.876085591279704</v>
      </c>
      <c r="S64" s="255">
        <f t="shared" si="34"/>
        <v>31.570593303105298</v>
      </c>
      <c r="T64" s="255">
        <f t="shared" si="34"/>
        <v>30.238991169167406</v>
      </c>
      <c r="U64" s="255">
        <f t="shared" si="34"/>
        <v>28.880756992550758</v>
      </c>
      <c r="V64" s="255">
        <f t="shared" si="34"/>
        <v>27.495358132401776</v>
      </c>
      <c r="W64" s="255">
        <f t="shared" si="34"/>
        <v>26.082251295049815</v>
      </c>
      <c r="Y64" s="258"/>
    </row>
    <row r="65" spans="1:25" x14ac:dyDescent="0.3">
      <c r="A65">
        <v>4</v>
      </c>
      <c r="B65" t="s">
        <v>291</v>
      </c>
      <c r="J65" s="255">
        <f t="shared" ref="J65:W65" si="35">($Y$66*(1+(($Y$42)*$A65))-J$31)</f>
        <v>44.291345119009911</v>
      </c>
      <c r="K65" s="255">
        <f t="shared" si="35"/>
        <v>43.17712002139011</v>
      </c>
      <c r="L65" s="255">
        <f t="shared" si="35"/>
        <v>42.04061042181791</v>
      </c>
      <c r="M65" s="255">
        <f t="shared" si="35"/>
        <v>40.881370630254267</v>
      </c>
      <c r="N65" s="255">
        <f t="shared" si="35"/>
        <v>39.698946042859355</v>
      </c>
      <c r="O65" s="255">
        <f t="shared" si="35"/>
        <v>38.492872963716543</v>
      </c>
      <c r="P65" s="255">
        <f t="shared" si="35"/>
        <v>37.262678422990874</v>
      </c>
      <c r="Q65" s="255">
        <f t="shared" si="35"/>
        <v>36.007879991450693</v>
      </c>
      <c r="R65" s="255">
        <f t="shared" si="35"/>
        <v>34.727985591279705</v>
      </c>
      <c r="S65" s="255">
        <f t="shared" si="35"/>
        <v>33.422493303105298</v>
      </c>
      <c r="T65" s="255">
        <f t="shared" si="35"/>
        <v>32.090891169167406</v>
      </c>
      <c r="U65" s="255">
        <f t="shared" si="35"/>
        <v>30.732656992550758</v>
      </c>
      <c r="V65" s="255">
        <f t="shared" si="35"/>
        <v>29.347258132401777</v>
      </c>
      <c r="W65" s="255">
        <f t="shared" si="35"/>
        <v>27.934151295049816</v>
      </c>
      <c r="Y65" s="258" t="s">
        <v>300</v>
      </c>
    </row>
    <row r="66" spans="1:25" x14ac:dyDescent="0.3">
      <c r="A66">
        <v>5</v>
      </c>
      <c r="B66" t="s">
        <v>292</v>
      </c>
      <c r="K66" s="255">
        <f t="shared" ref="K66:W66" si="36">($Y$66*(1+(($Y$42)*$A66))-K$31)</f>
        <v>45.02902002139011</v>
      </c>
      <c r="L66" s="255">
        <f t="shared" si="36"/>
        <v>43.89251042181791</v>
      </c>
      <c r="M66" s="255">
        <f t="shared" si="36"/>
        <v>42.733270630254268</v>
      </c>
      <c r="N66" s="255">
        <f t="shared" si="36"/>
        <v>41.550846042859355</v>
      </c>
      <c r="O66" s="255">
        <f t="shared" si="36"/>
        <v>40.344772963716544</v>
      </c>
      <c r="P66" s="255">
        <f t="shared" si="36"/>
        <v>39.114578422990874</v>
      </c>
      <c r="Q66" s="255">
        <f t="shared" si="36"/>
        <v>37.859779991450694</v>
      </c>
      <c r="R66" s="255">
        <f t="shared" si="36"/>
        <v>36.579885591279705</v>
      </c>
      <c r="S66" s="255">
        <f t="shared" si="36"/>
        <v>35.274393303105299</v>
      </c>
      <c r="T66" s="255">
        <f t="shared" si="36"/>
        <v>33.942791169167407</v>
      </c>
      <c r="U66" s="255">
        <f t="shared" si="36"/>
        <v>32.584556992550759</v>
      </c>
      <c r="V66" s="255">
        <f t="shared" si="36"/>
        <v>31.199158132401777</v>
      </c>
      <c r="W66" s="255">
        <f t="shared" si="36"/>
        <v>29.786051295049816</v>
      </c>
      <c r="Y66" s="260">
        <v>92.594999999999999</v>
      </c>
    </row>
    <row r="67" spans="1:25" x14ac:dyDescent="0.3">
      <c r="A67">
        <v>6</v>
      </c>
      <c r="B67" t="s">
        <v>293</v>
      </c>
      <c r="L67" s="255">
        <f t="shared" ref="L67:W67" si="37">($Y$66*(1+(($Y$42)*$A67))-L$31)</f>
        <v>45.744410421817911</v>
      </c>
      <c r="M67" s="255">
        <f t="shared" si="37"/>
        <v>44.585170630254268</v>
      </c>
      <c r="N67" s="255">
        <f t="shared" si="37"/>
        <v>43.402746042859356</v>
      </c>
      <c r="O67" s="255">
        <f t="shared" si="37"/>
        <v>42.196672963716544</v>
      </c>
      <c r="P67" s="255">
        <f t="shared" si="37"/>
        <v>40.966478422990875</v>
      </c>
      <c r="Q67" s="255">
        <f t="shared" si="37"/>
        <v>39.711679991450694</v>
      </c>
      <c r="R67" s="255">
        <f t="shared" si="37"/>
        <v>38.431785591279706</v>
      </c>
      <c r="S67" s="255">
        <f t="shared" si="37"/>
        <v>37.1262933031053</v>
      </c>
      <c r="T67" s="255">
        <f t="shared" si="37"/>
        <v>35.794691169167407</v>
      </c>
      <c r="U67" s="255">
        <f t="shared" si="37"/>
        <v>34.43645699255076</v>
      </c>
      <c r="V67" s="255">
        <f t="shared" si="37"/>
        <v>33.051058132401778</v>
      </c>
      <c r="W67" s="255">
        <f t="shared" si="37"/>
        <v>31.637951295049817</v>
      </c>
      <c r="Y67" s="258"/>
    </row>
    <row r="68" spans="1:25" x14ac:dyDescent="0.3">
      <c r="A68">
        <v>7</v>
      </c>
      <c r="B68" t="s">
        <v>294</v>
      </c>
      <c r="M68" s="255">
        <f t="shared" ref="M68:W68" si="38">($Y$66*(1+(($Y$42)*$A68))-M$31)</f>
        <v>46.437070630254283</v>
      </c>
      <c r="N68" s="255">
        <f t="shared" si="38"/>
        <v>45.25464604285937</v>
      </c>
      <c r="O68" s="255">
        <f t="shared" si="38"/>
        <v>44.048572963716559</v>
      </c>
      <c r="P68" s="255">
        <f t="shared" si="38"/>
        <v>42.818378422990889</v>
      </c>
      <c r="Q68" s="255">
        <f t="shared" si="38"/>
        <v>41.563579991450709</v>
      </c>
      <c r="R68" s="255">
        <f t="shared" si="38"/>
        <v>40.28368559127972</v>
      </c>
      <c r="S68" s="255">
        <f t="shared" si="38"/>
        <v>38.978193303105314</v>
      </c>
      <c r="T68" s="255">
        <f t="shared" si="38"/>
        <v>37.646591169167422</v>
      </c>
      <c r="U68" s="255">
        <f t="shared" si="38"/>
        <v>36.288356992550774</v>
      </c>
      <c r="V68" s="255">
        <f t="shared" si="38"/>
        <v>34.902958132401793</v>
      </c>
      <c r="W68" s="255">
        <f t="shared" si="38"/>
        <v>33.489851295049831</v>
      </c>
      <c r="Y68" s="258" t="s">
        <v>301</v>
      </c>
    </row>
    <row r="69" spans="1:25" ht="15" thickBot="1" x14ac:dyDescent="0.35">
      <c r="A69">
        <v>8</v>
      </c>
      <c r="B69" t="s">
        <v>295</v>
      </c>
      <c r="M69" s="255"/>
      <c r="N69" s="255">
        <f t="shared" ref="N69:W69" si="39">($Y$66*(1+(($Y$42)*$A69))-N$31)</f>
        <v>47.106546042859343</v>
      </c>
      <c r="O69" s="255">
        <f t="shared" si="39"/>
        <v>45.900472963716531</v>
      </c>
      <c r="P69" s="255">
        <f t="shared" si="39"/>
        <v>44.670278422990862</v>
      </c>
      <c r="Q69" s="255">
        <f t="shared" si="39"/>
        <v>43.415479991450681</v>
      </c>
      <c r="R69" s="255">
        <f t="shared" si="39"/>
        <v>42.135585591279693</v>
      </c>
      <c r="S69" s="255">
        <f t="shared" si="39"/>
        <v>40.830093303105286</v>
      </c>
      <c r="T69" s="255">
        <f t="shared" si="39"/>
        <v>39.498491169167394</v>
      </c>
      <c r="U69" s="255">
        <f t="shared" si="39"/>
        <v>38.140256992550746</v>
      </c>
      <c r="V69" s="255">
        <f t="shared" si="39"/>
        <v>36.754858132401765</v>
      </c>
      <c r="W69" s="255">
        <f t="shared" si="39"/>
        <v>35.341751295049804</v>
      </c>
      <c r="Y69" s="261">
        <v>0.02</v>
      </c>
    </row>
    <row r="70" spans="1:25" x14ac:dyDescent="0.3">
      <c r="A70">
        <v>9</v>
      </c>
      <c r="B70" t="s">
        <v>304</v>
      </c>
      <c r="O70" s="255">
        <f t="shared" ref="O70:W70" si="40">($Y$66*(1+(($Y$69)*$A70))-O$31)</f>
        <v>47.752372963716532</v>
      </c>
      <c r="P70" s="255">
        <f t="shared" si="40"/>
        <v>46.522178422990862</v>
      </c>
      <c r="Q70" s="255">
        <f t="shared" si="40"/>
        <v>45.267379991450682</v>
      </c>
      <c r="R70" s="255">
        <f t="shared" si="40"/>
        <v>43.987485591279693</v>
      </c>
      <c r="S70" s="255">
        <f t="shared" si="40"/>
        <v>42.681993303105287</v>
      </c>
      <c r="T70" s="255">
        <f t="shared" si="40"/>
        <v>41.350391169167395</v>
      </c>
      <c r="U70" s="255">
        <f t="shared" si="40"/>
        <v>39.992156992550747</v>
      </c>
      <c r="V70" s="255">
        <f t="shared" si="40"/>
        <v>38.606758132401765</v>
      </c>
      <c r="W70" s="255">
        <f t="shared" si="40"/>
        <v>37.193651295049804</v>
      </c>
    </row>
    <row r="71" spans="1:25" x14ac:dyDescent="0.3">
      <c r="A71">
        <v>10</v>
      </c>
      <c r="B71" t="s">
        <v>305</v>
      </c>
      <c r="P71" s="255">
        <f t="shared" ref="P71:W71" si="41">($Y$66*(1+(($Y$69)*$A71))-P$31)</f>
        <v>48.374078422990863</v>
      </c>
      <c r="Q71" s="255">
        <f t="shared" si="41"/>
        <v>47.119279991450682</v>
      </c>
      <c r="R71" s="255">
        <f t="shared" si="41"/>
        <v>45.839385591279694</v>
      </c>
      <c r="S71" s="255">
        <f t="shared" si="41"/>
        <v>44.533893303105287</v>
      </c>
      <c r="T71" s="255">
        <f t="shared" si="41"/>
        <v>43.202291169167395</v>
      </c>
      <c r="U71" s="255">
        <f t="shared" si="41"/>
        <v>41.844056992550748</v>
      </c>
      <c r="V71" s="255">
        <f t="shared" si="41"/>
        <v>40.458658132401766</v>
      </c>
      <c r="W71" s="255">
        <f t="shared" si="41"/>
        <v>39.045551295049805</v>
      </c>
    </row>
    <row r="72" spans="1:25" x14ac:dyDescent="0.3">
      <c r="A72">
        <v>11</v>
      </c>
      <c r="B72" t="s">
        <v>306</v>
      </c>
      <c r="Q72" s="255">
        <f t="shared" ref="Q72:W72" si="42">($Y$66*(1+(($Y$69)*$A72))-Q$31)</f>
        <v>48.971179991450683</v>
      </c>
      <c r="R72" s="255">
        <f t="shared" si="42"/>
        <v>47.691285591279694</v>
      </c>
      <c r="S72" s="255">
        <f t="shared" si="42"/>
        <v>46.385793303105288</v>
      </c>
      <c r="T72" s="255">
        <f t="shared" si="42"/>
        <v>45.054191169167396</v>
      </c>
      <c r="U72" s="255">
        <f t="shared" si="42"/>
        <v>43.695956992550748</v>
      </c>
      <c r="V72" s="255">
        <f t="shared" si="42"/>
        <v>42.310558132401766</v>
      </c>
      <c r="W72" s="255">
        <f t="shared" si="42"/>
        <v>40.897451295049805</v>
      </c>
    </row>
    <row r="73" spans="1:25" x14ac:dyDescent="0.3">
      <c r="A73">
        <v>12</v>
      </c>
      <c r="B73" t="s">
        <v>307</v>
      </c>
      <c r="R73" s="255">
        <f t="shared" ref="R73:W73" si="43">($Y$66*(1+(($Y$69)*$A73))-R$31)</f>
        <v>49.543185591279695</v>
      </c>
      <c r="S73" s="255">
        <f t="shared" si="43"/>
        <v>48.237693303105289</v>
      </c>
      <c r="T73" s="255">
        <f t="shared" si="43"/>
        <v>46.906091169167397</v>
      </c>
      <c r="U73" s="255">
        <f t="shared" si="43"/>
        <v>45.547856992550749</v>
      </c>
      <c r="V73" s="255">
        <f t="shared" si="43"/>
        <v>44.162458132401767</v>
      </c>
      <c r="W73" s="255">
        <f t="shared" si="43"/>
        <v>42.749351295049806</v>
      </c>
    </row>
    <row r="74" spans="1:25" x14ac:dyDescent="0.3">
      <c r="A74">
        <v>13</v>
      </c>
      <c r="B74" t="s">
        <v>308</v>
      </c>
      <c r="S74" s="255">
        <f>($Y$66*(1+(($Y$69)*$A74))-S$31)</f>
        <v>50.089593303105303</v>
      </c>
      <c r="T74" s="255">
        <f>($Y$66*(1+(($Y$69)*$A74))-T$31)</f>
        <v>48.757991169167411</v>
      </c>
      <c r="U74" s="255">
        <f>($Y$66*(1+(($Y$69)*$A74))-U$31)</f>
        <v>47.399756992550763</v>
      </c>
      <c r="V74" s="255">
        <f>($Y$66*(1+(($Y$69)*$A74))-V$31)</f>
        <v>46.014358132401782</v>
      </c>
      <c r="W74" s="255">
        <f>($Y$66*(1+(($Y$69)*$A74))-W$31)</f>
        <v>44.601251295049821</v>
      </c>
    </row>
    <row r="75" spans="1:25" x14ac:dyDescent="0.3">
      <c r="A75">
        <v>14</v>
      </c>
      <c r="B75" t="s">
        <v>309</v>
      </c>
      <c r="T75" s="255">
        <f>($Y$66*(1+(($Y$69)*$A75))-T$31)</f>
        <v>50.609891169167412</v>
      </c>
      <c r="U75" s="255">
        <f>($Y$66*(1+(($Y$69)*$A75))-U$31)</f>
        <v>49.251656992550764</v>
      </c>
      <c r="V75" s="255">
        <f>($Y$66*(1+(($Y$69)*$A75))-V$31)</f>
        <v>47.866258132401782</v>
      </c>
      <c r="W75" s="255">
        <f>($Y$66*(1+(($Y$69)*$A75))-W$31)</f>
        <v>46.453151295049821</v>
      </c>
    </row>
    <row r="76" spans="1:25" x14ac:dyDescent="0.3">
      <c r="A76">
        <v>15</v>
      </c>
      <c r="B76" t="s">
        <v>310</v>
      </c>
      <c r="U76" s="255">
        <f>($Y$66*(1+(($Y$69)*$A76))-U$31)</f>
        <v>51.103556992550764</v>
      </c>
      <c r="V76" s="255">
        <f>($Y$66*(1+(($Y$69)*$A76))-V$31)</f>
        <v>49.718158132401783</v>
      </c>
      <c r="W76" s="255">
        <f>($Y$66*(1+(($Y$69)*$A76))-W$31)</f>
        <v>48.305051295049822</v>
      </c>
    </row>
    <row r="77" spans="1:25" x14ac:dyDescent="0.3">
      <c r="A77">
        <v>16</v>
      </c>
      <c r="B77" t="s">
        <v>311</v>
      </c>
      <c r="V77" s="255">
        <f>($Y$66*(1+(($Y$69)*$A77))-V$31)</f>
        <v>51.570058132401783</v>
      </c>
      <c r="W77" s="255">
        <f>($Y$66*(1+(($Y$69)*$A77))-W$31)</f>
        <v>50.156951295049822</v>
      </c>
    </row>
    <row r="78" spans="1:25" x14ac:dyDescent="0.3">
      <c r="A78">
        <v>17</v>
      </c>
      <c r="B78" t="s">
        <v>312</v>
      </c>
      <c r="W78" s="255">
        <f>($Y$66*(1+(($Y$69)*$A78))-W$31)</f>
        <v>52.008851295049823</v>
      </c>
    </row>
    <row r="79" spans="1:25" x14ac:dyDescent="0.3">
      <c r="A79">
        <v>18</v>
      </c>
      <c r="B79" t="s">
        <v>313</v>
      </c>
    </row>
  </sheetData>
  <phoneticPr fontId="5" type="noConversion"/>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68FF8-AEB5-4DFB-ACD2-8AC99F664113}">
  <dimension ref="A1:L113"/>
  <sheetViews>
    <sheetView workbookViewId="0"/>
  </sheetViews>
  <sheetFormatPr defaultRowHeight="14.4" x14ac:dyDescent="0.3"/>
  <cols>
    <col min="1" max="1" width="17.5546875" bestFit="1" customWidth="1"/>
    <col min="2" max="2" width="10.109375" bestFit="1" customWidth="1"/>
    <col min="3" max="3" width="18.77734375" customWidth="1"/>
    <col min="4" max="4" width="10.33203125" bestFit="1" customWidth="1"/>
    <col min="6" max="6" width="10.109375" bestFit="1" customWidth="1"/>
    <col min="7" max="7" width="9.33203125" bestFit="1" customWidth="1"/>
    <col min="8" max="8" width="12.21875" bestFit="1" customWidth="1"/>
    <col min="9" max="9" width="12.6640625" bestFit="1" customWidth="1"/>
    <col min="10" max="10" width="10.109375" bestFit="1" customWidth="1"/>
    <col min="11" max="12" width="10.109375" style="289" bestFit="1" customWidth="1"/>
  </cols>
  <sheetData>
    <row r="1" spans="1:12" x14ac:dyDescent="0.3">
      <c r="A1" s="276" t="s">
        <v>111</v>
      </c>
    </row>
    <row r="2" spans="1:12" x14ac:dyDescent="0.3">
      <c r="A2" s="263" t="s">
        <v>321</v>
      </c>
      <c r="B2" s="306" t="s">
        <v>196</v>
      </c>
      <c r="C2" s="306"/>
      <c r="D2" s="263" t="s">
        <v>325</v>
      </c>
      <c r="E2" s="263" t="s">
        <v>119</v>
      </c>
      <c r="F2" s="263" t="s">
        <v>118</v>
      </c>
      <c r="G2" s="263" t="s">
        <v>137</v>
      </c>
      <c r="H2" s="263" t="s">
        <v>322</v>
      </c>
      <c r="I2" s="263" t="s">
        <v>323</v>
      </c>
      <c r="J2" s="263" t="s">
        <v>225</v>
      </c>
    </row>
    <row r="3" spans="1:12" x14ac:dyDescent="0.3">
      <c r="A3" s="96" t="s">
        <v>43</v>
      </c>
      <c r="B3" s="264" t="s">
        <v>324</v>
      </c>
      <c r="C3" s="265" t="s">
        <v>255</v>
      </c>
      <c r="D3" t="s">
        <v>326</v>
      </c>
      <c r="E3" t="s">
        <v>326</v>
      </c>
      <c r="F3" t="s">
        <v>327</v>
      </c>
      <c r="G3" t="s">
        <v>326</v>
      </c>
    </row>
    <row r="4" spans="1:12" x14ac:dyDescent="0.3">
      <c r="A4" s="270" t="s">
        <v>144</v>
      </c>
      <c r="B4" s="268">
        <f>B32+B60+B91</f>
        <v>0</v>
      </c>
      <c r="C4" s="268">
        <f t="shared" ref="C4:I4" si="0">C32+C60+C91</f>
        <v>730000</v>
      </c>
      <c r="D4" s="268">
        <f t="shared" si="0"/>
        <v>652607.90247266716</v>
      </c>
      <c r="E4" s="268">
        <f t="shared" si="0"/>
        <v>58271.600000000006</v>
      </c>
      <c r="F4" s="268">
        <f t="shared" si="0"/>
        <v>1861725</v>
      </c>
      <c r="G4" s="268">
        <f t="shared" si="0"/>
        <v>3273</v>
      </c>
      <c r="H4" s="268">
        <f t="shared" si="0"/>
        <v>714152.50247266702</v>
      </c>
      <c r="I4" s="268">
        <f t="shared" si="0"/>
        <v>2591725</v>
      </c>
      <c r="J4" s="202">
        <f>H4+I4</f>
        <v>3305877.502472667</v>
      </c>
      <c r="K4" s="290"/>
      <c r="L4" s="290"/>
    </row>
    <row r="5" spans="1:12" x14ac:dyDescent="0.3">
      <c r="A5" s="270" t="s">
        <v>145</v>
      </c>
      <c r="B5" s="268">
        <f t="shared" ref="B5:I26" si="1">B33+B61+B92</f>
        <v>918151.57460000005</v>
      </c>
      <c r="C5" s="268">
        <f t="shared" si="1"/>
        <v>2065519</v>
      </c>
      <c r="D5" s="268">
        <f t="shared" si="1"/>
        <v>1028057.6095813341</v>
      </c>
      <c r="E5" s="268">
        <f t="shared" si="1"/>
        <v>65181.53333333334</v>
      </c>
      <c r="F5" s="268">
        <f t="shared" si="1"/>
        <v>1861725</v>
      </c>
      <c r="G5" s="268">
        <f t="shared" si="1"/>
        <v>21732</v>
      </c>
      <c r="H5" s="268">
        <f t="shared" si="1"/>
        <v>2033122.7175146674</v>
      </c>
      <c r="I5" s="268">
        <f t="shared" si="1"/>
        <v>3927244</v>
      </c>
      <c r="J5" s="202">
        <f t="shared" ref="J5:J26" si="2">H5+I5</f>
        <v>5960366.7175146677</v>
      </c>
      <c r="K5" s="290"/>
      <c r="L5" s="290"/>
    </row>
    <row r="6" spans="1:12" x14ac:dyDescent="0.3">
      <c r="A6" s="270" t="s">
        <v>146</v>
      </c>
      <c r="B6" s="268">
        <f t="shared" si="1"/>
        <v>1935629.5746000002</v>
      </c>
      <c r="C6" s="268">
        <f t="shared" si="1"/>
        <v>2065519</v>
      </c>
      <c r="D6" s="268">
        <f t="shared" si="1"/>
        <v>1112202.0277715982</v>
      </c>
      <c r="E6" s="268">
        <f t="shared" si="1"/>
        <v>64855.625666666674</v>
      </c>
      <c r="F6" s="268">
        <f t="shared" si="1"/>
        <v>1861725</v>
      </c>
      <c r="G6" s="268">
        <f t="shared" si="1"/>
        <v>5613</v>
      </c>
      <c r="H6" s="268">
        <f t="shared" si="1"/>
        <v>3118300.2280382644</v>
      </c>
      <c r="I6" s="268">
        <f t="shared" si="1"/>
        <v>3927244</v>
      </c>
      <c r="J6" s="202">
        <f t="shared" si="2"/>
        <v>7045544.2280382644</v>
      </c>
      <c r="K6" s="290"/>
      <c r="L6" s="290"/>
    </row>
    <row r="7" spans="1:12" x14ac:dyDescent="0.3">
      <c r="A7" s="275" t="s">
        <v>147</v>
      </c>
      <c r="B7" s="268">
        <f t="shared" si="1"/>
        <v>1935629.5746000002</v>
      </c>
      <c r="C7" s="268">
        <f t="shared" si="1"/>
        <v>2065519</v>
      </c>
      <c r="D7" s="268">
        <f t="shared" si="1"/>
        <v>1250375.9868179956</v>
      </c>
      <c r="E7" s="268">
        <f t="shared" si="1"/>
        <v>64531.347538333343</v>
      </c>
      <c r="F7" s="268">
        <f t="shared" si="1"/>
        <v>1861725</v>
      </c>
      <c r="G7" s="268">
        <f t="shared" si="1"/>
        <v>0</v>
      </c>
      <c r="H7" s="268">
        <f t="shared" si="1"/>
        <v>3250536.9089563289</v>
      </c>
      <c r="I7" s="268">
        <f t="shared" si="1"/>
        <v>3927244</v>
      </c>
      <c r="J7" s="202">
        <f t="shared" si="2"/>
        <v>7177780.9089563284</v>
      </c>
      <c r="K7" s="290"/>
      <c r="L7" s="290"/>
    </row>
    <row r="8" spans="1:12" x14ac:dyDescent="0.3">
      <c r="A8" s="275" t="s">
        <v>148</v>
      </c>
      <c r="B8" s="268">
        <f t="shared" si="1"/>
        <v>1935629.5746000002</v>
      </c>
      <c r="C8" s="268">
        <f t="shared" si="1"/>
        <v>2065519</v>
      </c>
      <c r="D8" s="268">
        <f t="shared" si="1"/>
        <v>1244561.3247843913</v>
      </c>
      <c r="E8" s="268">
        <f t="shared" si="1"/>
        <v>64208.690800641678</v>
      </c>
      <c r="F8" s="268">
        <f t="shared" si="1"/>
        <v>1861725</v>
      </c>
      <c r="G8" s="268">
        <f t="shared" si="1"/>
        <v>0</v>
      </c>
      <c r="H8" s="268">
        <f t="shared" si="1"/>
        <v>3244399.5901850332</v>
      </c>
      <c r="I8" s="268">
        <f t="shared" si="1"/>
        <v>3927244</v>
      </c>
      <c r="J8" s="202">
        <f t="shared" si="2"/>
        <v>7171643.5901850332</v>
      </c>
      <c r="K8" s="290"/>
      <c r="L8" s="290"/>
    </row>
    <row r="9" spans="1:12" x14ac:dyDescent="0.3">
      <c r="A9" s="275" t="s">
        <v>149</v>
      </c>
      <c r="B9" s="268">
        <f t="shared" si="1"/>
        <v>1935629.5746000002</v>
      </c>
      <c r="C9" s="268">
        <f t="shared" si="1"/>
        <v>2065519</v>
      </c>
      <c r="D9" s="268">
        <f t="shared" si="1"/>
        <v>1238781.8186050805</v>
      </c>
      <c r="E9" s="268">
        <f t="shared" si="1"/>
        <v>63887.64734663847</v>
      </c>
      <c r="F9" s="268">
        <f t="shared" si="1"/>
        <v>1861725</v>
      </c>
      <c r="G9" s="268">
        <f t="shared" si="1"/>
        <v>0</v>
      </c>
      <c r="H9" s="268">
        <f t="shared" si="1"/>
        <v>3238299.0405517193</v>
      </c>
      <c r="I9" s="268">
        <f t="shared" si="1"/>
        <v>3927244</v>
      </c>
      <c r="J9" s="202">
        <f t="shared" si="2"/>
        <v>7165543.0405517193</v>
      </c>
      <c r="K9" s="290"/>
      <c r="L9" s="290"/>
    </row>
    <row r="10" spans="1:12" x14ac:dyDescent="0.3">
      <c r="A10" s="270" t="s">
        <v>150</v>
      </c>
      <c r="B10" s="268">
        <f t="shared" si="1"/>
        <v>1935629.5746000002</v>
      </c>
      <c r="C10" s="268">
        <f t="shared" si="1"/>
        <v>2065519</v>
      </c>
      <c r="D10" s="268">
        <f t="shared" si="1"/>
        <v>1233020.3648401417</v>
      </c>
      <c r="E10" s="268">
        <f t="shared" si="1"/>
        <v>63568.209109905278</v>
      </c>
      <c r="F10" s="268">
        <f t="shared" si="1"/>
        <v>1861725</v>
      </c>
      <c r="G10" s="268">
        <f t="shared" si="1"/>
        <v>0</v>
      </c>
      <c r="H10" s="268">
        <f t="shared" si="1"/>
        <v>3232218.1485500475</v>
      </c>
      <c r="I10" s="268">
        <f t="shared" si="1"/>
        <v>3927244</v>
      </c>
      <c r="J10" s="202">
        <f t="shared" si="2"/>
        <v>7159462.1485500475</v>
      </c>
      <c r="K10" s="290"/>
      <c r="L10" s="290"/>
    </row>
    <row r="11" spans="1:12" x14ac:dyDescent="0.3">
      <c r="A11" s="270" t="s">
        <v>151</v>
      </c>
      <c r="B11" s="268">
        <f t="shared" si="1"/>
        <v>1935629.5746000002</v>
      </c>
      <c r="C11" s="268">
        <f t="shared" si="1"/>
        <v>2065519</v>
      </c>
      <c r="D11" s="268">
        <f t="shared" si="1"/>
        <v>1226694.8192617015</v>
      </c>
      <c r="E11" s="268">
        <f t="shared" si="1"/>
        <v>63250.368064355753</v>
      </c>
      <c r="F11" s="268">
        <f t="shared" si="1"/>
        <v>1861725</v>
      </c>
      <c r="G11" s="268">
        <f t="shared" si="1"/>
        <v>0</v>
      </c>
      <c r="H11" s="268">
        <f t="shared" si="1"/>
        <v>3225574.7619260573</v>
      </c>
      <c r="I11" s="268">
        <f t="shared" si="1"/>
        <v>3927244</v>
      </c>
      <c r="J11" s="202">
        <f t="shared" si="2"/>
        <v>7152818.7619260568</v>
      </c>
      <c r="K11" s="290"/>
      <c r="L11" s="290"/>
    </row>
    <row r="12" spans="1:12" x14ac:dyDescent="0.3">
      <c r="A12" s="270" t="s">
        <v>152</v>
      </c>
      <c r="B12" s="268">
        <f t="shared" si="1"/>
        <v>1935629.5746000002</v>
      </c>
      <c r="C12" s="268">
        <f t="shared" si="1"/>
        <v>2065519</v>
      </c>
      <c r="D12" s="268">
        <f t="shared" si="1"/>
        <v>1220908.098763278</v>
      </c>
      <c r="E12" s="268">
        <f t="shared" si="1"/>
        <v>62934.116224033976</v>
      </c>
      <c r="F12" s="268">
        <f t="shared" si="1"/>
        <v>1861725</v>
      </c>
      <c r="G12" s="268">
        <f t="shared" si="1"/>
        <v>0</v>
      </c>
      <c r="H12" s="268">
        <f t="shared" si="1"/>
        <v>3219471.7895873119</v>
      </c>
      <c r="I12" s="268">
        <f t="shared" si="1"/>
        <v>3927244</v>
      </c>
      <c r="J12" s="202">
        <f t="shared" si="2"/>
        <v>7146715.7895873114</v>
      </c>
      <c r="K12" s="290"/>
      <c r="L12" s="290"/>
    </row>
    <row r="13" spans="1:12" x14ac:dyDescent="0.3">
      <c r="A13" s="275" t="s">
        <v>153</v>
      </c>
      <c r="B13" s="268">
        <f t="shared" si="1"/>
        <v>1935629.5746000002</v>
      </c>
      <c r="C13" s="268">
        <f t="shared" si="1"/>
        <v>2065519</v>
      </c>
      <c r="D13" s="268">
        <f t="shared" si="1"/>
        <v>1214947.3690014977</v>
      </c>
      <c r="E13" s="268">
        <f t="shared" si="1"/>
        <v>62619.445642913815</v>
      </c>
      <c r="F13" s="268">
        <f t="shared" si="1"/>
        <v>1861725</v>
      </c>
      <c r="G13" s="268">
        <f t="shared" si="1"/>
        <v>0</v>
      </c>
      <c r="H13" s="268">
        <f t="shared" si="1"/>
        <v>3213196.3892444121</v>
      </c>
      <c r="I13" s="268">
        <f t="shared" si="1"/>
        <v>3927244</v>
      </c>
      <c r="J13" s="202">
        <f t="shared" si="2"/>
        <v>7140440.3892444121</v>
      </c>
      <c r="K13" s="290"/>
      <c r="L13" s="290"/>
    </row>
    <row r="14" spans="1:12" x14ac:dyDescent="0.3">
      <c r="A14" s="275" t="s">
        <v>154</v>
      </c>
      <c r="B14" s="268">
        <f t="shared" si="1"/>
        <v>1935629.5746000002</v>
      </c>
      <c r="C14" s="268">
        <f t="shared" si="1"/>
        <v>2065519</v>
      </c>
      <c r="D14" s="268">
        <f t="shared" si="1"/>
        <v>1209315.0937707776</v>
      </c>
      <c r="E14" s="268">
        <f t="shared" si="1"/>
        <v>62306.348414699241</v>
      </c>
      <c r="F14" s="268">
        <f t="shared" si="1"/>
        <v>1861725</v>
      </c>
      <c r="G14" s="268">
        <f t="shared" si="1"/>
        <v>0</v>
      </c>
      <c r="H14" s="268">
        <f t="shared" si="1"/>
        <v>3207251.0167854768</v>
      </c>
      <c r="I14" s="268">
        <f t="shared" si="1"/>
        <v>3927244</v>
      </c>
      <c r="J14" s="202">
        <f t="shared" si="2"/>
        <v>7134495.0167854764</v>
      </c>
      <c r="K14" s="290"/>
      <c r="L14" s="290"/>
    </row>
    <row r="15" spans="1:12" x14ac:dyDescent="0.3">
      <c r="A15" s="275" t="s">
        <v>155</v>
      </c>
      <c r="B15" s="268">
        <f t="shared" si="1"/>
        <v>1935629.5746000002</v>
      </c>
      <c r="C15" s="268">
        <f t="shared" si="1"/>
        <v>2065519</v>
      </c>
      <c r="D15" s="268">
        <f t="shared" si="1"/>
        <v>1199253.307709004</v>
      </c>
      <c r="E15" s="268">
        <f t="shared" si="1"/>
        <v>61994.816672625755</v>
      </c>
      <c r="F15" s="268">
        <f t="shared" si="1"/>
        <v>1861725</v>
      </c>
      <c r="G15" s="268">
        <f t="shared" si="1"/>
        <v>0</v>
      </c>
      <c r="H15" s="268">
        <f t="shared" si="1"/>
        <v>3196877.6989816302</v>
      </c>
      <c r="I15" s="268">
        <f t="shared" si="1"/>
        <v>3927244</v>
      </c>
      <c r="J15" s="202">
        <f t="shared" si="2"/>
        <v>7124121.6989816297</v>
      </c>
      <c r="K15" s="290"/>
      <c r="L15" s="290"/>
    </row>
    <row r="16" spans="1:12" x14ac:dyDescent="0.3">
      <c r="A16" s="270" t="s">
        <v>156</v>
      </c>
      <c r="B16" s="268">
        <f t="shared" si="1"/>
        <v>1935629.5746000002</v>
      </c>
      <c r="C16" s="268">
        <f t="shared" si="1"/>
        <v>2065519</v>
      </c>
      <c r="D16" s="268">
        <f t="shared" si="1"/>
        <v>1196631.4514254043</v>
      </c>
      <c r="E16" s="268">
        <f t="shared" si="1"/>
        <v>61684.842589262618</v>
      </c>
      <c r="F16" s="268">
        <f t="shared" si="1"/>
        <v>0</v>
      </c>
      <c r="G16" s="268">
        <f t="shared" si="1"/>
        <v>0</v>
      </c>
      <c r="H16" s="268">
        <f t="shared" si="1"/>
        <v>3193945.8686146666</v>
      </c>
      <c r="I16" s="268">
        <f t="shared" si="1"/>
        <v>2065519</v>
      </c>
      <c r="J16" s="202">
        <f t="shared" si="2"/>
        <v>5259464.8686146662</v>
      </c>
      <c r="K16" s="290"/>
      <c r="L16" s="290"/>
    </row>
    <row r="17" spans="1:12" x14ac:dyDescent="0.3">
      <c r="A17" s="270" t="s">
        <v>157</v>
      </c>
      <c r="B17" s="268">
        <f t="shared" si="1"/>
        <v>1935629.5746000002</v>
      </c>
      <c r="C17" s="268">
        <f t="shared" si="1"/>
        <v>1635519</v>
      </c>
      <c r="D17" s="268">
        <f t="shared" si="1"/>
        <v>1193802.0712661045</v>
      </c>
      <c r="E17" s="268">
        <f t="shared" si="1"/>
        <v>61376.418376316302</v>
      </c>
      <c r="F17" s="268">
        <f t="shared" si="1"/>
        <v>0</v>
      </c>
      <c r="G17" s="268">
        <f t="shared" si="1"/>
        <v>0</v>
      </c>
      <c r="H17" s="268">
        <f t="shared" si="1"/>
        <v>3190808.0642424212</v>
      </c>
      <c r="I17" s="268">
        <f t="shared" si="1"/>
        <v>1635519</v>
      </c>
      <c r="J17" s="202">
        <f t="shared" si="2"/>
        <v>4826327.0642424207</v>
      </c>
      <c r="K17" s="290"/>
      <c r="L17" s="290"/>
    </row>
    <row r="18" spans="1:12" x14ac:dyDescent="0.3">
      <c r="A18" s="270" t="s">
        <v>158</v>
      </c>
      <c r="B18" s="268">
        <f t="shared" si="1"/>
        <v>1935629.5746000002</v>
      </c>
      <c r="C18" s="268">
        <f t="shared" si="1"/>
        <v>1635519</v>
      </c>
      <c r="D18" s="268">
        <f t="shared" si="1"/>
        <v>1063037.0011835238</v>
      </c>
      <c r="E18" s="268">
        <f t="shared" si="1"/>
        <v>61069.536284434718</v>
      </c>
      <c r="F18" s="268">
        <f t="shared" si="1"/>
        <v>0</v>
      </c>
      <c r="G18" s="268">
        <f t="shared" si="1"/>
        <v>0</v>
      </c>
      <c r="H18" s="268">
        <f t="shared" si="1"/>
        <v>3059736.1120679583</v>
      </c>
      <c r="I18" s="268">
        <f t="shared" si="1"/>
        <v>1635519</v>
      </c>
      <c r="J18" s="202">
        <f t="shared" si="2"/>
        <v>4695255.1120679583</v>
      </c>
      <c r="K18" s="290"/>
      <c r="L18" s="290"/>
    </row>
    <row r="19" spans="1:12" x14ac:dyDescent="0.3">
      <c r="A19" s="270" t="s">
        <v>159</v>
      </c>
      <c r="B19" s="268">
        <f t="shared" si="1"/>
        <v>1935629.5746000002</v>
      </c>
      <c r="C19" s="268">
        <f t="shared" si="1"/>
        <v>1335519</v>
      </c>
      <c r="D19" s="268">
        <f t="shared" si="1"/>
        <v>587655.67573893256</v>
      </c>
      <c r="E19" s="268">
        <f t="shared" si="1"/>
        <v>60764.188603012553</v>
      </c>
      <c r="F19" s="268">
        <f t="shared" si="1"/>
        <v>0</v>
      </c>
      <c r="G19" s="268">
        <f t="shared" si="1"/>
        <v>0</v>
      </c>
      <c r="H19" s="268">
        <f t="shared" si="1"/>
        <v>2584049.4389419449</v>
      </c>
      <c r="I19" s="268">
        <f t="shared" si="1"/>
        <v>1335519</v>
      </c>
      <c r="J19" s="202">
        <f t="shared" si="2"/>
        <v>3919568.4389419449</v>
      </c>
      <c r="K19" s="290"/>
      <c r="L19" s="290"/>
    </row>
    <row r="20" spans="1:12" x14ac:dyDescent="0.3">
      <c r="A20" s="270" t="s">
        <v>314</v>
      </c>
      <c r="B20" s="268">
        <f t="shared" si="1"/>
        <v>0</v>
      </c>
      <c r="C20" s="268">
        <f t="shared" si="1"/>
        <v>0</v>
      </c>
      <c r="D20" s="268">
        <f t="shared" si="1"/>
        <v>162682.45457493278</v>
      </c>
      <c r="E20" s="268">
        <f t="shared" si="1"/>
        <v>60460.367659997486</v>
      </c>
      <c r="F20" s="268">
        <f t="shared" si="1"/>
        <v>0</v>
      </c>
      <c r="G20" s="268">
        <f t="shared" si="1"/>
        <v>0</v>
      </c>
      <c r="H20" s="268">
        <f t="shared" si="1"/>
        <v>223142.8222349303</v>
      </c>
      <c r="I20" s="268">
        <f t="shared" si="1"/>
        <v>0</v>
      </c>
      <c r="J20" s="202">
        <f t="shared" si="2"/>
        <v>223142.8222349303</v>
      </c>
      <c r="K20" s="290"/>
      <c r="L20" s="290"/>
    </row>
    <row r="21" spans="1:12" x14ac:dyDescent="0.3">
      <c r="A21" s="270" t="s">
        <v>315</v>
      </c>
      <c r="B21" s="268">
        <f t="shared" si="1"/>
        <v>0</v>
      </c>
      <c r="C21" s="268">
        <f t="shared" si="1"/>
        <v>0</v>
      </c>
      <c r="D21" s="268">
        <f t="shared" si="1"/>
        <v>154.260456</v>
      </c>
      <c r="E21" s="268">
        <f t="shared" si="1"/>
        <v>60158.065821697499</v>
      </c>
      <c r="F21" s="268">
        <f t="shared" si="1"/>
        <v>0</v>
      </c>
      <c r="G21" s="268">
        <f t="shared" si="1"/>
        <v>0</v>
      </c>
      <c r="H21" s="268">
        <f t="shared" si="1"/>
        <v>60312.326277697503</v>
      </c>
      <c r="I21" s="268">
        <f t="shared" si="1"/>
        <v>0</v>
      </c>
      <c r="J21" s="202">
        <f t="shared" si="2"/>
        <v>60312.326277697503</v>
      </c>
      <c r="K21" s="290"/>
      <c r="L21" s="290"/>
    </row>
    <row r="22" spans="1:12" x14ac:dyDescent="0.3">
      <c r="A22" s="270" t="s">
        <v>316</v>
      </c>
      <c r="B22" s="268">
        <f t="shared" si="1"/>
        <v>0</v>
      </c>
      <c r="C22" s="268">
        <f t="shared" si="1"/>
        <v>0</v>
      </c>
      <c r="D22" s="268">
        <f t="shared" si="1"/>
        <v>0</v>
      </c>
      <c r="E22" s="268">
        <f t="shared" si="1"/>
        <v>59857.275492589004</v>
      </c>
      <c r="F22" s="268">
        <f t="shared" si="1"/>
        <v>0</v>
      </c>
      <c r="G22" s="268">
        <f t="shared" si="1"/>
        <v>0</v>
      </c>
      <c r="H22" s="268">
        <f t="shared" si="1"/>
        <v>59857.275492589004</v>
      </c>
      <c r="I22" s="268">
        <f t="shared" si="1"/>
        <v>0</v>
      </c>
      <c r="J22" s="202">
        <f t="shared" si="2"/>
        <v>59857.275492589004</v>
      </c>
      <c r="K22" s="290"/>
      <c r="L22" s="290"/>
    </row>
    <row r="23" spans="1:12" x14ac:dyDescent="0.3">
      <c r="A23" s="270" t="s">
        <v>317</v>
      </c>
      <c r="B23" s="268">
        <f t="shared" si="1"/>
        <v>0</v>
      </c>
      <c r="C23" s="268">
        <f t="shared" si="1"/>
        <v>0</v>
      </c>
      <c r="D23" s="268">
        <f t="shared" si="1"/>
        <v>0</v>
      </c>
      <c r="E23" s="268">
        <f t="shared" si="1"/>
        <v>59557.989115126074</v>
      </c>
      <c r="F23" s="268">
        <f t="shared" si="1"/>
        <v>0</v>
      </c>
      <c r="G23" s="268">
        <f t="shared" si="1"/>
        <v>0</v>
      </c>
      <c r="H23" s="268">
        <f t="shared" si="1"/>
        <v>59557.989115126074</v>
      </c>
      <c r="I23" s="268">
        <f t="shared" si="1"/>
        <v>0</v>
      </c>
      <c r="J23" s="202">
        <f t="shared" si="2"/>
        <v>59557.989115126074</v>
      </c>
      <c r="K23" s="290"/>
      <c r="L23" s="290"/>
    </row>
    <row r="24" spans="1:12" x14ac:dyDescent="0.3">
      <c r="A24" s="270" t="s">
        <v>318</v>
      </c>
      <c r="B24" s="268">
        <f t="shared" si="1"/>
        <v>0</v>
      </c>
      <c r="C24" s="268">
        <f t="shared" si="1"/>
        <v>0</v>
      </c>
      <c r="D24" s="268">
        <f t="shared" si="1"/>
        <v>0</v>
      </c>
      <c r="E24" s="268">
        <f t="shared" si="1"/>
        <v>59260.199169550433</v>
      </c>
      <c r="F24" s="268">
        <f t="shared" si="1"/>
        <v>0</v>
      </c>
      <c r="G24" s="268">
        <f t="shared" si="1"/>
        <v>0</v>
      </c>
      <c r="H24" s="268">
        <f t="shared" si="1"/>
        <v>59260.199169550433</v>
      </c>
      <c r="I24" s="268">
        <f t="shared" si="1"/>
        <v>0</v>
      </c>
      <c r="J24" s="202">
        <f t="shared" si="2"/>
        <v>59260.199169550433</v>
      </c>
      <c r="K24" s="290"/>
      <c r="L24" s="290"/>
    </row>
    <row r="25" spans="1:12" x14ac:dyDescent="0.3">
      <c r="A25" s="270" t="s">
        <v>319</v>
      </c>
      <c r="B25" s="268">
        <f t="shared" si="1"/>
        <v>0</v>
      </c>
      <c r="C25" s="268">
        <f t="shared" si="1"/>
        <v>0</v>
      </c>
      <c r="D25" s="268">
        <f t="shared" si="1"/>
        <v>0</v>
      </c>
      <c r="E25" s="268">
        <f t="shared" si="1"/>
        <v>58963.898173702677</v>
      </c>
      <c r="F25" s="268">
        <f t="shared" si="1"/>
        <v>0</v>
      </c>
      <c r="G25" s="268">
        <f t="shared" si="1"/>
        <v>0</v>
      </c>
      <c r="H25" s="268">
        <f t="shared" si="1"/>
        <v>58963.898173702677</v>
      </c>
      <c r="I25" s="268">
        <f t="shared" si="1"/>
        <v>0</v>
      </c>
      <c r="J25" s="202">
        <f t="shared" si="2"/>
        <v>58963.898173702677</v>
      </c>
      <c r="K25" s="290"/>
      <c r="L25" s="290"/>
    </row>
    <row r="26" spans="1:12" x14ac:dyDescent="0.3">
      <c r="A26" s="271" t="s">
        <v>320</v>
      </c>
      <c r="B26" s="268">
        <f t="shared" si="1"/>
        <v>0</v>
      </c>
      <c r="C26" s="268">
        <f t="shared" si="1"/>
        <v>0</v>
      </c>
      <c r="D26" s="268">
        <f t="shared" si="1"/>
        <v>0</v>
      </c>
      <c r="E26" s="268">
        <f t="shared" si="1"/>
        <v>58669.078682834166</v>
      </c>
      <c r="F26" s="268">
        <f t="shared" si="1"/>
        <v>0</v>
      </c>
      <c r="G26" s="268">
        <f t="shared" si="1"/>
        <v>0</v>
      </c>
      <c r="H26" s="268">
        <f t="shared" si="1"/>
        <v>58669.078682834166</v>
      </c>
      <c r="I26" s="268">
        <f t="shared" si="1"/>
        <v>0</v>
      </c>
      <c r="J26" s="202">
        <f t="shared" si="2"/>
        <v>58669.078682834166</v>
      </c>
      <c r="K26" s="290"/>
      <c r="L26" s="290"/>
    </row>
    <row r="29" spans="1:12" x14ac:dyDescent="0.3">
      <c r="A29" s="276" t="s">
        <v>94</v>
      </c>
    </row>
    <row r="30" spans="1:12" x14ac:dyDescent="0.3">
      <c r="A30" s="277" t="s">
        <v>321</v>
      </c>
      <c r="B30" s="307" t="s">
        <v>196</v>
      </c>
      <c r="C30" s="307"/>
      <c r="D30" s="277" t="s">
        <v>325</v>
      </c>
      <c r="E30" s="277" t="s">
        <v>119</v>
      </c>
      <c r="F30" s="277" t="s">
        <v>118</v>
      </c>
      <c r="G30" s="277" t="s">
        <v>137</v>
      </c>
      <c r="H30" s="277" t="s">
        <v>322</v>
      </c>
      <c r="I30" s="277" t="s">
        <v>323</v>
      </c>
    </row>
    <row r="31" spans="1:12" x14ac:dyDescent="0.3">
      <c r="A31" s="278" t="s">
        <v>43</v>
      </c>
      <c r="B31" s="279" t="s">
        <v>324</v>
      </c>
      <c r="C31" s="280" t="s">
        <v>255</v>
      </c>
      <c r="D31" s="281" t="s">
        <v>326</v>
      </c>
      <c r="E31" s="281" t="s">
        <v>326</v>
      </c>
      <c r="F31" s="281" t="s">
        <v>327</v>
      </c>
      <c r="G31" s="281" t="s">
        <v>326</v>
      </c>
      <c r="H31" s="281"/>
      <c r="I31" s="282"/>
    </row>
    <row r="32" spans="1:12" x14ac:dyDescent="0.3">
      <c r="A32" s="270" t="s">
        <v>144</v>
      </c>
      <c r="B32" s="286">
        <v>0</v>
      </c>
      <c r="C32" s="288">
        <v>214109</v>
      </c>
      <c r="D32" s="274">
        <f>'REC Delivery Model'!E32</f>
        <v>204901.20000000103</v>
      </c>
      <c r="E32" s="274">
        <f>'REC Delivery Model'!I32</f>
        <v>15918.635688</v>
      </c>
      <c r="F32" s="274">
        <f>'REC Delivery Model'!F32</f>
        <v>600000</v>
      </c>
      <c r="G32" s="274">
        <f>'REC Delivery Model'!G32</f>
        <v>3273</v>
      </c>
      <c r="H32" s="189">
        <f>B32+D32+E32+G32</f>
        <v>224092.83568800104</v>
      </c>
      <c r="I32" s="283">
        <f>C32+F32</f>
        <v>814109</v>
      </c>
      <c r="K32" s="290"/>
      <c r="L32" s="290"/>
    </row>
    <row r="33" spans="1:12" x14ac:dyDescent="0.3">
      <c r="A33" s="270" t="s">
        <v>145</v>
      </c>
      <c r="B33" s="286">
        <v>269293.28230000002</v>
      </c>
      <c r="C33" s="288">
        <v>605816</v>
      </c>
      <c r="D33" s="274">
        <f>'REC Delivery Model'!E33</f>
        <v>296266.80666666734</v>
      </c>
      <c r="E33" s="274">
        <f>'REC Delivery Model'!I33</f>
        <v>17806.291276</v>
      </c>
      <c r="F33" s="274">
        <f>'REC Delivery Model'!F33</f>
        <v>600000</v>
      </c>
      <c r="G33" s="274">
        <f>'REC Delivery Model'!G33</f>
        <v>2838</v>
      </c>
      <c r="H33" s="189">
        <f t="shared" ref="H33:H54" si="3">B33+D33+E33+G33</f>
        <v>586204.38024266739</v>
      </c>
      <c r="I33" s="283">
        <f t="shared" ref="I33:I54" si="4">C33+F33</f>
        <v>1205816</v>
      </c>
      <c r="K33" s="290"/>
      <c r="L33" s="290"/>
    </row>
    <row r="34" spans="1:12" x14ac:dyDescent="0.3">
      <c r="A34" s="270" t="s">
        <v>146</v>
      </c>
      <c r="B34" s="286">
        <v>567719.28229999996</v>
      </c>
      <c r="C34" s="288">
        <v>605816</v>
      </c>
      <c r="D34" s="274">
        <f>'REC Delivery Model'!E34</f>
        <v>306562.02678307571</v>
      </c>
      <c r="E34" s="274">
        <f>'REC Delivery Model'!I34</f>
        <v>17717.259819620002</v>
      </c>
      <c r="F34" s="274">
        <f>'REC Delivery Model'!F34</f>
        <v>600000</v>
      </c>
      <c r="G34" s="274">
        <f>'REC Delivery Model'!G34</f>
        <v>327</v>
      </c>
      <c r="H34" s="189">
        <f t="shared" si="3"/>
        <v>892325.56890269578</v>
      </c>
      <c r="I34" s="283">
        <f t="shared" si="4"/>
        <v>1205816</v>
      </c>
      <c r="K34" s="290"/>
      <c r="L34" s="290"/>
    </row>
    <row r="35" spans="1:12" x14ac:dyDescent="0.3">
      <c r="A35" s="275" t="s">
        <v>147</v>
      </c>
      <c r="B35" s="286">
        <v>567719.28229999996</v>
      </c>
      <c r="C35" s="288">
        <v>605816</v>
      </c>
      <c r="D35" s="274">
        <f>'REC Delivery Model'!E35</f>
        <v>340869.00233641622</v>
      </c>
      <c r="E35" s="274">
        <f>'REC Delivery Model'!I35</f>
        <v>17628.673520521901</v>
      </c>
      <c r="F35" s="274">
        <f>'REC Delivery Model'!F35</f>
        <v>600000</v>
      </c>
      <c r="G35" s="274">
        <f>'REC Delivery Model'!G35</f>
        <v>0</v>
      </c>
      <c r="H35" s="189">
        <f t="shared" si="3"/>
        <v>926216.9581569382</v>
      </c>
      <c r="I35" s="283">
        <f t="shared" si="4"/>
        <v>1205816</v>
      </c>
      <c r="K35" s="290"/>
      <c r="L35" s="290"/>
    </row>
    <row r="36" spans="1:12" x14ac:dyDescent="0.3">
      <c r="A36" s="275" t="s">
        <v>148</v>
      </c>
      <c r="B36" s="286">
        <v>567719.28229999996</v>
      </c>
      <c r="C36" s="288">
        <v>605816</v>
      </c>
      <c r="D36" s="274">
        <f>'REC Delivery Model'!E36</f>
        <v>339307.74412618799</v>
      </c>
      <c r="E36" s="274">
        <f>'REC Delivery Model'!I36</f>
        <v>17540.530152919291</v>
      </c>
      <c r="F36" s="274">
        <f>'REC Delivery Model'!F36</f>
        <v>600000</v>
      </c>
      <c r="G36" s="274">
        <f>'REC Delivery Model'!G36</f>
        <v>0</v>
      </c>
      <c r="H36" s="189">
        <f t="shared" si="3"/>
        <v>924567.55657910719</v>
      </c>
      <c r="I36" s="283">
        <f t="shared" si="4"/>
        <v>1205816</v>
      </c>
      <c r="K36" s="290"/>
      <c r="L36" s="290"/>
    </row>
    <row r="37" spans="1:12" x14ac:dyDescent="0.3">
      <c r="A37" s="275" t="s">
        <v>149</v>
      </c>
      <c r="B37" s="286">
        <v>567719.28229999996</v>
      </c>
      <c r="C37" s="288">
        <v>605816</v>
      </c>
      <c r="D37" s="274">
        <f>'REC Delivery Model'!E37</f>
        <v>337755.82884451095</v>
      </c>
      <c r="E37" s="274">
        <f>'REC Delivery Model'!I37</f>
        <v>17452.827502154694</v>
      </c>
      <c r="F37" s="274">
        <f>'REC Delivery Model'!F37</f>
        <v>600000</v>
      </c>
      <c r="G37" s="274">
        <f>'REC Delivery Model'!G37</f>
        <v>0</v>
      </c>
      <c r="H37" s="189">
        <f t="shared" si="3"/>
        <v>922927.93864666566</v>
      </c>
      <c r="I37" s="283">
        <f t="shared" si="4"/>
        <v>1205816</v>
      </c>
      <c r="K37" s="290"/>
      <c r="L37" s="290"/>
    </row>
    <row r="38" spans="1:12" x14ac:dyDescent="0.3">
      <c r="A38" s="270" t="s">
        <v>150</v>
      </c>
      <c r="B38" s="286">
        <v>567719.28229999996</v>
      </c>
      <c r="C38" s="288">
        <v>605816</v>
      </c>
      <c r="D38" s="274">
        <f>'REC Delivery Model'!E38</f>
        <v>336208.84709214233</v>
      </c>
      <c r="E38" s="274">
        <f>'REC Delivery Model'!I38</f>
        <v>17365.563364643924</v>
      </c>
      <c r="F38" s="274">
        <f>'REC Delivery Model'!F38</f>
        <v>600000</v>
      </c>
      <c r="G38" s="274">
        <f>'REC Delivery Model'!G38</f>
        <v>0</v>
      </c>
      <c r="H38" s="189">
        <f t="shared" si="3"/>
        <v>921293.69275678624</v>
      </c>
      <c r="I38" s="283">
        <f t="shared" si="4"/>
        <v>1205816</v>
      </c>
      <c r="K38" s="290"/>
      <c r="L38" s="290"/>
    </row>
    <row r="39" spans="1:12" x14ac:dyDescent="0.3">
      <c r="A39" s="270" t="s">
        <v>151</v>
      </c>
      <c r="B39" s="286">
        <v>567719.28229999996</v>
      </c>
      <c r="C39" s="288">
        <v>605816</v>
      </c>
      <c r="D39" s="274">
        <f>'REC Delivery Model'!E39</f>
        <v>334671.67778243532</v>
      </c>
      <c r="E39" s="274">
        <f>'REC Delivery Model'!I39</f>
        <v>17278.735547820703</v>
      </c>
      <c r="F39" s="274">
        <f>'REC Delivery Model'!F39</f>
        <v>600000</v>
      </c>
      <c r="G39" s="274">
        <f>'REC Delivery Model'!G39</f>
        <v>0</v>
      </c>
      <c r="H39" s="189">
        <f t="shared" si="3"/>
        <v>919669.69563025597</v>
      </c>
      <c r="I39" s="283">
        <f t="shared" si="4"/>
        <v>1205816</v>
      </c>
      <c r="K39" s="290"/>
      <c r="L39" s="290"/>
    </row>
    <row r="40" spans="1:12" x14ac:dyDescent="0.3">
      <c r="A40" s="270" t="s">
        <v>152</v>
      </c>
      <c r="B40" s="286">
        <v>567719.28229999996</v>
      </c>
      <c r="C40" s="288">
        <v>605816</v>
      </c>
      <c r="D40" s="274">
        <f>'REC Delivery Model'!E40</f>
        <v>333141.27780037699</v>
      </c>
      <c r="E40" s="274">
        <f>'REC Delivery Model'!I40</f>
        <v>17192.3418700816</v>
      </c>
      <c r="F40" s="274">
        <f>'REC Delivery Model'!F40</f>
        <v>600000</v>
      </c>
      <c r="G40" s="274">
        <f>'REC Delivery Model'!G40</f>
        <v>0</v>
      </c>
      <c r="H40" s="189">
        <f t="shared" si="3"/>
        <v>918052.90197045857</v>
      </c>
      <c r="I40" s="283">
        <f t="shared" si="4"/>
        <v>1205816</v>
      </c>
      <c r="K40" s="290"/>
      <c r="L40" s="290"/>
    </row>
    <row r="41" spans="1:12" x14ac:dyDescent="0.3">
      <c r="A41" s="275" t="s">
        <v>153</v>
      </c>
      <c r="B41" s="286">
        <v>567719.28229999996</v>
      </c>
      <c r="C41" s="288">
        <v>605816</v>
      </c>
      <c r="D41" s="274">
        <f>'REC Delivery Model'!E41</f>
        <v>331618.97510162881</v>
      </c>
      <c r="E41" s="274">
        <f>'REC Delivery Model'!I41</f>
        <v>17106.380160731194</v>
      </c>
      <c r="F41" s="274">
        <f>'REC Delivery Model'!F41</f>
        <v>600000</v>
      </c>
      <c r="G41" s="274">
        <f>'REC Delivery Model'!G41</f>
        <v>0</v>
      </c>
      <c r="H41" s="189">
        <f t="shared" si="3"/>
        <v>916444.63756235992</v>
      </c>
      <c r="I41" s="283">
        <f t="shared" si="4"/>
        <v>1205816</v>
      </c>
      <c r="K41" s="290"/>
      <c r="L41" s="290"/>
    </row>
    <row r="42" spans="1:12" x14ac:dyDescent="0.3">
      <c r="A42" s="275" t="s">
        <v>154</v>
      </c>
      <c r="B42" s="286">
        <v>567719.28229999996</v>
      </c>
      <c r="C42" s="288">
        <v>605816</v>
      </c>
      <c r="D42" s="274">
        <f>'REC Delivery Model'!E42</f>
        <v>330104.45875157486</v>
      </c>
      <c r="E42" s="274">
        <f>'REC Delivery Model'!I42</f>
        <v>17020.848259927538</v>
      </c>
      <c r="F42" s="274">
        <f>'REC Delivery Model'!F42</f>
        <v>600000</v>
      </c>
      <c r="G42" s="274">
        <f>'REC Delivery Model'!G42</f>
        <v>0</v>
      </c>
      <c r="H42" s="189">
        <f t="shared" si="3"/>
        <v>914844.58931150241</v>
      </c>
      <c r="I42" s="283">
        <f t="shared" si="4"/>
        <v>1205816</v>
      </c>
      <c r="K42" s="290"/>
      <c r="L42" s="290"/>
    </row>
    <row r="43" spans="1:12" x14ac:dyDescent="0.3">
      <c r="A43" s="275" t="s">
        <v>155</v>
      </c>
      <c r="B43" s="286">
        <v>567719.28229999996</v>
      </c>
      <c r="C43" s="288">
        <v>605816</v>
      </c>
      <c r="D43" s="274">
        <f>'REC Delivery Model'!E43</f>
        <v>326891.1633299471</v>
      </c>
      <c r="E43" s="274">
        <f>'REC Delivery Model'!I43</f>
        <v>16935.744018627902</v>
      </c>
      <c r="F43" s="274">
        <f>'REC Delivery Model'!F43</f>
        <v>600000</v>
      </c>
      <c r="G43" s="274">
        <f>'REC Delivery Model'!G43</f>
        <v>0</v>
      </c>
      <c r="H43" s="189">
        <f t="shared" si="3"/>
        <v>911546.18964857503</v>
      </c>
      <c r="I43" s="283">
        <f t="shared" si="4"/>
        <v>1205816</v>
      </c>
      <c r="K43" s="290"/>
      <c r="L43" s="290"/>
    </row>
    <row r="44" spans="1:12" x14ac:dyDescent="0.3">
      <c r="A44" s="270" t="s">
        <v>156</v>
      </c>
      <c r="B44" s="286">
        <v>567719.28229999996</v>
      </c>
      <c r="C44" s="288">
        <v>605816</v>
      </c>
      <c r="D44" s="274">
        <f>'REC Delivery Model'!E44</f>
        <v>326174.92268808349</v>
      </c>
      <c r="E44" s="274">
        <f>'REC Delivery Model'!I44</f>
        <v>16851.065298534762</v>
      </c>
      <c r="F44" s="274">
        <f>'REC Delivery Model'!F44</f>
        <v>0</v>
      </c>
      <c r="G44" s="274">
        <f>'REC Delivery Model'!G44</f>
        <v>0</v>
      </c>
      <c r="H44" s="189">
        <f t="shared" si="3"/>
        <v>910745.27028661827</v>
      </c>
      <c r="I44" s="283">
        <f t="shared" si="4"/>
        <v>605816</v>
      </c>
      <c r="K44" s="290"/>
      <c r="L44" s="290"/>
    </row>
    <row r="45" spans="1:12" x14ac:dyDescent="0.3">
      <c r="A45" s="270" t="s">
        <v>157</v>
      </c>
      <c r="B45" s="286">
        <v>567719.28229999996</v>
      </c>
      <c r="C45" s="288">
        <v>479697</v>
      </c>
      <c r="D45" s="274">
        <f>'REC Delivery Model'!E45</f>
        <v>325401.73156972887</v>
      </c>
      <c r="E45" s="274">
        <f>'REC Delivery Model'!I45</f>
        <v>16766.809972042087</v>
      </c>
      <c r="F45" s="274">
        <f>'REC Delivery Model'!F45</f>
        <v>0</v>
      </c>
      <c r="G45" s="274">
        <f>'REC Delivery Model'!G45</f>
        <v>0</v>
      </c>
      <c r="H45" s="189">
        <f t="shared" si="3"/>
        <v>909887.82384177099</v>
      </c>
      <c r="I45" s="283">
        <f t="shared" si="4"/>
        <v>479697</v>
      </c>
      <c r="K45" s="290"/>
      <c r="L45" s="290"/>
    </row>
    <row r="46" spans="1:12" x14ac:dyDescent="0.3">
      <c r="A46" s="270" t="s">
        <v>158</v>
      </c>
      <c r="B46" s="286">
        <v>567719.28229999996</v>
      </c>
      <c r="C46" s="288">
        <v>479697</v>
      </c>
      <c r="D46" s="274">
        <f>'REC Delivery Model'!E46</f>
        <v>289633.11013210675</v>
      </c>
      <c r="E46" s="274">
        <f>'REC Delivery Model'!I46</f>
        <v>16682.975922181875</v>
      </c>
      <c r="F46" s="274">
        <f>'REC Delivery Model'!F46</f>
        <v>0</v>
      </c>
      <c r="G46" s="274">
        <f>'REC Delivery Model'!G46</f>
        <v>0</v>
      </c>
      <c r="H46" s="189">
        <f t="shared" si="3"/>
        <v>874035.36835428851</v>
      </c>
      <c r="I46" s="283">
        <f t="shared" si="4"/>
        <v>479697</v>
      </c>
      <c r="K46" s="290"/>
      <c r="L46" s="290"/>
    </row>
    <row r="47" spans="1:12" x14ac:dyDescent="0.3">
      <c r="A47" s="270" t="s">
        <v>159</v>
      </c>
      <c r="B47" s="286">
        <v>567719.28229999996</v>
      </c>
      <c r="C47" s="288">
        <v>391707</v>
      </c>
      <c r="D47" s="274">
        <f>'REC Delivery Model'!E47</f>
        <v>159681.74331319795</v>
      </c>
      <c r="E47" s="274">
        <f>'REC Delivery Model'!I47</f>
        <v>16599.561042570967</v>
      </c>
      <c r="F47" s="274">
        <f>'REC Delivery Model'!F47</f>
        <v>0</v>
      </c>
      <c r="G47" s="274">
        <f>'REC Delivery Model'!G47</f>
        <v>0</v>
      </c>
      <c r="H47" s="189">
        <f t="shared" si="3"/>
        <v>744000.58665576892</v>
      </c>
      <c r="I47" s="283">
        <f t="shared" si="4"/>
        <v>391707</v>
      </c>
      <c r="K47" s="290"/>
      <c r="L47" s="290"/>
    </row>
    <row r="48" spans="1:12" x14ac:dyDescent="0.3">
      <c r="A48" s="270" t="s">
        <v>314</v>
      </c>
      <c r="B48" s="149"/>
      <c r="C48" s="149"/>
      <c r="D48" s="274">
        <f>'REC Delivery Model'!E48</f>
        <v>44498.219173198027</v>
      </c>
      <c r="E48" s="274">
        <f>'REC Delivery Model'!I48</f>
        <v>16516.56323735811</v>
      </c>
      <c r="F48" s="274">
        <f>'REC Delivery Model'!F48</f>
        <v>0</v>
      </c>
      <c r="G48" s="274">
        <f>'REC Delivery Model'!G48</f>
        <v>0</v>
      </c>
      <c r="H48" s="189">
        <f t="shared" si="3"/>
        <v>61014.782410556138</v>
      </c>
      <c r="I48" s="283">
        <f t="shared" si="4"/>
        <v>0</v>
      </c>
    </row>
    <row r="49" spans="1:12" x14ac:dyDescent="0.3">
      <c r="A49" s="270" t="s">
        <v>315</v>
      </c>
      <c r="B49" s="149"/>
      <c r="C49" s="149"/>
      <c r="D49" s="274">
        <f>'REC Delivery Model'!E49</f>
        <v>0</v>
      </c>
      <c r="E49" s="274">
        <f>'REC Delivery Model'!I49</f>
        <v>16433.98042117132</v>
      </c>
      <c r="F49" s="274">
        <f>'REC Delivery Model'!F49</f>
        <v>0</v>
      </c>
      <c r="G49" s="274">
        <f>'REC Delivery Model'!G49</f>
        <v>0</v>
      </c>
      <c r="H49" s="189">
        <f t="shared" si="3"/>
        <v>16433.98042117132</v>
      </c>
      <c r="I49" s="283">
        <f t="shared" si="4"/>
        <v>0</v>
      </c>
    </row>
    <row r="50" spans="1:12" x14ac:dyDescent="0.3">
      <c r="A50" s="270" t="s">
        <v>316</v>
      </c>
      <c r="B50" s="149"/>
      <c r="C50" s="149"/>
      <c r="D50" s="274">
        <f>'REC Delivery Model'!E50</f>
        <v>0</v>
      </c>
      <c r="E50" s="274">
        <f>'REC Delivery Model'!I50</f>
        <v>16351.810519065464</v>
      </c>
      <c r="F50" s="274">
        <f>'REC Delivery Model'!F50</f>
        <v>0</v>
      </c>
      <c r="G50" s="274">
        <f>'REC Delivery Model'!G50</f>
        <v>0</v>
      </c>
      <c r="H50" s="189">
        <f t="shared" si="3"/>
        <v>16351.810519065464</v>
      </c>
      <c r="I50" s="283">
        <f t="shared" si="4"/>
        <v>0</v>
      </c>
    </row>
    <row r="51" spans="1:12" x14ac:dyDescent="0.3">
      <c r="A51" s="270" t="s">
        <v>317</v>
      </c>
      <c r="B51" s="149"/>
      <c r="C51" s="149"/>
      <c r="D51" s="274">
        <f>'REC Delivery Model'!E51</f>
        <v>0</v>
      </c>
      <c r="E51" s="274">
        <f>'REC Delivery Model'!I51</f>
        <v>16270.051466470139</v>
      </c>
      <c r="F51" s="274">
        <f>'REC Delivery Model'!F51</f>
        <v>0</v>
      </c>
      <c r="G51" s="274">
        <f>'REC Delivery Model'!G51</f>
        <v>0</v>
      </c>
      <c r="H51" s="189">
        <f t="shared" si="3"/>
        <v>16270.051466470139</v>
      </c>
      <c r="I51" s="283">
        <f t="shared" si="4"/>
        <v>0</v>
      </c>
    </row>
    <row r="52" spans="1:12" x14ac:dyDescent="0.3">
      <c r="A52" s="270" t="s">
        <v>318</v>
      </c>
      <c r="B52" s="149"/>
      <c r="C52" s="149"/>
      <c r="D52" s="274">
        <f>'REC Delivery Model'!E52</f>
        <v>0</v>
      </c>
      <c r="E52" s="274">
        <f>'REC Delivery Model'!I52</f>
        <v>16188.701209137786</v>
      </c>
      <c r="F52" s="274">
        <f>'REC Delivery Model'!F52</f>
        <v>0</v>
      </c>
      <c r="G52" s="274">
        <f>'REC Delivery Model'!G52</f>
        <v>0</v>
      </c>
      <c r="H52" s="189">
        <f t="shared" si="3"/>
        <v>16188.701209137786</v>
      </c>
      <c r="I52" s="283">
        <f t="shared" si="4"/>
        <v>0</v>
      </c>
    </row>
    <row r="53" spans="1:12" x14ac:dyDescent="0.3">
      <c r="A53" s="270" t="s">
        <v>319</v>
      </c>
      <c r="B53" s="149"/>
      <c r="C53" s="149"/>
      <c r="D53" s="274">
        <f>'REC Delivery Model'!E53</f>
        <v>0</v>
      </c>
      <c r="E53" s="274">
        <f>'REC Delivery Model'!I53</f>
        <v>16107.757703092097</v>
      </c>
      <c r="F53" s="274">
        <f>'REC Delivery Model'!F53</f>
        <v>0</v>
      </c>
      <c r="G53" s="274">
        <f>'REC Delivery Model'!G53</f>
        <v>0</v>
      </c>
      <c r="H53" s="189">
        <f t="shared" si="3"/>
        <v>16107.757703092097</v>
      </c>
      <c r="I53" s="283">
        <f t="shared" si="4"/>
        <v>0</v>
      </c>
    </row>
    <row r="54" spans="1:12" x14ac:dyDescent="0.3">
      <c r="A54" s="271" t="s">
        <v>320</v>
      </c>
      <c r="B54" s="272"/>
      <c r="C54" s="272"/>
      <c r="D54" s="267">
        <f>'REC Delivery Model'!E54</f>
        <v>0</v>
      </c>
      <c r="E54" s="267">
        <f>'REC Delivery Model'!I54</f>
        <v>16027.218914576637</v>
      </c>
      <c r="F54" s="267">
        <f>'REC Delivery Model'!F54</f>
        <v>0</v>
      </c>
      <c r="G54" s="267">
        <f>'REC Delivery Model'!G54</f>
        <v>0</v>
      </c>
      <c r="H54" s="284">
        <f t="shared" si="3"/>
        <v>16027.218914576637</v>
      </c>
      <c r="I54" s="285">
        <f t="shared" si="4"/>
        <v>0</v>
      </c>
    </row>
    <row r="57" spans="1:12" x14ac:dyDescent="0.3">
      <c r="A57" s="276" t="s">
        <v>106</v>
      </c>
    </row>
    <row r="58" spans="1:12" x14ac:dyDescent="0.3">
      <c r="A58" s="277" t="s">
        <v>321</v>
      </c>
      <c r="B58" s="307" t="s">
        <v>196</v>
      </c>
      <c r="C58" s="307"/>
      <c r="D58" s="277" t="s">
        <v>325</v>
      </c>
      <c r="E58" s="277" t="s">
        <v>119</v>
      </c>
      <c r="F58" s="277" t="s">
        <v>118</v>
      </c>
      <c r="G58" s="277" t="s">
        <v>137</v>
      </c>
      <c r="H58" s="277" t="s">
        <v>322</v>
      </c>
      <c r="I58" s="277" t="s">
        <v>323</v>
      </c>
    </row>
    <row r="59" spans="1:12" x14ac:dyDescent="0.3">
      <c r="A59" s="278" t="s">
        <v>43</v>
      </c>
      <c r="B59" s="279" t="s">
        <v>324</v>
      </c>
      <c r="C59" s="280" t="s">
        <v>255</v>
      </c>
      <c r="D59" s="281" t="s">
        <v>326</v>
      </c>
      <c r="E59" s="281" t="s">
        <v>326</v>
      </c>
      <c r="F59" s="281" t="s">
        <v>327</v>
      </c>
      <c r="G59" s="281" t="s">
        <v>326</v>
      </c>
      <c r="H59" s="281"/>
      <c r="I59" s="282"/>
    </row>
    <row r="60" spans="1:12" x14ac:dyDescent="0.3">
      <c r="A60" s="270" t="s">
        <v>144</v>
      </c>
      <c r="B60" s="286">
        <v>0</v>
      </c>
      <c r="C60" s="288">
        <v>513482</v>
      </c>
      <c r="D60" s="274">
        <f>'REC Delivery Model'!E60</f>
        <v>446162.99791666603</v>
      </c>
      <c r="E60" s="274">
        <f>'REC Delivery Model'!I60</f>
        <v>42214.860620000007</v>
      </c>
      <c r="F60" s="274">
        <f>'REC Delivery Model'!F60</f>
        <v>1261725</v>
      </c>
      <c r="G60" s="274">
        <f>'REC Delivery Model'!G60</f>
        <v>0</v>
      </c>
      <c r="H60" s="189">
        <f>B60+D60+E60+G60</f>
        <v>488377.85853666603</v>
      </c>
      <c r="I60" s="283">
        <f>C60+F60</f>
        <v>1775207</v>
      </c>
      <c r="K60" s="290"/>
      <c r="L60" s="290"/>
    </row>
    <row r="61" spans="1:12" x14ac:dyDescent="0.3">
      <c r="A61" s="270" t="s">
        <v>145</v>
      </c>
      <c r="B61" s="286">
        <v>645828</v>
      </c>
      <c r="C61" s="288">
        <v>1452887</v>
      </c>
      <c r="D61" s="274">
        <f>'REC Delivery Model'!E61</f>
        <v>726444.01636000001</v>
      </c>
      <c r="E61" s="274">
        <f>'REC Delivery Model'!I61</f>
        <v>47220.761823333341</v>
      </c>
      <c r="F61" s="274">
        <f>'REC Delivery Model'!F61</f>
        <v>1261725</v>
      </c>
      <c r="G61" s="274">
        <f>'REC Delivery Model'!G61</f>
        <v>18445</v>
      </c>
      <c r="H61" s="189">
        <f t="shared" ref="H61:H82" si="5">B61+D61+E61+G61</f>
        <v>1437937.7781833333</v>
      </c>
      <c r="I61" s="283">
        <f t="shared" ref="I61:I82" si="6">C61+F61</f>
        <v>2714612</v>
      </c>
      <c r="K61" s="290"/>
      <c r="L61" s="290"/>
    </row>
    <row r="62" spans="1:12" x14ac:dyDescent="0.3">
      <c r="A62" s="270" t="s">
        <v>146</v>
      </c>
      <c r="B62" s="286">
        <v>1361522</v>
      </c>
      <c r="C62" s="288">
        <v>1452887</v>
      </c>
      <c r="D62" s="274">
        <f>'REC Delivery Model'!E62</f>
        <v>799716.82934333594</v>
      </c>
      <c r="E62" s="274">
        <f>'REC Delivery Model'!I62</f>
        <v>46984.658014216671</v>
      </c>
      <c r="F62" s="274">
        <f>'REC Delivery Model'!F62</f>
        <v>1261725</v>
      </c>
      <c r="G62" s="274">
        <f>'REC Delivery Model'!G62</f>
        <v>5286</v>
      </c>
      <c r="H62" s="189">
        <f t="shared" si="5"/>
        <v>2213509.4873575522</v>
      </c>
      <c r="I62" s="283">
        <f t="shared" si="6"/>
        <v>2714612</v>
      </c>
      <c r="K62" s="290"/>
      <c r="L62" s="290"/>
    </row>
    <row r="63" spans="1:12" x14ac:dyDescent="0.3">
      <c r="A63" s="275" t="s">
        <v>147</v>
      </c>
      <c r="B63" s="286">
        <v>1361522</v>
      </c>
      <c r="C63" s="288">
        <v>1452887</v>
      </c>
      <c r="D63" s="274">
        <f>'REC Delivery Model'!E63</f>
        <v>903955.4460158752</v>
      </c>
      <c r="E63" s="274">
        <f>'REC Delivery Model'!I63</f>
        <v>46749.734724145594</v>
      </c>
      <c r="F63" s="274">
        <f>'REC Delivery Model'!F63</f>
        <v>1261725</v>
      </c>
      <c r="G63" s="274">
        <f>'REC Delivery Model'!G63</f>
        <v>0</v>
      </c>
      <c r="H63" s="189">
        <f t="shared" si="5"/>
        <v>2312227.1807400207</v>
      </c>
      <c r="I63" s="283">
        <f t="shared" si="6"/>
        <v>2714612</v>
      </c>
      <c r="K63" s="290"/>
      <c r="L63" s="290"/>
    </row>
    <row r="64" spans="1:12" x14ac:dyDescent="0.3">
      <c r="A64" s="275" t="s">
        <v>148</v>
      </c>
      <c r="B64" s="286">
        <v>1361522</v>
      </c>
      <c r="C64" s="288">
        <v>1452887</v>
      </c>
      <c r="D64" s="274">
        <f>'REC Delivery Model'!E64</f>
        <v>899815.12274770078</v>
      </c>
      <c r="E64" s="274">
        <f>'REC Delivery Model'!I64</f>
        <v>46515.986050524865</v>
      </c>
      <c r="F64" s="274">
        <f>'REC Delivery Model'!F64</f>
        <v>1261725</v>
      </c>
      <c r="G64" s="274">
        <f>'REC Delivery Model'!G64</f>
        <v>0</v>
      </c>
      <c r="H64" s="189">
        <f t="shared" si="5"/>
        <v>2307853.1087982254</v>
      </c>
      <c r="I64" s="283">
        <f t="shared" si="6"/>
        <v>2714612</v>
      </c>
      <c r="K64" s="290"/>
      <c r="L64" s="290"/>
    </row>
    <row r="65" spans="1:12" x14ac:dyDescent="0.3">
      <c r="A65" s="275" t="s">
        <v>149</v>
      </c>
      <c r="B65" s="286">
        <v>1361522</v>
      </c>
      <c r="C65" s="288">
        <v>1452887</v>
      </c>
      <c r="D65" s="274">
        <f>'REC Delivery Model'!E65</f>
        <v>895699.5761271175</v>
      </c>
      <c r="E65" s="274">
        <f>'REC Delivery Model'!I65</f>
        <v>46283.406120272244</v>
      </c>
      <c r="F65" s="274">
        <f>'REC Delivery Model'!F65</f>
        <v>1261725</v>
      </c>
      <c r="G65" s="274">
        <f>'REC Delivery Model'!G65</f>
        <v>0</v>
      </c>
      <c r="H65" s="189">
        <f t="shared" si="5"/>
        <v>2303504.9822473899</v>
      </c>
      <c r="I65" s="283">
        <f t="shared" si="6"/>
        <v>2714612</v>
      </c>
      <c r="K65" s="290"/>
      <c r="L65" s="290"/>
    </row>
    <row r="66" spans="1:12" x14ac:dyDescent="0.3">
      <c r="A66" s="270" t="s">
        <v>150</v>
      </c>
      <c r="B66" s="286">
        <v>1361522</v>
      </c>
      <c r="C66" s="288">
        <v>1452887</v>
      </c>
      <c r="D66" s="274">
        <f>'REC Delivery Model'!E66</f>
        <v>891597.11280438746</v>
      </c>
      <c r="E66" s="274">
        <f>'REC Delivery Model'!I66</f>
        <v>46051.989089670882</v>
      </c>
      <c r="F66" s="274">
        <f>'REC Delivery Model'!F66</f>
        <v>1261725</v>
      </c>
      <c r="G66" s="274">
        <f>'REC Delivery Model'!G66</f>
        <v>0</v>
      </c>
      <c r="H66" s="189">
        <f t="shared" si="5"/>
        <v>2299171.1018940588</v>
      </c>
      <c r="I66" s="283">
        <f t="shared" si="6"/>
        <v>2714612</v>
      </c>
      <c r="K66" s="290"/>
      <c r="L66" s="290"/>
    </row>
    <row r="67" spans="1:12" x14ac:dyDescent="0.3">
      <c r="A67" s="270" t="s">
        <v>151</v>
      </c>
      <c r="B67" s="286">
        <v>1361522</v>
      </c>
      <c r="C67" s="288">
        <v>1452887</v>
      </c>
      <c r="D67" s="274">
        <f>'REC Delivery Model'!E67</f>
        <v>887520.67124052031</v>
      </c>
      <c r="E67" s="274">
        <f>'REC Delivery Model'!I67</f>
        <v>45821.729144222525</v>
      </c>
      <c r="F67" s="274">
        <f>'REC Delivery Model'!F67</f>
        <v>1261725</v>
      </c>
      <c r="G67" s="274">
        <f>'REC Delivery Model'!G67</f>
        <v>0</v>
      </c>
      <c r="H67" s="189">
        <f t="shared" si="5"/>
        <v>2294864.4003847428</v>
      </c>
      <c r="I67" s="283">
        <f t="shared" si="6"/>
        <v>2714612</v>
      </c>
      <c r="K67" s="290"/>
      <c r="L67" s="290"/>
    </row>
    <row r="68" spans="1:12" x14ac:dyDescent="0.3">
      <c r="A68" s="270" t="s">
        <v>152</v>
      </c>
      <c r="B68" s="286">
        <v>1361522</v>
      </c>
      <c r="C68" s="288">
        <v>1452887</v>
      </c>
      <c r="D68" s="274">
        <f>'REC Delivery Model'!E68</f>
        <v>883462.18135472271</v>
      </c>
      <c r="E68" s="274">
        <f>'REC Delivery Model'!I68</f>
        <v>45592.620498501419</v>
      </c>
      <c r="F68" s="274">
        <f>'REC Delivery Model'!F68</f>
        <v>1261725</v>
      </c>
      <c r="G68" s="274">
        <f>'REC Delivery Model'!G68</f>
        <v>0</v>
      </c>
      <c r="H68" s="189">
        <f t="shared" si="5"/>
        <v>2290576.8018532242</v>
      </c>
      <c r="I68" s="283">
        <f t="shared" si="6"/>
        <v>2714612</v>
      </c>
      <c r="K68" s="290"/>
      <c r="L68" s="290"/>
    </row>
    <row r="69" spans="1:12" x14ac:dyDescent="0.3">
      <c r="A69" s="275" t="s">
        <v>153</v>
      </c>
      <c r="B69" s="286">
        <v>1361522</v>
      </c>
      <c r="C69" s="288">
        <v>1452887</v>
      </c>
      <c r="D69" s="274">
        <f>'REC Delivery Model'!E69</f>
        <v>879425.16477185371</v>
      </c>
      <c r="E69" s="274">
        <f>'REC Delivery Model'!I69</f>
        <v>45364.657396008908</v>
      </c>
      <c r="F69" s="274">
        <f>'REC Delivery Model'!F69</f>
        <v>1261725</v>
      </c>
      <c r="G69" s="274">
        <f>'REC Delivery Model'!G69</f>
        <v>0</v>
      </c>
      <c r="H69" s="189">
        <f t="shared" si="5"/>
        <v>2286311.8221678627</v>
      </c>
      <c r="I69" s="283">
        <f t="shared" si="6"/>
        <v>2714612</v>
      </c>
      <c r="K69" s="290"/>
      <c r="L69" s="290"/>
    </row>
    <row r="70" spans="1:12" x14ac:dyDescent="0.3">
      <c r="A70" s="275" t="s">
        <v>154</v>
      </c>
      <c r="B70" s="286">
        <v>1361522</v>
      </c>
      <c r="C70" s="288">
        <v>1452887</v>
      </c>
      <c r="D70" s="274">
        <f>'REC Delivery Model'!E70</f>
        <v>875408.79691990046</v>
      </c>
      <c r="E70" s="274">
        <f>'REC Delivery Model'!I70</f>
        <v>45137.834109028867</v>
      </c>
      <c r="F70" s="274">
        <f>'REC Delivery Model'!F70</f>
        <v>1261725</v>
      </c>
      <c r="G70" s="274">
        <f>'REC Delivery Model'!G70</f>
        <v>0</v>
      </c>
      <c r="H70" s="189">
        <f t="shared" si="5"/>
        <v>2282068.6310289293</v>
      </c>
      <c r="I70" s="283">
        <f t="shared" si="6"/>
        <v>2714612</v>
      </c>
      <c r="K70" s="290"/>
      <c r="L70" s="290"/>
    </row>
    <row r="71" spans="1:12" x14ac:dyDescent="0.3">
      <c r="A71" s="275" t="s">
        <v>155</v>
      </c>
      <c r="B71" s="286">
        <v>1361522</v>
      </c>
      <c r="C71" s="288">
        <v>1452887</v>
      </c>
      <c r="D71" s="274">
        <f>'REC Delivery Model'!E71</f>
        <v>866887.41223508376</v>
      </c>
      <c r="E71" s="274">
        <f>'REC Delivery Model'!I71</f>
        <v>44912.144938483725</v>
      </c>
      <c r="F71" s="274">
        <f>'REC Delivery Model'!F71</f>
        <v>1261725</v>
      </c>
      <c r="G71" s="274">
        <f>'REC Delivery Model'!G71</f>
        <v>0</v>
      </c>
      <c r="H71" s="189">
        <f t="shared" si="5"/>
        <v>2273321.5571735678</v>
      </c>
      <c r="I71" s="283">
        <f t="shared" si="6"/>
        <v>2714612</v>
      </c>
      <c r="K71" s="290"/>
      <c r="L71" s="290"/>
    </row>
    <row r="72" spans="1:12" x14ac:dyDescent="0.3">
      <c r="A72" s="270" t="s">
        <v>156</v>
      </c>
      <c r="B72" s="286">
        <v>1361522</v>
      </c>
      <c r="C72" s="288">
        <v>1452887</v>
      </c>
      <c r="D72" s="274">
        <f>'REC Delivery Model'!E72</f>
        <v>864988.00329959043</v>
      </c>
      <c r="E72" s="274">
        <f>'REC Delivery Model'!I72</f>
        <v>44687.584213791306</v>
      </c>
      <c r="F72" s="274">
        <f>'REC Delivery Model'!F72</f>
        <v>0</v>
      </c>
      <c r="G72" s="274">
        <f>'REC Delivery Model'!G72</f>
        <v>0</v>
      </c>
      <c r="H72" s="189">
        <f t="shared" si="5"/>
        <v>2271197.5875133816</v>
      </c>
      <c r="I72" s="283">
        <f t="shared" si="6"/>
        <v>1452887</v>
      </c>
      <c r="K72" s="290"/>
      <c r="L72" s="290"/>
    </row>
    <row r="73" spans="1:12" x14ac:dyDescent="0.3">
      <c r="A73" s="270" t="s">
        <v>157</v>
      </c>
      <c r="B73" s="286">
        <v>1361522</v>
      </c>
      <c r="C73" s="288">
        <v>1150425</v>
      </c>
      <c r="D73" s="274">
        <f>'REC Delivery Model'!E73</f>
        <v>862937.56657035695</v>
      </c>
      <c r="E73" s="274">
        <f>'REC Delivery Model'!I73</f>
        <v>44464.146292722347</v>
      </c>
      <c r="F73" s="274">
        <f>'REC Delivery Model'!F73</f>
        <v>0</v>
      </c>
      <c r="G73" s="274">
        <f>'REC Delivery Model'!G73</f>
        <v>0</v>
      </c>
      <c r="H73" s="189">
        <f t="shared" si="5"/>
        <v>2268923.7128630793</v>
      </c>
      <c r="I73" s="283">
        <f t="shared" si="6"/>
        <v>1150425</v>
      </c>
      <c r="K73" s="290"/>
      <c r="L73" s="290"/>
    </row>
    <row r="74" spans="1:12" x14ac:dyDescent="0.3">
      <c r="A74" s="270" t="s">
        <v>158</v>
      </c>
      <c r="B74" s="286">
        <v>1361522</v>
      </c>
      <c r="C74" s="288">
        <v>1150425</v>
      </c>
      <c r="D74" s="274">
        <f>'REC Delivery Model'!E74</f>
        <v>768082.24114212138</v>
      </c>
      <c r="E74" s="274">
        <f>'REC Delivery Model'!I74</f>
        <v>44241.825561258731</v>
      </c>
      <c r="F74" s="274">
        <f>'REC Delivery Model'!F74</f>
        <v>0</v>
      </c>
      <c r="G74" s="274">
        <f>'REC Delivery Model'!G74</f>
        <v>0</v>
      </c>
      <c r="H74" s="189">
        <f t="shared" si="5"/>
        <v>2173846.0667033801</v>
      </c>
      <c r="I74" s="283">
        <f t="shared" si="6"/>
        <v>1150425</v>
      </c>
      <c r="K74" s="290"/>
      <c r="L74" s="290"/>
    </row>
    <row r="75" spans="1:12" x14ac:dyDescent="0.3">
      <c r="A75" s="270" t="s">
        <v>159</v>
      </c>
      <c r="B75" s="286">
        <v>1361522</v>
      </c>
      <c r="C75" s="288">
        <v>939405</v>
      </c>
      <c r="D75" s="274">
        <f>'REC Delivery Model'!E75</f>
        <v>423462.32865966129</v>
      </c>
      <c r="E75" s="274">
        <f>'REC Delivery Model'!I75</f>
        <v>44020.616433452444</v>
      </c>
      <c r="F75" s="274">
        <f>'REC Delivery Model'!F75</f>
        <v>0</v>
      </c>
      <c r="G75" s="274">
        <f>'REC Delivery Model'!G75</f>
        <v>0</v>
      </c>
      <c r="H75" s="189">
        <f t="shared" si="5"/>
        <v>1829004.9450931137</v>
      </c>
      <c r="I75" s="283">
        <f t="shared" si="6"/>
        <v>939405</v>
      </c>
      <c r="K75" s="290"/>
      <c r="L75" s="290"/>
    </row>
    <row r="76" spans="1:12" x14ac:dyDescent="0.3">
      <c r="A76" s="270" t="s">
        <v>314</v>
      </c>
      <c r="B76" s="149"/>
      <c r="C76" s="149"/>
      <c r="D76" s="274">
        <f>'REC Delivery Model'!E76</f>
        <v>118005.47214299478</v>
      </c>
      <c r="E76" s="274">
        <f>'REC Delivery Model'!I76</f>
        <v>43800.513351285183</v>
      </c>
      <c r="F76" s="274">
        <f>'REC Delivery Model'!F76</f>
        <v>0</v>
      </c>
      <c r="G76" s="274">
        <f>'REC Delivery Model'!G76</f>
        <v>0</v>
      </c>
      <c r="H76" s="189">
        <f t="shared" si="5"/>
        <v>161805.98549427997</v>
      </c>
      <c r="I76" s="283">
        <f t="shared" si="6"/>
        <v>0</v>
      </c>
      <c r="K76" s="290"/>
      <c r="L76" s="290"/>
    </row>
    <row r="77" spans="1:12" x14ac:dyDescent="0.3">
      <c r="A77" s="270" t="s">
        <v>315</v>
      </c>
      <c r="B77" s="149"/>
      <c r="C77" s="149"/>
      <c r="D77" s="274">
        <f>'REC Delivery Model'!E77</f>
        <v>0</v>
      </c>
      <c r="E77" s="274">
        <f>'REC Delivery Model'!I77</f>
        <v>43581.510784528757</v>
      </c>
      <c r="F77" s="274">
        <f>'REC Delivery Model'!F77</f>
        <v>0</v>
      </c>
      <c r="G77" s="274">
        <f>'REC Delivery Model'!G77</f>
        <v>0</v>
      </c>
      <c r="H77" s="189">
        <f t="shared" si="5"/>
        <v>43581.510784528757</v>
      </c>
      <c r="I77" s="283">
        <f t="shared" si="6"/>
        <v>0</v>
      </c>
      <c r="K77" s="290"/>
      <c r="L77" s="290"/>
    </row>
    <row r="78" spans="1:12" x14ac:dyDescent="0.3">
      <c r="A78" s="270" t="s">
        <v>316</v>
      </c>
      <c r="B78" s="149"/>
      <c r="C78" s="149"/>
      <c r="D78" s="274">
        <f>'REC Delivery Model'!E78</f>
        <v>0</v>
      </c>
      <c r="E78" s="274">
        <f>'REC Delivery Model'!I78</f>
        <v>43363.60323060611</v>
      </c>
      <c r="F78" s="274">
        <f>'REC Delivery Model'!F78</f>
        <v>0</v>
      </c>
      <c r="G78" s="274">
        <f>'REC Delivery Model'!G78</f>
        <v>0</v>
      </c>
      <c r="H78" s="189">
        <f t="shared" si="5"/>
        <v>43363.60323060611</v>
      </c>
      <c r="I78" s="283">
        <f t="shared" si="6"/>
        <v>0</v>
      </c>
      <c r="K78" s="290"/>
      <c r="L78" s="290"/>
    </row>
    <row r="79" spans="1:12" x14ac:dyDescent="0.3">
      <c r="A79" s="270" t="s">
        <v>317</v>
      </c>
      <c r="B79" s="149"/>
      <c r="C79" s="149"/>
      <c r="D79" s="274">
        <f>'REC Delivery Model'!E79</f>
        <v>0</v>
      </c>
      <c r="E79" s="274">
        <f>'REC Delivery Model'!I79</f>
        <v>43146.785214453084</v>
      </c>
      <c r="F79" s="274">
        <f>'REC Delivery Model'!F79</f>
        <v>0</v>
      </c>
      <c r="G79" s="274">
        <f>'REC Delivery Model'!G79</f>
        <v>0</v>
      </c>
      <c r="H79" s="189">
        <f t="shared" si="5"/>
        <v>43146.785214453084</v>
      </c>
      <c r="I79" s="283">
        <f t="shared" si="6"/>
        <v>0</v>
      </c>
      <c r="K79" s="290"/>
      <c r="L79" s="290"/>
    </row>
    <row r="80" spans="1:12" x14ac:dyDescent="0.3">
      <c r="A80" s="270" t="s">
        <v>318</v>
      </c>
      <c r="B80" s="149"/>
      <c r="C80" s="149"/>
      <c r="D80" s="274">
        <f>'REC Delivery Model'!E80</f>
        <v>0</v>
      </c>
      <c r="E80" s="274">
        <f>'REC Delivery Model'!I80</f>
        <v>42931.051288380811</v>
      </c>
      <c r="F80" s="274">
        <f>'REC Delivery Model'!F80</f>
        <v>0</v>
      </c>
      <c r="G80" s="274">
        <f>'REC Delivery Model'!G80</f>
        <v>0</v>
      </c>
      <c r="H80" s="189">
        <f t="shared" si="5"/>
        <v>42931.051288380811</v>
      </c>
      <c r="I80" s="283">
        <f t="shared" si="6"/>
        <v>0</v>
      </c>
      <c r="K80" s="290"/>
      <c r="L80" s="290"/>
    </row>
    <row r="81" spans="1:12" x14ac:dyDescent="0.3">
      <c r="A81" s="270" t="s">
        <v>319</v>
      </c>
      <c r="B81" s="149"/>
      <c r="C81" s="149"/>
      <c r="D81" s="274">
        <f>'REC Delivery Model'!E81</f>
        <v>0</v>
      </c>
      <c r="E81" s="274">
        <f>'REC Delivery Model'!I81</f>
        <v>42716.396031938908</v>
      </c>
      <c r="F81" s="274">
        <f>'REC Delivery Model'!F81</f>
        <v>0</v>
      </c>
      <c r="G81" s="274">
        <f>'REC Delivery Model'!G81</f>
        <v>0</v>
      </c>
      <c r="H81" s="189">
        <f t="shared" si="5"/>
        <v>42716.396031938908</v>
      </c>
      <c r="I81" s="283">
        <f t="shared" si="6"/>
        <v>0</v>
      </c>
      <c r="K81" s="290"/>
      <c r="L81" s="290"/>
    </row>
    <row r="82" spans="1:12" x14ac:dyDescent="0.3">
      <c r="A82" s="271" t="s">
        <v>320</v>
      </c>
      <c r="B82" s="272"/>
      <c r="C82" s="272"/>
      <c r="D82" s="267">
        <f>'REC Delivery Model'!E82</f>
        <v>0</v>
      </c>
      <c r="E82" s="267">
        <f>'REC Delivery Model'!I82</f>
        <v>42502.814051779213</v>
      </c>
      <c r="F82" s="267">
        <f>'REC Delivery Model'!F82</f>
        <v>0</v>
      </c>
      <c r="G82" s="267">
        <f>'REC Delivery Model'!G82</f>
        <v>0</v>
      </c>
      <c r="H82" s="284">
        <f t="shared" si="5"/>
        <v>42502.814051779213</v>
      </c>
      <c r="I82" s="285">
        <f t="shared" si="6"/>
        <v>0</v>
      </c>
      <c r="K82" s="290"/>
      <c r="L82" s="290"/>
    </row>
    <row r="88" spans="1:12" x14ac:dyDescent="0.3">
      <c r="A88" s="276" t="s">
        <v>130</v>
      </c>
    </row>
    <row r="89" spans="1:12" x14ac:dyDescent="0.3">
      <c r="A89" s="263" t="s">
        <v>321</v>
      </c>
      <c r="B89" s="306" t="s">
        <v>196</v>
      </c>
      <c r="C89" s="306"/>
      <c r="D89" s="263" t="s">
        <v>325</v>
      </c>
      <c r="E89" s="263" t="s">
        <v>119</v>
      </c>
      <c r="F89" s="263" t="s">
        <v>118</v>
      </c>
      <c r="G89" s="263" t="s">
        <v>137</v>
      </c>
      <c r="H89" s="263" t="s">
        <v>322</v>
      </c>
      <c r="I89" s="263" t="s">
        <v>323</v>
      </c>
    </row>
    <row r="90" spans="1:12" x14ac:dyDescent="0.3">
      <c r="A90" s="96" t="s">
        <v>43</v>
      </c>
      <c r="B90" s="264" t="s">
        <v>324</v>
      </c>
      <c r="C90" s="265" t="s">
        <v>255</v>
      </c>
      <c r="D90" t="s">
        <v>326</v>
      </c>
      <c r="E90" t="s">
        <v>326</v>
      </c>
      <c r="F90" t="s">
        <v>327</v>
      </c>
      <c r="G90" t="s">
        <v>326</v>
      </c>
    </row>
    <row r="91" spans="1:12" x14ac:dyDescent="0.3">
      <c r="A91" s="270" t="s">
        <v>144</v>
      </c>
      <c r="B91" s="286">
        <v>0</v>
      </c>
      <c r="C91" s="287">
        <v>2409</v>
      </c>
      <c r="D91" s="269">
        <f>'REC Delivery Model'!E88</f>
        <v>1543.7045560000197</v>
      </c>
      <c r="E91" s="269">
        <f>'REC Delivery Model'!I88</f>
        <v>138.10369200000002</v>
      </c>
      <c r="F91" s="269">
        <f>'REC Delivery Model'!F88</f>
        <v>0</v>
      </c>
      <c r="G91" s="269">
        <f>'REC Delivery Model'!G88</f>
        <v>0</v>
      </c>
      <c r="H91" s="189">
        <f>B91+D91+E91+G91</f>
        <v>1681.8082480000198</v>
      </c>
      <c r="I91" s="283">
        <f>C91+F91</f>
        <v>2409</v>
      </c>
      <c r="K91" s="290"/>
      <c r="L91" s="290"/>
    </row>
    <row r="92" spans="1:12" x14ac:dyDescent="0.3">
      <c r="A92" s="270" t="s">
        <v>145</v>
      </c>
      <c r="B92" s="286">
        <v>3030.2923000000001</v>
      </c>
      <c r="C92" s="287">
        <v>6816</v>
      </c>
      <c r="D92" s="269">
        <f>'REC Delivery Model'!E89</f>
        <v>5346.7865546666544</v>
      </c>
      <c r="E92" s="269">
        <f>'REC Delivery Model'!I89</f>
        <v>154.48023400000002</v>
      </c>
      <c r="F92" s="269">
        <f>'REC Delivery Model'!F89</f>
        <v>0</v>
      </c>
      <c r="G92" s="269">
        <f>'REC Delivery Model'!G89</f>
        <v>449</v>
      </c>
      <c r="H92" s="189">
        <f t="shared" ref="H92:H113" si="7">B92+D92+E92+G92</f>
        <v>8980.559088666656</v>
      </c>
      <c r="I92" s="283">
        <f t="shared" ref="I92:I113" si="8">C92+F92</f>
        <v>6816</v>
      </c>
      <c r="K92" s="290"/>
      <c r="L92" s="290"/>
    </row>
    <row r="93" spans="1:12" x14ac:dyDescent="0.3">
      <c r="A93" s="270" t="s">
        <v>146</v>
      </c>
      <c r="B93" s="286">
        <v>6388.2923000000001</v>
      </c>
      <c r="C93" s="287">
        <v>6816</v>
      </c>
      <c r="D93" s="269">
        <f>'REC Delivery Model'!E90</f>
        <v>5923.171645186686</v>
      </c>
      <c r="E93" s="269">
        <f>'REC Delivery Model'!I90</f>
        <v>153.70783283000003</v>
      </c>
      <c r="F93" s="269">
        <f>'REC Delivery Model'!F90</f>
        <v>0</v>
      </c>
      <c r="G93" s="269">
        <f>'REC Delivery Model'!G90</f>
        <v>0</v>
      </c>
      <c r="H93" s="189">
        <f t="shared" si="7"/>
        <v>12465.171778016685</v>
      </c>
      <c r="I93" s="283">
        <f t="shared" si="8"/>
        <v>6816</v>
      </c>
      <c r="K93" s="290"/>
      <c r="L93" s="290"/>
    </row>
    <row r="94" spans="1:12" x14ac:dyDescent="0.3">
      <c r="A94" s="275" t="s">
        <v>147</v>
      </c>
      <c r="B94" s="286">
        <v>6388.2923000000001</v>
      </c>
      <c r="C94" s="287">
        <v>6816</v>
      </c>
      <c r="D94" s="269">
        <f>'REC Delivery Model'!E91</f>
        <v>5551.538465704095</v>
      </c>
      <c r="E94" s="269">
        <f>'REC Delivery Model'!I91</f>
        <v>152.93929366585004</v>
      </c>
      <c r="F94" s="269">
        <f>'REC Delivery Model'!F91</f>
        <v>0</v>
      </c>
      <c r="G94" s="269">
        <f>'REC Delivery Model'!G91</f>
        <v>0</v>
      </c>
      <c r="H94" s="189">
        <f t="shared" si="7"/>
        <v>12092.770059369945</v>
      </c>
      <c r="I94" s="283">
        <f t="shared" si="8"/>
        <v>6816</v>
      </c>
      <c r="K94" s="290"/>
      <c r="L94" s="290"/>
    </row>
    <row r="95" spans="1:12" x14ac:dyDescent="0.3">
      <c r="A95" s="275" t="s">
        <v>148</v>
      </c>
      <c r="B95" s="286">
        <v>6388.2923000000001</v>
      </c>
      <c r="C95" s="287">
        <v>6816</v>
      </c>
      <c r="D95" s="269">
        <f>'REC Delivery Model'!E92</f>
        <v>5438.4579105026069</v>
      </c>
      <c r="E95" s="269">
        <f>'REC Delivery Model'!I92</f>
        <v>152.1745971975208</v>
      </c>
      <c r="F95" s="269">
        <f>'REC Delivery Model'!F92</f>
        <v>0</v>
      </c>
      <c r="G95" s="269">
        <f>'REC Delivery Model'!G92</f>
        <v>0</v>
      </c>
      <c r="H95" s="189">
        <f t="shared" si="7"/>
        <v>11978.924807700128</v>
      </c>
      <c r="I95" s="283">
        <f t="shared" si="8"/>
        <v>6816</v>
      </c>
      <c r="K95" s="290"/>
      <c r="L95" s="290"/>
    </row>
    <row r="96" spans="1:12" x14ac:dyDescent="0.3">
      <c r="A96" s="275" t="s">
        <v>149</v>
      </c>
      <c r="B96" s="286">
        <v>6388.2923000000001</v>
      </c>
      <c r="C96" s="287">
        <v>6816</v>
      </c>
      <c r="D96" s="269">
        <f>'REC Delivery Model'!E93</f>
        <v>5326.4136334521281</v>
      </c>
      <c r="E96" s="269">
        <f>'REC Delivery Model'!I93</f>
        <v>151.41372421153318</v>
      </c>
      <c r="F96" s="269">
        <f>'REC Delivery Model'!F93</f>
        <v>0</v>
      </c>
      <c r="G96" s="269">
        <f>'REC Delivery Model'!G93</f>
        <v>0</v>
      </c>
      <c r="H96" s="189">
        <f t="shared" si="7"/>
        <v>11866.119657663663</v>
      </c>
      <c r="I96" s="283">
        <f t="shared" si="8"/>
        <v>6816</v>
      </c>
      <c r="K96" s="290"/>
      <c r="L96" s="290"/>
    </row>
    <row r="97" spans="1:12" x14ac:dyDescent="0.3">
      <c r="A97" s="270" t="s">
        <v>150</v>
      </c>
      <c r="B97" s="286">
        <v>6388.2923000000001</v>
      </c>
      <c r="C97" s="287">
        <v>6816</v>
      </c>
      <c r="D97" s="269">
        <f>'REC Delivery Model'!E94</f>
        <v>5214.4049436119003</v>
      </c>
      <c r="E97" s="269">
        <f>'REC Delivery Model'!I94</f>
        <v>150.65665559047551</v>
      </c>
      <c r="F97" s="269">
        <f>'REC Delivery Model'!F94</f>
        <v>0</v>
      </c>
      <c r="G97" s="269">
        <f>'REC Delivery Model'!G94</f>
        <v>0</v>
      </c>
      <c r="H97" s="189">
        <f t="shared" si="7"/>
        <v>11753.353899202375</v>
      </c>
      <c r="I97" s="283">
        <f t="shared" si="8"/>
        <v>6816</v>
      </c>
      <c r="K97" s="290"/>
      <c r="L97" s="290"/>
    </row>
    <row r="98" spans="1:12" x14ac:dyDescent="0.3">
      <c r="A98" s="270" t="s">
        <v>151</v>
      </c>
      <c r="B98" s="286">
        <v>6388.2923000000001</v>
      </c>
      <c r="C98" s="287">
        <v>6816</v>
      </c>
      <c r="D98" s="269">
        <f>'REC Delivery Model'!E95</f>
        <v>4502.4702387458728</v>
      </c>
      <c r="E98" s="269">
        <f>'REC Delivery Model'!I95</f>
        <v>149.90337231252315</v>
      </c>
      <c r="F98" s="269">
        <f>'REC Delivery Model'!F95</f>
        <v>0</v>
      </c>
      <c r="G98" s="269">
        <f>'REC Delivery Model'!G95</f>
        <v>0</v>
      </c>
      <c r="H98" s="189">
        <f t="shared" si="7"/>
        <v>11040.665911058395</v>
      </c>
      <c r="I98" s="283">
        <f t="shared" si="8"/>
        <v>6816</v>
      </c>
      <c r="K98" s="290"/>
      <c r="L98" s="290"/>
    </row>
    <row r="99" spans="1:12" x14ac:dyDescent="0.3">
      <c r="A99" s="270" t="s">
        <v>152</v>
      </c>
      <c r="B99" s="286">
        <v>6388.2923000000001</v>
      </c>
      <c r="C99" s="287">
        <v>6816</v>
      </c>
      <c r="D99" s="269">
        <f>'REC Delivery Model'!E96</f>
        <v>4304.6396081782468</v>
      </c>
      <c r="E99" s="269">
        <f>'REC Delivery Model'!I96</f>
        <v>149.15385545096052</v>
      </c>
      <c r="F99" s="269">
        <f>'REC Delivery Model'!F96</f>
        <v>0</v>
      </c>
      <c r="G99" s="269">
        <f>'REC Delivery Model'!G96</f>
        <v>0</v>
      </c>
      <c r="H99" s="189">
        <f t="shared" si="7"/>
        <v>10842.085763629208</v>
      </c>
      <c r="I99" s="283">
        <f t="shared" si="8"/>
        <v>6816</v>
      </c>
      <c r="K99" s="290"/>
      <c r="L99" s="290"/>
    </row>
    <row r="100" spans="1:12" x14ac:dyDescent="0.3">
      <c r="A100" s="275" t="s">
        <v>153</v>
      </c>
      <c r="B100" s="286">
        <v>6388.2923000000001</v>
      </c>
      <c r="C100" s="287">
        <v>6816</v>
      </c>
      <c r="D100" s="269">
        <f>'REC Delivery Model'!E97</f>
        <v>3903.2291280153136</v>
      </c>
      <c r="E100" s="269">
        <f>'REC Delivery Model'!I97</f>
        <v>148.40808617370573</v>
      </c>
      <c r="F100" s="269">
        <f>'REC Delivery Model'!F97</f>
        <v>0</v>
      </c>
      <c r="G100" s="269">
        <f>'REC Delivery Model'!G97</f>
        <v>0</v>
      </c>
      <c r="H100" s="189">
        <f t="shared" si="7"/>
        <v>10439.92951418902</v>
      </c>
      <c r="I100" s="283">
        <f t="shared" si="8"/>
        <v>6816</v>
      </c>
      <c r="K100" s="290"/>
      <c r="L100" s="290"/>
    </row>
    <row r="101" spans="1:12" x14ac:dyDescent="0.3">
      <c r="A101" s="275" t="s">
        <v>154</v>
      </c>
      <c r="B101" s="286">
        <v>6388.2923000000001</v>
      </c>
      <c r="C101" s="287">
        <v>6816</v>
      </c>
      <c r="D101" s="269">
        <f>'REC Delivery Model'!E98</f>
        <v>3801.8380993022724</v>
      </c>
      <c r="E101" s="269">
        <f>'REC Delivery Model'!I98</f>
        <v>147.66604574283721</v>
      </c>
      <c r="F101" s="269">
        <f>'REC Delivery Model'!F98</f>
        <v>0</v>
      </c>
      <c r="G101" s="269">
        <f>'REC Delivery Model'!G98</f>
        <v>0</v>
      </c>
      <c r="H101" s="189">
        <f t="shared" si="7"/>
        <v>10337.796445045109</v>
      </c>
      <c r="I101" s="283">
        <f t="shared" si="8"/>
        <v>6816</v>
      </c>
      <c r="K101" s="290"/>
      <c r="L101" s="290"/>
    </row>
    <row r="102" spans="1:12" x14ac:dyDescent="0.3">
      <c r="A102" s="275" t="s">
        <v>155</v>
      </c>
      <c r="B102" s="286">
        <v>6388.2923000000001</v>
      </c>
      <c r="C102" s="287">
        <v>6816</v>
      </c>
      <c r="D102" s="269">
        <f>'REC Delivery Model'!E99</f>
        <v>5474.7321439732295</v>
      </c>
      <c r="E102" s="269">
        <f>'REC Delivery Model'!I99</f>
        <v>146.92771551412304</v>
      </c>
      <c r="F102" s="269">
        <f>'REC Delivery Model'!F99</f>
        <v>0</v>
      </c>
      <c r="G102" s="269">
        <f>'REC Delivery Model'!G99</f>
        <v>0</v>
      </c>
      <c r="H102" s="189">
        <f t="shared" si="7"/>
        <v>12009.952159487353</v>
      </c>
      <c r="I102" s="283">
        <f t="shared" si="8"/>
        <v>6816</v>
      </c>
      <c r="K102" s="290"/>
      <c r="L102" s="290"/>
    </row>
    <row r="103" spans="1:12" x14ac:dyDescent="0.3">
      <c r="A103" s="270" t="s">
        <v>156</v>
      </c>
      <c r="B103" s="286">
        <v>6388.2923000000001</v>
      </c>
      <c r="C103" s="287">
        <v>6816</v>
      </c>
      <c r="D103" s="269">
        <f>'REC Delivery Model'!E100</f>
        <v>5468.5254377303982</v>
      </c>
      <c r="E103" s="269">
        <f>'REC Delivery Model'!I100</f>
        <v>146.19307693655242</v>
      </c>
      <c r="F103" s="269">
        <f>'REC Delivery Model'!F100</f>
        <v>0</v>
      </c>
      <c r="G103" s="269">
        <f>'REC Delivery Model'!G100</f>
        <v>0</v>
      </c>
      <c r="H103" s="189">
        <f t="shared" si="7"/>
        <v>12003.01081466695</v>
      </c>
      <c r="I103" s="283">
        <f t="shared" si="8"/>
        <v>6816</v>
      </c>
      <c r="K103" s="290"/>
      <c r="L103" s="290"/>
    </row>
    <row r="104" spans="1:12" x14ac:dyDescent="0.3">
      <c r="A104" s="270" t="s">
        <v>157</v>
      </c>
      <c r="B104" s="286">
        <v>6388.2923000000001</v>
      </c>
      <c r="C104" s="287">
        <v>5397</v>
      </c>
      <c r="D104" s="269">
        <f>'REC Delivery Model'!E101</f>
        <v>5462.7731260187775</v>
      </c>
      <c r="E104" s="269">
        <f>'REC Delivery Model'!I101</f>
        <v>145.46211155186964</v>
      </c>
      <c r="F104" s="269">
        <f>'REC Delivery Model'!F101</f>
        <v>0</v>
      </c>
      <c r="G104" s="269">
        <f>'REC Delivery Model'!G101</f>
        <v>0</v>
      </c>
      <c r="H104" s="189">
        <f t="shared" si="7"/>
        <v>11996.527537570646</v>
      </c>
      <c r="I104" s="283">
        <f t="shared" si="8"/>
        <v>5397</v>
      </c>
      <c r="K104" s="290"/>
      <c r="L104" s="290"/>
    </row>
    <row r="105" spans="1:12" x14ac:dyDescent="0.3">
      <c r="A105" s="270" t="s">
        <v>158</v>
      </c>
      <c r="B105" s="286">
        <v>6388.2923000000001</v>
      </c>
      <c r="C105" s="287">
        <v>5397</v>
      </c>
      <c r="D105" s="269">
        <f>'REC Delivery Model'!E102</f>
        <v>5321.6499092957201</v>
      </c>
      <c r="E105" s="269">
        <f>'REC Delivery Model'!I102</f>
        <v>144.73480099411029</v>
      </c>
      <c r="F105" s="269">
        <f>'REC Delivery Model'!F102</f>
        <v>0</v>
      </c>
      <c r="G105" s="269">
        <f>'REC Delivery Model'!G102</f>
        <v>0</v>
      </c>
      <c r="H105" s="189">
        <f t="shared" si="7"/>
        <v>11854.677010289832</v>
      </c>
      <c r="I105" s="283">
        <f t="shared" si="8"/>
        <v>5397</v>
      </c>
      <c r="K105" s="290"/>
      <c r="L105" s="290"/>
    </row>
    <row r="106" spans="1:12" x14ac:dyDescent="0.3">
      <c r="A106" s="270" t="s">
        <v>159</v>
      </c>
      <c r="B106" s="286">
        <v>6388.2923000000001</v>
      </c>
      <c r="C106" s="287">
        <v>4407</v>
      </c>
      <c r="D106" s="269">
        <f>'REC Delivery Model'!E103</f>
        <v>4511.6037660733273</v>
      </c>
      <c r="E106" s="269">
        <f>'REC Delivery Model'!I103</f>
        <v>144.01112698913974</v>
      </c>
      <c r="F106" s="269">
        <f>'REC Delivery Model'!F103</f>
        <v>0</v>
      </c>
      <c r="G106" s="269">
        <f>'REC Delivery Model'!G103</f>
        <v>0</v>
      </c>
      <c r="H106" s="189">
        <f t="shared" si="7"/>
        <v>11043.907193062469</v>
      </c>
      <c r="I106" s="283">
        <f t="shared" si="8"/>
        <v>4407</v>
      </c>
      <c r="K106" s="290"/>
      <c r="L106" s="290"/>
    </row>
    <row r="107" spans="1:12" x14ac:dyDescent="0.3">
      <c r="A107" s="270" t="s">
        <v>314</v>
      </c>
      <c r="B107" s="149"/>
      <c r="C107" s="266"/>
      <c r="D107" s="269">
        <f>'REC Delivery Model'!E104</f>
        <v>178.76325873999434</v>
      </c>
      <c r="E107" s="269">
        <f>'REC Delivery Model'!I104</f>
        <v>143.29107135419406</v>
      </c>
      <c r="F107" s="269">
        <f>'REC Delivery Model'!F104</f>
        <v>0</v>
      </c>
      <c r="G107" s="269">
        <f>'REC Delivery Model'!G104</f>
        <v>0</v>
      </c>
      <c r="H107" s="189">
        <f t="shared" si="7"/>
        <v>322.0543300941884</v>
      </c>
      <c r="I107" s="283">
        <f t="shared" si="8"/>
        <v>0</v>
      </c>
      <c r="K107" s="290"/>
      <c r="L107" s="290"/>
    </row>
    <row r="108" spans="1:12" x14ac:dyDescent="0.3">
      <c r="A108" s="270" t="s">
        <v>315</v>
      </c>
      <c r="B108" s="149"/>
      <c r="C108" s="266"/>
      <c r="D108" s="269">
        <f>'REC Delivery Model'!E105</f>
        <v>154.260456</v>
      </c>
      <c r="E108" s="269">
        <f>'REC Delivery Model'!I105</f>
        <v>142.57461599742308</v>
      </c>
      <c r="F108" s="269">
        <f>'REC Delivery Model'!F105</f>
        <v>0</v>
      </c>
      <c r="G108" s="269">
        <f>'REC Delivery Model'!G105</f>
        <v>0</v>
      </c>
      <c r="H108" s="189">
        <f t="shared" si="7"/>
        <v>296.83507199742309</v>
      </c>
      <c r="I108" s="283">
        <f t="shared" si="8"/>
        <v>0</v>
      </c>
      <c r="K108" s="290"/>
      <c r="L108" s="290"/>
    </row>
    <row r="109" spans="1:12" x14ac:dyDescent="0.3">
      <c r="A109" s="270" t="s">
        <v>316</v>
      </c>
      <c r="B109" s="149"/>
      <c r="C109" s="266"/>
      <c r="D109" s="269">
        <f>'REC Delivery Model'!E106</f>
        <v>0</v>
      </c>
      <c r="E109" s="269">
        <f>'REC Delivery Model'!I106</f>
        <v>141.86174291743598</v>
      </c>
      <c r="F109" s="269">
        <f>'REC Delivery Model'!F106</f>
        <v>0</v>
      </c>
      <c r="G109" s="269">
        <f>'REC Delivery Model'!G106</f>
        <v>0</v>
      </c>
      <c r="H109" s="189">
        <f t="shared" si="7"/>
        <v>141.86174291743598</v>
      </c>
      <c r="I109" s="283">
        <f t="shared" si="8"/>
        <v>0</v>
      </c>
      <c r="K109" s="290"/>
      <c r="L109" s="290"/>
    </row>
    <row r="110" spans="1:12" x14ac:dyDescent="0.3">
      <c r="A110" s="270" t="s">
        <v>317</v>
      </c>
      <c r="B110" s="149"/>
      <c r="C110" s="266"/>
      <c r="D110" s="269">
        <f>'REC Delivery Model'!E107</f>
        <v>0</v>
      </c>
      <c r="E110" s="269">
        <f>'REC Delivery Model'!I107</f>
        <v>141.15243420284878</v>
      </c>
      <c r="F110" s="269">
        <f>'REC Delivery Model'!F107</f>
        <v>0</v>
      </c>
      <c r="G110" s="269">
        <f>'REC Delivery Model'!G107</f>
        <v>0</v>
      </c>
      <c r="H110" s="189">
        <f t="shared" si="7"/>
        <v>141.15243420284878</v>
      </c>
      <c r="I110" s="283">
        <f t="shared" si="8"/>
        <v>0</v>
      </c>
      <c r="K110" s="290"/>
      <c r="L110" s="290"/>
    </row>
    <row r="111" spans="1:12" x14ac:dyDescent="0.3">
      <c r="A111" s="270" t="s">
        <v>318</v>
      </c>
      <c r="B111" s="149"/>
      <c r="C111" s="266"/>
      <c r="D111" s="269">
        <f>'REC Delivery Model'!E108</f>
        <v>0</v>
      </c>
      <c r="E111" s="269">
        <f>'REC Delivery Model'!I108</f>
        <v>140.44667203183454</v>
      </c>
      <c r="F111" s="269">
        <f>'REC Delivery Model'!F108</f>
        <v>0</v>
      </c>
      <c r="G111" s="269">
        <f>'REC Delivery Model'!G108</f>
        <v>0</v>
      </c>
      <c r="H111" s="189">
        <f t="shared" si="7"/>
        <v>140.44667203183454</v>
      </c>
      <c r="I111" s="283">
        <f t="shared" si="8"/>
        <v>0</v>
      </c>
      <c r="K111" s="290"/>
      <c r="L111" s="290"/>
    </row>
    <row r="112" spans="1:12" x14ac:dyDescent="0.3">
      <c r="A112" s="270" t="s">
        <v>319</v>
      </c>
      <c r="B112" s="149"/>
      <c r="C112" s="266"/>
      <c r="D112" s="269">
        <f>'REC Delivery Model'!E109</f>
        <v>0</v>
      </c>
      <c r="E112" s="269">
        <f>'REC Delivery Model'!I109</f>
        <v>139.74443867167534</v>
      </c>
      <c r="F112" s="269">
        <f>'REC Delivery Model'!F109</f>
        <v>0</v>
      </c>
      <c r="G112" s="269">
        <f>'REC Delivery Model'!G109</f>
        <v>0</v>
      </c>
      <c r="H112" s="189">
        <f t="shared" si="7"/>
        <v>139.74443867167534</v>
      </c>
      <c r="I112" s="283">
        <f t="shared" si="8"/>
        <v>0</v>
      </c>
      <c r="K112" s="290"/>
      <c r="L112" s="290"/>
    </row>
    <row r="113" spans="1:12" x14ac:dyDescent="0.3">
      <c r="A113" s="271" t="s">
        <v>320</v>
      </c>
      <c r="B113" s="272"/>
      <c r="C113" s="273"/>
      <c r="D113" s="269">
        <f>'REC Delivery Model'!E110</f>
        <v>0</v>
      </c>
      <c r="E113" s="269">
        <f>'REC Delivery Model'!I110</f>
        <v>139.04571647831699</v>
      </c>
      <c r="F113" s="269">
        <f>'REC Delivery Model'!F110</f>
        <v>0</v>
      </c>
      <c r="G113" s="269">
        <f>'REC Delivery Model'!G110</f>
        <v>0</v>
      </c>
      <c r="H113" s="189">
        <f t="shared" si="7"/>
        <v>139.04571647831699</v>
      </c>
      <c r="I113" s="283">
        <f t="shared" si="8"/>
        <v>0</v>
      </c>
      <c r="K113" s="290"/>
      <c r="L113" s="290"/>
    </row>
  </sheetData>
  <mergeCells count="4">
    <mergeCell ref="B89:C89"/>
    <mergeCell ref="B30:C30"/>
    <mergeCell ref="B2:C2"/>
    <mergeCell ref="B58:C58"/>
  </mergeCells>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ECC43-9381-4D11-84B2-5AF0F0824C5B}">
  <dimension ref="A3:V324"/>
  <sheetViews>
    <sheetView zoomScaleNormal="100" workbookViewId="0"/>
  </sheetViews>
  <sheetFormatPr defaultColWidth="8.77734375" defaultRowHeight="14.4" x14ac:dyDescent="0.3"/>
  <cols>
    <col min="1" max="1" width="45.109375" style="117" bestFit="1" customWidth="1"/>
    <col min="2" max="2" width="16.88671875" style="117" bestFit="1" customWidth="1"/>
    <col min="3" max="4" width="16.109375" style="117" bestFit="1" customWidth="1"/>
    <col min="5" max="6" width="16.44140625" style="117" bestFit="1" customWidth="1"/>
    <col min="7" max="9" width="16.88671875" style="117" bestFit="1" customWidth="1"/>
    <col min="10" max="10" width="16.44140625" style="117" bestFit="1" customWidth="1"/>
    <col min="11" max="12" width="16.88671875" style="117" bestFit="1" customWidth="1"/>
    <col min="13" max="13" width="16.44140625" style="117" bestFit="1" customWidth="1"/>
    <col min="14" max="14" width="16.88671875" style="117" bestFit="1" customWidth="1"/>
    <col min="15" max="15" width="16.44140625" style="117" bestFit="1" customWidth="1"/>
    <col min="16" max="17" width="16.88671875" style="117" bestFit="1" customWidth="1"/>
    <col min="18" max="18" width="16.44140625" style="117" bestFit="1" customWidth="1"/>
    <col min="19" max="19" width="16.109375" style="117" bestFit="1" customWidth="1"/>
    <col min="20" max="22" width="16.88671875" style="117" bestFit="1" customWidth="1"/>
    <col min="23" max="30" width="13.77734375" style="117" bestFit="1" customWidth="1"/>
    <col min="31" max="38" width="8.77734375" style="117"/>
    <col min="39" max="39" width="8.77734375" style="117" customWidth="1"/>
    <col min="40" max="16384" width="8.77734375" style="117"/>
  </cols>
  <sheetData>
    <row r="3" spans="1:22" ht="15.6" x14ac:dyDescent="0.3">
      <c r="A3" s="243" t="s">
        <v>232</v>
      </c>
      <c r="B3" s="247">
        <v>2022</v>
      </c>
      <c r="C3" s="247">
        <f t="shared" ref="C3:V3" si="0">B3+1</f>
        <v>2023</v>
      </c>
      <c r="D3" s="247">
        <f t="shared" si="0"/>
        <v>2024</v>
      </c>
      <c r="E3" s="247">
        <f t="shared" si="0"/>
        <v>2025</v>
      </c>
      <c r="F3" s="247">
        <f t="shared" si="0"/>
        <v>2026</v>
      </c>
      <c r="G3" s="247">
        <f t="shared" si="0"/>
        <v>2027</v>
      </c>
      <c r="H3" s="247">
        <f t="shared" si="0"/>
        <v>2028</v>
      </c>
      <c r="I3" s="247">
        <f t="shared" si="0"/>
        <v>2029</v>
      </c>
      <c r="J3" s="247">
        <f t="shared" si="0"/>
        <v>2030</v>
      </c>
      <c r="K3" s="247">
        <f t="shared" si="0"/>
        <v>2031</v>
      </c>
      <c r="L3" s="247">
        <f t="shared" si="0"/>
        <v>2032</v>
      </c>
      <c r="M3" s="247">
        <f t="shared" si="0"/>
        <v>2033</v>
      </c>
      <c r="N3" s="247">
        <f t="shared" si="0"/>
        <v>2034</v>
      </c>
      <c r="O3" s="247">
        <f t="shared" si="0"/>
        <v>2035</v>
      </c>
      <c r="P3" s="247">
        <f t="shared" si="0"/>
        <v>2036</v>
      </c>
      <c r="Q3" s="247">
        <f t="shared" si="0"/>
        <v>2037</v>
      </c>
      <c r="R3" s="247">
        <f t="shared" si="0"/>
        <v>2038</v>
      </c>
      <c r="S3" s="247">
        <f t="shared" si="0"/>
        <v>2039</v>
      </c>
      <c r="T3" s="247">
        <f t="shared" si="0"/>
        <v>2040</v>
      </c>
      <c r="U3" s="247">
        <f t="shared" si="0"/>
        <v>2041</v>
      </c>
      <c r="V3" s="247">
        <f t="shared" si="0"/>
        <v>2042</v>
      </c>
    </row>
    <row r="4" spans="1:22" x14ac:dyDescent="0.3">
      <c r="A4" s="244" t="s">
        <v>6</v>
      </c>
      <c r="B4" s="45">
        <f>'Reopening Summary'!B36</f>
        <v>138837111.63146961</v>
      </c>
      <c r="C4" s="45">
        <f>'Reopening Summary'!C36</f>
        <v>0</v>
      </c>
      <c r="D4" s="45">
        <f>'Reopening Summary'!D36</f>
        <v>0</v>
      </c>
      <c r="E4" s="45">
        <f>'Reopening Summary'!E36</f>
        <v>0</v>
      </c>
      <c r="F4" s="45">
        <f>'Reopening Summary'!F36</f>
        <v>0</v>
      </c>
      <c r="G4" s="45">
        <f>'Reopening Summary'!G36</f>
        <v>0</v>
      </c>
      <c r="H4" s="45">
        <f>'Reopening Summary'!H36</f>
        <v>0</v>
      </c>
      <c r="I4" s="45">
        <f>'Reopening Summary'!I36</f>
        <v>0</v>
      </c>
      <c r="J4" s="45">
        <f>'Reopening Summary'!J36</f>
        <v>0</v>
      </c>
      <c r="K4" s="45">
        <f>'Reopening Summary'!K36</f>
        <v>0</v>
      </c>
      <c r="L4" s="45">
        <f>'Reopening Summary'!L36</f>
        <v>0</v>
      </c>
      <c r="M4" s="45">
        <f>'Reopening Summary'!M36</f>
        <v>0</v>
      </c>
      <c r="N4" s="45">
        <f>'Reopening Summary'!N36</f>
        <v>0</v>
      </c>
      <c r="O4" s="45">
        <f>'Reopening Summary'!O36</f>
        <v>0</v>
      </c>
      <c r="P4" s="45">
        <f>'Reopening Summary'!P36</f>
        <v>0</v>
      </c>
      <c r="Q4" s="45">
        <f>'Reopening Summary'!Q36</f>
        <v>0</v>
      </c>
      <c r="R4" s="45">
        <f>'Reopening Summary'!R36</f>
        <v>0</v>
      </c>
      <c r="S4" s="45">
        <f>'Reopening Summary'!S36</f>
        <v>0</v>
      </c>
      <c r="T4" s="45">
        <f>'Reopening Summary'!T36</f>
        <v>0</v>
      </c>
      <c r="U4" s="45">
        <f>'Reopening Summary'!U36</f>
        <v>0</v>
      </c>
      <c r="V4" s="45">
        <f>'Reopening Summary'!V36</f>
        <v>0</v>
      </c>
    </row>
    <row r="5" spans="1:22" x14ac:dyDescent="0.3">
      <c r="A5" s="244" t="s">
        <v>12</v>
      </c>
      <c r="B5" s="45">
        <f>'Reopening Summary'!B37</f>
        <v>11407011.035787132</v>
      </c>
      <c r="C5" s="45">
        <f>'Reopening Summary'!C37</f>
        <v>10773288.200465625</v>
      </c>
      <c r="D5" s="45">
        <f>'Reopening Summary'!D37</f>
        <v>10773288.200465625</v>
      </c>
      <c r="E5" s="45">
        <f>'Reopening Summary'!E37</f>
        <v>10773288.200465625</v>
      </c>
      <c r="F5" s="45">
        <f>'Reopening Summary'!F37</f>
        <v>10773288.200465625</v>
      </c>
      <c r="G5" s="45">
        <f>'Reopening Summary'!G37</f>
        <v>10773288.200465625</v>
      </c>
      <c r="H5" s="45">
        <f>'Reopening Summary'!H37</f>
        <v>10773288.200465625</v>
      </c>
      <c r="I5" s="45">
        <f>'Reopening Summary'!I37</f>
        <v>0</v>
      </c>
      <c r="J5" s="45">
        <f>'Reopening Summary'!J37</f>
        <v>0</v>
      </c>
      <c r="K5" s="45">
        <f>'Reopening Summary'!K37</f>
        <v>0</v>
      </c>
      <c r="L5" s="45">
        <f>'Reopening Summary'!L37</f>
        <v>0</v>
      </c>
      <c r="M5" s="45">
        <f>'Reopening Summary'!M37</f>
        <v>0</v>
      </c>
      <c r="N5" s="45">
        <f>'Reopening Summary'!N37</f>
        <v>0</v>
      </c>
      <c r="O5" s="45">
        <f>'Reopening Summary'!O37</f>
        <v>0</v>
      </c>
      <c r="P5" s="45">
        <f>'Reopening Summary'!P37</f>
        <v>0</v>
      </c>
      <c r="Q5" s="45">
        <f>'Reopening Summary'!Q37</f>
        <v>0</v>
      </c>
      <c r="R5" s="45">
        <f>'Reopening Summary'!R37</f>
        <v>0</v>
      </c>
      <c r="S5" s="45">
        <f>'Reopening Summary'!S37</f>
        <v>0</v>
      </c>
      <c r="T5" s="45">
        <f>'Reopening Summary'!T37</f>
        <v>0</v>
      </c>
      <c r="U5" s="45">
        <f>'Reopening Summary'!U37</f>
        <v>0</v>
      </c>
      <c r="V5" s="45">
        <f>'Reopening Summary'!V37</f>
        <v>0</v>
      </c>
    </row>
    <row r="6" spans="1:22" x14ac:dyDescent="0.3">
      <c r="A6" s="244" t="s">
        <v>21</v>
      </c>
      <c r="B6" s="45">
        <f>'Reopening Summary'!B38</f>
        <v>0</v>
      </c>
      <c r="C6" s="45">
        <f>'Reopening Summary'!C38</f>
        <v>22628271.316199999</v>
      </c>
      <c r="D6" s="45">
        <f>'Reopening Summary'!D38</f>
        <v>22515129.959619001</v>
      </c>
      <c r="E6" s="45">
        <f>'Reopening Summary'!E38</f>
        <v>22402554.309820905</v>
      </c>
      <c r="F6" s="45">
        <f>'Reopening Summary'!F38</f>
        <v>22290541.5382718</v>
      </c>
      <c r="G6" s="45">
        <f>'Reopening Summary'!G38</f>
        <v>22179088.830580443</v>
      </c>
      <c r="H6" s="45">
        <f>'Reopening Summary'!H38</f>
        <v>22068193.386427537</v>
      </c>
      <c r="I6" s="45">
        <f>'Reopening Summary'!I38</f>
        <v>21957852.4194954</v>
      </c>
      <c r="J6" s="45">
        <f>'Reopening Summary'!J38</f>
        <v>21848063.157397922</v>
      </c>
      <c r="K6" s="45">
        <f>'Reopening Summary'!K38</f>
        <v>21738822.841610931</v>
      </c>
      <c r="L6" s="45">
        <f>'Reopening Summary'!L38</f>
        <v>21630128.727402877</v>
      </c>
      <c r="M6" s="45">
        <f>'Reopening Summary'!M38</f>
        <v>21521978.083765864</v>
      </c>
      <c r="N6" s="45">
        <f>'Reopening Summary'!N38</f>
        <v>21414368.193347033</v>
      </c>
      <c r="O6" s="45">
        <f>'Reopening Summary'!O38</f>
        <v>21307296.352380298</v>
      </c>
      <c r="P6" s="45">
        <f>'Reopening Summary'!P38</f>
        <v>21200759.870618396</v>
      </c>
      <c r="Q6" s="45">
        <f>'Reopening Summary'!Q38</f>
        <v>21094756.071265306</v>
      </c>
      <c r="R6" s="45">
        <f>'Reopening Summary'!R38</f>
        <v>20989282.290908977</v>
      </c>
      <c r="S6" s="45">
        <f>'Reopening Summary'!S38</f>
        <v>20884335.879454434</v>
      </c>
      <c r="T6" s="45">
        <f>'Reopening Summary'!T38</f>
        <v>20779914.20005716</v>
      </c>
      <c r="U6" s="45">
        <f>'Reopening Summary'!U38</f>
        <v>20676014.629056875</v>
      </c>
      <c r="V6" s="45">
        <f>'Reopening Summary'!V38</f>
        <v>20572634.555911593</v>
      </c>
    </row>
    <row r="7" spans="1:22" x14ac:dyDescent="0.3">
      <c r="A7" s="244" t="s">
        <v>25</v>
      </c>
      <c r="B7" s="45">
        <f>'Reopening Summary'!B39</f>
        <v>43118.909750583334</v>
      </c>
      <c r="C7" s="45">
        <f>'Reopening Summary'!C39</f>
        <v>42903.315201830417</v>
      </c>
      <c r="D7" s="45">
        <f>'Reopening Summary'!D39</f>
        <v>42688.798625821262</v>
      </c>
      <c r="E7" s="45">
        <f>'Reopening Summary'!E39</f>
        <v>42475.354632692164</v>
      </c>
      <c r="F7" s="45">
        <f>'Reopening Summary'!F39</f>
        <v>42262.977859528699</v>
      </c>
      <c r="G7" s="45">
        <f>'Reopening Summary'!G39</f>
        <v>42051.662970231046</v>
      </c>
      <c r="H7" s="45">
        <f>'Reopening Summary'!H39</f>
        <v>41841.404655379891</v>
      </c>
      <c r="I7" s="45">
        <f>'Reopening Summary'!I39</f>
        <v>41632.197632102994</v>
      </c>
      <c r="J7" s="45">
        <f>'Reopening Summary'!J39</f>
        <v>41424.036643942476</v>
      </c>
      <c r="K7" s="45">
        <f>'Reopening Summary'!K39</f>
        <v>41216.916460722772</v>
      </c>
      <c r="L7" s="45">
        <f>'Reopening Summary'!L39</f>
        <v>41010.831878419158</v>
      </c>
      <c r="M7" s="45">
        <f>'Reopening Summary'!M39</f>
        <v>40805.777719027057</v>
      </c>
      <c r="N7" s="45">
        <f>'Reopening Summary'!N39</f>
        <v>40601.748830431927</v>
      </c>
      <c r="O7" s="45">
        <f>'Reopening Summary'!O39</f>
        <v>40398.740086279766</v>
      </c>
      <c r="P7" s="45">
        <f>'Reopening Summary'!P39</f>
        <v>40196.746385848368</v>
      </c>
      <c r="Q7" s="45">
        <f>'Reopening Summary'!Q39</f>
        <v>39995.762653919126</v>
      </c>
      <c r="R7" s="45">
        <f>'Reopening Summary'!R39</f>
        <v>39795.783840649528</v>
      </c>
      <c r="S7" s="45">
        <f>'Reopening Summary'!S39</f>
        <v>39596.804921446281</v>
      </c>
      <c r="T7" s="45">
        <f>'Reopening Summary'!T39</f>
        <v>39398.820896839046</v>
      </c>
      <c r="U7" s="45">
        <f>'Reopening Summary'!U39</f>
        <v>39201.826792354856</v>
      </c>
      <c r="V7" s="45">
        <f>'Reopening Summary'!V39</f>
        <v>0</v>
      </c>
    </row>
    <row r="8" spans="1:22" x14ac:dyDescent="0.3">
      <c r="A8" s="244" t="s">
        <v>29</v>
      </c>
      <c r="B8" s="45">
        <f>'Reopening Summary'!B40</f>
        <v>0</v>
      </c>
      <c r="C8" s="45">
        <f>'Reopening Summary'!C40</f>
        <v>617609.8121744924</v>
      </c>
      <c r="D8" s="45">
        <f>'Reopening Summary'!D40</f>
        <v>583298.15594257612</v>
      </c>
      <c r="E8" s="45">
        <f>'Reopening Summary'!E40</f>
        <v>583298.15594257612</v>
      </c>
      <c r="F8" s="45">
        <f>'Reopening Summary'!F40</f>
        <v>583298.15594257612</v>
      </c>
      <c r="G8" s="45">
        <f>'Reopening Summary'!G40</f>
        <v>583298.15594257612</v>
      </c>
      <c r="H8" s="45">
        <f>'Reopening Summary'!H40</f>
        <v>583298.15594257612</v>
      </c>
      <c r="I8" s="45">
        <f>'Reopening Summary'!I40</f>
        <v>583298.15594257612</v>
      </c>
      <c r="J8" s="45">
        <f>'Reopening Summary'!J40</f>
        <v>0</v>
      </c>
      <c r="K8" s="45">
        <f>'Reopening Summary'!K40</f>
        <v>0</v>
      </c>
      <c r="L8" s="45">
        <f>'Reopening Summary'!L40</f>
        <v>0</v>
      </c>
      <c r="M8" s="45">
        <f>'Reopening Summary'!M40</f>
        <v>0</v>
      </c>
      <c r="N8" s="45">
        <f>'Reopening Summary'!N40</f>
        <v>0</v>
      </c>
      <c r="O8" s="45">
        <f>'Reopening Summary'!O40</f>
        <v>0</v>
      </c>
      <c r="P8" s="45">
        <f>'Reopening Summary'!P40</f>
        <v>0</v>
      </c>
      <c r="Q8" s="45">
        <f>'Reopening Summary'!Q40</f>
        <v>0</v>
      </c>
      <c r="R8" s="45">
        <f>'Reopening Summary'!R40</f>
        <v>0</v>
      </c>
      <c r="S8" s="45">
        <f>'Reopening Summary'!S40</f>
        <v>0</v>
      </c>
      <c r="T8" s="45">
        <f>'Reopening Summary'!T40</f>
        <v>0</v>
      </c>
      <c r="U8" s="45">
        <f>'Reopening Summary'!U40</f>
        <v>0</v>
      </c>
      <c r="V8" s="45">
        <f>'Reopening Summary'!V40</f>
        <v>0</v>
      </c>
    </row>
    <row r="9" spans="1:22" x14ac:dyDescent="0.3">
      <c r="A9" s="244" t="s">
        <v>33</v>
      </c>
      <c r="B9" s="45">
        <f>'Reopening Summary'!B41</f>
        <v>0</v>
      </c>
      <c r="C9" s="45">
        <f>'Reopening Summary'!C41</f>
        <v>0</v>
      </c>
      <c r="D9" s="45">
        <f>'Reopening Summary'!D41</f>
        <v>0</v>
      </c>
      <c r="E9" s="45">
        <f>'Reopening Summary'!E41</f>
        <v>0</v>
      </c>
      <c r="F9" s="45">
        <f>'Reopening Summary'!F41</f>
        <v>0</v>
      </c>
      <c r="G9" s="45">
        <f>'Reopening Summary'!G41</f>
        <v>0</v>
      </c>
      <c r="H9" s="45">
        <f>'Reopening Summary'!H41</f>
        <v>0</v>
      </c>
      <c r="I9" s="45">
        <f>'Reopening Summary'!I41</f>
        <v>0</v>
      </c>
      <c r="J9" s="45">
        <f>'Reopening Summary'!J41</f>
        <v>0</v>
      </c>
      <c r="K9" s="45">
        <f>'Reopening Summary'!K41</f>
        <v>0</v>
      </c>
      <c r="L9" s="45">
        <f>'Reopening Summary'!L41</f>
        <v>0</v>
      </c>
      <c r="M9" s="45">
        <f>'Reopening Summary'!M41</f>
        <v>0</v>
      </c>
      <c r="N9" s="45">
        <f>'Reopening Summary'!N41</f>
        <v>0</v>
      </c>
      <c r="O9" s="45">
        <f>'Reopening Summary'!O41</f>
        <v>0</v>
      </c>
      <c r="P9" s="45">
        <f>'Reopening Summary'!P41</f>
        <v>0</v>
      </c>
      <c r="Q9" s="45">
        <f>'Reopening Summary'!Q41</f>
        <v>0</v>
      </c>
      <c r="R9" s="45">
        <f>'Reopening Summary'!R41</f>
        <v>0</v>
      </c>
      <c r="S9" s="45">
        <f>'Reopening Summary'!S41</f>
        <v>0</v>
      </c>
      <c r="T9" s="45">
        <f>'Reopening Summary'!T41</f>
        <v>0</v>
      </c>
      <c r="U9" s="45">
        <f>'Reopening Summary'!U41</f>
        <v>0</v>
      </c>
      <c r="V9" s="45">
        <f>'Reopening Summary'!V41</f>
        <v>0</v>
      </c>
    </row>
    <row r="10" spans="1:22" x14ac:dyDescent="0.3">
      <c r="A10" s="244" t="s">
        <v>40</v>
      </c>
      <c r="B10" s="45">
        <f>'Reopening Summary'!B42</f>
        <v>0</v>
      </c>
      <c r="C10" s="45">
        <f>'Reopening Summary'!C42</f>
        <v>0</v>
      </c>
      <c r="D10" s="45">
        <f>'Reopening Summary'!D42</f>
        <v>0</v>
      </c>
      <c r="E10" s="45">
        <f>'Total REC Delivery Activities'!E10*'Indexed REC Price Calculator'!F7</f>
        <v>380149.51999999897</v>
      </c>
      <c r="F10" s="45">
        <f>'Total REC Delivery Activities'!F10*'Indexed REC Price Calculator'!G7</f>
        <v>-93361.489600002722</v>
      </c>
      <c r="G10" s="45">
        <f>'Total REC Delivery Activities'!G10*'Indexed REC Price Calculator'!H7</f>
        <v>-576342.71939200419</v>
      </c>
      <c r="H10" s="45">
        <f>'Total REC Delivery Activities'!H10*'Indexed REC Price Calculator'!I7</f>
        <v>-1068983.5737798437</v>
      </c>
      <c r="I10" s="45">
        <f>'Total REC Delivery Activities'!I10*'Indexed REC Price Calculator'!J7</f>
        <v>-1571477.2452554407</v>
      </c>
      <c r="J10" s="45">
        <f>'Total REC Delivery Activities'!J10*'Indexed REC Price Calculator'!K7</f>
        <v>-2084020.7901605493</v>
      </c>
      <c r="K10" s="45">
        <f>'Total REC Delivery Activities'!K10*'Indexed REC Price Calculator'!L7</f>
        <v>-2606815.2059637615</v>
      </c>
      <c r="L10" s="45">
        <f>'Total REC Delivery Activities'!L10*'Indexed REC Price Calculator'!M7</f>
        <v>-3140065.510083037</v>
      </c>
      <c r="M10" s="45">
        <f>'Total REC Delivery Activities'!M10*'Indexed REC Price Calculator'!N7</f>
        <v>-3683980.8202846968</v>
      </c>
      <c r="N10" s="45">
        <f>'Total REC Delivery Activities'!N10*'Indexed REC Price Calculator'!O7</f>
        <v>-4238774.4366903901</v>
      </c>
      <c r="O10" s="45">
        <f>'Total REC Delivery Activities'!O10*'Indexed REC Price Calculator'!P7</f>
        <v>-4804663.9254241977</v>
      </c>
      <c r="P10" s="45">
        <f>'Total REC Delivery Activities'!P10*'Indexed REC Price Calculator'!Q7</f>
        <v>-5381871.2039326811</v>
      </c>
      <c r="Q10" s="45">
        <f>'Total REC Delivery Activities'!Q10*'Indexed REC Price Calculator'!R7</f>
        <v>-5970622.6280113356</v>
      </c>
      <c r="R10" s="45">
        <f>'Total REC Delivery Activities'!R10*'Indexed REC Price Calculator'!S7</f>
        <v>-6571149.0805715621</v>
      </c>
      <c r="S10" s="45">
        <f>'Total REC Delivery Activities'!S10*'Indexed REC Price Calculator'!T7</f>
        <v>-7183686.0621829927</v>
      </c>
      <c r="T10" s="45">
        <f>'Total REC Delivery Activities'!T10*'Indexed REC Price Calculator'!U7</f>
        <v>-7808473.7834266508</v>
      </c>
      <c r="U10" s="45">
        <f>'Total REC Delivery Activities'!U10*'Indexed REC Price Calculator'!V7</f>
        <v>-8445757.2590951826</v>
      </c>
      <c r="V10" s="45">
        <f>'Total REC Delivery Activities'!V10*'Indexed REC Price Calculator'!W7</f>
        <v>-9095786.4042770844</v>
      </c>
    </row>
    <row r="11" spans="1:22" x14ac:dyDescent="0.3">
      <c r="A11" s="244" t="s">
        <v>41</v>
      </c>
      <c r="B11" s="45">
        <f>'Reopening Summary'!B43</f>
        <v>0</v>
      </c>
      <c r="C11" s="45">
        <f>'Reopening Summary'!C43</f>
        <v>0</v>
      </c>
      <c r="D11" s="45">
        <f>'Reopening Summary'!D43</f>
        <v>0</v>
      </c>
      <c r="E11" s="45">
        <f>'Total REC Delivery Activities'!E11*'Indexed REC Price Calculator'!F34</f>
        <v>10103248.309491996</v>
      </c>
      <c r="F11" s="45">
        <f>'Total REC Delivery Activities'!F11*'Indexed REC Price Calculator'!G34</f>
        <v>9081673.6571409237</v>
      </c>
      <c r="G11" s="45">
        <f>'Total REC Delivery Activities'!G11*'Indexed REC Price Calculator'!H34</f>
        <v>8050738.1077306336</v>
      </c>
      <c r="H11" s="45">
        <f>'Total REC Delivery Activities'!H11*'Indexed REC Price Calculator'!I34</f>
        <v>7010272.8810686413</v>
      </c>
      <c r="I11" s="45">
        <f>'Total REC Delivery Activities'!I11*'Indexed REC Price Calculator'!J34</f>
        <v>5960106.8286517207</v>
      </c>
      <c r="J11" s="45">
        <f>'Total REC Delivery Activities'!J11*'Indexed REC Price Calculator'!K34</f>
        <v>4900066.3976455126</v>
      </c>
      <c r="K11" s="45">
        <f>'Total REC Delivery Activities'!K11*'Indexed REC Price Calculator'!L34</f>
        <v>3829975.5943310759</v>
      </c>
      <c r="L11" s="45">
        <f>'Total REC Delivery Activities'!L11*'Indexed REC Price Calculator'!M34</f>
        <v>2749655.9470104515</v>
      </c>
      <c r="M11" s="45">
        <f>'Total REC Delivery Activities'!M11*'Indexed REC Price Calculator'!N34</f>
        <v>1658926.4683631335</v>
      </c>
      <c r="N11" s="45">
        <f>'Total REC Delivery Activities'!N11*'Indexed REC Price Calculator'!O34</f>
        <v>557603.61724525876</v>
      </c>
      <c r="O11" s="45">
        <f>'Total REC Delivery Activities'!O11*'Indexed REC Price Calculator'!P34</f>
        <v>-554498.74007679161</v>
      </c>
      <c r="P11" s="45">
        <f>'Total REC Delivery Activities'!P11*'Indexed REC Price Calculator'!Q34</f>
        <v>-1677569.3692668434</v>
      </c>
      <c r="Q11" s="45">
        <f>'Total REC Delivery Activities'!Q11*'Indexed REC Price Calculator'!R34</f>
        <v>-2811799.7078420161</v>
      </c>
      <c r="R11" s="45">
        <f>'Total REC Delivery Activities'!R11*'Indexed REC Price Calculator'!S34</f>
        <v>-3957383.9056870923</v>
      </c>
      <c r="S11" s="45">
        <f>'Total REC Delivery Activities'!S11*'Indexed REC Price Calculator'!T34</f>
        <v>-5114518.8661690662</v>
      </c>
      <c r="T11" s="45">
        <f>'Total REC Delivery Activities'!T11*'Indexed REC Price Calculator'!U34</f>
        <v>-6283404.2878607837</v>
      </c>
      <c r="U11" s="45">
        <f>'Total REC Delivery Activities'!U11*'Indexed REC Price Calculator'!V34</f>
        <v>-7464242.7068827795</v>
      </c>
      <c r="V11" s="45">
        <f>'Total REC Delivery Activities'!V11*'Indexed REC Price Calculator'!W34</f>
        <v>-8657239.5398725383</v>
      </c>
    </row>
    <row r="12" spans="1:22" x14ac:dyDescent="0.3">
      <c r="A12" s="244" t="s">
        <v>42</v>
      </c>
      <c r="B12" s="45">
        <f>'Reopening Summary'!B44</f>
        <v>0</v>
      </c>
      <c r="C12" s="45">
        <f>'Reopening Summary'!C44</f>
        <v>0</v>
      </c>
      <c r="D12" s="45">
        <f>'Reopening Summary'!D44</f>
        <v>0</v>
      </c>
      <c r="E12" s="45">
        <f>'Total REC Delivery Activities'!E12*'Indexed REC Price Calculator'!F61</f>
        <v>349286.61711599998</v>
      </c>
      <c r="F12" s="45">
        <f>'Total REC Delivery Activities'!F12*'Indexed REC Price Calculator'!G61</f>
        <v>338841.44194452831</v>
      </c>
      <c r="G12" s="45">
        <f>'Total REC Delivery Activities'!G12*'Indexed REC Price Calculator'!H61</f>
        <v>328318.88139183429</v>
      </c>
      <c r="H12" s="45">
        <f>'Total REC Delivery Activities'!H12*'Indexed REC Price Calculator'!I61</f>
        <v>317717.39117709349</v>
      </c>
      <c r="I12" s="45">
        <f>'Total REC Delivery Activities'!I12*'Indexed REC Price Calculator'!J61</f>
        <v>307035.40596589039</v>
      </c>
      <c r="J12" s="45">
        <f>'Total REC Delivery Activities'!J12*'Indexed REC Price Calculator'!K61</f>
        <v>296271.3390467391</v>
      </c>
      <c r="K12" s="45">
        <f>'Total REC Delivery Activities'!K12*'Indexed REC Price Calculator'!L61</f>
        <v>285423.58200283261</v>
      </c>
      <c r="L12" s="45">
        <f>'Total REC Delivery Activities'!L12*'Indexed REC Price Calculator'!M61</f>
        <v>274490.50437895051</v>
      </c>
      <c r="M12" s="45">
        <f>'Total REC Delivery Activities'!M12*'Indexed REC Price Calculator'!N61</f>
        <v>263470.4533434512</v>
      </c>
      <c r="N12" s="45">
        <f>'Total REC Delivery Activities'!N12*'Indexed REC Price Calculator'!O61</f>
        <v>252361.75334527664</v>
      </c>
      <c r="O12" s="45">
        <f>'Total REC Delivery Activities'!O12*'Indexed REC Price Calculator'!P61</f>
        <v>241162.70576589424</v>
      </c>
      <c r="P12" s="45">
        <f>'Total REC Delivery Activities'!P12*'Indexed REC Price Calculator'!Q61</f>
        <v>229871.5885661002</v>
      </c>
      <c r="Q12" s="45">
        <f>'Total REC Delivery Activities'!Q12*'Indexed REC Price Calculator'!R61</f>
        <v>218486.65592760773</v>
      </c>
      <c r="R12" s="45">
        <f>'Total REC Delivery Activities'!R12*'Indexed REC Price Calculator'!S61</f>
        <v>207006.13788934235</v>
      </c>
      <c r="S12" s="45">
        <f>'Total REC Delivery Activities'!S12*'Indexed REC Price Calculator'!T61</f>
        <v>195428.23997836479</v>
      </c>
      <c r="T12" s="45">
        <f>'Total REC Delivery Activities'!T12*'Indexed REC Price Calculator'!U61</f>
        <v>183751.14283534131</v>
      </c>
      <c r="U12" s="45">
        <f>'Total REC Delivery Activities'!U12*'Indexed REC Price Calculator'!V61</f>
        <v>171973.0018344803</v>
      </c>
      <c r="V12" s="45">
        <f>'Total REC Delivery Activities'!V12*'Indexed REC Price Calculator'!W61</f>
        <v>160091.94669785199</v>
      </c>
    </row>
    <row r="13" spans="1:22" x14ac:dyDescent="0.3">
      <c r="A13" s="245" t="s">
        <v>233</v>
      </c>
      <c r="B13" s="24">
        <f t="shared" ref="B13:V13" si="1">SUM(B4:B12)</f>
        <v>150287241.57700732</v>
      </c>
      <c r="C13" s="24">
        <f t="shared" si="1"/>
        <v>34062072.644041948</v>
      </c>
      <c r="D13" s="24">
        <f t="shared" si="1"/>
        <v>33914405.114653029</v>
      </c>
      <c r="E13" s="24">
        <f t="shared" si="1"/>
        <v>44634300.467469789</v>
      </c>
      <c r="F13" s="24">
        <f t="shared" si="1"/>
        <v>43016544.482024975</v>
      </c>
      <c r="G13" s="24">
        <f t="shared" si="1"/>
        <v>41380441.11968933</v>
      </c>
      <c r="H13" s="24">
        <f t="shared" si="1"/>
        <v>39725627.845957011</v>
      </c>
      <c r="I13" s="24">
        <f t="shared" si="1"/>
        <v>27278447.762432251</v>
      </c>
      <c r="J13" s="24">
        <f t="shared" si="1"/>
        <v>25001804.140573569</v>
      </c>
      <c r="K13" s="24">
        <f t="shared" si="1"/>
        <v>23288623.728441801</v>
      </c>
      <c r="L13" s="24">
        <f t="shared" si="1"/>
        <v>21555220.500587661</v>
      </c>
      <c r="M13" s="24">
        <f t="shared" si="1"/>
        <v>19801199.962906778</v>
      </c>
      <c r="N13" s="24">
        <f t="shared" si="1"/>
        <v>18026160.876077611</v>
      </c>
      <c r="O13" s="24">
        <f t="shared" si="1"/>
        <v>16229695.132731482</v>
      </c>
      <c r="P13" s="24">
        <f t="shared" si="1"/>
        <v>14411387.632370822</v>
      </c>
      <c r="Q13" s="24">
        <f t="shared" si="1"/>
        <v>12570816.153993484</v>
      </c>
      <c r="R13" s="24">
        <f t="shared" si="1"/>
        <v>10707551.226380315</v>
      </c>
      <c r="S13" s="24">
        <f t="shared" si="1"/>
        <v>8821155.9960021861</v>
      </c>
      <c r="T13" s="24">
        <f t="shared" si="1"/>
        <v>6911186.0925019057</v>
      </c>
      <c r="U13" s="24">
        <f t="shared" si="1"/>
        <v>4977189.4917057483</v>
      </c>
      <c r="V13" s="24">
        <f t="shared" si="1"/>
        <v>2979700.5584598226</v>
      </c>
    </row>
    <row r="17" spans="1:22" ht="15.6" x14ac:dyDescent="0.3">
      <c r="A17" s="243" t="s">
        <v>234</v>
      </c>
      <c r="B17" s="247">
        <v>2022</v>
      </c>
      <c r="C17" s="247">
        <f t="shared" ref="C17:V17" si="2">B17+1</f>
        <v>2023</v>
      </c>
      <c r="D17" s="247">
        <f t="shared" si="2"/>
        <v>2024</v>
      </c>
      <c r="E17" s="247">
        <f t="shared" si="2"/>
        <v>2025</v>
      </c>
      <c r="F17" s="247">
        <f t="shared" si="2"/>
        <v>2026</v>
      </c>
      <c r="G17" s="247">
        <f t="shared" si="2"/>
        <v>2027</v>
      </c>
      <c r="H17" s="247">
        <f t="shared" si="2"/>
        <v>2028</v>
      </c>
      <c r="I17" s="247">
        <f t="shared" si="2"/>
        <v>2029</v>
      </c>
      <c r="J17" s="247">
        <f t="shared" si="2"/>
        <v>2030</v>
      </c>
      <c r="K17" s="247">
        <f t="shared" si="2"/>
        <v>2031</v>
      </c>
      <c r="L17" s="247">
        <f t="shared" si="2"/>
        <v>2032</v>
      </c>
      <c r="M17" s="247">
        <f t="shared" si="2"/>
        <v>2033</v>
      </c>
      <c r="N17" s="247">
        <f t="shared" si="2"/>
        <v>2034</v>
      </c>
      <c r="O17" s="247">
        <f t="shared" si="2"/>
        <v>2035</v>
      </c>
      <c r="P17" s="247">
        <f t="shared" si="2"/>
        <v>2036</v>
      </c>
      <c r="Q17" s="247">
        <f t="shared" si="2"/>
        <v>2037</v>
      </c>
      <c r="R17" s="247">
        <f t="shared" si="2"/>
        <v>2038</v>
      </c>
      <c r="S17" s="247">
        <f t="shared" si="2"/>
        <v>2039</v>
      </c>
      <c r="T17" s="247">
        <f t="shared" si="2"/>
        <v>2040</v>
      </c>
      <c r="U17" s="247">
        <f t="shared" si="2"/>
        <v>2041</v>
      </c>
      <c r="V17" s="247">
        <f t="shared" si="2"/>
        <v>2042</v>
      </c>
    </row>
    <row r="18" spans="1:22" x14ac:dyDescent="0.3">
      <c r="A18" s="244" t="s">
        <v>6</v>
      </c>
      <c r="B18" s="45">
        <f>'DY 2022 Summary'!B36</f>
        <v>196896443.51041692</v>
      </c>
      <c r="C18" s="45">
        <f>'DY 2022 Summary'!C36</f>
        <v>0</v>
      </c>
      <c r="D18" s="45">
        <f>'DY 2022 Summary'!D36</f>
        <v>0</v>
      </c>
      <c r="E18" s="45">
        <f>'DY 2022 Summary'!E36</f>
        <v>0</v>
      </c>
      <c r="F18" s="45">
        <f>'DY 2022 Summary'!F36</f>
        <v>0</v>
      </c>
      <c r="G18" s="45">
        <f>'DY 2022 Summary'!G36</f>
        <v>0</v>
      </c>
      <c r="H18" s="45">
        <f>'DY 2022 Summary'!H36</f>
        <v>0</v>
      </c>
      <c r="I18" s="45">
        <f>'DY 2022 Summary'!I36</f>
        <v>0</v>
      </c>
      <c r="J18" s="45">
        <f>'DY 2022 Summary'!J36</f>
        <v>0</v>
      </c>
      <c r="K18" s="45">
        <f>'DY 2022 Summary'!K36</f>
        <v>0</v>
      </c>
      <c r="L18" s="45">
        <f>'DY 2022 Summary'!L36</f>
        <v>0</v>
      </c>
      <c r="M18" s="45">
        <f>'DY 2022 Summary'!M36</f>
        <v>0</v>
      </c>
      <c r="N18" s="45">
        <f>'DY 2022 Summary'!N36</f>
        <v>0</v>
      </c>
      <c r="O18" s="45">
        <f>'DY 2022 Summary'!O36</f>
        <v>0</v>
      </c>
      <c r="P18" s="45">
        <f>'DY 2022 Summary'!P36</f>
        <v>0</v>
      </c>
      <c r="Q18" s="45">
        <f>'DY 2022 Summary'!Q36</f>
        <v>0</v>
      </c>
      <c r="R18" s="45">
        <f>'DY 2022 Summary'!R36</f>
        <v>0</v>
      </c>
      <c r="S18" s="45">
        <f>'DY 2022 Summary'!S36</f>
        <v>0</v>
      </c>
      <c r="T18" s="45">
        <f>'DY 2022 Summary'!T36</f>
        <v>0</v>
      </c>
      <c r="U18" s="45">
        <f>'DY 2022 Summary'!U36</f>
        <v>0</v>
      </c>
      <c r="V18" s="45">
        <f>'DY 2022 Summary'!V36</f>
        <v>0</v>
      </c>
    </row>
    <row r="19" spans="1:22" x14ac:dyDescent="0.3">
      <c r="A19" s="244" t="s">
        <v>12</v>
      </c>
      <c r="B19" s="45">
        <f>'DY 2022 Summary'!B37</f>
        <v>25347753.897498447</v>
      </c>
      <c r="C19" s="45">
        <f>'DY 2022 Summary'!C37</f>
        <v>23939545.347637422</v>
      </c>
      <c r="D19" s="45">
        <f>'DY 2022 Summary'!D37</f>
        <v>23939545.347637422</v>
      </c>
      <c r="E19" s="45">
        <f>'DY 2022 Summary'!E37</f>
        <v>23939545.347637422</v>
      </c>
      <c r="F19" s="45">
        <f>'DY 2022 Summary'!F37</f>
        <v>23939545.347637422</v>
      </c>
      <c r="G19" s="45">
        <f>'DY 2022 Summary'!G37</f>
        <v>23939545.347637422</v>
      </c>
      <c r="H19" s="45">
        <f>'DY 2022 Summary'!H37</f>
        <v>23939545.347637422</v>
      </c>
      <c r="I19" s="45">
        <f>'DY 2022 Summary'!I37</f>
        <v>0</v>
      </c>
      <c r="J19" s="45">
        <f>'DY 2022 Summary'!J37</f>
        <v>0</v>
      </c>
      <c r="K19" s="45">
        <f>'DY 2022 Summary'!K37</f>
        <v>0</v>
      </c>
      <c r="L19" s="45">
        <f>'DY 2022 Summary'!L37</f>
        <v>0</v>
      </c>
      <c r="M19" s="45">
        <f>'DY 2022 Summary'!M37</f>
        <v>0</v>
      </c>
      <c r="N19" s="45">
        <f>'DY 2022 Summary'!N37</f>
        <v>0</v>
      </c>
      <c r="O19" s="45">
        <f>'DY 2022 Summary'!O37</f>
        <v>0</v>
      </c>
      <c r="P19" s="45">
        <f>'DY 2022 Summary'!P37</f>
        <v>0</v>
      </c>
      <c r="Q19" s="45">
        <f>'DY 2022 Summary'!Q37</f>
        <v>0</v>
      </c>
      <c r="R19" s="45">
        <f>'DY 2022 Summary'!R37</f>
        <v>0</v>
      </c>
      <c r="S19" s="45">
        <f>'DY 2022 Summary'!S37</f>
        <v>0</v>
      </c>
      <c r="T19" s="45">
        <f>'DY 2022 Summary'!T37</f>
        <v>0</v>
      </c>
      <c r="U19" s="45">
        <f>'DY 2022 Summary'!U37</f>
        <v>0</v>
      </c>
      <c r="V19" s="45">
        <f>'DY 2022 Summary'!V37</f>
        <v>0</v>
      </c>
    </row>
    <row r="20" spans="1:22" x14ac:dyDescent="0.3">
      <c r="A20" s="244" t="s">
        <v>21</v>
      </c>
      <c r="B20" s="45">
        <f>'DY 2022 Summary'!B38</f>
        <v>0</v>
      </c>
      <c r="C20" s="45">
        <f>'DY 2022 Summary'!C38</f>
        <v>12854593.901951998</v>
      </c>
      <c r="D20" s="45">
        <f>'DY 2022 Summary'!D38</f>
        <v>12790320.93244224</v>
      </c>
      <c r="E20" s="45">
        <f>'DY 2022 Summary'!E38</f>
        <v>12726369.327780029</v>
      </c>
      <c r="F20" s="45">
        <f>'DY 2022 Summary'!F38</f>
        <v>12662737.48114113</v>
      </c>
      <c r="G20" s="45">
        <f>'DY 2022 Summary'!G38</f>
        <v>12599423.793735424</v>
      </c>
      <c r="H20" s="45">
        <f>'DY 2022 Summary'!H38</f>
        <v>12536426.674766747</v>
      </c>
      <c r="I20" s="45">
        <f>'DY 2022 Summary'!I38</f>
        <v>12473744.541392913</v>
      </c>
      <c r="J20" s="45">
        <f>'DY 2022 Summary'!J38</f>
        <v>12411375.818685949</v>
      </c>
      <c r="K20" s="45">
        <f>'DY 2022 Summary'!K38</f>
        <v>12349318.93959252</v>
      </c>
      <c r="L20" s="45">
        <f>'DY 2022 Summary'!L38</f>
        <v>12287572.344894556</v>
      </c>
      <c r="M20" s="45">
        <f>'DY 2022 Summary'!M38</f>
        <v>12226134.483170083</v>
      </c>
      <c r="N20" s="45">
        <f>'DY 2022 Summary'!N38</f>
        <v>12165003.810754232</v>
      </c>
      <c r="O20" s="45">
        <f>'DY 2022 Summary'!O38</f>
        <v>12104178.791700462</v>
      </c>
      <c r="P20" s="45">
        <f>'DY 2022 Summary'!P38</f>
        <v>12043657.897741958</v>
      </c>
      <c r="Q20" s="45">
        <f>'DY 2022 Summary'!Q38</f>
        <v>11983439.608253248</v>
      </c>
      <c r="R20" s="45">
        <f>'DY 2022 Summary'!R38</f>
        <v>11923522.410211984</v>
      </c>
      <c r="S20" s="45">
        <f>'DY 2022 Summary'!S38</f>
        <v>11863904.798160924</v>
      </c>
      <c r="T20" s="45">
        <f>'DY 2022 Summary'!T38</f>
        <v>11804585.274170119</v>
      </c>
      <c r="U20" s="45">
        <f>'DY 2022 Summary'!U38</f>
        <v>11745562.347799269</v>
      </c>
      <c r="V20" s="45">
        <f>'DY 2022 Summary'!V38</f>
        <v>11686834.536060272</v>
      </c>
    </row>
    <row r="21" spans="1:22" x14ac:dyDescent="0.3">
      <c r="A21" s="244" t="s">
        <v>25</v>
      </c>
      <c r="B21" s="45">
        <f>'DY 2022 Summary'!B39</f>
        <v>18094414.836347114</v>
      </c>
      <c r="C21" s="45">
        <f>'DY 2022 Summary'!C39</f>
        <v>18003942.762165383</v>
      </c>
      <c r="D21" s="45">
        <f>'DY 2022 Summary'!D39</f>
        <v>17913923.048354551</v>
      </c>
      <c r="E21" s="45">
        <f>'DY 2022 Summary'!E39</f>
        <v>17824353.433112781</v>
      </c>
      <c r="F21" s="45">
        <f>'DY 2022 Summary'!F39</f>
        <v>17735231.665947214</v>
      </c>
      <c r="G21" s="45">
        <f>'DY 2022 Summary'!G39</f>
        <v>17646555.507617481</v>
      </c>
      <c r="H21" s="45">
        <f>'DY 2022 Summary'!H39</f>
        <v>17558322.730079394</v>
      </c>
      <c r="I21" s="45">
        <f>'DY 2022 Summary'!I39</f>
        <v>17470531.116428994</v>
      </c>
      <c r="J21" s="45">
        <f>'DY 2022 Summary'!J39</f>
        <v>17383178.460846849</v>
      </c>
      <c r="K21" s="45">
        <f>'DY 2022 Summary'!K39</f>
        <v>17296262.568542615</v>
      </c>
      <c r="L21" s="45">
        <f>'DY 2022 Summary'!L39</f>
        <v>17209781.255699903</v>
      </c>
      <c r="M21" s="45">
        <f>'DY 2022 Summary'!M39</f>
        <v>17123732.349421404</v>
      </c>
      <c r="N21" s="45">
        <f>'DY 2022 Summary'!N39</f>
        <v>17038113.687674299</v>
      </c>
      <c r="O21" s="45">
        <f>'DY 2022 Summary'!O39</f>
        <v>16952923.119235925</v>
      </c>
      <c r="P21" s="45">
        <f>'DY 2022 Summary'!P39</f>
        <v>16868158.503639746</v>
      </c>
      <c r="Q21" s="45">
        <f>'DY 2022 Summary'!Q39</f>
        <v>16783817.711121552</v>
      </c>
      <c r="R21" s="45">
        <f>'DY 2022 Summary'!R39</f>
        <v>16699898.62256594</v>
      </c>
      <c r="S21" s="45">
        <f>'DY 2022 Summary'!S39</f>
        <v>16616399.12945311</v>
      </c>
      <c r="T21" s="45">
        <f>'DY 2022 Summary'!T39</f>
        <v>16533317.133805845</v>
      </c>
      <c r="U21" s="45">
        <f>'DY 2022 Summary'!U39</f>
        <v>16450650.548136815</v>
      </c>
      <c r="V21" s="45">
        <f>'DY 2022 Summary'!V39</f>
        <v>0</v>
      </c>
    </row>
    <row r="22" spans="1:22" x14ac:dyDescent="0.3">
      <c r="A22" s="244" t="s">
        <v>29</v>
      </c>
      <c r="B22" s="45">
        <f>'DY 2022 Summary'!B40</f>
        <v>0</v>
      </c>
      <c r="C22" s="45">
        <f>'DY 2022 Summary'!C40</f>
        <v>8853984.2387289014</v>
      </c>
      <c r="D22" s="45">
        <f>'DY 2022 Summary'!D40</f>
        <v>8362096.2254661843</v>
      </c>
      <c r="E22" s="45">
        <f>'DY 2022 Summary'!E40</f>
        <v>8362096.2254661843</v>
      </c>
      <c r="F22" s="45">
        <f>'DY 2022 Summary'!F40</f>
        <v>8362096.2254661843</v>
      </c>
      <c r="G22" s="45">
        <f>'DY 2022 Summary'!G40</f>
        <v>8362096.2254661843</v>
      </c>
      <c r="H22" s="45">
        <f>'DY 2022 Summary'!H40</f>
        <v>8362096.2254661843</v>
      </c>
      <c r="I22" s="45">
        <f>'DY 2022 Summary'!I40</f>
        <v>8362096.2254661843</v>
      </c>
      <c r="J22" s="45">
        <f>'DY 2022 Summary'!J40</f>
        <v>0</v>
      </c>
      <c r="K22" s="45">
        <f>'DY 2022 Summary'!K40</f>
        <v>0</v>
      </c>
      <c r="L22" s="45">
        <f>'DY 2022 Summary'!L40</f>
        <v>0</v>
      </c>
      <c r="M22" s="45">
        <f>'DY 2022 Summary'!M40</f>
        <v>0</v>
      </c>
      <c r="N22" s="45">
        <f>'DY 2022 Summary'!N40</f>
        <v>0</v>
      </c>
      <c r="O22" s="45">
        <f>'DY 2022 Summary'!O40</f>
        <v>0</v>
      </c>
      <c r="P22" s="45">
        <f>'DY 2022 Summary'!P40</f>
        <v>0</v>
      </c>
      <c r="Q22" s="45">
        <f>'DY 2022 Summary'!Q40</f>
        <v>0</v>
      </c>
      <c r="R22" s="45">
        <f>'DY 2022 Summary'!R40</f>
        <v>0</v>
      </c>
      <c r="S22" s="45">
        <f>'DY 2022 Summary'!S40</f>
        <v>0</v>
      </c>
      <c r="T22" s="45">
        <f>'DY 2022 Summary'!T40</f>
        <v>0</v>
      </c>
      <c r="U22" s="45">
        <f>'DY 2022 Summary'!U40</f>
        <v>0</v>
      </c>
      <c r="V22" s="45">
        <f>'DY 2022 Summary'!V40</f>
        <v>0</v>
      </c>
    </row>
    <row r="23" spans="1:22" x14ac:dyDescent="0.3">
      <c r="A23" s="244" t="s">
        <v>33</v>
      </c>
      <c r="B23" s="45">
        <f>'DY 2022 Summary'!B41</f>
        <v>19783279.830774501</v>
      </c>
      <c r="C23" s="45">
        <f>'DY 2022 Summary'!C41</f>
        <v>18684208.729064807</v>
      </c>
      <c r="D23" s="45">
        <f>'DY 2022 Summary'!D41</f>
        <v>18684208.729064807</v>
      </c>
      <c r="E23" s="45">
        <f>'DY 2022 Summary'!E41</f>
        <v>18684208.729064807</v>
      </c>
      <c r="F23" s="45">
        <f>'DY 2022 Summary'!F41</f>
        <v>18684208.729064807</v>
      </c>
      <c r="G23" s="45">
        <f>'DY 2022 Summary'!G41</f>
        <v>18684208.729064807</v>
      </c>
      <c r="H23" s="45">
        <f>'DY 2022 Summary'!H41</f>
        <v>18684208.729064807</v>
      </c>
      <c r="I23" s="45">
        <f>'DY 2022 Summary'!I41</f>
        <v>0</v>
      </c>
      <c r="J23" s="45">
        <f>'DY 2022 Summary'!J41</f>
        <v>0</v>
      </c>
      <c r="K23" s="45">
        <f>'DY 2022 Summary'!K41</f>
        <v>0</v>
      </c>
      <c r="L23" s="45">
        <f>'DY 2022 Summary'!L41</f>
        <v>0</v>
      </c>
      <c r="M23" s="45">
        <f>'DY 2022 Summary'!M41</f>
        <v>0</v>
      </c>
      <c r="N23" s="45">
        <f>'DY 2022 Summary'!N41</f>
        <v>0</v>
      </c>
      <c r="O23" s="45">
        <f>'DY 2022 Summary'!O41</f>
        <v>0</v>
      </c>
      <c r="P23" s="45">
        <f>'DY 2022 Summary'!P41</f>
        <v>0</v>
      </c>
      <c r="Q23" s="45">
        <f>'DY 2022 Summary'!Q41</f>
        <v>0</v>
      </c>
      <c r="R23" s="45">
        <f>'DY 2022 Summary'!R41</f>
        <v>0</v>
      </c>
      <c r="S23" s="45">
        <f>'DY 2022 Summary'!S41</f>
        <v>0</v>
      </c>
      <c r="T23" s="45">
        <f>'DY 2022 Summary'!T41</f>
        <v>0</v>
      </c>
      <c r="U23" s="45">
        <f>'DY 2022 Summary'!U41</f>
        <v>0</v>
      </c>
      <c r="V23" s="45">
        <f>'DY 2022 Summary'!V41</f>
        <v>0</v>
      </c>
    </row>
    <row r="24" spans="1:22" x14ac:dyDescent="0.3">
      <c r="A24" s="244" t="s">
        <v>40</v>
      </c>
      <c r="B24" s="45">
        <f>'DY 2022 Summary'!B42</f>
        <v>0</v>
      </c>
      <c r="C24" s="45">
        <f>'DY 2022 Summary'!C42</f>
        <v>0</v>
      </c>
      <c r="D24" s="45">
        <f>'DY 2022 Summary'!D42</f>
        <v>0</v>
      </c>
      <c r="E24" s="45">
        <f>'Total REC Delivery Activities'!E24*'Indexed REC Price Calculator'!F7</f>
        <v>0</v>
      </c>
      <c r="F24" s="45">
        <f>'Total REC Delivery Activities'!F24*'Indexed REC Price Calculator'!G7</f>
        <v>0</v>
      </c>
      <c r="G24" s="45">
        <f>'Total REC Delivery Activities'!G24*'Indexed REC Price Calculator'!H7</f>
        <v>0</v>
      </c>
      <c r="H24" s="45">
        <f>'Total REC Delivery Activities'!H24*'Indexed REC Price Calculator'!I7</f>
        <v>0</v>
      </c>
      <c r="I24" s="45">
        <f>'Total REC Delivery Activities'!I24*'Indexed REC Price Calculator'!J7</f>
        <v>0</v>
      </c>
      <c r="J24" s="45">
        <f>'Total REC Delivery Activities'!J24*'Indexed REC Price Calculator'!K7</f>
        <v>0</v>
      </c>
      <c r="K24" s="45">
        <f>'Total REC Delivery Activities'!K24*'Indexed REC Price Calculator'!L7</f>
        <v>0</v>
      </c>
      <c r="L24" s="45">
        <f>'Total REC Delivery Activities'!L24*'Indexed REC Price Calculator'!M7</f>
        <v>0</v>
      </c>
      <c r="M24" s="45">
        <f>'Total REC Delivery Activities'!M24*'Indexed REC Price Calculator'!N7</f>
        <v>0</v>
      </c>
      <c r="N24" s="45">
        <f>'Total REC Delivery Activities'!N24*'Indexed REC Price Calculator'!O7</f>
        <v>0</v>
      </c>
      <c r="O24" s="45">
        <f>'Total REC Delivery Activities'!O24*'Indexed REC Price Calculator'!P7</f>
        <v>0</v>
      </c>
      <c r="P24" s="45">
        <f>'Total REC Delivery Activities'!P24*'Indexed REC Price Calculator'!Q7</f>
        <v>0</v>
      </c>
      <c r="Q24" s="45">
        <f>'Total REC Delivery Activities'!Q24*'Indexed REC Price Calculator'!R7</f>
        <v>0</v>
      </c>
      <c r="R24" s="45">
        <f>'Total REC Delivery Activities'!R24*'Indexed REC Price Calculator'!S7</f>
        <v>0</v>
      </c>
      <c r="S24" s="45">
        <f>'Total REC Delivery Activities'!S24*'Indexed REC Price Calculator'!T7</f>
        <v>0</v>
      </c>
      <c r="T24" s="45">
        <f>'Total REC Delivery Activities'!T24*'Indexed REC Price Calculator'!U7</f>
        <v>0</v>
      </c>
      <c r="U24" s="45">
        <f>'Total REC Delivery Activities'!U24*'Indexed REC Price Calculator'!V7</f>
        <v>0</v>
      </c>
      <c r="V24" s="45">
        <f>'Total REC Delivery Activities'!V24*'Indexed REC Price Calculator'!W7</f>
        <v>0</v>
      </c>
    </row>
    <row r="25" spans="1:22" x14ac:dyDescent="0.3">
      <c r="A25" s="244" t="s">
        <v>41</v>
      </c>
      <c r="B25" s="45">
        <f>'DY 2022 Summary'!B43</f>
        <v>0</v>
      </c>
      <c r="C25" s="45">
        <f>'DY 2022 Summary'!C43</f>
        <v>0</v>
      </c>
      <c r="D25" s="45">
        <f>'DY 2022 Summary'!D43</f>
        <v>0</v>
      </c>
      <c r="E25" s="45">
        <f>'Total REC Delivery Activities'!E25*'Indexed REC Price Calculator'!F34</f>
        <v>10053578.773159996</v>
      </c>
      <c r="F25" s="45">
        <f>'Total REC Delivery Activities'!F25*'Indexed REC Price Calculator'!G34</f>
        <v>9037026.3807550762</v>
      </c>
      <c r="G25" s="45">
        <f>'Total REC Delivery Activities'!G25*'Indexed REC Price Calculator'!H34</f>
        <v>8011159.1112839486</v>
      </c>
      <c r="H25" s="45">
        <f>'Total REC Delivery Activities'!H25*'Indexed REC Price Calculator'!I34</f>
        <v>6975809.0143104279</v>
      </c>
      <c r="I25" s="45">
        <f>'Total REC Delivery Activities'!I25*'Indexed REC Price Calculator'!J34</f>
        <v>5930805.7827306585</v>
      </c>
      <c r="J25" s="45">
        <f>'Total REC Delivery Activities'!J25*'Indexed REC Price Calculator'!K34</f>
        <v>4875976.7169298157</v>
      </c>
      <c r="K25" s="45">
        <f>'Total REC Delivery Activities'!K25*'Indexed REC Price Calculator'!L34</f>
        <v>3811146.6884083557</v>
      </c>
      <c r="L25" s="45">
        <f>'Total REC Delivery Activities'!L25*'Indexed REC Price Calculator'!M34</f>
        <v>2736138.102869946</v>
      </c>
      <c r="M25" s="45">
        <f>'Total REC Delivery Activities'!M25*'Indexed REC Price Calculator'!N34</f>
        <v>1650770.8627629953</v>
      </c>
      <c r="N25" s="45">
        <f>'Total REC Delivery Activities'!N25*'Indexed REC Price Calculator'!O34</f>
        <v>554862.32926764875</v>
      </c>
      <c r="O25" s="45">
        <f>'Total REC Delivery Activities'!O25*'Indexed REC Price Calculator'!P34</f>
        <v>-551772.71628002741</v>
      </c>
      <c r="P25" s="45">
        <f>'Total REC Delivery Activities'!P25*'Indexed REC Price Calculator'!Q34</f>
        <v>-1669322.1115350928</v>
      </c>
      <c r="Q25" s="45">
        <f>'Total REC Delivery Activities'!Q25*'Indexed REC Price Calculator'!R34</f>
        <v>-2797976.35287055</v>
      </c>
      <c r="R25" s="45">
        <f>'Total REC Delivery Activities'!R25*'Indexed REC Price Calculator'!S34</f>
        <v>-3937928.6356925364</v>
      </c>
      <c r="S25" s="45">
        <f>'Total REC Delivery Activities'!S25*'Indexed REC Price Calculator'!T34</f>
        <v>-5089374.8953527464</v>
      </c>
      <c r="T25" s="45">
        <f>'Total REC Delivery Activities'!T25*'Indexed REC Price Calculator'!U34</f>
        <v>-6252513.8486669501</v>
      </c>
      <c r="U25" s="45">
        <f>'Total REC Delivery Activities'!U25*'Indexed REC Price Calculator'!V34</f>
        <v>-7427547.0360486694</v>
      </c>
      <c r="V25" s="45">
        <f>'Total REC Delivery Activities'!V25*'Indexed REC Price Calculator'!W34</f>
        <v>-8614678.8642671928</v>
      </c>
    </row>
    <row r="26" spans="1:22" x14ac:dyDescent="0.3">
      <c r="A26" s="244" t="s">
        <v>42</v>
      </c>
      <c r="B26" s="45">
        <f>'DY 2022 Summary'!B44</f>
        <v>0</v>
      </c>
      <c r="C26" s="45">
        <f>'DY 2022 Summary'!C44</f>
        <v>0</v>
      </c>
      <c r="D26" s="45">
        <f>'DY 2022 Summary'!D44</f>
        <v>0</v>
      </c>
      <c r="E26" s="45">
        <f>'Total REC Delivery Activities'!E26*'Indexed REC Price Calculator'!F61</f>
        <v>2030698.8453239996</v>
      </c>
      <c r="F26" s="45">
        <f>'Total REC Delivery Activities'!F26*'Indexed REC Price Calculator'!G61</f>
        <v>1969972.1981508271</v>
      </c>
      <c r="G26" s="45">
        <f>'Total REC Delivery Activities'!G26*'Indexed REC Price Calculator'!H61</f>
        <v>1908795.6442346168</v>
      </c>
      <c r="H26" s="45">
        <f>'Total REC Delivery Activities'!H26*'Indexed REC Price Calculator'!I61</f>
        <v>1847160.2053633984</v>
      </c>
      <c r="I26" s="45">
        <f>'Total REC Delivery Activities'!I26*'Indexed REC Price Calculator'!J61</f>
        <v>1785056.7809228504</v>
      </c>
      <c r="J26" s="45">
        <f>'Total REC Delivery Activities'!J26*'Indexed REC Price Calculator'!K61</f>
        <v>1722476.1460156406</v>
      </c>
      <c r="K26" s="45">
        <f>'Total REC Delivery Activities'!K26*'Indexed REC Price Calculator'!L61</f>
        <v>1659408.949553028</v>
      </c>
      <c r="L26" s="45">
        <f>'Total REC Delivery Activities'!L26*'Indexed REC Price Calculator'!M61</f>
        <v>1595845.7123183138</v>
      </c>
      <c r="M26" s="45">
        <f>'Total REC Delivery Activities'!M26*'Indexed REC Price Calculator'!N61</f>
        <v>1531776.8250017178</v>
      </c>
      <c r="N26" s="45">
        <f>'Total REC Delivery Activities'!N26*'Indexed REC Price Calculator'!O61</f>
        <v>1467192.546206255</v>
      </c>
      <c r="O26" s="45">
        <f>'Total REC Delivery Activities'!O26*'Indexed REC Price Calculator'!P61</f>
        <v>1402083.0004241797</v>
      </c>
      <c r="P26" s="45">
        <f>'Total REC Delivery Activities'!P26*'Indexed REC Price Calculator'!Q61</f>
        <v>1336438.1759835547</v>
      </c>
      <c r="Q26" s="45">
        <f>'Total REC Delivery Activities'!Q26*'Indexed REC Price Calculator'!R61</f>
        <v>1270247.9229644986</v>
      </c>
      <c r="R26" s="45">
        <f>'Total REC Delivery Activities'!R26*'Indexed REC Price Calculator'!S61</f>
        <v>1203501.9510846648</v>
      </c>
      <c r="S26" s="45">
        <f>'Total REC Delivery Activities'!S26*'Indexed REC Price Calculator'!T61</f>
        <v>1136189.8275534816</v>
      </c>
      <c r="T26" s="45">
        <f>'Total REC Delivery Activities'!T26*'Indexed REC Price Calculator'!U61</f>
        <v>1068300.9748946954</v>
      </c>
      <c r="U26" s="45">
        <f>'Total REC Delivery Activities'!U26*'Indexed REC Price Calculator'!V61</f>
        <v>999824.66873674002</v>
      </c>
      <c r="V26" s="45">
        <f>'Total REC Delivery Activities'!V26*'Indexed REC Price Calculator'!W61</f>
        <v>930750.03557045059</v>
      </c>
    </row>
    <row r="27" spans="1:22" x14ac:dyDescent="0.3">
      <c r="A27" s="245" t="s">
        <v>233</v>
      </c>
      <c r="B27" s="24">
        <f t="shared" ref="B27:V27" si="3">SUM(B18:B26)</f>
        <v>260121892.075037</v>
      </c>
      <c r="C27" s="24">
        <f t="shared" si="3"/>
        <v>82336274.979548514</v>
      </c>
      <c r="D27" s="24">
        <f t="shared" si="3"/>
        <v>81690094.282965213</v>
      </c>
      <c r="E27" s="24">
        <f t="shared" si="3"/>
        <v>93620850.681545228</v>
      </c>
      <c r="F27" s="24">
        <f t="shared" si="3"/>
        <v>92390818.028162658</v>
      </c>
      <c r="G27" s="24">
        <f t="shared" si="3"/>
        <v>91151784.359039873</v>
      </c>
      <c r="H27" s="24">
        <f t="shared" si="3"/>
        <v>89903568.926688388</v>
      </c>
      <c r="I27" s="24">
        <f t="shared" si="3"/>
        <v>46022234.446941607</v>
      </c>
      <c r="J27" s="24">
        <f t="shared" si="3"/>
        <v>36393007.142478257</v>
      </c>
      <c r="K27" s="24">
        <f t="shared" si="3"/>
        <v>35116137.14609652</v>
      </c>
      <c r="L27" s="24">
        <f t="shared" si="3"/>
        <v>33829337.41578272</v>
      </c>
      <c r="M27" s="24">
        <f t="shared" si="3"/>
        <v>32532414.520356201</v>
      </c>
      <c r="N27" s="24">
        <f t="shared" si="3"/>
        <v>31225172.373902433</v>
      </c>
      <c r="O27" s="24">
        <f t="shared" si="3"/>
        <v>29907412.195080537</v>
      </c>
      <c r="P27" s="24">
        <f t="shared" si="3"/>
        <v>28578932.46583017</v>
      </c>
      <c r="Q27" s="24">
        <f t="shared" si="3"/>
        <v>27239528.889468748</v>
      </c>
      <c r="R27" s="24">
        <f t="shared" si="3"/>
        <v>25888994.348170053</v>
      </c>
      <c r="S27" s="24">
        <f t="shared" si="3"/>
        <v>24527118.859814767</v>
      </c>
      <c r="T27" s="24">
        <f t="shared" si="3"/>
        <v>23153689.534203708</v>
      </c>
      <c r="U27" s="24">
        <f t="shared" si="3"/>
        <v>21768490.528624158</v>
      </c>
      <c r="V27" s="24">
        <f t="shared" si="3"/>
        <v>4002905.7073635296</v>
      </c>
    </row>
    <row r="31" spans="1:22" ht="15.6" x14ac:dyDescent="0.3">
      <c r="A31" s="248">
        <v>2023</v>
      </c>
      <c r="B31" s="247">
        <v>2022</v>
      </c>
      <c r="C31" s="247">
        <v>2023</v>
      </c>
      <c r="D31" s="247">
        <v>2024</v>
      </c>
      <c r="E31" s="247">
        <v>2025</v>
      </c>
      <c r="F31" s="247">
        <v>2026</v>
      </c>
      <c r="G31" s="247">
        <v>2027</v>
      </c>
      <c r="H31" s="247">
        <v>2028</v>
      </c>
      <c r="I31" s="247">
        <v>2029</v>
      </c>
      <c r="J31" s="247">
        <v>2030</v>
      </c>
      <c r="K31" s="247">
        <v>2031</v>
      </c>
      <c r="L31" s="247">
        <v>2032</v>
      </c>
      <c r="M31" s="247">
        <v>2033</v>
      </c>
      <c r="N31" s="247">
        <v>2034</v>
      </c>
      <c r="O31" s="247">
        <v>2035</v>
      </c>
      <c r="P31" s="247">
        <v>2036</v>
      </c>
      <c r="Q31" s="247">
        <v>2037</v>
      </c>
      <c r="R31" s="247">
        <v>2038</v>
      </c>
      <c r="S31" s="247">
        <v>2039</v>
      </c>
      <c r="T31" s="247">
        <v>2040</v>
      </c>
      <c r="U31" s="247">
        <v>2041</v>
      </c>
      <c r="V31" s="247">
        <v>2042</v>
      </c>
    </row>
    <row r="32" spans="1:22" x14ac:dyDescent="0.3">
      <c r="A32" s="244" t="s">
        <v>6</v>
      </c>
      <c r="B32" s="45"/>
      <c r="C32" s="45">
        <f>'DY 2023 Summary'!B36</f>
        <v>153483990.97419566</v>
      </c>
      <c r="D32" s="45">
        <f>'DY 2023 Summary'!C36</f>
        <v>0</v>
      </c>
      <c r="E32" s="45">
        <f>'DY 2023 Summary'!D36</f>
        <v>0</v>
      </c>
      <c r="F32" s="45">
        <f>'DY 2023 Summary'!E36</f>
        <v>0</v>
      </c>
      <c r="G32" s="45">
        <f>'DY 2023 Summary'!F36</f>
        <v>0</v>
      </c>
      <c r="H32" s="45">
        <f>'DY 2023 Summary'!G36</f>
        <v>0</v>
      </c>
      <c r="I32" s="45">
        <f>'DY 2023 Summary'!H36</f>
        <v>0</v>
      </c>
      <c r="J32" s="45">
        <f>'DY 2023 Summary'!I36</f>
        <v>0</v>
      </c>
      <c r="K32" s="45">
        <f>'DY 2023 Summary'!J36</f>
        <v>0</v>
      </c>
      <c r="L32" s="45">
        <f>'DY 2023 Summary'!K36</f>
        <v>0</v>
      </c>
      <c r="M32" s="45">
        <f>'DY 2023 Summary'!L36</f>
        <v>0</v>
      </c>
      <c r="N32" s="45">
        <f>'DY 2023 Summary'!M36</f>
        <v>0</v>
      </c>
      <c r="O32" s="45">
        <f>'DY 2023 Summary'!N36</f>
        <v>0</v>
      </c>
      <c r="P32" s="45">
        <f>'DY 2023 Summary'!O36</f>
        <v>0</v>
      </c>
      <c r="Q32" s="45">
        <f>'DY 2023 Summary'!P36</f>
        <v>0</v>
      </c>
      <c r="R32" s="45">
        <f>'DY 2023 Summary'!Q36</f>
        <v>0</v>
      </c>
      <c r="S32" s="45">
        <f>'DY 2023 Summary'!R36</f>
        <v>0</v>
      </c>
      <c r="T32" s="45">
        <f>'DY 2023 Summary'!S36</f>
        <v>0</v>
      </c>
      <c r="U32" s="45">
        <f>'DY 2023 Summary'!T36</f>
        <v>0</v>
      </c>
      <c r="V32" s="45">
        <f>'DY 2023 Summary'!U36</f>
        <v>0</v>
      </c>
    </row>
    <row r="33" spans="1:22" x14ac:dyDescent="0.3">
      <c r="A33" s="244" t="s">
        <v>12</v>
      </c>
      <c r="B33" s="45"/>
      <c r="C33" s="45">
        <f>'DY 2023 Summary'!B37</f>
        <v>16469891.409817562</v>
      </c>
      <c r="D33" s="45">
        <f>'DY 2023 Summary'!C37</f>
        <v>15554897.442605475</v>
      </c>
      <c r="E33" s="45">
        <f>'DY 2023 Summary'!D37</f>
        <v>15554897.442605475</v>
      </c>
      <c r="F33" s="45">
        <f>'DY 2023 Summary'!E37</f>
        <v>15554897.442605475</v>
      </c>
      <c r="G33" s="45">
        <f>'DY 2023 Summary'!F37</f>
        <v>15554897.442605475</v>
      </c>
      <c r="H33" s="45">
        <f>'DY 2023 Summary'!G37</f>
        <v>15554897.442605475</v>
      </c>
      <c r="I33" s="45">
        <f>'DY 2023 Summary'!H37</f>
        <v>15554897.442605475</v>
      </c>
      <c r="J33" s="45">
        <f>'DY 2023 Summary'!I37</f>
        <v>0</v>
      </c>
      <c r="K33" s="45">
        <f>'DY 2023 Summary'!J37</f>
        <v>0</v>
      </c>
      <c r="L33" s="45">
        <f>'DY 2023 Summary'!K37</f>
        <v>0</v>
      </c>
      <c r="M33" s="45">
        <f>'DY 2023 Summary'!L37</f>
        <v>0</v>
      </c>
      <c r="N33" s="45">
        <f>'DY 2023 Summary'!M37</f>
        <v>0</v>
      </c>
      <c r="O33" s="45">
        <f>'DY 2023 Summary'!N37</f>
        <v>0</v>
      </c>
      <c r="P33" s="45">
        <f>'DY 2023 Summary'!O37</f>
        <v>0</v>
      </c>
      <c r="Q33" s="45">
        <f>'DY 2023 Summary'!P37</f>
        <v>0</v>
      </c>
      <c r="R33" s="45">
        <f>'DY 2023 Summary'!Q37</f>
        <v>0</v>
      </c>
      <c r="S33" s="45">
        <f>'DY 2023 Summary'!R37</f>
        <v>0</v>
      </c>
      <c r="T33" s="45">
        <f>'DY 2023 Summary'!S37</f>
        <v>0</v>
      </c>
      <c r="U33" s="45">
        <f>'DY 2023 Summary'!T37</f>
        <v>0</v>
      </c>
      <c r="V33" s="45">
        <f>'DY 2023 Summary'!U37</f>
        <v>0</v>
      </c>
    </row>
    <row r="34" spans="1:22" x14ac:dyDescent="0.3">
      <c r="A34" s="244" t="s">
        <v>21</v>
      </c>
      <c r="B34" s="45"/>
      <c r="C34" s="45">
        <f>'DY 2023 Summary'!B38</f>
        <v>0</v>
      </c>
      <c r="D34" s="45">
        <f>'DY 2023 Summary'!C38</f>
        <v>14147123.318793274</v>
      </c>
      <c r="E34" s="45">
        <f>'DY 2023 Summary'!D38</f>
        <v>14076387.702199306</v>
      </c>
      <c r="F34" s="45">
        <f>'DY 2023 Summary'!E38</f>
        <v>14006005.763688311</v>
      </c>
      <c r="G34" s="45">
        <f>'DY 2023 Summary'!F38</f>
        <v>13935975.734869869</v>
      </c>
      <c r="H34" s="45">
        <f>'DY 2023 Summary'!G38</f>
        <v>13866295.856195521</v>
      </c>
      <c r="I34" s="45">
        <f>'DY 2023 Summary'!H38</f>
        <v>13796964.376914542</v>
      </c>
      <c r="J34" s="45">
        <f>'DY 2023 Summary'!I38</f>
        <v>13727979.55502997</v>
      </c>
      <c r="K34" s="45">
        <f>'DY 2023 Summary'!J38</f>
        <v>13659339.657254821</v>
      </c>
      <c r="L34" s="45">
        <f>'DY 2023 Summary'!K38</f>
        <v>13591042.958968544</v>
      </c>
      <c r="M34" s="45">
        <f>'DY 2023 Summary'!L38</f>
        <v>13523087.744173702</v>
      </c>
      <c r="N34" s="45">
        <f>'DY 2023 Summary'!M38</f>
        <v>13455472.305452833</v>
      </c>
      <c r="O34" s="45">
        <f>'DY 2023 Summary'!N38</f>
        <v>13388194.943925569</v>
      </c>
      <c r="P34" s="45">
        <f>'DY 2023 Summary'!O38</f>
        <v>13321253.969205942</v>
      </c>
      <c r="Q34" s="45">
        <f>'DY 2023 Summary'!P38</f>
        <v>13254647.699359912</v>
      </c>
      <c r="R34" s="45">
        <f>'DY 2023 Summary'!Q38</f>
        <v>13188374.460863113</v>
      </c>
      <c r="S34" s="45">
        <f>'DY 2023 Summary'!R38</f>
        <v>13122432.588558799</v>
      </c>
      <c r="T34" s="45">
        <f>'DY 2023 Summary'!S38</f>
        <v>13056820.425616004</v>
      </c>
      <c r="U34" s="45">
        <f>'DY 2023 Summary'!T38</f>
        <v>12991536.323487923</v>
      </c>
      <c r="V34" s="45">
        <f>'DY 2023 Summary'!U38</f>
        <v>12926578.641870482</v>
      </c>
    </row>
    <row r="35" spans="1:22" x14ac:dyDescent="0.3">
      <c r="A35" s="244" t="s">
        <v>25</v>
      </c>
      <c r="B35" s="45"/>
      <c r="C35" s="45">
        <f>'DY 2023 Summary'!B39</f>
        <v>7994999.9410580872</v>
      </c>
      <c r="D35" s="45">
        <f>'DY 2023 Summary'!C39</f>
        <v>7955024.9413527967</v>
      </c>
      <c r="E35" s="45">
        <f>'DY 2023 Summary'!D39</f>
        <v>7915249.816646032</v>
      </c>
      <c r="F35" s="45">
        <f>'DY 2023 Summary'!E39</f>
        <v>7875673.5675628018</v>
      </c>
      <c r="G35" s="45">
        <f>'DY 2023 Summary'!F39</f>
        <v>7836295.1997249871</v>
      </c>
      <c r="H35" s="45">
        <f>'DY 2023 Summary'!G39</f>
        <v>7797113.7237263639</v>
      </c>
      <c r="I35" s="45">
        <f>'DY 2023 Summary'!H39</f>
        <v>7758128.155107731</v>
      </c>
      <c r="J35" s="45">
        <f>'DY 2023 Summary'!I39</f>
        <v>7719337.514332192</v>
      </c>
      <c r="K35" s="45">
        <f>'DY 2023 Summary'!J39</f>
        <v>7680740.8267605323</v>
      </c>
      <c r="L35" s="45">
        <f>'DY 2023 Summary'!K39</f>
        <v>7642337.1226267302</v>
      </c>
      <c r="M35" s="45">
        <f>'DY 2023 Summary'!L39</f>
        <v>7604125.4370135954</v>
      </c>
      <c r="N35" s="45">
        <f>'DY 2023 Summary'!M39</f>
        <v>7566104.8098285282</v>
      </c>
      <c r="O35" s="45">
        <f>'DY 2023 Summary'!N39</f>
        <v>7528274.2857793849</v>
      </c>
      <c r="P35" s="45">
        <f>'DY 2023 Summary'!O39</f>
        <v>7490632.9143504873</v>
      </c>
      <c r="Q35" s="45">
        <f>'DY 2023 Summary'!P39</f>
        <v>7453179.7497787355</v>
      </c>
      <c r="R35" s="45">
        <f>'DY 2023 Summary'!Q39</f>
        <v>7415913.8510298431</v>
      </c>
      <c r="S35" s="45">
        <f>'DY 2023 Summary'!R39</f>
        <v>7378834.2817746932</v>
      </c>
      <c r="T35" s="45">
        <f>'DY 2023 Summary'!S39</f>
        <v>7341940.1103658192</v>
      </c>
      <c r="U35" s="45">
        <f>'DY 2023 Summary'!T39</f>
        <v>7305230.4098139908</v>
      </c>
      <c r="V35" s="45">
        <f>'DY 2023 Summary'!U39</f>
        <v>7268704.2577649206</v>
      </c>
    </row>
    <row r="36" spans="1:22" x14ac:dyDescent="0.3">
      <c r="A36" s="244" t="s">
        <v>29</v>
      </c>
      <c r="B36" s="45"/>
      <c r="C36" s="45">
        <f>'DY 2023 Summary'!B40</f>
        <v>0</v>
      </c>
      <c r="D36" s="45">
        <f>'DY 2023 Summary'!C40</f>
        <v>6470856.0363735966</v>
      </c>
      <c r="E36" s="45">
        <f>'DY 2023 Summary'!D40</f>
        <v>6111364.0343528409</v>
      </c>
      <c r="F36" s="45">
        <f>'DY 2023 Summary'!E40</f>
        <v>6111364.0343528409</v>
      </c>
      <c r="G36" s="45">
        <f>'DY 2023 Summary'!F40</f>
        <v>6111364.0343528409</v>
      </c>
      <c r="H36" s="45">
        <f>'DY 2023 Summary'!G40</f>
        <v>6111364.0343528409</v>
      </c>
      <c r="I36" s="45">
        <f>'DY 2023 Summary'!H40</f>
        <v>6111364.0343528409</v>
      </c>
      <c r="J36" s="45">
        <f>'DY 2023 Summary'!I40</f>
        <v>6111364.0343528409</v>
      </c>
      <c r="K36" s="45">
        <f>'DY 2023 Summary'!J40</f>
        <v>0</v>
      </c>
      <c r="L36" s="45">
        <f>'DY 2023 Summary'!K40</f>
        <v>0</v>
      </c>
      <c r="M36" s="45">
        <f>'DY 2023 Summary'!L40</f>
        <v>0</v>
      </c>
      <c r="N36" s="45">
        <f>'DY 2023 Summary'!M40</f>
        <v>0</v>
      </c>
      <c r="O36" s="45">
        <f>'DY 2023 Summary'!N40</f>
        <v>0</v>
      </c>
      <c r="P36" s="45">
        <f>'DY 2023 Summary'!O40</f>
        <v>0</v>
      </c>
      <c r="Q36" s="45">
        <f>'DY 2023 Summary'!P40</f>
        <v>0</v>
      </c>
      <c r="R36" s="45">
        <f>'DY 2023 Summary'!Q40</f>
        <v>0</v>
      </c>
      <c r="S36" s="45">
        <f>'DY 2023 Summary'!R40</f>
        <v>0</v>
      </c>
      <c r="T36" s="45">
        <f>'DY 2023 Summary'!S40</f>
        <v>0</v>
      </c>
      <c r="U36" s="45">
        <f>'DY 2023 Summary'!T40</f>
        <v>0</v>
      </c>
      <c r="V36" s="45">
        <f>'DY 2023 Summary'!U40</f>
        <v>0</v>
      </c>
    </row>
    <row r="37" spans="1:22" x14ac:dyDescent="0.3">
      <c r="A37" s="244" t="s">
        <v>33</v>
      </c>
      <c r="B37" s="45"/>
      <c r="C37" s="45">
        <f>'DY 2023 Summary'!B41</f>
        <v>8234945.7049087808</v>
      </c>
      <c r="D37" s="45">
        <f>'DY 2023 Summary'!C41</f>
        <v>7777448.7213027375</v>
      </c>
      <c r="E37" s="45">
        <f>'DY 2023 Summary'!D41</f>
        <v>7777448.7213027375</v>
      </c>
      <c r="F37" s="45">
        <f>'DY 2023 Summary'!E41</f>
        <v>7777448.7213027375</v>
      </c>
      <c r="G37" s="45">
        <f>'DY 2023 Summary'!F41</f>
        <v>7777448.7213027375</v>
      </c>
      <c r="H37" s="45">
        <f>'DY 2023 Summary'!G41</f>
        <v>7777448.7213027375</v>
      </c>
      <c r="I37" s="45">
        <f>'DY 2023 Summary'!H41</f>
        <v>7777448.7213027375</v>
      </c>
      <c r="J37" s="45">
        <f>'DY 2023 Summary'!I41</f>
        <v>0</v>
      </c>
      <c r="K37" s="45">
        <f>'DY 2023 Summary'!J41</f>
        <v>0</v>
      </c>
      <c r="L37" s="45">
        <f>'DY 2023 Summary'!K41</f>
        <v>0</v>
      </c>
      <c r="M37" s="45">
        <f>'DY 2023 Summary'!L41</f>
        <v>0</v>
      </c>
      <c r="N37" s="45">
        <f>'DY 2023 Summary'!M41</f>
        <v>0</v>
      </c>
      <c r="O37" s="45">
        <f>'DY 2023 Summary'!N41</f>
        <v>0</v>
      </c>
      <c r="P37" s="45">
        <f>'DY 2023 Summary'!O41</f>
        <v>0</v>
      </c>
      <c r="Q37" s="45">
        <f>'DY 2023 Summary'!P41</f>
        <v>0</v>
      </c>
      <c r="R37" s="45">
        <f>'DY 2023 Summary'!Q41</f>
        <v>0</v>
      </c>
      <c r="S37" s="45">
        <f>'DY 2023 Summary'!R41</f>
        <v>0</v>
      </c>
      <c r="T37" s="45">
        <f>'DY 2023 Summary'!S41</f>
        <v>0</v>
      </c>
      <c r="U37" s="45">
        <f>'DY 2023 Summary'!T41</f>
        <v>0</v>
      </c>
      <c r="V37" s="45">
        <f>'DY 2023 Summary'!U41</f>
        <v>0</v>
      </c>
    </row>
    <row r="38" spans="1:22" x14ac:dyDescent="0.3">
      <c r="A38" s="244" t="s">
        <v>40</v>
      </c>
      <c r="B38" s="45"/>
      <c r="C38" s="45">
        <f>'DY 2023 Summary'!B42</f>
        <v>0</v>
      </c>
      <c r="D38" s="45">
        <f>'DY 2023 Summary'!C42</f>
        <v>0</v>
      </c>
      <c r="E38" s="45">
        <f>'DY 2023 Summary'!D42</f>
        <v>0</v>
      </c>
      <c r="F38" s="45">
        <f>'Total REC Delivery Activities'!F38*'Indexed REC Price Calculator'!G8</f>
        <v>2950290.8399999905</v>
      </c>
      <c r="G38" s="45">
        <f>'Total REC Delivery Activities'!G38*'Indexed REC Price Calculator'!H8</f>
        <v>-724566.34320002072</v>
      </c>
      <c r="H38" s="45">
        <f>'Total REC Delivery Activities'!H38*'Indexed REC Price Calculator'!I8</f>
        <v>-4472920.6700640172</v>
      </c>
      <c r="I38" s="45">
        <f>'Total REC Delivery Activities'!I38*'Indexed REC Price Calculator'!J8</f>
        <v>-8296242.0834652977</v>
      </c>
      <c r="J38" s="45">
        <f>'Total REC Delivery Activities'!J38*'Indexed REC Price Calculator'!K8</f>
        <v>-12196029.925134603</v>
      </c>
      <c r="K38" s="45">
        <f>'Total REC Delivery Activities'!K38*'Indexed REC Price Calculator'!L8</f>
        <v>-16173813.523637304</v>
      </c>
      <c r="L38" s="45">
        <f>'Total REC Delivery Activities'!L38*'Indexed REC Price Calculator'!M8</f>
        <v>-20231152.794110052</v>
      </c>
      <c r="M38" s="45">
        <f>'Total REC Delivery Activities'!M38*'Indexed REC Price Calculator'!N8</f>
        <v>-24369638.849992245</v>
      </c>
      <c r="N38" s="45">
        <f>'Total REC Delivery Activities'!N38*'Indexed REC Price Calculator'!O8</f>
        <v>-28590894.626992084</v>
      </c>
      <c r="O38" s="45">
        <f>'Total REC Delivery Activities'!O38*'Indexed REC Price Calculator'!P8</f>
        <v>-32896575.519531928</v>
      </c>
      <c r="P38" s="45">
        <f>'Total REC Delivery Activities'!P38*'Indexed REC Price Calculator'!Q8</f>
        <v>-37288370.02992256</v>
      </c>
      <c r="Q38" s="45">
        <f>'Total REC Delivery Activities'!Q38*'Indexed REC Price Calculator'!R8</f>
        <v>-41768000.430521019</v>
      </c>
      <c r="R38" s="45">
        <f>'Total REC Delivery Activities'!R38*'Indexed REC Price Calculator'!S8</f>
        <v>-46337223.439131439</v>
      </c>
      <c r="S38" s="45">
        <f>'Total REC Delivery Activities'!S38*'Indexed REC Price Calculator'!T8</f>
        <v>-50997830.907914065</v>
      </c>
      <c r="T38" s="45">
        <f>'Total REC Delivery Activities'!T38*'Indexed REC Price Calculator'!U8</f>
        <v>-55751650.526072331</v>
      </c>
      <c r="U38" s="45">
        <f>'Total REC Delivery Activities'!U38*'Indexed REC Price Calculator'!V8</f>
        <v>-60600546.536593765</v>
      </c>
      <c r="V38" s="45">
        <f>'Total REC Delivery Activities'!V38*'Indexed REC Price Calculator'!W8</f>
        <v>-65546420.467325635</v>
      </c>
    </row>
    <row r="39" spans="1:22" x14ac:dyDescent="0.3">
      <c r="A39" s="244" t="s">
        <v>41</v>
      </c>
      <c r="B39" s="45"/>
      <c r="C39" s="45">
        <f>'DY 2023 Summary'!B43</f>
        <v>0</v>
      </c>
      <c r="D39" s="45">
        <f>'DY 2023 Summary'!C43</f>
        <v>0</v>
      </c>
      <c r="E39" s="45">
        <f>'DY 2023 Summary'!D43</f>
        <v>0</v>
      </c>
      <c r="F39" s="45">
        <f>'Total REC Delivery Activities'!F39*'Indexed REC Price Calculator'!G35</f>
        <v>11484430.131376792</v>
      </c>
      <c r="G39" s="45">
        <f>'Total REC Delivery Activities'!G39*'Indexed REC Price Calculator'!H35</f>
        <v>10323199.370781802</v>
      </c>
      <c r="H39" s="45">
        <f>'Total REC Delivery Activities'!H39*'Indexed REC Price Calculator'!I35</f>
        <v>9151328.0157017149</v>
      </c>
      <c r="I39" s="45">
        <f>'Total REC Delivery Activities'!I39*'Indexed REC Price Calculator'!J35</f>
        <v>7968624.212559456</v>
      </c>
      <c r="J39" s="45">
        <f>'Total REC Delivery Activities'!J39*'Indexed REC Price Calculator'!K35</f>
        <v>6774893.4157032603</v>
      </c>
      <c r="K39" s="45">
        <f>'Total REC Delivery Activities'!K39*'Indexed REC Price Calculator'!L35</f>
        <v>5569938.3464620207</v>
      </c>
      <c r="L39" s="45">
        <f>'Total REC Delivery Activities'!L39*'Indexed REC Price Calculator'!M35</f>
        <v>4353558.9515947644</v>
      </c>
      <c r="M39" s="45">
        <f>'Total REC Delivery Activities'!M39*'Indexed REC Price Calculator'!N35</f>
        <v>3125552.3611251358</v>
      </c>
      <c r="N39" s="45">
        <f>'Total REC Delivery Activities'!N39*'Indexed REC Price Calculator'!O35</f>
        <v>1885712.8455517518</v>
      </c>
      <c r="O39" s="45">
        <f>'Total REC Delivery Activities'!O39*'Indexed REC Price Calculator'!P35</f>
        <v>633831.77242509299</v>
      </c>
      <c r="P39" s="45">
        <f>'Total REC Delivery Activities'!P39*'Indexed REC Price Calculator'!Q35</f>
        <v>-630302.43771852367</v>
      </c>
      <c r="Q39" s="45">
        <f>'Total REC Delivery Activities'!Q39*'Indexed REC Price Calculator'!R35</f>
        <v>-1906904.3560755206</v>
      </c>
      <c r="R39" s="45">
        <f>'Total REC Delivery Activities'!R39*'Indexed REC Price Calculator'!S35</f>
        <v>-3196191.59095586</v>
      </c>
      <c r="S39" s="45">
        <f>'Total REC Delivery Activities'!S39*'Indexed REC Price Calculator'!T35</f>
        <v>-4498384.8338360405</v>
      </c>
      <c r="T39" s="45">
        <f>'Total REC Delivery Activities'!T39*'Indexed REC Price Calculator'!U35</f>
        <v>-5813707.9060942587</v>
      </c>
      <c r="U39" s="45">
        <f>'Total REC Delivery Activities'!U39*'Indexed REC Price Calculator'!V35</f>
        <v>-7142387.8064379543</v>
      </c>
      <c r="V39" s="45">
        <f>'Total REC Delivery Activities'!V39*'Indexed REC Price Calculator'!W35</f>
        <v>-8484654.7590340581</v>
      </c>
    </row>
    <row r="40" spans="1:22" x14ac:dyDescent="0.3">
      <c r="A40" s="244" t="s">
        <v>42</v>
      </c>
      <c r="B40" s="45"/>
      <c r="C40" s="45">
        <f>'DY 2023 Summary'!B44</f>
        <v>0</v>
      </c>
      <c r="D40" s="45">
        <f>'DY 2023 Summary'!C44</f>
        <v>0</v>
      </c>
      <c r="E40" s="45">
        <f>'DY 2023 Summary'!D44</f>
        <v>0</v>
      </c>
      <c r="F40" s="45">
        <f>'Total REC Delivery Activities'!F40*'Indexed REC Price Calculator'!G62</f>
        <v>3382049.4089695192</v>
      </c>
      <c r="G40" s="45">
        <f>'Total REC Delivery Activities'!G40*'Indexed REC Price Calculator'!H62</f>
        <v>3280911.5560310348</v>
      </c>
      <c r="H40" s="45">
        <f>'Total REC Delivery Activities'!H40*'Indexed REC Price Calculator'!I62</f>
        <v>3179024.401029428</v>
      </c>
      <c r="I40" s="45">
        <f>'Total REC Delivery Activities'!I40*'Indexed REC Price Calculator'!J62</f>
        <v>3076372.9911042298</v>
      </c>
      <c r="J40" s="45">
        <f>'Total REC Delivery Activities'!J40*'Indexed REC Price Calculator'!K62</f>
        <v>2972942.1695386479</v>
      </c>
      <c r="K40" s="45">
        <f>'Total REC Delivery Activities'!K40*'Indexed REC Price Calculator'!L62</f>
        <v>2868716.5726274047</v>
      </c>
      <c r="L40" s="45">
        <f>'Total REC Delivery Activities'!L40*'Indexed REC Price Calculator'!M62</f>
        <v>2763680.6264983709</v>
      </c>
      <c r="M40" s="45">
        <f>'Total REC Delivery Activities'!M40*'Indexed REC Price Calculator'!N62</f>
        <v>2657818.5438873204</v>
      </c>
      <c r="N40" s="45">
        <f>'Total REC Delivery Activities'!N40*'Indexed REC Price Calculator'!O62</f>
        <v>2551114.3208650942</v>
      </c>
      <c r="O40" s="45">
        <f>'Total REC Delivery Activities'!O40*'Indexed REC Price Calculator'!P62</f>
        <v>2443551.7335164677</v>
      </c>
      <c r="P40" s="45">
        <f>'Total REC Delivery Activities'!P40*'Indexed REC Price Calculator'!Q62</f>
        <v>2335114.3345699944</v>
      </c>
      <c r="Q40" s="45">
        <f>'Total REC Delivery Activities'!Q40*'Indexed REC Price Calculator'!R62</f>
        <v>2225785.4499780978</v>
      </c>
      <c r="R40" s="45">
        <f>'Total REC Delivery Activities'!R40*'Indexed REC Price Calculator'!S62</f>
        <v>2115548.1754466672</v>
      </c>
      <c r="S40" s="45">
        <f>'Total REC Delivery Activities'!S40*'Indexed REC Price Calculator'!T62</f>
        <v>2004385.3729133992</v>
      </c>
      <c r="T40" s="45">
        <f>'Total REC Delivery Activities'!T40*'Indexed REC Price Calculator'!U62</f>
        <v>1892279.6669741222</v>
      </c>
      <c r="U40" s="45">
        <f>'Total REC Delivery Activities'!U40*'Indexed REC Price Calculator'!V62</f>
        <v>1779213.4412563285</v>
      </c>
      <c r="V40" s="45">
        <f>'Total REC Delivery Activities'!V40*'Indexed REC Price Calculator'!W62</f>
        <v>1665168.8347391183</v>
      </c>
    </row>
    <row r="41" spans="1:22" x14ac:dyDescent="0.3">
      <c r="A41" s="245" t="s">
        <v>233</v>
      </c>
      <c r="B41" s="24">
        <f t="shared" ref="B41:V41" si="4">SUM(B32:B40)</f>
        <v>0</v>
      </c>
      <c r="C41" s="24">
        <f t="shared" si="4"/>
        <v>186183828.02998012</v>
      </c>
      <c r="D41" s="24">
        <f t="shared" si="4"/>
        <v>51905350.460427888</v>
      </c>
      <c r="E41" s="24">
        <f t="shared" si="4"/>
        <v>51435347.717106394</v>
      </c>
      <c r="F41" s="24">
        <f t="shared" si="4"/>
        <v>69142159.909858465</v>
      </c>
      <c r="G41" s="24">
        <f t="shared" si="4"/>
        <v>64095525.716468729</v>
      </c>
      <c r="H41" s="24">
        <f t="shared" si="4"/>
        <v>58964551.524850063</v>
      </c>
      <c r="I41" s="24">
        <f t="shared" si="4"/>
        <v>53747557.850481711</v>
      </c>
      <c r="J41" s="24">
        <f t="shared" si="4"/>
        <v>25110486.763822306</v>
      </c>
      <c r="K41" s="24">
        <f t="shared" si="4"/>
        <v>13604921.879467474</v>
      </c>
      <c r="L41" s="24">
        <f t="shared" si="4"/>
        <v>8119466.865578359</v>
      </c>
      <c r="M41" s="24">
        <f t="shared" si="4"/>
        <v>2540945.2362075089</v>
      </c>
      <c r="N41" s="24">
        <f t="shared" si="4"/>
        <v>-3132490.3452938762</v>
      </c>
      <c r="O41" s="24">
        <f t="shared" si="4"/>
        <v>-8902722.7838854138</v>
      </c>
      <c r="P41" s="24">
        <f t="shared" si="4"/>
        <v>-14771671.249514658</v>
      </c>
      <c r="Q41" s="24">
        <f t="shared" si="4"/>
        <v>-20741291.887479793</v>
      </c>
      <c r="R41" s="24">
        <f t="shared" si="4"/>
        <v>-26813578.542747676</v>
      </c>
      <c r="S41" s="24">
        <f t="shared" si="4"/>
        <v>-32990563.498503216</v>
      </c>
      <c r="T41" s="24">
        <f t="shared" si="4"/>
        <v>-39274318.229210645</v>
      </c>
      <c r="U41" s="24">
        <f t="shared" si="4"/>
        <v>-45666954.168473475</v>
      </c>
      <c r="V41" s="24">
        <f t="shared" si="4"/>
        <v>-52170623.491985172</v>
      </c>
    </row>
    <row r="43" spans="1:22" ht="15.6" x14ac:dyDescent="0.3">
      <c r="A43" s="248">
        <v>2024</v>
      </c>
      <c r="B43" s="247">
        <v>2022</v>
      </c>
      <c r="C43" s="247">
        <v>2023</v>
      </c>
      <c r="D43" s="247">
        <v>2024</v>
      </c>
      <c r="E43" s="247">
        <v>2025</v>
      </c>
      <c r="F43" s="247">
        <v>2026</v>
      </c>
      <c r="G43" s="247">
        <v>2027</v>
      </c>
      <c r="H43" s="247">
        <v>2028</v>
      </c>
      <c r="I43" s="247">
        <v>2029</v>
      </c>
      <c r="J43" s="247">
        <v>2030</v>
      </c>
      <c r="K43" s="247">
        <v>2031</v>
      </c>
      <c r="L43" s="247">
        <v>2032</v>
      </c>
      <c r="M43" s="247">
        <v>2033</v>
      </c>
      <c r="N43" s="247">
        <v>2034</v>
      </c>
      <c r="O43" s="247">
        <v>2035</v>
      </c>
      <c r="P43" s="247">
        <v>2036</v>
      </c>
      <c r="Q43" s="247">
        <v>2037</v>
      </c>
      <c r="R43" s="247">
        <v>2038</v>
      </c>
      <c r="S43" s="247">
        <v>2039</v>
      </c>
      <c r="T43" s="247">
        <v>2040</v>
      </c>
      <c r="U43" s="247">
        <v>2041</v>
      </c>
      <c r="V43" s="247">
        <v>2042</v>
      </c>
    </row>
    <row r="44" spans="1:22" x14ac:dyDescent="0.3">
      <c r="A44" s="244" t="s">
        <v>6</v>
      </c>
      <c r="B44" s="45"/>
      <c r="C44" s="45"/>
      <c r="D44" s="45">
        <f>'DY 2024 Summary'!B36</f>
        <v>147344631.33522782</v>
      </c>
      <c r="E44" s="45">
        <f>'DY 2024 Summary'!C36</f>
        <v>0</v>
      </c>
      <c r="F44" s="45">
        <f>'DY 2024 Summary'!D36</f>
        <v>0</v>
      </c>
      <c r="G44" s="45">
        <f>'DY 2024 Summary'!E36</f>
        <v>0</v>
      </c>
      <c r="H44" s="45">
        <f>'DY 2024 Summary'!F36</f>
        <v>0</v>
      </c>
      <c r="I44" s="45">
        <f>'DY 2024 Summary'!G36</f>
        <v>0</v>
      </c>
      <c r="J44" s="45">
        <f>'DY 2024 Summary'!H36</f>
        <v>0</v>
      </c>
      <c r="K44" s="45">
        <f>'DY 2024 Summary'!I36</f>
        <v>0</v>
      </c>
      <c r="L44" s="45">
        <f>'DY 2024 Summary'!J36</f>
        <v>0</v>
      </c>
      <c r="M44" s="45">
        <f>'DY 2024 Summary'!K36</f>
        <v>0</v>
      </c>
      <c r="N44" s="45">
        <f>'DY 2024 Summary'!L36</f>
        <v>0</v>
      </c>
      <c r="O44" s="45">
        <f>'DY 2024 Summary'!M36</f>
        <v>0</v>
      </c>
      <c r="P44" s="45">
        <f>'DY 2024 Summary'!N36</f>
        <v>0</v>
      </c>
      <c r="Q44" s="45">
        <f>'DY 2024 Summary'!O36</f>
        <v>0</v>
      </c>
      <c r="R44" s="45">
        <f>'DY 2024 Summary'!P36</f>
        <v>0</v>
      </c>
      <c r="S44" s="45">
        <f>'DY 2024 Summary'!Q36</f>
        <v>0</v>
      </c>
      <c r="T44" s="45">
        <f>'DY 2024 Summary'!R36</f>
        <v>0</v>
      </c>
      <c r="U44" s="45">
        <f>'DY 2024 Summary'!S36</f>
        <v>0</v>
      </c>
      <c r="V44" s="45">
        <f>'DY 2024 Summary'!T36</f>
        <v>0</v>
      </c>
    </row>
    <row r="45" spans="1:22" x14ac:dyDescent="0.3">
      <c r="A45" s="244" t="s">
        <v>12</v>
      </c>
      <c r="B45" s="45"/>
      <c r="C45" s="45"/>
      <c r="D45" s="45">
        <f>'DY 2024 Summary'!B37</f>
        <v>15811095.753424857</v>
      </c>
      <c r="E45" s="45">
        <f>'DY 2024 Summary'!C37</f>
        <v>14932701.544901256</v>
      </c>
      <c r="F45" s="45">
        <f>'DY 2024 Summary'!D37</f>
        <v>14932701.544901256</v>
      </c>
      <c r="G45" s="45">
        <f>'DY 2024 Summary'!E37</f>
        <v>14932701.544901256</v>
      </c>
      <c r="H45" s="45">
        <f>'DY 2024 Summary'!F37</f>
        <v>14932701.544901256</v>
      </c>
      <c r="I45" s="45">
        <f>'DY 2024 Summary'!G37</f>
        <v>14932701.544901256</v>
      </c>
      <c r="J45" s="45">
        <f>'DY 2024 Summary'!H37</f>
        <v>14932701.544901256</v>
      </c>
      <c r="K45" s="45">
        <f>'DY 2024 Summary'!I37</f>
        <v>0</v>
      </c>
      <c r="L45" s="45">
        <f>'DY 2024 Summary'!J37</f>
        <v>0</v>
      </c>
      <c r="M45" s="45">
        <f>'DY 2024 Summary'!K37</f>
        <v>0</v>
      </c>
      <c r="N45" s="45">
        <f>'DY 2024 Summary'!L37</f>
        <v>0</v>
      </c>
      <c r="O45" s="45">
        <f>'DY 2024 Summary'!M37</f>
        <v>0</v>
      </c>
      <c r="P45" s="45">
        <f>'DY 2024 Summary'!N37</f>
        <v>0</v>
      </c>
      <c r="Q45" s="45">
        <f>'DY 2024 Summary'!O37</f>
        <v>0</v>
      </c>
      <c r="R45" s="45">
        <f>'DY 2024 Summary'!P37</f>
        <v>0</v>
      </c>
      <c r="S45" s="45">
        <f>'DY 2024 Summary'!Q37</f>
        <v>0</v>
      </c>
      <c r="T45" s="45">
        <f>'DY 2024 Summary'!R37</f>
        <v>0</v>
      </c>
      <c r="U45" s="45">
        <f>'DY 2024 Summary'!S37</f>
        <v>0</v>
      </c>
      <c r="V45" s="45">
        <f>'DY 2024 Summary'!T37</f>
        <v>0</v>
      </c>
    </row>
    <row r="46" spans="1:22" x14ac:dyDescent="0.3">
      <c r="A46" s="244" t="s">
        <v>21</v>
      </c>
      <c r="B46" s="45"/>
      <c r="C46" s="45"/>
      <c r="D46" s="45">
        <f>'DY 2024 Summary'!B38</f>
        <v>0</v>
      </c>
      <c r="E46" s="45">
        <f>'DY 2024 Summary'!C38</f>
        <v>13581238.386041543</v>
      </c>
      <c r="F46" s="45">
        <f>'DY 2024 Summary'!D38</f>
        <v>13513332.194111336</v>
      </c>
      <c r="G46" s="45">
        <f>'DY 2024 Summary'!E38</f>
        <v>13445765.533140779</v>
      </c>
      <c r="H46" s="45">
        <f>'DY 2024 Summary'!F38</f>
        <v>13378536.705475075</v>
      </c>
      <c r="I46" s="45">
        <f>'DY 2024 Summary'!G38</f>
        <v>13311644.021947699</v>
      </c>
      <c r="J46" s="45">
        <f>'DY 2024 Summary'!H38</f>
        <v>13245085.801837958</v>
      </c>
      <c r="K46" s="45">
        <f>'DY 2024 Summary'!I38</f>
        <v>13178860.37282877</v>
      </c>
      <c r="L46" s="45">
        <f>'DY 2024 Summary'!J38</f>
        <v>13112966.070964627</v>
      </c>
      <c r="M46" s="45">
        <f>'DY 2024 Summary'!K38</f>
        <v>13047401.240609804</v>
      </c>
      <c r="N46" s="45">
        <f>'DY 2024 Summary'!L38</f>
        <v>12982164.234406754</v>
      </c>
      <c r="O46" s="45">
        <f>'DY 2024 Summary'!M38</f>
        <v>12917253.413234718</v>
      </c>
      <c r="P46" s="45">
        <f>'DY 2024 Summary'!N38</f>
        <v>12852667.146168547</v>
      </c>
      <c r="Q46" s="45">
        <f>'DY 2024 Summary'!O38</f>
        <v>12788403.810437705</v>
      </c>
      <c r="R46" s="45">
        <f>'DY 2024 Summary'!P38</f>
        <v>12724461.791385515</v>
      </c>
      <c r="S46" s="45">
        <f>'DY 2024 Summary'!Q38</f>
        <v>12660839.482428588</v>
      </c>
      <c r="T46" s="45">
        <f>'DY 2024 Summary'!R38</f>
        <v>12597535.285016445</v>
      </c>
      <c r="U46" s="45">
        <f>'DY 2024 Summary'!S38</f>
        <v>12534547.608591363</v>
      </c>
      <c r="V46" s="45">
        <f>'DY 2024 Summary'!T38</f>
        <v>12471874.870548405</v>
      </c>
    </row>
    <row r="47" spans="1:22" x14ac:dyDescent="0.3">
      <c r="A47" s="244" t="s">
        <v>25</v>
      </c>
      <c r="B47" s="45"/>
      <c r="C47" s="45"/>
      <c r="D47" s="45">
        <f>'DY 2024 Summary'!B39</f>
        <v>7675199.9434157629</v>
      </c>
      <c r="E47" s="45">
        <f>'DY 2024 Summary'!C39</f>
        <v>7636823.9436986838</v>
      </c>
      <c r="F47" s="45">
        <f>'DY 2024 Summary'!D39</f>
        <v>7598639.8239801899</v>
      </c>
      <c r="G47" s="45">
        <f>'DY 2024 Summary'!E39</f>
        <v>7560646.6248602895</v>
      </c>
      <c r="H47" s="45">
        <f>'DY 2024 Summary'!F39</f>
        <v>7522843.3917359887</v>
      </c>
      <c r="I47" s="45">
        <f>'DY 2024 Summary'!G39</f>
        <v>7485229.1747773085</v>
      </c>
      <c r="J47" s="45">
        <f>'DY 2024 Summary'!H39</f>
        <v>7447803.0289034229</v>
      </c>
      <c r="K47" s="45">
        <f>'DY 2024 Summary'!I39</f>
        <v>7410564.0137589052</v>
      </c>
      <c r="L47" s="45">
        <f>'DY 2024 Summary'!J39</f>
        <v>7373511.19369011</v>
      </c>
      <c r="M47" s="45">
        <f>'DY 2024 Summary'!K39</f>
        <v>7336643.6377216596</v>
      </c>
      <c r="N47" s="45">
        <f>'DY 2024 Summary'!L39</f>
        <v>7299960.4195330516</v>
      </c>
      <c r="O47" s="45">
        <f>'DY 2024 Summary'!M39</f>
        <v>7263460.6174353864</v>
      </c>
      <c r="P47" s="45">
        <f>'DY 2024 Summary'!N39</f>
        <v>7227143.3143482096</v>
      </c>
      <c r="Q47" s="45">
        <f>'DY 2024 Summary'!O39</f>
        <v>7191007.597776467</v>
      </c>
      <c r="R47" s="45">
        <f>'DY 2024 Summary'!P39</f>
        <v>7155052.5597875854</v>
      </c>
      <c r="S47" s="45">
        <f>'DY 2024 Summary'!Q39</f>
        <v>7119277.2969886484</v>
      </c>
      <c r="T47" s="45">
        <f>'DY 2024 Summary'!R39</f>
        <v>7083680.910503705</v>
      </c>
      <c r="U47" s="45">
        <f>'DY 2024 Summary'!S39</f>
        <v>7048262.5059511866</v>
      </c>
      <c r="V47" s="45">
        <f>'DY 2024 Summary'!T39</f>
        <v>7013021.1934214309</v>
      </c>
    </row>
    <row r="48" spans="1:22" x14ac:dyDescent="0.3">
      <c r="A48" s="244" t="s">
        <v>29</v>
      </c>
      <c r="B48" s="45"/>
      <c r="C48" s="45"/>
      <c r="D48" s="45">
        <f>'DY 2024 Summary'!B40</f>
        <v>0</v>
      </c>
      <c r="E48" s="45">
        <f>'DY 2024 Summary'!C40</f>
        <v>6212021.7949186526</v>
      </c>
      <c r="F48" s="45">
        <f>'DY 2024 Summary'!D40</f>
        <v>5866909.472978727</v>
      </c>
      <c r="G48" s="45">
        <f>'DY 2024 Summary'!E40</f>
        <v>5866909.472978727</v>
      </c>
      <c r="H48" s="45">
        <f>'DY 2024 Summary'!F40</f>
        <v>5866909.472978727</v>
      </c>
      <c r="I48" s="45">
        <f>'DY 2024 Summary'!G40</f>
        <v>5866909.472978727</v>
      </c>
      <c r="J48" s="45">
        <f>'DY 2024 Summary'!H40</f>
        <v>5866909.472978727</v>
      </c>
      <c r="K48" s="45">
        <f>'DY 2024 Summary'!I40</f>
        <v>5866909.472978727</v>
      </c>
      <c r="L48" s="45">
        <f>'DY 2024 Summary'!J40</f>
        <v>0</v>
      </c>
      <c r="M48" s="45">
        <f>'DY 2024 Summary'!K40</f>
        <v>0</v>
      </c>
      <c r="N48" s="45">
        <f>'DY 2024 Summary'!L40</f>
        <v>0</v>
      </c>
      <c r="O48" s="45">
        <f>'DY 2024 Summary'!M40</f>
        <v>0</v>
      </c>
      <c r="P48" s="45">
        <f>'DY 2024 Summary'!N40</f>
        <v>0</v>
      </c>
      <c r="Q48" s="45">
        <f>'DY 2024 Summary'!O40</f>
        <v>0</v>
      </c>
      <c r="R48" s="45">
        <f>'DY 2024 Summary'!P40</f>
        <v>0</v>
      </c>
      <c r="S48" s="45">
        <f>'DY 2024 Summary'!Q40</f>
        <v>0</v>
      </c>
      <c r="T48" s="45">
        <f>'DY 2024 Summary'!R40</f>
        <v>0</v>
      </c>
      <c r="U48" s="45">
        <f>'DY 2024 Summary'!S40</f>
        <v>0</v>
      </c>
      <c r="V48" s="45">
        <f>'DY 2024 Summary'!T40</f>
        <v>0</v>
      </c>
    </row>
    <row r="49" spans="1:22" x14ac:dyDescent="0.3">
      <c r="A49" s="244" t="s">
        <v>33</v>
      </c>
      <c r="B49" s="45"/>
      <c r="C49" s="45"/>
      <c r="D49" s="45">
        <f>'DY 2024 Summary'!B41</f>
        <v>7905547.8767124284</v>
      </c>
      <c r="E49" s="45">
        <f>'DY 2024 Summary'!C41</f>
        <v>7466350.7724506278</v>
      </c>
      <c r="F49" s="45">
        <f>'DY 2024 Summary'!D41</f>
        <v>7466350.7724506278</v>
      </c>
      <c r="G49" s="45">
        <f>'DY 2024 Summary'!E41</f>
        <v>7466350.7724506278</v>
      </c>
      <c r="H49" s="45">
        <f>'DY 2024 Summary'!F41</f>
        <v>7466350.7724506278</v>
      </c>
      <c r="I49" s="45">
        <f>'DY 2024 Summary'!G41</f>
        <v>7466350.7724506278</v>
      </c>
      <c r="J49" s="45">
        <f>'DY 2024 Summary'!H41</f>
        <v>7466350.7724506278</v>
      </c>
      <c r="K49" s="45">
        <f>'DY 2024 Summary'!I41</f>
        <v>0</v>
      </c>
      <c r="L49" s="45">
        <f>'DY 2024 Summary'!J41</f>
        <v>0</v>
      </c>
      <c r="M49" s="45">
        <f>'DY 2024 Summary'!K41</f>
        <v>0</v>
      </c>
      <c r="N49" s="45">
        <f>'DY 2024 Summary'!L41</f>
        <v>0</v>
      </c>
      <c r="O49" s="45">
        <f>'DY 2024 Summary'!M41</f>
        <v>0</v>
      </c>
      <c r="P49" s="45">
        <f>'DY 2024 Summary'!N41</f>
        <v>0</v>
      </c>
      <c r="Q49" s="45">
        <f>'DY 2024 Summary'!O41</f>
        <v>0</v>
      </c>
      <c r="R49" s="45">
        <f>'DY 2024 Summary'!P41</f>
        <v>0</v>
      </c>
      <c r="S49" s="45">
        <f>'DY 2024 Summary'!Q41</f>
        <v>0</v>
      </c>
      <c r="T49" s="45">
        <f>'DY 2024 Summary'!R41</f>
        <v>0</v>
      </c>
      <c r="U49" s="45">
        <f>'DY 2024 Summary'!S41</f>
        <v>0</v>
      </c>
      <c r="V49" s="45">
        <f>'DY 2024 Summary'!T41</f>
        <v>0</v>
      </c>
    </row>
    <row r="50" spans="1:22" x14ac:dyDescent="0.3">
      <c r="A50" s="244" t="s">
        <v>40</v>
      </c>
      <c r="B50" s="45"/>
      <c r="C50" s="45"/>
      <c r="D50" s="45">
        <f>'DY 2024 Summary'!B42</f>
        <v>0</v>
      </c>
      <c r="E50" s="45">
        <f>'DY 2024 Summary'!C42</f>
        <v>0</v>
      </c>
      <c r="F50" s="45">
        <f>'DY 2024 Summary'!D42</f>
        <v>0</v>
      </c>
      <c r="G50" s="45">
        <f>'Total REC Delivery Activities'!G50*'Indexed REC Price Calculator'!H9</f>
        <v>1468041.8283999828</v>
      </c>
      <c r="H50" s="45">
        <f>'Total REC Delivery Activities'!H50*'Indexed REC Price Calculator'!I9</f>
        <v>-406135.3350320154</v>
      </c>
      <c r="I50" s="45">
        <f>'Total REC Delivery Activities'!I50*'Indexed REC Price Calculator'!J9</f>
        <v>-2317796.0417326558</v>
      </c>
      <c r="J50" s="45">
        <f>'Total REC Delivery Activities'!J50*'Indexed REC Price Calculator'!K9</f>
        <v>-4267689.962567308</v>
      </c>
      <c r="K50" s="45">
        <f>'Total REC Delivery Activities'!K50*'Indexed REC Price Calculator'!L9</f>
        <v>-6256581.7618186586</v>
      </c>
      <c r="L50" s="45">
        <f>'Total REC Delivery Activities'!L50*'Indexed REC Price Calculator'!M9</f>
        <v>-8285251.3970550327</v>
      </c>
      <c r="M50" s="45">
        <f>'Total REC Delivery Activities'!M50*'Indexed REC Price Calculator'!N9</f>
        <v>-10354494.42499613</v>
      </c>
      <c r="N50" s="45">
        <f>'Total REC Delivery Activities'!N50*'Indexed REC Price Calculator'!O9</f>
        <v>-12465122.313496049</v>
      </c>
      <c r="O50" s="45">
        <f>'Total REC Delivery Activities'!O50*'Indexed REC Price Calculator'!P9</f>
        <v>-14617962.759765971</v>
      </c>
      <c r="P50" s="45">
        <f>'Total REC Delivery Activities'!P50*'Indexed REC Price Calculator'!Q9</f>
        <v>-16813860.014961287</v>
      </c>
      <c r="Q50" s="45">
        <f>'Total REC Delivery Activities'!Q50*'Indexed REC Price Calculator'!R9</f>
        <v>-19053675.215260517</v>
      </c>
      <c r="R50" s="45">
        <f>'Total REC Delivery Activities'!R50*'Indexed REC Price Calculator'!S9</f>
        <v>-21338286.719565727</v>
      </c>
      <c r="S50" s="45">
        <f>'Total REC Delivery Activities'!S50*'Indexed REC Price Calculator'!T9</f>
        <v>-23668590.45395704</v>
      </c>
      <c r="T50" s="45">
        <f>'Total REC Delivery Activities'!T50*'Indexed REC Price Calculator'!U9</f>
        <v>-26045500.263036173</v>
      </c>
      <c r="U50" s="45">
        <f>'Total REC Delivery Activities'!U50*'Indexed REC Price Calculator'!V9</f>
        <v>-28469948.26829689</v>
      </c>
      <c r="V50" s="45">
        <f>'Total REC Delivery Activities'!V50*'Indexed REC Price Calculator'!W9</f>
        <v>-30942885.233662821</v>
      </c>
    </row>
    <row r="51" spans="1:22" x14ac:dyDescent="0.3">
      <c r="A51" s="244" t="s">
        <v>41</v>
      </c>
      <c r="B51" s="45"/>
      <c r="C51" s="45"/>
      <c r="D51" s="45">
        <f>'DY 2024 Summary'!B43</f>
        <v>0</v>
      </c>
      <c r="E51" s="45">
        <f>'DY 2024 Summary'!C43</f>
        <v>0</v>
      </c>
      <c r="F51" s="45">
        <f>'DY 2024 Summary'!D43</f>
        <v>0</v>
      </c>
      <c r="G51" s="45">
        <f>'Total REC Delivery Activities'!G51*'Indexed REC Price Calculator'!H36</f>
        <v>11062081.044799989</v>
      </c>
      <c r="H51" s="45">
        <f>'Total REC Delivery Activities'!H51*'Indexed REC Price Calculator'!I36</f>
        <v>9941167.0523675103</v>
      </c>
      <c r="I51" s="45">
        <f>'Total REC Delivery Activities'!I51*'Indexed REC Price Calculator'!J36</f>
        <v>8809980.1364477854</v>
      </c>
      <c r="J51" s="45">
        <f>'Total REC Delivery Activities'!J51*'Indexed REC Price Calculator'!K36</f>
        <v>7668335.0870058583</v>
      </c>
      <c r="K51" s="45">
        <f>'Total REC Delivery Activities'!K51*'Indexed REC Price Calculator'!L36</f>
        <v>6516044.0950946184</v>
      </c>
      <c r="L51" s="45">
        <f>'Total REC Delivery Activities'!L51*'Indexed REC Price Calculator'!M36</f>
        <v>5352916.7133274404</v>
      </c>
      <c r="M51" s="45">
        <f>'Total REC Delivery Activities'!M51*'Indexed REC Price Calculator'!N36</f>
        <v>4178759.8157658549</v>
      </c>
      <c r="N51" s="45">
        <f>'Total REC Delivery Activities'!N51*'Indexed REC Price Calculator'!O36</f>
        <v>2993377.5572135523</v>
      </c>
      <c r="O51" s="45">
        <f>'Total REC Delivery Activities'!O51*'Indexed REC Price Calculator'!P36</f>
        <v>1796571.3319078542</v>
      </c>
      <c r="P51" s="45">
        <f>'Total REC Delivery Activities'!P51*'Indexed REC Price Calculator'!Q36</f>
        <v>588139.73159964441</v>
      </c>
      <c r="Q51" s="45">
        <f>'Total REC Delivery Activities'!Q51*'Indexed REC Price Calculator'!R36</f>
        <v>-632121.49698739348</v>
      </c>
      <c r="R51" s="45">
        <f>'Total REC Delivery Activities'!R51*'Indexed REC Price Calculator'!S36</f>
        <v>-1864419.4953274371</v>
      </c>
      <c r="S51" s="45">
        <f>'Total REC Delivery Activities'!S51*'Indexed REC Price Calculator'!T36</f>
        <v>-3108964.33690257</v>
      </c>
      <c r="T51" s="45">
        <f>'Total REC Delivery Activities'!T51*'Indexed REC Price Calculator'!U36</f>
        <v>-4365969.0716616968</v>
      </c>
      <c r="U51" s="45">
        <f>'Total REC Delivery Activities'!U51*'Indexed REC Price Calculator'!V36</f>
        <v>-5635649.7711380394</v>
      </c>
      <c r="V51" s="45">
        <f>'Total REC Delivery Activities'!V51*'Indexed REC Price Calculator'!W36</f>
        <v>-6918225.574235037</v>
      </c>
    </row>
    <row r="52" spans="1:22" x14ac:dyDescent="0.3">
      <c r="A52" s="244" t="s">
        <v>42</v>
      </c>
      <c r="B52" s="45"/>
      <c r="C52" s="45"/>
      <c r="D52" s="45">
        <f>'DY 2024 Summary'!B44</f>
        <v>0</v>
      </c>
      <c r="E52" s="45">
        <f>'DY 2024 Summary'!C44</f>
        <v>0</v>
      </c>
      <c r="F52" s="45">
        <f>'DY 2024 Summary'!D44</f>
        <v>0</v>
      </c>
      <c r="G52" s="45">
        <f>'Total REC Delivery Activities'!G52*'Indexed REC Price Calculator'!H63</f>
        <v>2778807.2679119995</v>
      </c>
      <c r="H52" s="45">
        <f>'Total REC Delivery Activities'!H52*'Indexed REC Price Calculator'!I63</f>
        <v>2695648.9984038882</v>
      </c>
      <c r="I52" s="45">
        <f>'Total REC Delivery Activities'!I52*'Indexed REC Price Calculator'!J63</f>
        <v>2611874.4831691063</v>
      </c>
      <c r="J52" s="45">
        <f>'Total REC Delivery Activities'!J52*'Indexed REC Price Calculator'!K63</f>
        <v>2527471.4260838809</v>
      </c>
      <c r="K52" s="45">
        <f>'Total REC Delivery Activities'!K52*'Indexed REC Price Calculator'!L63</f>
        <v>2442427.3633825076</v>
      </c>
      <c r="L52" s="45">
        <f>'Total REC Delivery Activities'!L52*'Indexed REC Price Calculator'!M63</f>
        <v>2356729.6610816345</v>
      </c>
      <c r="M52" s="45">
        <f>'Total REC Delivery Activities'!M52*'Indexed REC Price Calculator'!N63</f>
        <v>2270365.5123665547</v>
      </c>
      <c r="N52" s="45">
        <f>'Total REC Delivery Activities'!N52*'Indexed REC Price Calculator'!O63</f>
        <v>2183321.9349389463</v>
      </c>
      <c r="O52" s="45">
        <f>'Total REC Delivery Activities'!O52*'Indexed REC Price Calculator'!P63</f>
        <v>2095585.7683254753</v>
      </c>
      <c r="P52" s="45">
        <f>'Total REC Delivery Activities'!P52*'Indexed REC Price Calculator'!Q63</f>
        <v>2007143.6711466843</v>
      </c>
      <c r="Q52" s="45">
        <f>'Total REC Delivery Activities'!Q52*'Indexed REC Price Calculator'!R63</f>
        <v>1917982.1183455633</v>
      </c>
      <c r="R52" s="45">
        <f>'Total REC Delivery Activities'!R52*'Indexed REC Price Calculator'!S63</f>
        <v>1828087.3983752115</v>
      </c>
      <c r="S52" s="45">
        <f>'Total REC Delivery Activities'!S52*'Indexed REC Price Calculator'!T63</f>
        <v>1737445.6103449704</v>
      </c>
      <c r="T52" s="45">
        <f>'Total REC Delivery Activities'!T52*'Indexed REC Price Calculator'!U63</f>
        <v>1646042.6611244089</v>
      </c>
      <c r="U52" s="45">
        <f>'Total REC Delivery Activities'!U52*'Indexed REC Price Calculator'!V63</f>
        <v>1553864.2624045345</v>
      </c>
      <c r="V52" s="45">
        <f>'Total REC Delivery Activities'!V52*'Indexed REC Price Calculator'!W63</f>
        <v>1460895.9277155872</v>
      </c>
    </row>
    <row r="53" spans="1:22" x14ac:dyDescent="0.3">
      <c r="A53" s="245" t="s">
        <v>233</v>
      </c>
      <c r="B53" s="24">
        <f t="shared" ref="B53:V53" si="5">SUM(B44:B52)</f>
        <v>0</v>
      </c>
      <c r="C53" s="24">
        <f t="shared" si="5"/>
        <v>0</v>
      </c>
      <c r="D53" s="24">
        <f t="shared" si="5"/>
        <v>178736474.90878087</v>
      </c>
      <c r="E53" s="24">
        <f t="shared" si="5"/>
        <v>49829136.44201076</v>
      </c>
      <c r="F53" s="24">
        <f t="shared" si="5"/>
        <v>49377933.808422133</v>
      </c>
      <c r="G53" s="24">
        <f t="shared" si="5"/>
        <v>64581304.089443654</v>
      </c>
      <c r="H53" s="24">
        <f t="shared" si="5"/>
        <v>61398022.603281051</v>
      </c>
      <c r="I53" s="24">
        <f t="shared" si="5"/>
        <v>58166893.564939857</v>
      </c>
      <c r="J53" s="24">
        <f t="shared" si="5"/>
        <v>54886967.171594419</v>
      </c>
      <c r="K53" s="24">
        <f t="shared" si="5"/>
        <v>29158223.556224868</v>
      </c>
      <c r="L53" s="24">
        <f t="shared" si="5"/>
        <v>19910872.242008779</v>
      </c>
      <c r="M53" s="24">
        <f t="shared" si="5"/>
        <v>16478675.781467743</v>
      </c>
      <c r="N53" s="24">
        <f t="shared" si="5"/>
        <v>12993701.832596255</v>
      </c>
      <c r="O53" s="24">
        <f t="shared" si="5"/>
        <v>9454908.3711374644</v>
      </c>
      <c r="P53" s="24">
        <f t="shared" si="5"/>
        <v>5861233.8483018</v>
      </c>
      <c r="Q53" s="24">
        <f t="shared" si="5"/>
        <v>2211596.8143118271</v>
      </c>
      <c r="R53" s="24">
        <f t="shared" si="5"/>
        <v>-1495104.4653448535</v>
      </c>
      <c r="S53" s="24">
        <f t="shared" si="5"/>
        <v>-5259992.4010974038</v>
      </c>
      <c r="T53" s="24">
        <f t="shared" si="5"/>
        <v>-9084210.478053309</v>
      </c>
      <c r="U53" s="24">
        <f t="shared" si="5"/>
        <v>-12968923.662487842</v>
      </c>
      <c r="V53" s="24">
        <f t="shared" si="5"/>
        <v>-16915318.816212434</v>
      </c>
    </row>
    <row r="55" spans="1:22" ht="15.6" x14ac:dyDescent="0.3">
      <c r="A55" s="248">
        <v>2025</v>
      </c>
      <c r="B55" s="247">
        <v>2022</v>
      </c>
      <c r="C55" s="247">
        <v>2023</v>
      </c>
      <c r="D55" s="247">
        <v>2024</v>
      </c>
      <c r="E55" s="247">
        <v>2025</v>
      </c>
      <c r="F55" s="247">
        <v>2026</v>
      </c>
      <c r="G55" s="247">
        <v>2027</v>
      </c>
      <c r="H55" s="247">
        <v>2028</v>
      </c>
      <c r="I55" s="247">
        <v>2029</v>
      </c>
      <c r="J55" s="247">
        <v>2030</v>
      </c>
      <c r="K55" s="247">
        <v>2031</v>
      </c>
      <c r="L55" s="247">
        <v>2032</v>
      </c>
      <c r="M55" s="247">
        <v>2033</v>
      </c>
      <c r="N55" s="247">
        <v>2034</v>
      </c>
      <c r="O55" s="247">
        <v>2035</v>
      </c>
      <c r="P55" s="247">
        <v>2036</v>
      </c>
      <c r="Q55" s="247">
        <v>2037</v>
      </c>
      <c r="R55" s="247">
        <v>2038</v>
      </c>
      <c r="S55" s="247">
        <v>2039</v>
      </c>
      <c r="T55" s="247">
        <v>2040</v>
      </c>
      <c r="U55" s="247">
        <v>2041</v>
      </c>
      <c r="V55" s="247">
        <v>2042</v>
      </c>
    </row>
    <row r="56" spans="1:22" x14ac:dyDescent="0.3">
      <c r="A56" s="244" t="s">
        <v>6</v>
      </c>
      <c r="B56" s="45"/>
      <c r="C56" s="45"/>
      <c r="D56" s="45"/>
      <c r="E56" s="45">
        <f>D44*'Future Plan Assumptions'!$B$101</f>
        <v>141450846.0818187</v>
      </c>
      <c r="F56" s="45">
        <f>E44*'Future Plan Assumptions'!$B$101</f>
        <v>0</v>
      </c>
      <c r="G56" s="45">
        <f>F44*'Future Plan Assumptions'!$B$101</f>
        <v>0</v>
      </c>
      <c r="H56" s="45">
        <f>G44*'Future Plan Assumptions'!$B$101</f>
        <v>0</v>
      </c>
      <c r="I56" s="45">
        <f>H44*'Future Plan Assumptions'!$B$101</f>
        <v>0</v>
      </c>
      <c r="J56" s="45">
        <f>I44*'Future Plan Assumptions'!$B$101</f>
        <v>0</v>
      </c>
      <c r="K56" s="45">
        <f>J44*'Future Plan Assumptions'!$B$101</f>
        <v>0</v>
      </c>
      <c r="L56" s="45">
        <f>K44*'Future Plan Assumptions'!$B$101</f>
        <v>0</v>
      </c>
      <c r="M56" s="45">
        <f>L44*'Future Plan Assumptions'!$B$101</f>
        <v>0</v>
      </c>
      <c r="N56" s="45">
        <f>M44*'Future Plan Assumptions'!$B$101</f>
        <v>0</v>
      </c>
      <c r="O56" s="45">
        <f>N44*'Future Plan Assumptions'!$B$101</f>
        <v>0</v>
      </c>
      <c r="P56" s="45">
        <f>O44*'Future Plan Assumptions'!$B$101</f>
        <v>0</v>
      </c>
      <c r="Q56" s="45">
        <f>P44*'Future Plan Assumptions'!$B$101</f>
        <v>0</v>
      </c>
      <c r="R56" s="45">
        <f>Q44*'Future Plan Assumptions'!$B$101</f>
        <v>0</v>
      </c>
      <c r="S56" s="45">
        <f>R44*'Future Plan Assumptions'!$B$101</f>
        <v>0</v>
      </c>
      <c r="T56" s="45">
        <f>S44*'Future Plan Assumptions'!$B$101</f>
        <v>0</v>
      </c>
      <c r="U56" s="45">
        <f>T44*'Future Plan Assumptions'!$B$101</f>
        <v>0</v>
      </c>
      <c r="V56" s="45">
        <f>U44*'Future Plan Assumptions'!$B$101</f>
        <v>0</v>
      </c>
    </row>
    <row r="57" spans="1:22" x14ac:dyDescent="0.3">
      <c r="A57" s="244" t="s">
        <v>12</v>
      </c>
      <c r="B57" s="45"/>
      <c r="C57" s="45"/>
      <c r="D57" s="45"/>
      <c r="E57" s="45">
        <f>D45*'Future Plan Assumptions'!$B$101</f>
        <v>15178651.923287861</v>
      </c>
      <c r="F57" s="45">
        <f>E45*'Future Plan Assumptions'!$B$101</f>
        <v>14335393.483105205</v>
      </c>
      <c r="G57" s="45">
        <f>F45*'Future Plan Assumptions'!$B$101</f>
        <v>14335393.483105205</v>
      </c>
      <c r="H57" s="45">
        <f>G45*'Future Plan Assumptions'!$B$101</f>
        <v>14335393.483105205</v>
      </c>
      <c r="I57" s="45">
        <f>H45*'Future Plan Assumptions'!$B$101</f>
        <v>14335393.483105205</v>
      </c>
      <c r="J57" s="45">
        <f>I45*'Future Plan Assumptions'!$B$101</f>
        <v>14335393.483105205</v>
      </c>
      <c r="K57" s="45">
        <f>J45*'Future Plan Assumptions'!$B$101</f>
        <v>14335393.483105205</v>
      </c>
      <c r="L57" s="45">
        <f>K45*'Future Plan Assumptions'!$B$101</f>
        <v>0</v>
      </c>
      <c r="M57" s="45">
        <f>L45*'Future Plan Assumptions'!$B$101</f>
        <v>0</v>
      </c>
      <c r="N57" s="45">
        <f>M45*'Future Plan Assumptions'!$B$101</f>
        <v>0</v>
      </c>
      <c r="O57" s="45">
        <f>N45*'Future Plan Assumptions'!$B$101</f>
        <v>0</v>
      </c>
      <c r="P57" s="45">
        <f>O45*'Future Plan Assumptions'!$B$101</f>
        <v>0</v>
      </c>
      <c r="Q57" s="45">
        <f>P45*'Future Plan Assumptions'!$B$101</f>
        <v>0</v>
      </c>
      <c r="R57" s="45">
        <f>Q45*'Future Plan Assumptions'!$B$101</f>
        <v>0</v>
      </c>
      <c r="S57" s="45">
        <f>R45*'Future Plan Assumptions'!$B$101</f>
        <v>0</v>
      </c>
      <c r="T57" s="45">
        <f>S45*'Future Plan Assumptions'!$B$101</f>
        <v>0</v>
      </c>
      <c r="U57" s="45">
        <f>T45*'Future Plan Assumptions'!$B$101</f>
        <v>0</v>
      </c>
      <c r="V57" s="45">
        <f>U45*'Future Plan Assumptions'!$B$101</f>
        <v>0</v>
      </c>
    </row>
    <row r="58" spans="1:22" x14ac:dyDescent="0.3">
      <c r="A58" s="244" t="s">
        <v>21</v>
      </c>
      <c r="B58" s="45"/>
      <c r="C58" s="45"/>
      <c r="D58" s="45"/>
      <c r="E58" s="45">
        <f>D46*'Future Plan Assumptions'!$B$101</f>
        <v>0</v>
      </c>
      <c r="F58" s="45">
        <f>E46*'Future Plan Assumptions'!$B$101</f>
        <v>13037988.850599881</v>
      </c>
      <c r="G58" s="45">
        <f>F46*'Future Plan Assumptions'!$B$101</f>
        <v>12972798.906346882</v>
      </c>
      <c r="H58" s="45">
        <f>G46*'Future Plan Assumptions'!$B$101</f>
        <v>12907934.911815148</v>
      </c>
      <c r="I58" s="45">
        <f>H46*'Future Plan Assumptions'!$B$101</f>
        <v>12843395.237256072</v>
      </c>
      <c r="J58" s="45">
        <f>I46*'Future Plan Assumptions'!$B$101</f>
        <v>12779178.26106979</v>
      </c>
      <c r="K58" s="45">
        <f>J46*'Future Plan Assumptions'!$B$101</f>
        <v>12715282.36976444</v>
      </c>
      <c r="L58" s="45">
        <f>K46*'Future Plan Assumptions'!$B$101</f>
        <v>12651705.957915619</v>
      </c>
      <c r="M58" s="45">
        <f>L46*'Future Plan Assumptions'!$B$101</f>
        <v>12588447.428126041</v>
      </c>
      <c r="N58" s="45">
        <f>M46*'Future Plan Assumptions'!$B$101</f>
        <v>12525505.190985411</v>
      </c>
      <c r="O58" s="45">
        <f>N46*'Future Plan Assumptions'!$B$101</f>
        <v>12462877.665030483</v>
      </c>
      <c r="P58" s="45">
        <f>O46*'Future Plan Assumptions'!$B$101</f>
        <v>12400563.276705328</v>
      </c>
      <c r="Q58" s="45">
        <f>P46*'Future Plan Assumptions'!$B$101</f>
        <v>12338560.460321805</v>
      </c>
      <c r="R58" s="45">
        <f>Q46*'Future Plan Assumptions'!$B$101</f>
        <v>12276867.658020196</v>
      </c>
      <c r="S58" s="45">
        <f>R46*'Future Plan Assumptions'!$B$101</f>
        <v>12215483.319730094</v>
      </c>
      <c r="T58" s="45">
        <f>S46*'Future Plan Assumptions'!$B$101</f>
        <v>12154405.903131444</v>
      </c>
      <c r="U58" s="45">
        <f>T46*'Future Plan Assumptions'!$B$101</f>
        <v>12093633.873615786</v>
      </c>
      <c r="V58" s="45">
        <f>U46*'Future Plan Assumptions'!$B$101</f>
        <v>12033165.704247708</v>
      </c>
    </row>
    <row r="59" spans="1:22" x14ac:dyDescent="0.3">
      <c r="A59" s="244" t="s">
        <v>25</v>
      </c>
      <c r="B59" s="45"/>
      <c r="C59" s="45"/>
      <c r="D59" s="45"/>
      <c r="E59" s="45">
        <f>D47*'Future Plan Assumptions'!$B$101</f>
        <v>7368191.9456791319</v>
      </c>
      <c r="F59" s="45">
        <f>E47*'Future Plan Assumptions'!$B$101</f>
        <v>7331350.9859507363</v>
      </c>
      <c r="G59" s="45">
        <f>F47*'Future Plan Assumptions'!$B$101</f>
        <v>7294694.2310209824</v>
      </c>
      <c r="H59" s="45">
        <f>G47*'Future Plan Assumptions'!$B$101</f>
        <v>7258220.7598658772</v>
      </c>
      <c r="I59" s="45">
        <f>H47*'Future Plan Assumptions'!$B$101</f>
        <v>7221929.656066549</v>
      </c>
      <c r="J59" s="45">
        <f>I47*'Future Plan Assumptions'!$B$101</f>
        <v>7185820.0077862162</v>
      </c>
      <c r="K59" s="45">
        <f>J47*'Future Plan Assumptions'!$B$101</f>
        <v>7149890.9077472854</v>
      </c>
      <c r="L59" s="45">
        <f>K47*'Future Plan Assumptions'!$B$101</f>
        <v>7114141.4532085489</v>
      </c>
      <c r="M59" s="45">
        <f>L47*'Future Plan Assumptions'!$B$101</f>
        <v>7078570.7459425051</v>
      </c>
      <c r="N59" s="45">
        <f>M47*'Future Plan Assumptions'!$B$101</f>
        <v>7043177.8922127932</v>
      </c>
      <c r="O59" s="45">
        <f>N47*'Future Plan Assumptions'!$B$101</f>
        <v>7007962.0027517295</v>
      </c>
      <c r="P59" s="45">
        <f>O47*'Future Plan Assumptions'!$B$101</f>
        <v>6972922.1927379705</v>
      </c>
      <c r="Q59" s="45">
        <f>P47*'Future Plan Assumptions'!$B$101</f>
        <v>6938057.5817742813</v>
      </c>
      <c r="R59" s="45">
        <f>Q47*'Future Plan Assumptions'!$B$101</f>
        <v>6903367.2938654078</v>
      </c>
      <c r="S59" s="45">
        <f>R47*'Future Plan Assumptions'!$B$101</f>
        <v>6868850.4573960816</v>
      </c>
      <c r="T59" s="45">
        <f>S47*'Future Plan Assumptions'!$B$101</f>
        <v>6834506.2051091017</v>
      </c>
      <c r="U59" s="45">
        <f>T47*'Future Plan Assumptions'!$B$101</f>
        <v>6800333.674083557</v>
      </c>
      <c r="V59" s="45">
        <f>U47*'Future Plan Assumptions'!$B$101</f>
        <v>6766332.0057131387</v>
      </c>
    </row>
    <row r="60" spans="1:22" x14ac:dyDescent="0.3">
      <c r="A60" s="244" t="s">
        <v>29</v>
      </c>
      <c r="B60" s="45"/>
      <c r="C60" s="45"/>
      <c r="D60" s="45"/>
      <c r="E60" s="45">
        <f>D48*'Future Plan Assumptions'!$B$101</f>
        <v>0</v>
      </c>
      <c r="F60" s="45">
        <f>E48*'Future Plan Assumptions'!$B$101</f>
        <v>5963540.9231219059</v>
      </c>
      <c r="G60" s="45">
        <f>F48*'Future Plan Assumptions'!$B$101</f>
        <v>5632233.0940595772</v>
      </c>
      <c r="H60" s="45">
        <f>G48*'Future Plan Assumptions'!$B$101</f>
        <v>5632233.0940595772</v>
      </c>
      <c r="I60" s="45">
        <f>H48*'Future Plan Assumptions'!$B$101</f>
        <v>5632233.0940595772</v>
      </c>
      <c r="J60" s="45">
        <f>I48*'Future Plan Assumptions'!$B$101</f>
        <v>5632233.0940595772</v>
      </c>
      <c r="K60" s="45">
        <f>J48*'Future Plan Assumptions'!$B$101</f>
        <v>5632233.0940595772</v>
      </c>
      <c r="L60" s="45">
        <f>K48*'Future Plan Assumptions'!$B$101</f>
        <v>5632233.0940595772</v>
      </c>
      <c r="M60" s="45">
        <f>L48*'Future Plan Assumptions'!$B$101</f>
        <v>0</v>
      </c>
      <c r="N60" s="45">
        <f>M48*'Future Plan Assumptions'!$B$101</f>
        <v>0</v>
      </c>
      <c r="O60" s="45">
        <f>N48*'Future Plan Assumptions'!$B$101</f>
        <v>0</v>
      </c>
      <c r="P60" s="45">
        <f>O48*'Future Plan Assumptions'!$B$101</f>
        <v>0</v>
      </c>
      <c r="Q60" s="45">
        <f>P48*'Future Plan Assumptions'!$B$101</f>
        <v>0</v>
      </c>
      <c r="R60" s="45">
        <f>Q48*'Future Plan Assumptions'!$B$101</f>
        <v>0</v>
      </c>
      <c r="S60" s="45">
        <f>R48*'Future Plan Assumptions'!$B$101</f>
        <v>0</v>
      </c>
      <c r="T60" s="45">
        <f>S48*'Future Plan Assumptions'!$B$101</f>
        <v>0</v>
      </c>
      <c r="U60" s="45">
        <f>T48*'Future Plan Assumptions'!$B$101</f>
        <v>0</v>
      </c>
      <c r="V60" s="45">
        <f>U48*'Future Plan Assumptions'!$B$101</f>
        <v>0</v>
      </c>
    </row>
    <row r="61" spans="1:22" x14ac:dyDescent="0.3">
      <c r="A61" s="244" t="s">
        <v>33</v>
      </c>
      <c r="B61" s="45"/>
      <c r="C61" s="45"/>
      <c r="D61" s="45"/>
      <c r="E61" s="45">
        <f>D49*'Future Plan Assumptions'!$B$101</f>
        <v>7589325.9616439305</v>
      </c>
      <c r="F61" s="45">
        <f>E49*'Future Plan Assumptions'!$B$101</f>
        <v>7167696.7415526025</v>
      </c>
      <c r="G61" s="45">
        <f>F49*'Future Plan Assumptions'!$B$101</f>
        <v>7167696.7415526025</v>
      </c>
      <c r="H61" s="45">
        <f>G49*'Future Plan Assumptions'!$B$101</f>
        <v>7167696.7415526025</v>
      </c>
      <c r="I61" s="45">
        <f>H49*'Future Plan Assumptions'!$B$101</f>
        <v>7167696.7415526025</v>
      </c>
      <c r="J61" s="45">
        <f>I49*'Future Plan Assumptions'!$B$101</f>
        <v>7167696.7415526025</v>
      </c>
      <c r="K61" s="45">
        <f>J49*'Future Plan Assumptions'!$B$101</f>
        <v>7167696.7415526025</v>
      </c>
      <c r="L61" s="45">
        <f>K49*'Future Plan Assumptions'!$B$101</f>
        <v>0</v>
      </c>
      <c r="M61" s="45">
        <f>L49*'Future Plan Assumptions'!$B$101</f>
        <v>0</v>
      </c>
      <c r="N61" s="45">
        <f>M49*'Future Plan Assumptions'!$B$101</f>
        <v>0</v>
      </c>
      <c r="O61" s="45">
        <f>N49*'Future Plan Assumptions'!$B$101</f>
        <v>0</v>
      </c>
      <c r="P61" s="45">
        <f>O49*'Future Plan Assumptions'!$B$101</f>
        <v>0</v>
      </c>
      <c r="Q61" s="45">
        <f>P49*'Future Plan Assumptions'!$B$101</f>
        <v>0</v>
      </c>
      <c r="R61" s="45">
        <f>Q49*'Future Plan Assumptions'!$B$101</f>
        <v>0</v>
      </c>
      <c r="S61" s="45">
        <f>R49*'Future Plan Assumptions'!$B$101</f>
        <v>0</v>
      </c>
      <c r="T61" s="45">
        <f>S49*'Future Plan Assumptions'!$B$101</f>
        <v>0</v>
      </c>
      <c r="U61" s="45">
        <f>T49*'Future Plan Assumptions'!$B$101</f>
        <v>0</v>
      </c>
      <c r="V61" s="45">
        <f>U49*'Future Plan Assumptions'!$B$101</f>
        <v>0</v>
      </c>
    </row>
    <row r="62" spans="1:22" x14ac:dyDescent="0.3">
      <c r="A62" s="244" t="s">
        <v>40</v>
      </c>
      <c r="B62" s="45"/>
      <c r="C62" s="45"/>
      <c r="D62" s="45"/>
      <c r="E62" s="45"/>
      <c r="F62" s="45"/>
      <c r="G62" s="45"/>
      <c r="H62" s="45">
        <f>'Total REC Delivery Activities'!H62*'Indexed REC Price Calculator'!I10</f>
        <v>2034556.6642399859</v>
      </c>
      <c r="I62" s="45">
        <f>'Total REC Delivery Activities'!I62*'Indexed REC Price Calculator'!J10</f>
        <v>-696387.20247521496</v>
      </c>
      <c r="J62" s="45">
        <f>'Total REC Delivery Activities'!J62*'Indexed REC Price Calculator'!K10</f>
        <v>-3481949.9465247183</v>
      </c>
      <c r="K62" s="45">
        <f>'Total REC Delivery Activities'!K62*'Indexed REC Price Calculator'!L10</f>
        <v>-6323223.9454552187</v>
      </c>
      <c r="L62" s="45">
        <f>'Total REC Delivery Activities'!L62*'Indexed REC Price Calculator'!M10</f>
        <v>-9221323.4243643247</v>
      </c>
      <c r="M62" s="45">
        <f>'Total REC Delivery Activities'!M62*'Indexed REC Price Calculator'!N10</f>
        <v>-12177384.892851606</v>
      </c>
      <c r="N62" s="45">
        <f>'Total REC Delivery Activities'!N62*'Indexed REC Price Calculator'!O10</f>
        <v>-15192567.590708634</v>
      </c>
      <c r="O62" s="45">
        <f>'Total REC Delivery Activities'!O62*'Indexed REC Price Calculator'!P10</f>
        <v>-18268053.942522809</v>
      </c>
      <c r="P62" s="45">
        <f>'Total REC Delivery Activities'!P62*'Indexed REC Price Calculator'!Q10</f>
        <v>-21405050.021373261</v>
      </c>
      <c r="Q62" s="45">
        <f>'Total REC Delivery Activities'!Q62*'Indexed REC Price Calculator'!R10</f>
        <v>-24604786.02180073</v>
      </c>
      <c r="R62" s="45">
        <f>'Total REC Delivery Activities'!R62*'Indexed REC Price Calculator'!S10</f>
        <v>-27868516.742236745</v>
      </c>
      <c r="S62" s="45">
        <f>'Total REC Delivery Activities'!S62*'Indexed REC Price Calculator'!T10</f>
        <v>-31197522.077081475</v>
      </c>
      <c r="T62" s="45">
        <f>'Total REC Delivery Activities'!T62*'Indexed REC Price Calculator'!U10</f>
        <v>-34593107.518623099</v>
      </c>
      <c r="U62" s="45">
        <f>'Total REC Delivery Activities'!U62*'Indexed REC Price Calculator'!V10</f>
        <v>-38056604.668995552</v>
      </c>
      <c r="V62" s="45">
        <f>'Total REC Delivery Activities'!V62*'Indexed REC Price Calculator'!W10</f>
        <v>-41589371.762375452</v>
      </c>
    </row>
    <row r="63" spans="1:22" x14ac:dyDescent="0.3">
      <c r="A63" s="244" t="s">
        <v>41</v>
      </c>
      <c r="B63" s="45"/>
      <c r="C63" s="45"/>
      <c r="D63" s="45"/>
      <c r="E63" s="45"/>
      <c r="F63" s="45"/>
      <c r="G63" s="45"/>
      <c r="H63" s="45">
        <f>'Total REC Delivery Activities'!H63*'Indexed REC Price Calculator'!I37</f>
        <v>22467245.331391994</v>
      </c>
      <c r="I63" s="45">
        <f>'Total REC Delivery Activities'!I63*'Indexed REC Price Calculator'!J37</f>
        <v>20282490.238019831</v>
      </c>
      <c r="J63" s="45">
        <f>'Total REC Delivery Activities'!J63*'Indexed REC Price Calculator'!K37</f>
        <v>18054040.042780228</v>
      </c>
      <c r="K63" s="45">
        <f>'Total REC Delivery Activities'!K63*'Indexed REC Price Calculator'!L37</f>
        <v>15781020.843635829</v>
      </c>
      <c r="L63" s="45">
        <f>'Total REC Delivery Activities'!L63*'Indexed REC Price Calculator'!M37</f>
        <v>13462541.260508545</v>
      </c>
      <c r="M63" s="45">
        <f>'Total REC Delivery Activities'!M63*'Indexed REC Price Calculator'!N37</f>
        <v>11097692.085718719</v>
      </c>
      <c r="N63" s="45">
        <f>'Total REC Delivery Activities'!N63*'Indexed REC Price Calculator'!O37</f>
        <v>8685545.9274330977</v>
      </c>
      <c r="O63" s="45">
        <f>'Total REC Delivery Activities'!O63*'Indexed REC Price Calculator'!P37</f>
        <v>6225156.8459817581</v>
      </c>
      <c r="P63" s="45">
        <f>'Total REC Delivery Activities'!P63*'Indexed REC Price Calculator'!Q37</f>
        <v>3715559.9829013967</v>
      </c>
      <c r="Q63" s="45">
        <f>'Total REC Delivery Activities'!Q63*'Indexed REC Price Calculator'!R37</f>
        <v>1155771.1825594197</v>
      </c>
      <c r="R63" s="45">
        <f>'Total REC Delivery Activities'!R63*'Indexed REC Price Calculator'!S37</f>
        <v>-1455213.3937893927</v>
      </c>
      <c r="S63" s="45">
        <f>'Total REC Delivery Activities'!S63*'Indexed REC Price Calculator'!T37</f>
        <v>-4118417.661665177</v>
      </c>
      <c r="T63" s="45">
        <f>'Total REC Delivery Activities'!T63*'Indexed REC Price Calculator'!U37</f>
        <v>-6834886.0148984725</v>
      </c>
      <c r="U63" s="45">
        <f>'Total REC Delivery Activities'!U63*'Indexed REC Price Calculator'!V37</f>
        <v>-9605683.7351964358</v>
      </c>
      <c r="V63" s="45">
        <f>'Total REC Delivery Activities'!V63*'Indexed REC Price Calculator'!W37</f>
        <v>-12431897.409900358</v>
      </c>
    </row>
    <row r="64" spans="1:22" x14ac:dyDescent="0.3">
      <c r="A64" s="244" t="s">
        <v>42</v>
      </c>
      <c r="B64" s="45"/>
      <c r="C64" s="45"/>
      <c r="D64" s="45"/>
      <c r="E64" s="45"/>
      <c r="F64" s="45"/>
      <c r="G64" s="45"/>
      <c r="H64" s="45">
        <f>'Total REC Delivery Activities'!H64*'Indexed REC Price Calculator'!I64</f>
        <v>5441477.8332119985</v>
      </c>
      <c r="I64" s="45">
        <f>'Total REC Delivery Activities'!I64*'Indexed REC Price Calculator'!J64</f>
        <v>5304930.639876239</v>
      </c>
      <c r="J64" s="45">
        <f>'Total REC Delivery Activities'!J64*'Indexed REC Price Calculator'!K64</f>
        <v>5165652.5026737638</v>
      </c>
      <c r="K64" s="45">
        <f>'Total REC Delivery Activities'!K64*'Indexed REC Price Calculator'!L64</f>
        <v>5023588.8027272383</v>
      </c>
      <c r="L64" s="45">
        <f>'Total REC Delivery Activities'!L64*'Indexed REC Price Calculator'!M64</f>
        <v>4878683.8287817836</v>
      </c>
      <c r="M64" s="45">
        <f>'Total REC Delivery Activities'!M64*'Indexed REC Price Calculator'!N64</f>
        <v>4730880.7553574191</v>
      </c>
      <c r="N64" s="45">
        <f>'Total REC Delivery Activities'!N64*'Indexed REC Price Calculator'!O64</f>
        <v>4580121.620464568</v>
      </c>
      <c r="O64" s="45">
        <f>'Total REC Delivery Activities'!O64*'Indexed REC Price Calculator'!P64</f>
        <v>4426347.3028738592</v>
      </c>
      <c r="P64" s="45">
        <f>'Total REC Delivery Activities'!P64*'Indexed REC Price Calculator'!Q64</f>
        <v>4269497.4989313362</v>
      </c>
      <c r="Q64" s="45">
        <f>'Total REC Delivery Activities'!Q64*'Indexed REC Price Calculator'!R64</f>
        <v>4109510.698909963</v>
      </c>
      <c r="R64" s="45">
        <f>'Total REC Delivery Activities'!R64*'Indexed REC Price Calculator'!S64</f>
        <v>3946324.1628881623</v>
      </c>
      <c r="S64" s="45">
        <f>'Total REC Delivery Activities'!S64*'Indexed REC Price Calculator'!T64</f>
        <v>3779873.8961459259</v>
      </c>
      <c r="T64" s="45">
        <f>'Total REC Delivery Activities'!T64*'Indexed REC Price Calculator'!U64</f>
        <v>3610094.6240688446</v>
      </c>
      <c r="U64" s="45">
        <f>'Total REC Delivery Activities'!U64*'Indexed REC Price Calculator'!V64</f>
        <v>3436919.7665502219</v>
      </c>
      <c r="V64" s="45">
        <f>'Total REC Delivery Activities'!V64*'Indexed REC Price Calculator'!W64</f>
        <v>3260281.411881227</v>
      </c>
    </row>
    <row r="65" spans="1:22" x14ac:dyDescent="0.3">
      <c r="A65" s="245" t="s">
        <v>233</v>
      </c>
      <c r="B65" s="24">
        <f t="shared" ref="B65:V65" si="6">SUM(B56:B64)</f>
        <v>0</v>
      </c>
      <c r="C65" s="24">
        <f t="shared" si="6"/>
        <v>0</v>
      </c>
      <c r="D65" s="24">
        <f t="shared" si="6"/>
        <v>0</v>
      </c>
      <c r="E65" s="24">
        <f t="shared" si="6"/>
        <v>171587015.91242963</v>
      </c>
      <c r="F65" s="24">
        <f t="shared" si="6"/>
        <v>47835970.984330326</v>
      </c>
      <c r="G65" s="24">
        <f t="shared" si="6"/>
        <v>47402816.45608525</v>
      </c>
      <c r="H65" s="24">
        <f t="shared" si="6"/>
        <v>77244758.819242388</v>
      </c>
      <c r="I65" s="24">
        <f t="shared" si="6"/>
        <v>72091681.887460858</v>
      </c>
      <c r="J65" s="24">
        <f t="shared" si="6"/>
        <v>66838064.186502665</v>
      </c>
      <c r="K65" s="24">
        <f t="shared" si="6"/>
        <v>61481882.297136955</v>
      </c>
      <c r="L65" s="24">
        <f t="shared" si="6"/>
        <v>34517982.170109749</v>
      </c>
      <c r="M65" s="24">
        <f t="shared" si="6"/>
        <v>23318206.122293081</v>
      </c>
      <c r="N65" s="24">
        <f t="shared" si="6"/>
        <v>17641783.040387236</v>
      </c>
      <c r="O65" s="24">
        <f t="shared" si="6"/>
        <v>11854289.874115022</v>
      </c>
      <c r="P65" s="24">
        <f t="shared" si="6"/>
        <v>5953492.9299027715</v>
      </c>
      <c r="Q65" s="24">
        <f t="shared" si="6"/>
        <v>-62886.098235262092</v>
      </c>
      <c r="R65" s="24">
        <f t="shared" si="6"/>
        <v>-6197171.0212523714</v>
      </c>
      <c r="S65" s="24">
        <f t="shared" si="6"/>
        <v>-12451732.065474551</v>
      </c>
      <c r="T65" s="24">
        <f t="shared" si="6"/>
        <v>-18828986.80121218</v>
      </c>
      <c r="U65" s="24">
        <f t="shared" si="6"/>
        <v>-25331401.089942425</v>
      </c>
      <c r="V65" s="24">
        <f t="shared" si="6"/>
        <v>-31961490.050433736</v>
      </c>
    </row>
    <row r="67" spans="1:22" ht="15.6" x14ac:dyDescent="0.3">
      <c r="A67" s="248">
        <v>2026</v>
      </c>
      <c r="B67" s="247">
        <v>2022</v>
      </c>
      <c r="C67" s="247">
        <v>2023</v>
      </c>
      <c r="D67" s="247">
        <v>2024</v>
      </c>
      <c r="E67" s="247">
        <v>2025</v>
      </c>
      <c r="F67" s="247">
        <v>2026</v>
      </c>
      <c r="G67" s="247">
        <v>2027</v>
      </c>
      <c r="H67" s="247">
        <v>2028</v>
      </c>
      <c r="I67" s="247">
        <v>2029</v>
      </c>
      <c r="J67" s="247">
        <v>2030</v>
      </c>
      <c r="K67" s="247">
        <v>2031</v>
      </c>
      <c r="L67" s="247">
        <v>2032</v>
      </c>
      <c r="M67" s="247">
        <v>2033</v>
      </c>
      <c r="N67" s="247">
        <v>2034</v>
      </c>
      <c r="O67" s="247">
        <v>2035</v>
      </c>
      <c r="P67" s="247">
        <v>2036</v>
      </c>
      <c r="Q67" s="247">
        <v>2037</v>
      </c>
      <c r="R67" s="247">
        <v>2038</v>
      </c>
      <c r="S67" s="247">
        <v>2039</v>
      </c>
      <c r="T67" s="247">
        <v>2040</v>
      </c>
      <c r="U67" s="247">
        <v>2041</v>
      </c>
      <c r="V67" s="247">
        <v>2042</v>
      </c>
    </row>
    <row r="68" spans="1:22" x14ac:dyDescent="0.3">
      <c r="A68" s="244" t="s">
        <v>6</v>
      </c>
      <c r="B68" s="45"/>
      <c r="C68" s="45"/>
      <c r="D68" s="45"/>
      <c r="E68" s="45"/>
      <c r="F68" s="45">
        <f>E56*'Future Plan Assumptions'!$B$101</f>
        <v>135792812.23854595</v>
      </c>
      <c r="G68" s="45">
        <f>F56*'Future Plan Assumptions'!$B$101</f>
        <v>0</v>
      </c>
      <c r="H68" s="45">
        <f>G56*'Future Plan Assumptions'!$B$101</f>
        <v>0</v>
      </c>
      <c r="I68" s="45">
        <f>H56*'Future Plan Assumptions'!$B$101</f>
        <v>0</v>
      </c>
      <c r="J68" s="45">
        <f>I56*'Future Plan Assumptions'!$B$101</f>
        <v>0</v>
      </c>
      <c r="K68" s="45">
        <f>J56*'Future Plan Assumptions'!$B$101</f>
        <v>0</v>
      </c>
      <c r="L68" s="45">
        <f>K56*'Future Plan Assumptions'!$B$101</f>
        <v>0</v>
      </c>
      <c r="M68" s="45">
        <f>L56*'Future Plan Assumptions'!$B$101</f>
        <v>0</v>
      </c>
      <c r="N68" s="45">
        <f>M56*'Future Plan Assumptions'!$B$101</f>
        <v>0</v>
      </c>
      <c r="O68" s="45">
        <f>N56*'Future Plan Assumptions'!$B$101</f>
        <v>0</v>
      </c>
      <c r="P68" s="45">
        <f>O56*'Future Plan Assumptions'!$B$101</f>
        <v>0</v>
      </c>
      <c r="Q68" s="45">
        <f>P56*'Future Plan Assumptions'!$B$101</f>
        <v>0</v>
      </c>
      <c r="R68" s="45">
        <f>Q56*'Future Plan Assumptions'!$B$101</f>
        <v>0</v>
      </c>
      <c r="S68" s="45">
        <f>R56*'Future Plan Assumptions'!$B$101</f>
        <v>0</v>
      </c>
      <c r="T68" s="45">
        <f>S56*'Future Plan Assumptions'!$B$101</f>
        <v>0</v>
      </c>
      <c r="U68" s="45">
        <f>T56*'Future Plan Assumptions'!$B$101</f>
        <v>0</v>
      </c>
      <c r="V68" s="45">
        <f>U56*'Future Plan Assumptions'!$B$101</f>
        <v>0</v>
      </c>
    </row>
    <row r="69" spans="1:22" x14ac:dyDescent="0.3">
      <c r="A69" s="244" t="s">
        <v>12</v>
      </c>
      <c r="B69" s="45"/>
      <c r="C69" s="45"/>
      <c r="D69" s="45"/>
      <c r="E69" s="45"/>
      <c r="F69" s="45">
        <f>E57*'Future Plan Assumptions'!$B$101</f>
        <v>14571505.846356345</v>
      </c>
      <c r="G69" s="45">
        <f>F57*'Future Plan Assumptions'!$B$101</f>
        <v>13761977.743780997</v>
      </c>
      <c r="H69" s="45">
        <f>G57*'Future Plan Assumptions'!$B$101</f>
        <v>13761977.743780997</v>
      </c>
      <c r="I69" s="45">
        <f>H57*'Future Plan Assumptions'!$B$101</f>
        <v>13761977.743780997</v>
      </c>
      <c r="J69" s="45">
        <f>I57*'Future Plan Assumptions'!$B$101</f>
        <v>13761977.743780997</v>
      </c>
      <c r="K69" s="45">
        <f>J57*'Future Plan Assumptions'!$B$101</f>
        <v>13761977.743780997</v>
      </c>
      <c r="L69" s="45">
        <f>K57*'Future Plan Assumptions'!$B$101</f>
        <v>13761977.743780997</v>
      </c>
      <c r="M69" s="45">
        <f>L57*'Future Plan Assumptions'!$B$101</f>
        <v>0</v>
      </c>
      <c r="N69" s="45">
        <f>M57*'Future Plan Assumptions'!$B$101</f>
        <v>0</v>
      </c>
      <c r="O69" s="45">
        <f>N57*'Future Plan Assumptions'!$B$101</f>
        <v>0</v>
      </c>
      <c r="P69" s="45">
        <f>O57*'Future Plan Assumptions'!$B$101</f>
        <v>0</v>
      </c>
      <c r="Q69" s="45">
        <f>P57*'Future Plan Assumptions'!$B$101</f>
        <v>0</v>
      </c>
      <c r="R69" s="45">
        <f>Q57*'Future Plan Assumptions'!$B$101</f>
        <v>0</v>
      </c>
      <c r="S69" s="45">
        <f>R57*'Future Plan Assumptions'!$B$101</f>
        <v>0</v>
      </c>
      <c r="T69" s="45">
        <f>S57*'Future Plan Assumptions'!$B$101</f>
        <v>0</v>
      </c>
      <c r="U69" s="45">
        <f>T57*'Future Plan Assumptions'!$B$101</f>
        <v>0</v>
      </c>
      <c r="V69" s="45">
        <f>U57*'Future Plan Assumptions'!$B$101</f>
        <v>0</v>
      </c>
    </row>
    <row r="70" spans="1:22" x14ac:dyDescent="0.3">
      <c r="A70" s="244" t="s">
        <v>21</v>
      </c>
      <c r="B70" s="45"/>
      <c r="C70" s="45"/>
      <c r="D70" s="45"/>
      <c r="E70" s="45"/>
      <c r="F70" s="45">
        <f>E58*'Future Plan Assumptions'!$B$101</f>
        <v>0</v>
      </c>
      <c r="G70" s="45">
        <f>F58*'Future Plan Assumptions'!$B$101</f>
        <v>12516469.296575885</v>
      </c>
      <c r="H70" s="45">
        <f>G58*'Future Plan Assumptions'!$B$101</f>
        <v>12453886.950093007</v>
      </c>
      <c r="I70" s="45">
        <f>H58*'Future Plan Assumptions'!$B$101</f>
        <v>12391617.515342541</v>
      </c>
      <c r="J70" s="45">
        <f>I58*'Future Plan Assumptions'!$B$101</f>
        <v>12329659.427765829</v>
      </c>
      <c r="K70" s="45">
        <f>J58*'Future Plan Assumptions'!$B$101</f>
        <v>12268011.130626997</v>
      </c>
      <c r="L70" s="45">
        <f>K58*'Future Plan Assumptions'!$B$101</f>
        <v>12206671.074973863</v>
      </c>
      <c r="M70" s="45">
        <f>L58*'Future Plan Assumptions'!$B$101</f>
        <v>12145637.719598994</v>
      </c>
      <c r="N70" s="45">
        <f>M58*'Future Plan Assumptions'!$B$101</f>
        <v>12084909.531000998</v>
      </c>
      <c r="O70" s="45">
        <f>N58*'Future Plan Assumptions'!$B$101</f>
        <v>12024484.983345995</v>
      </c>
      <c r="P70" s="45">
        <f>O58*'Future Plan Assumptions'!$B$101</f>
        <v>11964362.558429264</v>
      </c>
      <c r="Q70" s="45">
        <f>P58*'Future Plan Assumptions'!$B$101</f>
        <v>11904540.745637115</v>
      </c>
      <c r="R70" s="45">
        <f>Q58*'Future Plan Assumptions'!$B$101</f>
        <v>11845018.041908931</v>
      </c>
      <c r="S70" s="45">
        <f>R58*'Future Plan Assumptions'!$B$101</f>
        <v>11785792.951699387</v>
      </c>
      <c r="T70" s="45">
        <f>S58*'Future Plan Assumptions'!$B$101</f>
        <v>11726863.986940889</v>
      </c>
      <c r="U70" s="45">
        <f>T58*'Future Plan Assumptions'!$B$101</f>
        <v>11668229.667006185</v>
      </c>
      <c r="V70" s="45">
        <f>U58*'Future Plan Assumptions'!$B$101</f>
        <v>11609888.518671155</v>
      </c>
    </row>
    <row r="71" spans="1:22" x14ac:dyDescent="0.3">
      <c r="A71" s="244" t="s">
        <v>25</v>
      </c>
      <c r="B71" s="45"/>
      <c r="C71" s="45"/>
      <c r="D71" s="45"/>
      <c r="E71" s="45"/>
      <c r="F71" s="45">
        <f>E59*'Future Plan Assumptions'!$B$101</f>
        <v>7073464.2678519664</v>
      </c>
      <c r="G71" s="45">
        <f>F59*'Future Plan Assumptions'!$B$101</f>
        <v>7038096.9465127066</v>
      </c>
      <c r="H71" s="45">
        <f>G59*'Future Plan Assumptions'!$B$101</f>
        <v>7002906.461780143</v>
      </c>
      <c r="I71" s="45">
        <f>H59*'Future Plan Assumptions'!$B$101</f>
        <v>6967891.9294712422</v>
      </c>
      <c r="J71" s="45">
        <f>I59*'Future Plan Assumptions'!$B$101</f>
        <v>6933052.4698238866</v>
      </c>
      <c r="K71" s="45">
        <f>J59*'Future Plan Assumptions'!$B$101</f>
        <v>6898387.2074747672</v>
      </c>
      <c r="L71" s="45">
        <f>K59*'Future Plan Assumptions'!$B$101</f>
        <v>6863895.2714373935</v>
      </c>
      <c r="M71" s="45">
        <f>L59*'Future Plan Assumptions'!$B$101</f>
        <v>6829575.7950802064</v>
      </c>
      <c r="N71" s="45">
        <f>M59*'Future Plan Assumptions'!$B$101</f>
        <v>6795427.9161048047</v>
      </c>
      <c r="O71" s="45">
        <f>N59*'Future Plan Assumptions'!$B$101</f>
        <v>6761450.7765242811</v>
      </c>
      <c r="P71" s="45">
        <f>O59*'Future Plan Assumptions'!$B$101</f>
        <v>6727643.5226416597</v>
      </c>
      <c r="Q71" s="45">
        <f>P59*'Future Plan Assumptions'!$B$101</f>
        <v>6694005.3050284516</v>
      </c>
      <c r="R71" s="45">
        <f>Q59*'Future Plan Assumptions'!$B$101</f>
        <v>6660535.2785033099</v>
      </c>
      <c r="S71" s="45">
        <f>R59*'Future Plan Assumptions'!$B$101</f>
        <v>6627232.602110791</v>
      </c>
      <c r="T71" s="45">
        <f>S59*'Future Plan Assumptions'!$B$101</f>
        <v>6594096.4391002385</v>
      </c>
      <c r="U71" s="45">
        <f>T59*'Future Plan Assumptions'!$B$101</f>
        <v>6561125.9569047373</v>
      </c>
      <c r="V71" s="45">
        <f>U59*'Future Plan Assumptions'!$B$101</f>
        <v>6528320.3271202147</v>
      </c>
    </row>
    <row r="72" spans="1:22" x14ac:dyDescent="0.3">
      <c r="A72" s="244" t="s">
        <v>29</v>
      </c>
      <c r="B72" s="45"/>
      <c r="C72" s="45"/>
      <c r="D72" s="45"/>
      <c r="E72" s="45"/>
      <c r="F72" s="45">
        <f>E60*'Future Plan Assumptions'!$B$101</f>
        <v>0</v>
      </c>
      <c r="G72" s="45">
        <f>F60*'Future Plan Assumptions'!$B$101</f>
        <v>5724999.2861970291</v>
      </c>
      <c r="H72" s="45">
        <f>G60*'Future Plan Assumptions'!$B$101</f>
        <v>5406943.7702971939</v>
      </c>
      <c r="I72" s="45">
        <f>H60*'Future Plan Assumptions'!$B$101</f>
        <v>5406943.7702971939</v>
      </c>
      <c r="J72" s="45">
        <f>I60*'Future Plan Assumptions'!$B$101</f>
        <v>5406943.7702971939</v>
      </c>
      <c r="K72" s="45">
        <f>J60*'Future Plan Assumptions'!$B$101</f>
        <v>5406943.7702971939</v>
      </c>
      <c r="L72" s="45">
        <f>K60*'Future Plan Assumptions'!$B$101</f>
        <v>5406943.7702971939</v>
      </c>
      <c r="M72" s="45">
        <f>L60*'Future Plan Assumptions'!$B$101</f>
        <v>5406943.7702971939</v>
      </c>
      <c r="N72" s="45">
        <f>M60*'Future Plan Assumptions'!$B$101</f>
        <v>0</v>
      </c>
      <c r="O72" s="45">
        <f>N60*'Future Plan Assumptions'!$B$101</f>
        <v>0</v>
      </c>
      <c r="P72" s="45">
        <f>O60*'Future Plan Assumptions'!$B$101</f>
        <v>0</v>
      </c>
      <c r="Q72" s="45">
        <f>P60*'Future Plan Assumptions'!$B$101</f>
        <v>0</v>
      </c>
      <c r="R72" s="45">
        <f>Q60*'Future Plan Assumptions'!$B$101</f>
        <v>0</v>
      </c>
      <c r="S72" s="45">
        <f>R60*'Future Plan Assumptions'!$B$101</f>
        <v>0</v>
      </c>
      <c r="T72" s="45">
        <f>S60*'Future Plan Assumptions'!$B$101</f>
        <v>0</v>
      </c>
      <c r="U72" s="45">
        <f>T60*'Future Plan Assumptions'!$B$101</f>
        <v>0</v>
      </c>
      <c r="V72" s="45">
        <f>U60*'Future Plan Assumptions'!$B$101</f>
        <v>0</v>
      </c>
    </row>
    <row r="73" spans="1:22" x14ac:dyDescent="0.3">
      <c r="A73" s="244" t="s">
        <v>33</v>
      </c>
      <c r="B73" s="45"/>
      <c r="C73" s="45"/>
      <c r="D73" s="45"/>
      <c r="E73" s="45"/>
      <c r="F73" s="45">
        <f>E61*'Future Plan Assumptions'!$B$101</f>
        <v>7285752.9231781727</v>
      </c>
      <c r="G73" s="45">
        <f>F61*'Future Plan Assumptions'!$B$101</f>
        <v>6880988.8718904983</v>
      </c>
      <c r="H73" s="45">
        <f>G61*'Future Plan Assumptions'!$B$101</f>
        <v>6880988.8718904983</v>
      </c>
      <c r="I73" s="45">
        <f>H61*'Future Plan Assumptions'!$B$101</f>
        <v>6880988.8718904983</v>
      </c>
      <c r="J73" s="45">
        <f>I61*'Future Plan Assumptions'!$B$101</f>
        <v>6880988.8718904983</v>
      </c>
      <c r="K73" s="45">
        <f>J61*'Future Plan Assumptions'!$B$101</f>
        <v>6880988.8718904983</v>
      </c>
      <c r="L73" s="45">
        <f>K61*'Future Plan Assumptions'!$B$101</f>
        <v>6880988.8718904983</v>
      </c>
      <c r="M73" s="45">
        <f>L61*'Future Plan Assumptions'!$B$101</f>
        <v>0</v>
      </c>
      <c r="N73" s="45">
        <f>M61*'Future Plan Assumptions'!$B$101</f>
        <v>0</v>
      </c>
      <c r="O73" s="45">
        <f>N61*'Future Plan Assumptions'!$B$101</f>
        <v>0</v>
      </c>
      <c r="P73" s="45">
        <f>O61*'Future Plan Assumptions'!$B$101</f>
        <v>0</v>
      </c>
      <c r="Q73" s="45">
        <f>P61*'Future Plan Assumptions'!$B$101</f>
        <v>0</v>
      </c>
      <c r="R73" s="45">
        <f>Q61*'Future Plan Assumptions'!$B$101</f>
        <v>0</v>
      </c>
      <c r="S73" s="45">
        <f>R61*'Future Plan Assumptions'!$B$101</f>
        <v>0</v>
      </c>
      <c r="T73" s="45">
        <f>S61*'Future Plan Assumptions'!$B$101</f>
        <v>0</v>
      </c>
      <c r="U73" s="45">
        <f>T61*'Future Plan Assumptions'!$B$101</f>
        <v>0</v>
      </c>
      <c r="V73" s="45">
        <f>U61*'Future Plan Assumptions'!$B$101</f>
        <v>0</v>
      </c>
    </row>
    <row r="74" spans="1:22" x14ac:dyDescent="0.3">
      <c r="A74" s="244" t="s">
        <v>40</v>
      </c>
      <c r="B74" s="45"/>
      <c r="C74" s="45"/>
      <c r="D74" s="45"/>
      <c r="E74" s="45"/>
      <c r="F74" s="45">
        <f>E62*'Future Plan Assumptions'!$I$93+E62</f>
        <v>0</v>
      </c>
      <c r="G74" s="45">
        <f>F62*'Future Plan Assumptions'!$I$93+F62</f>
        <v>0</v>
      </c>
      <c r="H74" s="45">
        <f>G62*'Future Plan Assumptions'!$I$93+G62</f>
        <v>0</v>
      </c>
      <c r="I74" s="45">
        <f>'Total REC Delivery Activities'!I74*'Indexed REC Price Calculator'!J11</f>
        <v>1918362.7975247931</v>
      </c>
      <c r="J74" s="45">
        <f>'Total REC Delivery Activities'!J74*'Indexed REC Price Calculator'!K11</f>
        <v>-867199.94652471039</v>
      </c>
      <c r="K74" s="45">
        <f>'Total REC Delivery Activities'!K74*'Indexed REC Price Calculator'!L11</f>
        <v>-3708473.9454552107</v>
      </c>
      <c r="L74" s="45">
        <f>'Total REC Delivery Activities'!L74*'Indexed REC Price Calculator'!M11</f>
        <v>-6606573.4243643172</v>
      </c>
      <c r="M74" s="45">
        <f>'Total REC Delivery Activities'!M74*'Indexed REC Price Calculator'!N11</f>
        <v>-9562634.8928515986</v>
      </c>
      <c r="N74" s="45">
        <f>'Total REC Delivery Activities'!N74*'Indexed REC Price Calculator'!O11</f>
        <v>-12577817.590708626</v>
      </c>
      <c r="O74" s="45">
        <f>'Total REC Delivery Activities'!O74*'Indexed REC Price Calculator'!P11</f>
        <v>-15653303.9425228</v>
      </c>
      <c r="P74" s="45">
        <f>'Total REC Delivery Activities'!P74*'Indexed REC Price Calculator'!Q11</f>
        <v>-18790300.021373253</v>
      </c>
      <c r="Q74" s="45">
        <f>'Total REC Delivery Activities'!Q74*'Indexed REC Price Calculator'!R11</f>
        <v>-21990036.021800723</v>
      </c>
      <c r="R74" s="45">
        <f>'Total REC Delivery Activities'!R74*'Indexed REC Price Calculator'!S11</f>
        <v>-25253766.742236737</v>
      </c>
      <c r="S74" s="45">
        <f>'Total REC Delivery Activities'!S74*'Indexed REC Price Calculator'!T11</f>
        <v>-28582772.077081468</v>
      </c>
      <c r="T74" s="45">
        <f>'Total REC Delivery Activities'!T74*'Indexed REC Price Calculator'!U11</f>
        <v>-31978357.518623088</v>
      </c>
      <c r="U74" s="45">
        <f>'Total REC Delivery Activities'!U74*'Indexed REC Price Calculator'!V11</f>
        <v>-35441854.668995544</v>
      </c>
      <c r="V74" s="45">
        <f>'Total REC Delivery Activities'!V74*'Indexed REC Price Calculator'!W11</f>
        <v>-38974621.762375444</v>
      </c>
    </row>
    <row r="75" spans="1:22" x14ac:dyDescent="0.3">
      <c r="A75" s="244" t="s">
        <v>41</v>
      </c>
      <c r="B75" s="45"/>
      <c r="C75" s="45"/>
      <c r="D75" s="45"/>
      <c r="E75" s="45"/>
      <c r="F75" s="45">
        <f>E63*'Future Plan Assumptions'!$I$93+E63</f>
        <v>0</v>
      </c>
      <c r="G75" s="45">
        <f>F63*'Future Plan Assumptions'!$I$93+F63</f>
        <v>0</v>
      </c>
      <c r="H75" s="45">
        <f>G63*'Future Plan Assumptions'!$I$93+G63</f>
        <v>0</v>
      </c>
      <c r="I75" s="45">
        <f>'Total REC Delivery Activities'!I75*'Indexed REC Price Calculator'!J38</f>
        <v>22767490.238019817</v>
      </c>
      <c r="J75" s="45">
        <f>'Total REC Delivery Activities'!J75*'Indexed REC Price Calculator'!K38</f>
        <v>20539040.042780213</v>
      </c>
      <c r="K75" s="45">
        <f>'Total REC Delivery Activities'!K75*'Indexed REC Price Calculator'!L38</f>
        <v>18266020.843635816</v>
      </c>
      <c r="L75" s="45">
        <f>'Total REC Delivery Activities'!L75*'Indexed REC Price Calculator'!M38</f>
        <v>15947541.26050853</v>
      </c>
      <c r="M75" s="45">
        <f>'Total REC Delivery Activities'!M75*'Indexed REC Price Calculator'!N38</f>
        <v>13582692.085718704</v>
      </c>
      <c r="N75" s="45">
        <f>'Total REC Delivery Activities'!N75*'Indexed REC Price Calculator'!O38</f>
        <v>11170545.927433083</v>
      </c>
      <c r="O75" s="45">
        <f>'Total REC Delivery Activities'!O75*'Indexed REC Price Calculator'!P38</f>
        <v>8710156.8459817432</v>
      </c>
      <c r="P75" s="45">
        <f>'Total REC Delivery Activities'!P75*'Indexed REC Price Calculator'!Q38</f>
        <v>6200559.9829013813</v>
      </c>
      <c r="Q75" s="45">
        <f>'Total REC Delivery Activities'!Q75*'Indexed REC Price Calculator'!R38</f>
        <v>3640771.182559405</v>
      </c>
      <c r="R75" s="45">
        <f>'Total REC Delivery Activities'!R75*'Indexed REC Price Calculator'!S38</f>
        <v>1029786.6062105924</v>
      </c>
      <c r="S75" s="45">
        <f>'Total REC Delivery Activities'!S75*'Indexed REC Price Calculator'!T38</f>
        <v>-1633417.6616651916</v>
      </c>
      <c r="T75" s="45">
        <f>'Total REC Delivery Activities'!T75*'Indexed REC Price Calculator'!U38</f>
        <v>-4349886.0148984874</v>
      </c>
      <c r="U75" s="45">
        <f>'Total REC Delivery Activities'!U75*'Indexed REC Price Calculator'!V38</f>
        <v>-7120683.7351964507</v>
      </c>
      <c r="V75" s="45">
        <f>'Total REC Delivery Activities'!V75*'Indexed REC Price Calculator'!W38</f>
        <v>-9946897.4099003728</v>
      </c>
    </row>
    <row r="76" spans="1:22" x14ac:dyDescent="0.3">
      <c r="A76" s="244" t="s">
        <v>42</v>
      </c>
      <c r="B76" s="45"/>
      <c r="C76" s="45"/>
      <c r="D76" s="45"/>
      <c r="E76" s="45"/>
      <c r="F76" s="45">
        <f>E64*'Future Plan Assumptions'!$I$93+E64</f>
        <v>0</v>
      </c>
      <c r="G76" s="45">
        <f>F64*'Future Plan Assumptions'!$I$93+F64</f>
        <v>0</v>
      </c>
      <c r="H76" s="45">
        <f>G64*'Future Plan Assumptions'!$I$93+G64</f>
        <v>0</v>
      </c>
      <c r="I76" s="45">
        <f>'Total REC Delivery Activities'!I76*'Indexed REC Price Calculator'!J65</f>
        <v>5536418.139876239</v>
      </c>
      <c r="J76" s="45">
        <f>'Total REC Delivery Activities'!J76*'Indexed REC Price Calculator'!K65</f>
        <v>5397140.0026737638</v>
      </c>
      <c r="K76" s="45">
        <f>'Total REC Delivery Activities'!K76*'Indexed REC Price Calculator'!L65</f>
        <v>5255076.3027272383</v>
      </c>
      <c r="L76" s="45">
        <f>'Total REC Delivery Activities'!L76*'Indexed REC Price Calculator'!M65</f>
        <v>5110171.3287817836</v>
      </c>
      <c r="M76" s="45">
        <f>'Total REC Delivery Activities'!M76*'Indexed REC Price Calculator'!N65</f>
        <v>4962368.2553574191</v>
      </c>
      <c r="N76" s="45">
        <f>'Total REC Delivery Activities'!N76*'Indexed REC Price Calculator'!O65</f>
        <v>4811609.120464568</v>
      </c>
      <c r="O76" s="45">
        <f>'Total REC Delivery Activities'!O76*'Indexed REC Price Calculator'!P65</f>
        <v>4657834.8028738592</v>
      </c>
      <c r="P76" s="45">
        <f>'Total REC Delivery Activities'!P76*'Indexed REC Price Calculator'!Q65</f>
        <v>4500984.9989313362</v>
      </c>
      <c r="Q76" s="45">
        <f>'Total REC Delivery Activities'!Q76*'Indexed REC Price Calculator'!R65</f>
        <v>4340998.1989099635</v>
      </c>
      <c r="R76" s="45">
        <f>'Total REC Delivery Activities'!R76*'Indexed REC Price Calculator'!S65</f>
        <v>4177811.6628881623</v>
      </c>
      <c r="S76" s="45">
        <f>'Total REC Delivery Activities'!S76*'Indexed REC Price Calculator'!T65</f>
        <v>4011361.3961459259</v>
      </c>
      <c r="T76" s="45">
        <f>'Total REC Delivery Activities'!T76*'Indexed REC Price Calculator'!U65</f>
        <v>3841582.1240688446</v>
      </c>
      <c r="U76" s="45">
        <f>'Total REC Delivery Activities'!U76*'Indexed REC Price Calculator'!V65</f>
        <v>3668407.2665502219</v>
      </c>
      <c r="V76" s="45">
        <f>'Total REC Delivery Activities'!V76*'Indexed REC Price Calculator'!W65</f>
        <v>3491768.911881227</v>
      </c>
    </row>
    <row r="77" spans="1:22" x14ac:dyDescent="0.3">
      <c r="A77" s="245" t="s">
        <v>233</v>
      </c>
      <c r="B77" s="24">
        <f t="shared" ref="B77:V77" si="7">SUM(B68:B76)</f>
        <v>0</v>
      </c>
      <c r="C77" s="24">
        <f t="shared" si="7"/>
        <v>0</v>
      </c>
      <c r="D77" s="24">
        <f t="shared" si="7"/>
        <v>0</v>
      </c>
      <c r="E77" s="24">
        <f t="shared" si="7"/>
        <v>0</v>
      </c>
      <c r="F77" s="24">
        <f t="shared" si="7"/>
        <v>164723535.27593243</v>
      </c>
      <c r="G77" s="24">
        <f t="shared" si="7"/>
        <v>45922532.144957118</v>
      </c>
      <c r="H77" s="24">
        <f t="shared" si="7"/>
        <v>45506703.797841839</v>
      </c>
      <c r="I77" s="24">
        <f t="shared" si="7"/>
        <v>75631691.006203324</v>
      </c>
      <c r="J77" s="24">
        <f t="shared" si="7"/>
        <v>70381602.38248767</v>
      </c>
      <c r="K77" s="24">
        <f t="shared" si="7"/>
        <v>65028931.924978301</v>
      </c>
      <c r="L77" s="24">
        <f t="shared" si="7"/>
        <v>59571615.897305943</v>
      </c>
      <c r="M77" s="24">
        <f t="shared" si="7"/>
        <v>33364582.733200919</v>
      </c>
      <c r="N77" s="24">
        <f t="shared" si="7"/>
        <v>22284674.904294826</v>
      </c>
      <c r="O77" s="24">
        <f t="shared" si="7"/>
        <v>16500623.466203079</v>
      </c>
      <c r="P77" s="24">
        <f t="shared" si="7"/>
        <v>10603251.041530386</v>
      </c>
      <c r="Q77" s="24">
        <f t="shared" si="7"/>
        <v>4590279.4103342108</v>
      </c>
      <c r="R77" s="24">
        <f t="shared" si="7"/>
        <v>-1540615.1527257417</v>
      </c>
      <c r="S77" s="24">
        <f t="shared" si="7"/>
        <v>-7791802.7887905547</v>
      </c>
      <c r="T77" s="24">
        <f t="shared" si="7"/>
        <v>-14165700.983411603</v>
      </c>
      <c r="U77" s="24">
        <f t="shared" si="7"/>
        <v>-20664775.513730854</v>
      </c>
      <c r="V77" s="24">
        <f t="shared" si="7"/>
        <v>-27291541.414603222</v>
      </c>
    </row>
    <row r="79" spans="1:22" ht="15.6" x14ac:dyDescent="0.3">
      <c r="A79" s="248">
        <v>2027</v>
      </c>
      <c r="B79" s="247">
        <v>2022</v>
      </c>
      <c r="C79" s="247">
        <v>2023</v>
      </c>
      <c r="D79" s="247">
        <v>2024</v>
      </c>
      <c r="E79" s="247">
        <v>2025</v>
      </c>
      <c r="F79" s="247">
        <v>2026</v>
      </c>
      <c r="G79" s="247">
        <v>2027</v>
      </c>
      <c r="H79" s="247">
        <v>2028</v>
      </c>
      <c r="I79" s="247">
        <v>2029</v>
      </c>
      <c r="J79" s="247">
        <v>2030</v>
      </c>
      <c r="K79" s="247">
        <v>2031</v>
      </c>
      <c r="L79" s="247">
        <v>2032</v>
      </c>
      <c r="M79" s="247">
        <v>2033</v>
      </c>
      <c r="N79" s="247">
        <v>2034</v>
      </c>
      <c r="O79" s="247">
        <v>2035</v>
      </c>
      <c r="P79" s="247">
        <v>2036</v>
      </c>
      <c r="Q79" s="247">
        <v>2037</v>
      </c>
      <c r="R79" s="247">
        <v>2038</v>
      </c>
      <c r="S79" s="247">
        <v>2039</v>
      </c>
      <c r="T79" s="247">
        <v>2040</v>
      </c>
      <c r="U79" s="247">
        <v>2041</v>
      </c>
      <c r="V79" s="247">
        <v>2042</v>
      </c>
    </row>
    <row r="80" spans="1:22" x14ac:dyDescent="0.3">
      <c r="A80" s="244" t="s">
        <v>6</v>
      </c>
      <c r="B80" s="45"/>
      <c r="C80" s="45"/>
      <c r="D80" s="45"/>
      <c r="E80" s="45"/>
      <c r="F80" s="45"/>
      <c r="G80" s="45">
        <f>F68*'Future Plan Assumptions'!$B$101</f>
        <v>130361099.74900411</v>
      </c>
      <c r="H80" s="45">
        <f>G68*'Future Plan Assumptions'!$B$101</f>
        <v>0</v>
      </c>
      <c r="I80" s="45">
        <f>H68*'Future Plan Assumptions'!$B$101</f>
        <v>0</v>
      </c>
      <c r="J80" s="45">
        <f>I68*'Future Plan Assumptions'!$B$101</f>
        <v>0</v>
      </c>
      <c r="K80" s="45">
        <f>J68*'Future Plan Assumptions'!$B$101</f>
        <v>0</v>
      </c>
      <c r="L80" s="45">
        <f>K68*'Future Plan Assumptions'!$B$101</f>
        <v>0</v>
      </c>
      <c r="M80" s="45">
        <f>L68*'Future Plan Assumptions'!$B$101</f>
        <v>0</v>
      </c>
      <c r="N80" s="45">
        <f>M68*'Future Plan Assumptions'!$B$101</f>
        <v>0</v>
      </c>
      <c r="O80" s="45">
        <f>N68*'Future Plan Assumptions'!$B$101</f>
        <v>0</v>
      </c>
      <c r="P80" s="45">
        <f>O68*'Future Plan Assumptions'!$B$101</f>
        <v>0</v>
      </c>
      <c r="Q80" s="45">
        <f>P68*'Future Plan Assumptions'!$B$101</f>
        <v>0</v>
      </c>
      <c r="R80" s="45">
        <f>Q68*'Future Plan Assumptions'!$B$101</f>
        <v>0</v>
      </c>
      <c r="S80" s="45">
        <f>R68*'Future Plan Assumptions'!$B$101</f>
        <v>0</v>
      </c>
      <c r="T80" s="45">
        <f>S68*'Future Plan Assumptions'!$B$101</f>
        <v>0</v>
      </c>
      <c r="U80" s="45">
        <f>T68*'Future Plan Assumptions'!$B$101</f>
        <v>0</v>
      </c>
      <c r="V80" s="45">
        <f>U68*'Future Plan Assumptions'!$B$101</f>
        <v>0</v>
      </c>
    </row>
    <row r="81" spans="1:22" x14ac:dyDescent="0.3">
      <c r="A81" s="244" t="s">
        <v>12</v>
      </c>
      <c r="B81" s="45"/>
      <c r="C81" s="45"/>
      <c r="D81" s="45"/>
      <c r="E81" s="45"/>
      <c r="F81" s="45"/>
      <c r="G81" s="45">
        <f>F69*'Future Plan Assumptions'!$B$101</f>
        <v>13988645.612502091</v>
      </c>
      <c r="H81" s="45">
        <f>G69*'Future Plan Assumptions'!$B$101</f>
        <v>13211498.634029755</v>
      </c>
      <c r="I81" s="45">
        <f>H69*'Future Plan Assumptions'!$B$101</f>
        <v>13211498.634029755</v>
      </c>
      <c r="J81" s="45">
        <f>I69*'Future Plan Assumptions'!$B$101</f>
        <v>13211498.634029755</v>
      </c>
      <c r="K81" s="45">
        <f>J69*'Future Plan Assumptions'!$B$101</f>
        <v>13211498.634029755</v>
      </c>
      <c r="L81" s="45">
        <f>K69*'Future Plan Assumptions'!$B$101</f>
        <v>13211498.634029755</v>
      </c>
      <c r="M81" s="45">
        <f>L69*'Future Plan Assumptions'!$B$101</f>
        <v>13211498.634029755</v>
      </c>
      <c r="N81" s="45">
        <f>M69*'Future Plan Assumptions'!$B$101</f>
        <v>0</v>
      </c>
      <c r="O81" s="45">
        <f>N69*'Future Plan Assumptions'!$B$101</f>
        <v>0</v>
      </c>
      <c r="P81" s="45">
        <f>O69*'Future Plan Assumptions'!$B$101</f>
        <v>0</v>
      </c>
      <c r="Q81" s="45">
        <f>P69*'Future Plan Assumptions'!$B$101</f>
        <v>0</v>
      </c>
      <c r="R81" s="45">
        <f>Q69*'Future Plan Assumptions'!$B$101</f>
        <v>0</v>
      </c>
      <c r="S81" s="45">
        <f>R69*'Future Plan Assumptions'!$B$101</f>
        <v>0</v>
      </c>
      <c r="T81" s="45">
        <f>S69*'Future Plan Assumptions'!$B$101</f>
        <v>0</v>
      </c>
      <c r="U81" s="45">
        <f>T69*'Future Plan Assumptions'!$B$101</f>
        <v>0</v>
      </c>
      <c r="V81" s="45">
        <f>U69*'Future Plan Assumptions'!$B$101</f>
        <v>0</v>
      </c>
    </row>
    <row r="82" spans="1:22" x14ac:dyDescent="0.3">
      <c r="A82" s="244" t="s">
        <v>21</v>
      </c>
      <c r="B82" s="45"/>
      <c r="C82" s="45"/>
      <c r="D82" s="45"/>
      <c r="E82" s="45"/>
      <c r="F82" s="45"/>
      <c r="G82" s="45">
        <f>F70*'Future Plan Assumptions'!$B$101</f>
        <v>0</v>
      </c>
      <c r="H82" s="45">
        <f>G70*'Future Plan Assumptions'!$B$101</f>
        <v>12015810.524712849</v>
      </c>
      <c r="I82" s="45">
        <f>H70*'Future Plan Assumptions'!$B$101</f>
        <v>11955731.472089287</v>
      </c>
      <c r="J82" s="45">
        <f>I70*'Future Plan Assumptions'!$B$101</f>
        <v>11895952.814728839</v>
      </c>
      <c r="K82" s="45">
        <f>J70*'Future Plan Assumptions'!$B$101</f>
        <v>11836473.050655195</v>
      </c>
      <c r="L82" s="45">
        <f>K70*'Future Plan Assumptions'!$B$101</f>
        <v>11777290.685401917</v>
      </c>
      <c r="M82" s="45">
        <f>L70*'Future Plan Assumptions'!$B$101</f>
        <v>11718404.231974907</v>
      </c>
      <c r="N82" s="45">
        <f>M70*'Future Plan Assumptions'!$B$101</f>
        <v>11659812.210815033</v>
      </c>
      <c r="O82" s="45">
        <f>N70*'Future Plan Assumptions'!$B$101</f>
        <v>11601513.149760958</v>
      </c>
      <c r="P82" s="45">
        <f>O70*'Future Plan Assumptions'!$B$101</f>
        <v>11543505.584012154</v>
      </c>
      <c r="Q82" s="45">
        <f>P70*'Future Plan Assumptions'!$B$101</f>
        <v>11485788.056092093</v>
      </c>
      <c r="R82" s="45">
        <f>Q70*'Future Plan Assumptions'!$B$101</f>
        <v>11428359.115811629</v>
      </c>
      <c r="S82" s="45">
        <f>R70*'Future Plan Assumptions'!$B$101</f>
        <v>11371217.320232574</v>
      </c>
      <c r="T82" s="45">
        <f>S70*'Future Plan Assumptions'!$B$101</f>
        <v>11314361.233631412</v>
      </c>
      <c r="U82" s="45">
        <f>T70*'Future Plan Assumptions'!$B$101</f>
        <v>11257789.427463252</v>
      </c>
      <c r="V82" s="45">
        <f>U70*'Future Plan Assumptions'!$B$101</f>
        <v>11201500.480325937</v>
      </c>
    </row>
    <row r="83" spans="1:22" x14ac:dyDescent="0.3">
      <c r="A83" s="244" t="s">
        <v>25</v>
      </c>
      <c r="B83" s="45"/>
      <c r="C83" s="45"/>
      <c r="D83" s="45"/>
      <c r="E83" s="45"/>
      <c r="F83" s="45"/>
      <c r="G83" s="45">
        <f>F71*'Future Plan Assumptions'!$B$101</f>
        <v>6790525.6971378876</v>
      </c>
      <c r="H83" s="45">
        <f>G71*'Future Plan Assumptions'!$B$101</f>
        <v>6756573.0686521977</v>
      </c>
      <c r="I83" s="45">
        <f>H71*'Future Plan Assumptions'!$B$101</f>
        <v>6722790.2033089371</v>
      </c>
      <c r="J83" s="45">
        <f>I71*'Future Plan Assumptions'!$B$101</f>
        <v>6689176.2522923918</v>
      </c>
      <c r="K83" s="45">
        <f>J71*'Future Plan Assumptions'!$B$101</f>
        <v>6655730.3710309314</v>
      </c>
      <c r="L83" s="45">
        <f>K71*'Future Plan Assumptions'!$B$101</f>
        <v>6622451.7191757765</v>
      </c>
      <c r="M83" s="45">
        <f>L71*'Future Plan Assumptions'!$B$101</f>
        <v>6589339.4605798973</v>
      </c>
      <c r="N83" s="45">
        <f>M71*'Future Plan Assumptions'!$B$101</f>
        <v>6556392.763276998</v>
      </c>
      <c r="O83" s="45">
        <f>N71*'Future Plan Assumptions'!$B$101</f>
        <v>6523610.7994606122</v>
      </c>
      <c r="P83" s="45">
        <f>O71*'Future Plan Assumptions'!$B$101</f>
        <v>6490992.7454633098</v>
      </c>
      <c r="Q83" s="45">
        <f>P71*'Future Plan Assumptions'!$B$101</f>
        <v>6458537.781735993</v>
      </c>
      <c r="R83" s="45">
        <f>Q71*'Future Plan Assumptions'!$B$101</f>
        <v>6426245.0928273136</v>
      </c>
      <c r="S83" s="45">
        <f>R71*'Future Plan Assumptions'!$B$101</f>
        <v>6394113.8673631772</v>
      </c>
      <c r="T83" s="45">
        <f>S71*'Future Plan Assumptions'!$B$101</f>
        <v>6362143.2980263587</v>
      </c>
      <c r="U83" s="45">
        <f>T71*'Future Plan Assumptions'!$B$101</f>
        <v>6330332.5815362288</v>
      </c>
      <c r="V83" s="45">
        <f>U71*'Future Plan Assumptions'!$B$101</f>
        <v>6298680.9186285473</v>
      </c>
    </row>
    <row r="84" spans="1:22" x14ac:dyDescent="0.3">
      <c r="A84" s="244" t="s">
        <v>29</v>
      </c>
      <c r="B84" s="45"/>
      <c r="C84" s="45"/>
      <c r="D84" s="45"/>
      <c r="E84" s="45"/>
      <c r="F84" s="45"/>
      <c r="G84" s="45">
        <f>F72*'Future Plan Assumptions'!$B$101</f>
        <v>0</v>
      </c>
      <c r="H84" s="45">
        <f>G72*'Future Plan Assumptions'!$B$101</f>
        <v>5495999.3147491477</v>
      </c>
      <c r="I84" s="45">
        <f>H72*'Future Plan Assumptions'!$B$101</f>
        <v>5190666.019485306</v>
      </c>
      <c r="J84" s="45">
        <f>I72*'Future Plan Assumptions'!$B$101</f>
        <v>5190666.019485306</v>
      </c>
      <c r="K84" s="45">
        <f>J72*'Future Plan Assumptions'!$B$101</f>
        <v>5190666.019485306</v>
      </c>
      <c r="L84" s="45">
        <f>K72*'Future Plan Assumptions'!$B$101</f>
        <v>5190666.019485306</v>
      </c>
      <c r="M84" s="45">
        <f>L72*'Future Plan Assumptions'!$B$101</f>
        <v>5190666.019485306</v>
      </c>
      <c r="N84" s="45">
        <f>M72*'Future Plan Assumptions'!$B$101</f>
        <v>5190666.019485306</v>
      </c>
      <c r="O84" s="45">
        <f>N72*'Future Plan Assumptions'!$B$101</f>
        <v>0</v>
      </c>
      <c r="P84" s="45">
        <f>O72*'Future Plan Assumptions'!$B$101</f>
        <v>0</v>
      </c>
      <c r="Q84" s="45">
        <f>P72*'Future Plan Assumptions'!$B$101</f>
        <v>0</v>
      </c>
      <c r="R84" s="45">
        <f>Q72*'Future Plan Assumptions'!$B$101</f>
        <v>0</v>
      </c>
      <c r="S84" s="45">
        <f>R72*'Future Plan Assumptions'!$B$101</f>
        <v>0</v>
      </c>
      <c r="T84" s="45">
        <f>S72*'Future Plan Assumptions'!$B$101</f>
        <v>0</v>
      </c>
      <c r="U84" s="45">
        <f>T72*'Future Plan Assumptions'!$B$101</f>
        <v>0</v>
      </c>
      <c r="V84" s="45">
        <f>U72*'Future Plan Assumptions'!$B$101</f>
        <v>0</v>
      </c>
    </row>
    <row r="85" spans="1:22" x14ac:dyDescent="0.3">
      <c r="A85" s="244" t="s">
        <v>33</v>
      </c>
      <c r="B85" s="45"/>
      <c r="C85" s="45"/>
      <c r="D85" s="45"/>
      <c r="E85" s="45"/>
      <c r="F85" s="45"/>
      <c r="G85" s="45">
        <f>F73*'Future Plan Assumptions'!$B$101</f>
        <v>6994322.8062510453</v>
      </c>
      <c r="H85" s="45">
        <f>G73*'Future Plan Assumptions'!$B$101</f>
        <v>6605749.3170148777</v>
      </c>
      <c r="I85" s="45">
        <f>H73*'Future Plan Assumptions'!$B$101</f>
        <v>6605749.3170148777</v>
      </c>
      <c r="J85" s="45">
        <f>I73*'Future Plan Assumptions'!$B$101</f>
        <v>6605749.3170148777</v>
      </c>
      <c r="K85" s="45">
        <f>J73*'Future Plan Assumptions'!$B$101</f>
        <v>6605749.3170148777</v>
      </c>
      <c r="L85" s="45">
        <f>K73*'Future Plan Assumptions'!$B$101</f>
        <v>6605749.3170148777</v>
      </c>
      <c r="M85" s="45">
        <f>L73*'Future Plan Assumptions'!$B$101</f>
        <v>6605749.3170148777</v>
      </c>
      <c r="N85" s="45">
        <f>M73*'Future Plan Assumptions'!$B$101</f>
        <v>0</v>
      </c>
      <c r="O85" s="45">
        <f>N73*'Future Plan Assumptions'!$B$101</f>
        <v>0</v>
      </c>
      <c r="P85" s="45">
        <f>O73*'Future Plan Assumptions'!$B$101</f>
        <v>0</v>
      </c>
      <c r="Q85" s="45">
        <f>P73*'Future Plan Assumptions'!$B$101</f>
        <v>0</v>
      </c>
      <c r="R85" s="45">
        <f>Q73*'Future Plan Assumptions'!$B$101</f>
        <v>0</v>
      </c>
      <c r="S85" s="45">
        <f>R73*'Future Plan Assumptions'!$B$101</f>
        <v>0</v>
      </c>
      <c r="T85" s="45">
        <f>S73*'Future Plan Assumptions'!$B$101</f>
        <v>0</v>
      </c>
      <c r="U85" s="45">
        <f>T73*'Future Plan Assumptions'!$B$101</f>
        <v>0</v>
      </c>
      <c r="V85" s="45">
        <f>U73*'Future Plan Assumptions'!$B$101</f>
        <v>0</v>
      </c>
    </row>
    <row r="86" spans="1:22" x14ac:dyDescent="0.3">
      <c r="A86" s="244" t="s">
        <v>40</v>
      </c>
      <c r="B86" s="45"/>
      <c r="C86" s="45"/>
      <c r="D86" s="45"/>
      <c r="E86" s="45"/>
      <c r="F86" s="45"/>
      <c r="G86" s="45">
        <f>F74*'Future Plan Assumptions'!$J$93+F74</f>
        <v>0</v>
      </c>
      <c r="H86" s="45">
        <f>G74*'Future Plan Assumptions'!$J$93+G74</f>
        <v>0</v>
      </c>
      <c r="I86" s="45">
        <f>H74*'Future Plan Assumptions'!$J$93+H74</f>
        <v>0</v>
      </c>
      <c r="J86" s="251">
        <f>'Total REC Delivery Activities'!J86*'Indexed REC Price Calculator'!K12</f>
        <v>1747550.0534752796</v>
      </c>
      <c r="K86" s="251">
        <f>'Total REC Delivery Activities'!K86*'Indexed REC Price Calculator'!L12</f>
        <v>-1093723.9454552205</v>
      </c>
      <c r="L86" s="251">
        <f>'Total REC Delivery Activities'!L86*'Indexed REC Price Calculator'!M12</f>
        <v>-3991823.424364327</v>
      </c>
      <c r="M86" s="251">
        <f>'Total REC Delivery Activities'!M86*'Indexed REC Price Calculator'!N12</f>
        <v>-6947884.8928516079</v>
      </c>
      <c r="N86" s="251">
        <f>'Total REC Delivery Activities'!N86*'Indexed REC Price Calculator'!O12</f>
        <v>-9963067.5907086357</v>
      </c>
      <c r="O86" s="251">
        <f>'Total REC Delivery Activities'!O86*'Indexed REC Price Calculator'!P12</f>
        <v>-13038553.942522811</v>
      </c>
      <c r="P86" s="251">
        <f>'Total REC Delivery Activities'!P86*'Indexed REC Price Calculator'!Q12</f>
        <v>-16175550.021373263</v>
      </c>
      <c r="Q86" s="251">
        <f>'Total REC Delivery Activities'!Q86*'Indexed REC Price Calculator'!R12</f>
        <v>-19375286.021800734</v>
      </c>
      <c r="R86" s="251">
        <f>'Total REC Delivery Activities'!R86*'Indexed REC Price Calculator'!S12</f>
        <v>-22639016.742236748</v>
      </c>
      <c r="S86" s="251">
        <f>'Total REC Delivery Activities'!S86*'Indexed REC Price Calculator'!T12</f>
        <v>-25968022.077081479</v>
      </c>
      <c r="T86" s="251">
        <f>'Total REC Delivery Activities'!T86*'Indexed REC Price Calculator'!U12</f>
        <v>-29363607.518623099</v>
      </c>
      <c r="U86" s="251">
        <f>'Total REC Delivery Activities'!U86*'Indexed REC Price Calculator'!V12</f>
        <v>-32827104.668995552</v>
      </c>
      <c r="V86" s="251">
        <f>'Total REC Delivery Activities'!V86*'Indexed REC Price Calculator'!W12</f>
        <v>-36359871.762375452</v>
      </c>
    </row>
    <row r="87" spans="1:22" x14ac:dyDescent="0.3">
      <c r="A87" s="244" t="s">
        <v>41</v>
      </c>
      <c r="B87" s="45"/>
      <c r="C87" s="45"/>
      <c r="D87" s="45"/>
      <c r="E87" s="45"/>
      <c r="F87" s="45"/>
      <c r="G87" s="45">
        <f>F75*'Future Plan Assumptions'!$J$93+F75</f>
        <v>0</v>
      </c>
      <c r="H87" s="45">
        <f>G75*'Future Plan Assumptions'!$J$93+G75</f>
        <v>0</v>
      </c>
      <c r="I87" s="45">
        <f>H75*'Future Plan Assumptions'!$J$93+H75</f>
        <v>0</v>
      </c>
      <c r="J87" s="251">
        <f>'Total REC Delivery Activities'!J87*'Indexed REC Price Calculator'!K39</f>
        <v>23024040.042780228</v>
      </c>
      <c r="K87" s="251">
        <f>'Total REC Delivery Activities'!K87*'Indexed REC Price Calculator'!L39</f>
        <v>20751020.843635827</v>
      </c>
      <c r="L87" s="251">
        <f>'Total REC Delivery Activities'!L87*'Indexed REC Price Calculator'!M39</f>
        <v>18432541.260508545</v>
      </c>
      <c r="M87" s="251">
        <f>'Total REC Delivery Activities'!M87*'Indexed REC Price Calculator'!N39</f>
        <v>16067692.085718719</v>
      </c>
      <c r="N87" s="251">
        <f>'Total REC Delivery Activities'!N87*'Indexed REC Price Calculator'!O39</f>
        <v>13655545.927433096</v>
      </c>
      <c r="O87" s="251">
        <f>'Total REC Delivery Activities'!O87*'Indexed REC Price Calculator'!P39</f>
        <v>11195156.845981756</v>
      </c>
      <c r="P87" s="251">
        <f>'Total REC Delivery Activities'!P87*'Indexed REC Price Calculator'!Q39</f>
        <v>8685559.9829013962</v>
      </c>
      <c r="Q87" s="251">
        <f>'Total REC Delivery Activities'!Q87*'Indexed REC Price Calculator'!R39</f>
        <v>6125771.1825594185</v>
      </c>
      <c r="R87" s="251">
        <f>'Total REC Delivery Activities'!R87*'Indexed REC Price Calculator'!S39</f>
        <v>3514786.6062106062</v>
      </c>
      <c r="S87" s="251">
        <f>'Total REC Delivery Activities'!S87*'Indexed REC Price Calculator'!T39</f>
        <v>851582.33833482198</v>
      </c>
      <c r="T87" s="251">
        <f>'Total REC Delivery Activities'!T87*'Indexed REC Price Calculator'!U39</f>
        <v>-1864886.0148984739</v>
      </c>
      <c r="U87" s="251">
        <f>'Total REC Delivery Activities'!U87*'Indexed REC Price Calculator'!V39</f>
        <v>-4635683.7351964377</v>
      </c>
      <c r="V87" s="251">
        <f>'Total REC Delivery Activities'!V87*'Indexed REC Price Calculator'!W39</f>
        <v>-7461897.4099003598</v>
      </c>
    </row>
    <row r="88" spans="1:22" x14ac:dyDescent="0.3">
      <c r="A88" s="244" t="s">
        <v>42</v>
      </c>
      <c r="B88" s="45"/>
      <c r="C88" s="45"/>
      <c r="D88" s="45"/>
      <c r="E88" s="45"/>
      <c r="F88" s="45"/>
      <c r="G88" s="45">
        <f>F76*'Future Plan Assumptions'!$J$93+F76</f>
        <v>0</v>
      </c>
      <c r="H88" s="45">
        <f>G76*'Future Plan Assumptions'!$J$93+G76</f>
        <v>0</v>
      </c>
      <c r="I88" s="45">
        <f>H76*'Future Plan Assumptions'!$J$93+H76</f>
        <v>0</v>
      </c>
      <c r="J88" s="251">
        <f>'Total REC Delivery Activities'!J88*'Indexed REC Price Calculator'!K66</f>
        <v>5628627.5026737638</v>
      </c>
      <c r="K88" s="251">
        <f>'Total REC Delivery Activities'!K88*'Indexed REC Price Calculator'!L66</f>
        <v>5486563.8027272392</v>
      </c>
      <c r="L88" s="251">
        <f>'Total REC Delivery Activities'!L88*'Indexed REC Price Calculator'!M66</f>
        <v>5341658.8287817836</v>
      </c>
      <c r="M88" s="251">
        <f>'Total REC Delivery Activities'!M88*'Indexed REC Price Calculator'!N66</f>
        <v>5193855.7553574191</v>
      </c>
      <c r="N88" s="251">
        <f>'Total REC Delivery Activities'!N88*'Indexed REC Price Calculator'!O66</f>
        <v>5043096.620464568</v>
      </c>
      <c r="O88" s="251">
        <f>'Total REC Delivery Activities'!O88*'Indexed REC Price Calculator'!P66</f>
        <v>4889322.3028738592</v>
      </c>
      <c r="P88" s="251">
        <f>'Total REC Delivery Activities'!P88*'Indexed REC Price Calculator'!Q66</f>
        <v>4732472.4989313371</v>
      </c>
      <c r="Q88" s="251">
        <f>'Total REC Delivery Activities'!Q88*'Indexed REC Price Calculator'!R66</f>
        <v>4572485.6989099635</v>
      </c>
      <c r="R88" s="251">
        <f>'Total REC Delivery Activities'!R88*'Indexed REC Price Calculator'!S66</f>
        <v>4409299.1628881628</v>
      </c>
      <c r="S88" s="251">
        <f>'Total REC Delivery Activities'!S88*'Indexed REC Price Calculator'!T66</f>
        <v>4242848.8961459259</v>
      </c>
      <c r="T88" s="251">
        <f>'Total REC Delivery Activities'!T88*'Indexed REC Price Calculator'!U66</f>
        <v>4073069.6240688451</v>
      </c>
      <c r="U88" s="251">
        <f>'Total REC Delivery Activities'!U88*'Indexed REC Price Calculator'!V66</f>
        <v>3899894.7665502219</v>
      </c>
      <c r="V88" s="251">
        <f>'Total REC Delivery Activities'!V88*'Indexed REC Price Calculator'!W66</f>
        <v>3723256.411881227</v>
      </c>
    </row>
    <row r="89" spans="1:22" x14ac:dyDescent="0.3">
      <c r="A89" s="245" t="s">
        <v>233</v>
      </c>
      <c r="B89" s="24">
        <f t="shared" ref="B89:V89" si="8">SUM(B80:B88)</f>
        <v>0</v>
      </c>
      <c r="C89" s="24">
        <f t="shared" si="8"/>
        <v>0</v>
      </c>
      <c r="D89" s="24">
        <f t="shared" si="8"/>
        <v>0</v>
      </c>
      <c r="E89" s="24">
        <f t="shared" si="8"/>
        <v>0</v>
      </c>
      <c r="F89" s="24">
        <f t="shared" si="8"/>
        <v>0</v>
      </c>
      <c r="G89" s="24">
        <f t="shared" si="8"/>
        <v>158134593.86489514</v>
      </c>
      <c r="H89" s="24">
        <f t="shared" si="8"/>
        <v>44085630.859158836</v>
      </c>
      <c r="I89" s="24">
        <f t="shared" si="8"/>
        <v>43686435.645928167</v>
      </c>
      <c r="J89" s="24">
        <f t="shared" si="8"/>
        <v>73993260.636480436</v>
      </c>
      <c r="K89" s="24">
        <f t="shared" si="8"/>
        <v>68643978.093123913</v>
      </c>
      <c r="L89" s="24">
        <f t="shared" si="8"/>
        <v>63190033.040033638</v>
      </c>
      <c r="M89" s="24">
        <f t="shared" si="8"/>
        <v>57629320.611309282</v>
      </c>
      <c r="N89" s="24">
        <f t="shared" si="8"/>
        <v>32142445.950766362</v>
      </c>
      <c r="O89" s="24">
        <f t="shared" si="8"/>
        <v>21171049.155554377</v>
      </c>
      <c r="P89" s="24">
        <f t="shared" si="8"/>
        <v>15276980.789934933</v>
      </c>
      <c r="Q89" s="24">
        <f t="shared" si="8"/>
        <v>9267296.6974967327</v>
      </c>
      <c r="R89" s="24">
        <f t="shared" si="8"/>
        <v>3139673.2355009643</v>
      </c>
      <c r="S89" s="24">
        <f t="shared" si="8"/>
        <v>-3108259.65500498</v>
      </c>
      <c r="T89" s="24">
        <f t="shared" si="8"/>
        <v>-9478919.3777949568</v>
      </c>
      <c r="U89" s="24">
        <f t="shared" si="8"/>
        <v>-15974771.628642285</v>
      </c>
      <c r="V89" s="24">
        <f t="shared" si="8"/>
        <v>-22598331.3614401</v>
      </c>
    </row>
    <row r="91" spans="1:22" ht="15.6" x14ac:dyDescent="0.3">
      <c r="A91" s="248">
        <v>2028</v>
      </c>
      <c r="B91" s="247">
        <v>2022</v>
      </c>
      <c r="C91" s="247">
        <v>2023</v>
      </c>
      <c r="D91" s="247">
        <v>2024</v>
      </c>
      <c r="E91" s="247">
        <v>2025</v>
      </c>
      <c r="F91" s="247">
        <v>2026</v>
      </c>
      <c r="G91" s="247">
        <v>2027</v>
      </c>
      <c r="H91" s="247">
        <v>2028</v>
      </c>
      <c r="I91" s="247">
        <v>2029</v>
      </c>
      <c r="J91" s="247">
        <v>2030</v>
      </c>
      <c r="K91" s="247">
        <v>2031</v>
      </c>
      <c r="L91" s="247">
        <v>2032</v>
      </c>
      <c r="M91" s="247">
        <v>2033</v>
      </c>
      <c r="N91" s="247">
        <v>2034</v>
      </c>
      <c r="O91" s="247">
        <v>2035</v>
      </c>
      <c r="P91" s="247">
        <v>2036</v>
      </c>
      <c r="Q91" s="247">
        <v>2037</v>
      </c>
      <c r="R91" s="247">
        <v>2038</v>
      </c>
      <c r="S91" s="247">
        <v>2039</v>
      </c>
      <c r="T91" s="247">
        <v>2040</v>
      </c>
      <c r="U91" s="247">
        <v>2041</v>
      </c>
      <c r="V91" s="247">
        <v>2042</v>
      </c>
    </row>
    <row r="92" spans="1:22" x14ac:dyDescent="0.3">
      <c r="A92" s="244" t="s">
        <v>6</v>
      </c>
      <c r="B92" s="45"/>
      <c r="C92" s="45"/>
      <c r="D92" s="45"/>
      <c r="E92" s="45"/>
      <c r="F92" s="45"/>
      <c r="G92" s="45"/>
      <c r="H92" s="45">
        <f>G80*'Future Plan Assumptions'!$B$101</f>
        <v>125146655.75904395</v>
      </c>
      <c r="I92" s="45">
        <f>H80*'Future Plan Assumptions'!$B$101</f>
        <v>0</v>
      </c>
      <c r="J92" s="45">
        <f>I80*'Future Plan Assumptions'!$B$101</f>
        <v>0</v>
      </c>
      <c r="K92" s="45">
        <f>J80*'Future Plan Assumptions'!$B$101</f>
        <v>0</v>
      </c>
      <c r="L92" s="45">
        <f>K80*'Future Plan Assumptions'!$B$101</f>
        <v>0</v>
      </c>
      <c r="M92" s="45">
        <f>L80*'Future Plan Assumptions'!$B$101</f>
        <v>0</v>
      </c>
      <c r="N92" s="45">
        <f>M80*'Future Plan Assumptions'!$B$101</f>
        <v>0</v>
      </c>
      <c r="O92" s="45">
        <f>N80*'Future Plan Assumptions'!$B$101</f>
        <v>0</v>
      </c>
      <c r="P92" s="45">
        <f>O80*'Future Plan Assumptions'!$B$101</f>
        <v>0</v>
      </c>
      <c r="Q92" s="45">
        <f>P80*'Future Plan Assumptions'!$B$101</f>
        <v>0</v>
      </c>
      <c r="R92" s="45">
        <f>Q80*'Future Plan Assumptions'!$B$101</f>
        <v>0</v>
      </c>
      <c r="S92" s="45">
        <f>R80*'Future Plan Assumptions'!$B$101</f>
        <v>0</v>
      </c>
      <c r="T92" s="45">
        <f>S80*'Future Plan Assumptions'!$B$101</f>
        <v>0</v>
      </c>
      <c r="U92" s="45">
        <f>T80*'Future Plan Assumptions'!$B$101</f>
        <v>0</v>
      </c>
      <c r="V92" s="45">
        <f>U80*'Future Plan Assumptions'!$B$101</f>
        <v>0</v>
      </c>
    </row>
    <row r="93" spans="1:22" x14ac:dyDescent="0.3">
      <c r="A93" s="244" t="s">
        <v>12</v>
      </c>
      <c r="B93" s="45"/>
      <c r="C93" s="45"/>
      <c r="D93" s="45"/>
      <c r="E93" s="45"/>
      <c r="F93" s="45"/>
      <c r="G93" s="45"/>
      <c r="H93" s="45">
        <f>G81*'Future Plan Assumptions'!$B$101</f>
        <v>13429099.788002007</v>
      </c>
      <c r="I93" s="45">
        <f>H81*'Future Plan Assumptions'!$B$101</f>
        <v>12683038.688668564</v>
      </c>
      <c r="J93" s="45">
        <f>I81*'Future Plan Assumptions'!$B$101</f>
        <v>12683038.688668564</v>
      </c>
      <c r="K93" s="45">
        <f>J81*'Future Plan Assumptions'!$B$101</f>
        <v>12683038.688668564</v>
      </c>
      <c r="L93" s="45">
        <f>K81*'Future Plan Assumptions'!$B$101</f>
        <v>12683038.688668564</v>
      </c>
      <c r="M93" s="45">
        <f>L81*'Future Plan Assumptions'!$B$101</f>
        <v>12683038.688668564</v>
      </c>
      <c r="N93" s="45">
        <f>M81*'Future Plan Assumptions'!$B$101</f>
        <v>12683038.688668564</v>
      </c>
      <c r="O93" s="45">
        <f>N81*'Future Plan Assumptions'!$B$101</f>
        <v>0</v>
      </c>
      <c r="P93" s="45">
        <f>O81*'Future Plan Assumptions'!$B$101</f>
        <v>0</v>
      </c>
      <c r="Q93" s="45">
        <f>P81*'Future Plan Assumptions'!$B$101</f>
        <v>0</v>
      </c>
      <c r="R93" s="45">
        <f>Q81*'Future Plan Assumptions'!$B$101</f>
        <v>0</v>
      </c>
      <c r="S93" s="45">
        <f>R81*'Future Plan Assumptions'!$B$101</f>
        <v>0</v>
      </c>
      <c r="T93" s="45">
        <f>S81*'Future Plan Assumptions'!$B$101</f>
        <v>0</v>
      </c>
      <c r="U93" s="45">
        <f>T81*'Future Plan Assumptions'!$B$101</f>
        <v>0</v>
      </c>
      <c r="V93" s="45">
        <f>U81*'Future Plan Assumptions'!$B$101</f>
        <v>0</v>
      </c>
    </row>
    <row r="94" spans="1:22" x14ac:dyDescent="0.3">
      <c r="A94" s="244" t="s">
        <v>21</v>
      </c>
      <c r="B94" s="45"/>
      <c r="C94" s="45"/>
      <c r="D94" s="45"/>
      <c r="E94" s="45"/>
      <c r="F94" s="45"/>
      <c r="G94" s="45"/>
      <c r="H94" s="45">
        <f>G82*'Future Plan Assumptions'!$B$101</f>
        <v>0</v>
      </c>
      <c r="I94" s="45">
        <f>H82*'Future Plan Assumptions'!$B$101</f>
        <v>11535178.103724334</v>
      </c>
      <c r="J94" s="45">
        <f>I82*'Future Plan Assumptions'!$B$101</f>
        <v>11477502.213205716</v>
      </c>
      <c r="K94" s="45">
        <f>J82*'Future Plan Assumptions'!$B$101</f>
        <v>11420114.702139685</v>
      </c>
      <c r="L94" s="45">
        <f>K82*'Future Plan Assumptions'!$B$101</f>
        <v>11363014.128628988</v>
      </c>
      <c r="M94" s="45">
        <f>L82*'Future Plan Assumptions'!$B$101</f>
        <v>11306199.057985839</v>
      </c>
      <c r="N94" s="45">
        <f>M82*'Future Plan Assumptions'!$B$101</f>
        <v>11249668.062695911</v>
      </c>
      <c r="O94" s="45">
        <f>N82*'Future Plan Assumptions'!$B$101</f>
        <v>11193419.722382432</v>
      </c>
      <c r="P94" s="45">
        <f>O82*'Future Plan Assumptions'!$B$101</f>
        <v>11137452.623770518</v>
      </c>
      <c r="Q94" s="45">
        <f>P82*'Future Plan Assumptions'!$B$101</f>
        <v>11081765.360651668</v>
      </c>
      <c r="R94" s="45">
        <f>Q82*'Future Plan Assumptions'!$B$101</f>
        <v>11026356.533848409</v>
      </c>
      <c r="S94" s="45">
        <f>R82*'Future Plan Assumptions'!$B$101</f>
        <v>10971224.751179164</v>
      </c>
      <c r="T94" s="45">
        <f>S82*'Future Plan Assumptions'!$B$101</f>
        <v>10916368.62742327</v>
      </c>
      <c r="U94" s="45">
        <f>T82*'Future Plan Assumptions'!$B$101</f>
        <v>10861786.784286154</v>
      </c>
      <c r="V94" s="45">
        <f>U82*'Future Plan Assumptions'!$B$101</f>
        <v>10807477.850364722</v>
      </c>
    </row>
    <row r="95" spans="1:22" x14ac:dyDescent="0.3">
      <c r="A95" s="244" t="s">
        <v>25</v>
      </c>
      <c r="B95" s="45"/>
      <c r="C95" s="45"/>
      <c r="D95" s="45"/>
      <c r="E95" s="45"/>
      <c r="F95" s="45"/>
      <c r="G95" s="45"/>
      <c r="H95" s="45">
        <f>G83*'Future Plan Assumptions'!$B$101</f>
        <v>6518904.6692523714</v>
      </c>
      <c r="I95" s="45">
        <f>H83*'Future Plan Assumptions'!$B$101</f>
        <v>6486310.1459061094</v>
      </c>
      <c r="J95" s="45">
        <f>I83*'Future Plan Assumptions'!$B$101</f>
        <v>6453878.5951765794</v>
      </c>
      <c r="K95" s="45">
        <f>J83*'Future Plan Assumptions'!$B$101</f>
        <v>6421609.2022006959</v>
      </c>
      <c r="L95" s="45">
        <f>K83*'Future Plan Assumptions'!$B$101</f>
        <v>6389501.1561896941</v>
      </c>
      <c r="M95" s="45">
        <f>L83*'Future Plan Assumptions'!$B$101</f>
        <v>6357553.6504087448</v>
      </c>
      <c r="N95" s="45">
        <f>M83*'Future Plan Assumptions'!$B$101</f>
        <v>6325765.8821567008</v>
      </c>
      <c r="O95" s="45">
        <f>N83*'Future Plan Assumptions'!$B$101</f>
        <v>6294137.0527459178</v>
      </c>
      <c r="P95" s="45">
        <f>O83*'Future Plan Assumptions'!$B$101</f>
        <v>6262666.3674821872</v>
      </c>
      <c r="Q95" s="45">
        <f>P83*'Future Plan Assumptions'!$B$101</f>
        <v>6231353.0356447771</v>
      </c>
      <c r="R95" s="45">
        <f>Q83*'Future Plan Assumptions'!$B$101</f>
        <v>6200196.270466553</v>
      </c>
      <c r="S95" s="45">
        <f>R83*'Future Plan Assumptions'!$B$101</f>
        <v>6169195.289114221</v>
      </c>
      <c r="T95" s="45">
        <f>S83*'Future Plan Assumptions'!$B$101</f>
        <v>6138349.3126686495</v>
      </c>
      <c r="U95" s="45">
        <f>T83*'Future Plan Assumptions'!$B$101</f>
        <v>6107657.5661053043</v>
      </c>
      <c r="V95" s="45">
        <f>U83*'Future Plan Assumptions'!$B$101</f>
        <v>6077119.2782747792</v>
      </c>
    </row>
    <row r="96" spans="1:22" x14ac:dyDescent="0.3">
      <c r="A96" s="244" t="s">
        <v>29</v>
      </c>
      <c r="B96" s="45"/>
      <c r="C96" s="45"/>
      <c r="D96" s="45"/>
      <c r="E96" s="45"/>
      <c r="F96" s="45"/>
      <c r="G96" s="45"/>
      <c r="H96" s="45">
        <f>G84*'Future Plan Assumptions'!$B$101</f>
        <v>0</v>
      </c>
      <c r="I96" s="45">
        <f>H84*'Future Plan Assumptions'!$B$101</f>
        <v>5276159.3421591818</v>
      </c>
      <c r="J96" s="45">
        <f>I84*'Future Plan Assumptions'!$B$101</f>
        <v>4983039.3787058936</v>
      </c>
      <c r="K96" s="45">
        <f>J84*'Future Plan Assumptions'!$B$101</f>
        <v>4983039.3787058936</v>
      </c>
      <c r="L96" s="45">
        <f>K84*'Future Plan Assumptions'!$B$101</f>
        <v>4983039.3787058936</v>
      </c>
      <c r="M96" s="45">
        <f>L84*'Future Plan Assumptions'!$B$101</f>
        <v>4983039.3787058936</v>
      </c>
      <c r="N96" s="45">
        <f>M84*'Future Plan Assumptions'!$B$101</f>
        <v>4983039.3787058936</v>
      </c>
      <c r="O96" s="45">
        <f>N84*'Future Plan Assumptions'!$B$101</f>
        <v>4983039.3787058936</v>
      </c>
      <c r="P96" s="45">
        <f>O84*'Future Plan Assumptions'!$B$101</f>
        <v>0</v>
      </c>
      <c r="Q96" s="45">
        <f>P84*'Future Plan Assumptions'!$B$101</f>
        <v>0</v>
      </c>
      <c r="R96" s="45">
        <f>Q84*'Future Plan Assumptions'!$B$101</f>
        <v>0</v>
      </c>
      <c r="S96" s="45">
        <f>R84*'Future Plan Assumptions'!$B$101</f>
        <v>0</v>
      </c>
      <c r="T96" s="45">
        <f>S84*'Future Plan Assumptions'!$B$101</f>
        <v>0</v>
      </c>
      <c r="U96" s="45">
        <f>T84*'Future Plan Assumptions'!$B$101</f>
        <v>0</v>
      </c>
      <c r="V96" s="45">
        <f>U84*'Future Plan Assumptions'!$B$101</f>
        <v>0</v>
      </c>
    </row>
    <row r="97" spans="1:22" x14ac:dyDescent="0.3">
      <c r="A97" s="244" t="s">
        <v>33</v>
      </c>
      <c r="B97" s="45"/>
      <c r="C97" s="45"/>
      <c r="D97" s="45"/>
      <c r="E97" s="45"/>
      <c r="F97" s="45"/>
      <c r="G97" s="45"/>
      <c r="H97" s="45">
        <f>G85*'Future Plan Assumptions'!$B$101</f>
        <v>6714549.8940010034</v>
      </c>
      <c r="I97" s="45">
        <f>H85*'Future Plan Assumptions'!$B$101</f>
        <v>6341519.344334282</v>
      </c>
      <c r="J97" s="45">
        <f>I85*'Future Plan Assumptions'!$B$101</f>
        <v>6341519.344334282</v>
      </c>
      <c r="K97" s="45">
        <f>J85*'Future Plan Assumptions'!$B$101</f>
        <v>6341519.344334282</v>
      </c>
      <c r="L97" s="45">
        <f>K85*'Future Plan Assumptions'!$B$101</f>
        <v>6341519.344334282</v>
      </c>
      <c r="M97" s="45">
        <f>L85*'Future Plan Assumptions'!$B$101</f>
        <v>6341519.344334282</v>
      </c>
      <c r="N97" s="45">
        <f>M85*'Future Plan Assumptions'!$B$101</f>
        <v>6341519.344334282</v>
      </c>
      <c r="O97" s="45">
        <f>N85*'Future Plan Assumptions'!$B$101</f>
        <v>0</v>
      </c>
      <c r="P97" s="45">
        <f>O85*'Future Plan Assumptions'!$B$101</f>
        <v>0</v>
      </c>
      <c r="Q97" s="45">
        <f>P85*'Future Plan Assumptions'!$B$101</f>
        <v>0</v>
      </c>
      <c r="R97" s="45">
        <f>Q85*'Future Plan Assumptions'!$B$101</f>
        <v>0</v>
      </c>
      <c r="S97" s="45">
        <f>R85*'Future Plan Assumptions'!$B$101</f>
        <v>0</v>
      </c>
      <c r="T97" s="45">
        <f>S85*'Future Plan Assumptions'!$B$101</f>
        <v>0</v>
      </c>
      <c r="U97" s="45">
        <f>T85*'Future Plan Assumptions'!$B$101</f>
        <v>0</v>
      </c>
      <c r="V97" s="45">
        <f>U85*'Future Plan Assumptions'!$B$101</f>
        <v>0</v>
      </c>
    </row>
    <row r="98" spans="1:22" x14ac:dyDescent="0.3">
      <c r="A98" s="244" t="s">
        <v>40</v>
      </c>
      <c r="B98" s="45"/>
      <c r="C98" s="45"/>
      <c r="D98" s="45"/>
      <c r="E98" s="45"/>
      <c r="F98" s="45"/>
      <c r="G98" s="45"/>
      <c r="H98" s="45">
        <f>G86*'Future Plan Assumptions'!$K$93+G86</f>
        <v>0</v>
      </c>
      <c r="I98" s="45">
        <f>H86*'Future Plan Assumptions'!$K$93+H86</f>
        <v>0</v>
      </c>
      <c r="J98" s="45">
        <f>I86*'Future Plan Assumptions'!$K$93+I86</f>
        <v>0</v>
      </c>
      <c r="K98" s="251">
        <f>'Total REC Delivery Activities'!K98*'Indexed REC Price Calculator'!L13</f>
        <v>1521026.0545447874</v>
      </c>
      <c r="L98" s="251">
        <f>'Total REC Delivery Activities'!L98*'Indexed REC Price Calculator'!M13</f>
        <v>-1377073.4243643191</v>
      </c>
      <c r="M98" s="251">
        <f>'Total REC Delivery Activities'!M98*'Indexed REC Price Calculator'!N13</f>
        <v>-4333134.8928516004</v>
      </c>
      <c r="N98" s="251">
        <f>'Total REC Delivery Activities'!N98*'Indexed REC Price Calculator'!O13</f>
        <v>-7348317.5907086283</v>
      </c>
      <c r="O98" s="251">
        <f>'Total REC Delivery Activities'!O98*'Indexed REC Price Calculator'!P13</f>
        <v>-10423803.942522803</v>
      </c>
      <c r="P98" s="251">
        <f>'Total REC Delivery Activities'!P98*'Indexed REC Price Calculator'!Q13</f>
        <v>-13560800.021373253</v>
      </c>
      <c r="Q98" s="251">
        <f>'Total REC Delivery Activities'!Q98*'Indexed REC Price Calculator'!R13</f>
        <v>-16760536.021800725</v>
      </c>
      <c r="R98" s="251">
        <f>'Total REC Delivery Activities'!R98*'Indexed REC Price Calculator'!S13</f>
        <v>-20024266.742236741</v>
      </c>
      <c r="S98" s="251">
        <f>'Total REC Delivery Activities'!S98*'Indexed REC Price Calculator'!T13</f>
        <v>-23353272.077081472</v>
      </c>
      <c r="T98" s="251">
        <f>'Total REC Delivery Activities'!T98*'Indexed REC Price Calculator'!U13</f>
        <v>-26748857.518623091</v>
      </c>
      <c r="U98" s="251">
        <f>'Total REC Delivery Activities'!U98*'Indexed REC Price Calculator'!V13</f>
        <v>-30212354.668995544</v>
      </c>
      <c r="V98" s="251">
        <f>'Total REC Delivery Activities'!V98*'Indexed REC Price Calculator'!W13</f>
        <v>-33745121.762375444</v>
      </c>
    </row>
    <row r="99" spans="1:22" x14ac:dyDescent="0.3">
      <c r="A99" s="244" t="s">
        <v>41</v>
      </c>
      <c r="B99" s="45"/>
      <c r="C99" s="45"/>
      <c r="D99" s="45"/>
      <c r="E99" s="45"/>
      <c r="F99" s="45"/>
      <c r="G99" s="45"/>
      <c r="H99" s="45">
        <f>G87*'Future Plan Assumptions'!$K$93+G87</f>
        <v>0</v>
      </c>
      <c r="I99" s="45">
        <f>H87*'Future Plan Assumptions'!$K$93+H87</f>
        <v>0</v>
      </c>
      <c r="J99" s="45">
        <f>I87*'Future Plan Assumptions'!$K$93+I87</f>
        <v>0</v>
      </c>
      <c r="K99" s="251">
        <f>'Total REC Delivery Activities'!K99*'Indexed REC Price Calculator'!L40</f>
        <v>23236020.843635842</v>
      </c>
      <c r="L99" s="251">
        <f>'Total REC Delivery Activities'!L99*'Indexed REC Price Calculator'!M40</f>
        <v>20917541.260508556</v>
      </c>
      <c r="M99" s="251">
        <f>'Total REC Delivery Activities'!M99*'Indexed REC Price Calculator'!N40</f>
        <v>18552692.085718732</v>
      </c>
      <c r="N99" s="251">
        <f>'Total REC Delivery Activities'!N99*'Indexed REC Price Calculator'!O40</f>
        <v>16140545.927433109</v>
      </c>
      <c r="O99" s="251">
        <f>'Total REC Delivery Activities'!O99*'Indexed REC Price Calculator'!P40</f>
        <v>13680156.845981769</v>
      </c>
      <c r="P99" s="251">
        <f>'Total REC Delivery Activities'!P99*'Indexed REC Price Calculator'!Q40</f>
        <v>11170559.982901409</v>
      </c>
      <c r="Q99" s="251">
        <f>'Total REC Delivery Activities'!Q99*'Indexed REC Price Calculator'!R40</f>
        <v>8610771.1825594325</v>
      </c>
      <c r="R99" s="251">
        <f>'Total REC Delivery Activities'!R99*'Indexed REC Price Calculator'!S40</f>
        <v>5999786.6062106201</v>
      </c>
      <c r="S99" s="251">
        <f>'Total REC Delivery Activities'!S99*'Indexed REC Price Calculator'!T40</f>
        <v>3336582.3383348356</v>
      </c>
      <c r="T99" s="251">
        <f>'Total REC Delivery Activities'!T99*'Indexed REC Price Calculator'!U40</f>
        <v>620113.98510153976</v>
      </c>
      <c r="U99" s="251">
        <f>'Total REC Delivery Activities'!U99*'Indexed REC Price Calculator'!V40</f>
        <v>-2150683.7351964237</v>
      </c>
      <c r="V99" s="251">
        <f>'Total REC Delivery Activities'!V99*'Indexed REC Price Calculator'!W40</f>
        <v>-4976897.4099003458</v>
      </c>
    </row>
    <row r="100" spans="1:22" x14ac:dyDescent="0.3">
      <c r="A100" s="244" t="s">
        <v>42</v>
      </c>
      <c r="B100" s="45"/>
      <c r="C100" s="45"/>
      <c r="D100" s="45"/>
      <c r="E100" s="45"/>
      <c r="F100" s="45"/>
      <c r="G100" s="45"/>
      <c r="H100" s="45">
        <f>G88*'Future Plan Assumptions'!$K$93+G88</f>
        <v>0</v>
      </c>
      <c r="I100" s="45">
        <f>H88*'Future Plan Assumptions'!$K$93+H88</f>
        <v>0</v>
      </c>
      <c r="J100" s="45">
        <f>I88*'Future Plan Assumptions'!$K$93+I88</f>
        <v>0</v>
      </c>
      <c r="K100" s="251">
        <f>'Total REC Delivery Activities'!K100*'Indexed REC Price Calculator'!L67</f>
        <v>5718051.3027272392</v>
      </c>
      <c r="L100" s="251">
        <f>'Total REC Delivery Activities'!L100*'Indexed REC Price Calculator'!M67</f>
        <v>5573146.3287817836</v>
      </c>
      <c r="M100" s="251">
        <f>'Total REC Delivery Activities'!M100*'Indexed REC Price Calculator'!N67</f>
        <v>5425343.2553574191</v>
      </c>
      <c r="N100" s="251">
        <f>'Total REC Delivery Activities'!N100*'Indexed REC Price Calculator'!O67</f>
        <v>5274584.120464568</v>
      </c>
      <c r="O100" s="251">
        <f>'Total REC Delivery Activities'!O100*'Indexed REC Price Calculator'!P67</f>
        <v>5120809.8028738592</v>
      </c>
      <c r="P100" s="251">
        <f>'Total REC Delivery Activities'!P100*'Indexed REC Price Calculator'!Q67</f>
        <v>4963959.9989313371</v>
      </c>
      <c r="Q100" s="251">
        <f>'Total REC Delivery Activities'!Q100*'Indexed REC Price Calculator'!R67</f>
        <v>4803973.1989099635</v>
      </c>
      <c r="R100" s="251">
        <f>'Total REC Delivery Activities'!R100*'Indexed REC Price Calculator'!S67</f>
        <v>4640786.6628881628</v>
      </c>
      <c r="S100" s="251">
        <f>'Total REC Delivery Activities'!S100*'Indexed REC Price Calculator'!T67</f>
        <v>4474336.3961459259</v>
      </c>
      <c r="T100" s="251">
        <f>'Total REC Delivery Activities'!T100*'Indexed REC Price Calculator'!U67</f>
        <v>4304557.1240688451</v>
      </c>
      <c r="U100" s="251">
        <f>'Total REC Delivery Activities'!U100*'Indexed REC Price Calculator'!V67</f>
        <v>4131382.2665502224</v>
      </c>
      <c r="V100" s="251">
        <f>'Total REC Delivery Activities'!V100*'Indexed REC Price Calculator'!W67</f>
        <v>3954743.911881227</v>
      </c>
    </row>
    <row r="101" spans="1:22" x14ac:dyDescent="0.3">
      <c r="A101" s="245" t="s">
        <v>233</v>
      </c>
      <c r="B101" s="24">
        <f t="shared" ref="B101:V101" si="9">SUM(B92:B100)</f>
        <v>0</v>
      </c>
      <c r="C101" s="24">
        <f t="shared" si="9"/>
        <v>0</v>
      </c>
      <c r="D101" s="24">
        <f t="shared" si="9"/>
        <v>0</v>
      </c>
      <c r="E101" s="24">
        <f t="shared" si="9"/>
        <v>0</v>
      </c>
      <c r="F101" s="24">
        <f t="shared" si="9"/>
        <v>0</v>
      </c>
      <c r="G101" s="24">
        <f t="shared" si="9"/>
        <v>0</v>
      </c>
      <c r="H101" s="24">
        <f t="shared" si="9"/>
        <v>151809210.11029932</v>
      </c>
      <c r="I101" s="24">
        <f t="shared" si="9"/>
        <v>42322205.624792472</v>
      </c>
      <c r="J101" s="24">
        <f t="shared" si="9"/>
        <v>41938978.220091037</v>
      </c>
      <c r="K101" s="24">
        <f t="shared" si="9"/>
        <v>72324419.516956985</v>
      </c>
      <c r="L101" s="24">
        <f t="shared" si="9"/>
        <v>66873726.861453444</v>
      </c>
      <c r="M101" s="24">
        <f t="shared" si="9"/>
        <v>61316250.568327881</v>
      </c>
      <c r="N101" s="24">
        <f t="shared" si="9"/>
        <v>55649843.813750409</v>
      </c>
      <c r="O101" s="24">
        <f t="shared" si="9"/>
        <v>30847758.860167064</v>
      </c>
      <c r="P101" s="24">
        <f t="shared" si="9"/>
        <v>19973838.951712199</v>
      </c>
      <c r="Q101" s="24">
        <f t="shared" si="9"/>
        <v>13967326.755965117</v>
      </c>
      <c r="R101" s="24">
        <f t="shared" si="9"/>
        <v>7842859.3311770055</v>
      </c>
      <c r="S101" s="24">
        <f t="shared" si="9"/>
        <v>1598066.6976926741</v>
      </c>
      <c r="T101" s="24">
        <f t="shared" si="9"/>
        <v>-4769468.4693607874</v>
      </c>
      <c r="U101" s="24">
        <f t="shared" si="9"/>
        <v>-11262211.787250286</v>
      </c>
      <c r="V101" s="24">
        <f t="shared" si="9"/>
        <v>-17882678.131755061</v>
      </c>
    </row>
    <row r="103" spans="1:22" ht="15.6" x14ac:dyDescent="0.3">
      <c r="A103" s="248">
        <v>2029</v>
      </c>
      <c r="B103" s="247">
        <v>2022</v>
      </c>
      <c r="C103" s="247">
        <v>2023</v>
      </c>
      <c r="D103" s="247">
        <v>2024</v>
      </c>
      <c r="E103" s="247">
        <v>2025</v>
      </c>
      <c r="F103" s="247">
        <v>2026</v>
      </c>
      <c r="G103" s="247">
        <v>2027</v>
      </c>
      <c r="H103" s="247">
        <v>2028</v>
      </c>
      <c r="I103" s="247">
        <v>2029</v>
      </c>
      <c r="J103" s="247">
        <v>2030</v>
      </c>
      <c r="K103" s="247">
        <v>2031</v>
      </c>
      <c r="L103" s="247">
        <v>2032</v>
      </c>
      <c r="M103" s="247">
        <v>2033</v>
      </c>
      <c r="N103" s="247">
        <v>2034</v>
      </c>
      <c r="O103" s="247">
        <v>2035</v>
      </c>
      <c r="P103" s="247">
        <v>2036</v>
      </c>
      <c r="Q103" s="247">
        <v>2037</v>
      </c>
      <c r="R103" s="247">
        <v>2038</v>
      </c>
      <c r="S103" s="247">
        <v>2039</v>
      </c>
      <c r="T103" s="247">
        <v>2040</v>
      </c>
      <c r="U103" s="247">
        <v>2041</v>
      </c>
      <c r="V103" s="247">
        <v>2042</v>
      </c>
    </row>
    <row r="104" spans="1:22" x14ac:dyDescent="0.3">
      <c r="A104" s="244" t="s">
        <v>6</v>
      </c>
      <c r="B104" s="45"/>
      <c r="C104" s="45"/>
      <c r="D104" s="45"/>
      <c r="E104" s="45"/>
      <c r="F104" s="45"/>
      <c r="G104" s="45"/>
      <c r="H104" s="45"/>
      <c r="I104" s="45">
        <f>H92*'Future Plan Assumptions'!$B$101</f>
        <v>120140789.52868219</v>
      </c>
      <c r="J104" s="45">
        <f>I92*'Future Plan Assumptions'!$B$101</f>
        <v>0</v>
      </c>
      <c r="K104" s="45">
        <f>J92*'Future Plan Assumptions'!$B$101</f>
        <v>0</v>
      </c>
      <c r="L104" s="45">
        <f>K92*'Future Plan Assumptions'!$B$101</f>
        <v>0</v>
      </c>
      <c r="M104" s="45">
        <f>L92*'Future Plan Assumptions'!$B$101</f>
        <v>0</v>
      </c>
      <c r="N104" s="45">
        <f>M92*'Future Plan Assumptions'!$B$101</f>
        <v>0</v>
      </c>
      <c r="O104" s="45">
        <f>N92*'Future Plan Assumptions'!$B$101</f>
        <v>0</v>
      </c>
      <c r="P104" s="45">
        <f>O92*'Future Plan Assumptions'!$B$101</f>
        <v>0</v>
      </c>
      <c r="Q104" s="45">
        <f>P92*'Future Plan Assumptions'!$B$101</f>
        <v>0</v>
      </c>
      <c r="R104" s="45">
        <f>Q92*'Future Plan Assumptions'!$B$101</f>
        <v>0</v>
      </c>
      <c r="S104" s="45">
        <f>R92*'Future Plan Assumptions'!$B$101</f>
        <v>0</v>
      </c>
      <c r="T104" s="45">
        <f>S92*'Future Plan Assumptions'!$B$101</f>
        <v>0</v>
      </c>
      <c r="U104" s="45">
        <f>T92*'Future Plan Assumptions'!$B$101</f>
        <v>0</v>
      </c>
      <c r="V104" s="45">
        <f>U92*'Future Plan Assumptions'!$B$101</f>
        <v>0</v>
      </c>
    </row>
    <row r="105" spans="1:22" x14ac:dyDescent="0.3">
      <c r="A105" s="244" t="s">
        <v>12</v>
      </c>
      <c r="B105" s="45"/>
      <c r="C105" s="45"/>
      <c r="D105" s="45"/>
      <c r="E105" s="45"/>
      <c r="F105" s="45"/>
      <c r="G105" s="45"/>
      <c r="H105" s="45"/>
      <c r="I105" s="45">
        <f>H93*'Future Plan Assumptions'!$B$101</f>
        <v>12891935.796481926</v>
      </c>
      <c r="J105" s="45">
        <f>I93*'Future Plan Assumptions'!$B$101</f>
        <v>12175717.141121821</v>
      </c>
      <c r="K105" s="45">
        <f>J93*'Future Plan Assumptions'!$B$101</f>
        <v>12175717.141121821</v>
      </c>
      <c r="L105" s="45">
        <f>K93*'Future Plan Assumptions'!$B$101</f>
        <v>12175717.141121821</v>
      </c>
      <c r="M105" s="45">
        <f>L93*'Future Plan Assumptions'!$B$101</f>
        <v>12175717.141121821</v>
      </c>
      <c r="N105" s="45">
        <f>M93*'Future Plan Assumptions'!$B$101</f>
        <v>12175717.141121821</v>
      </c>
      <c r="O105" s="45">
        <f>N93*'Future Plan Assumptions'!$B$101</f>
        <v>12175717.141121821</v>
      </c>
      <c r="P105" s="45">
        <f>O93*'Future Plan Assumptions'!$B$101</f>
        <v>0</v>
      </c>
      <c r="Q105" s="45">
        <f>P93*'Future Plan Assumptions'!$B$101</f>
        <v>0</v>
      </c>
      <c r="R105" s="45">
        <f>Q93*'Future Plan Assumptions'!$B$101</f>
        <v>0</v>
      </c>
      <c r="S105" s="45">
        <f>R93*'Future Plan Assumptions'!$B$101</f>
        <v>0</v>
      </c>
      <c r="T105" s="45">
        <f>S93*'Future Plan Assumptions'!$B$101</f>
        <v>0</v>
      </c>
      <c r="U105" s="45">
        <f>T93*'Future Plan Assumptions'!$B$101</f>
        <v>0</v>
      </c>
      <c r="V105" s="45">
        <f>U93*'Future Plan Assumptions'!$B$101</f>
        <v>0</v>
      </c>
    </row>
    <row r="106" spans="1:22" x14ac:dyDescent="0.3">
      <c r="A106" s="244" t="s">
        <v>21</v>
      </c>
      <c r="B106" s="45"/>
      <c r="C106" s="45"/>
      <c r="D106" s="45"/>
      <c r="E106" s="45"/>
      <c r="F106" s="45"/>
      <c r="G106" s="45"/>
      <c r="H106" s="45"/>
      <c r="I106" s="45">
        <f>H94*'Future Plan Assumptions'!$B$101</f>
        <v>0</v>
      </c>
      <c r="J106" s="45">
        <f>I94*'Future Plan Assumptions'!$B$101</f>
        <v>11073770.97957536</v>
      </c>
      <c r="K106" s="45">
        <f>J94*'Future Plan Assumptions'!$B$101</f>
        <v>11018402.124677487</v>
      </c>
      <c r="L106" s="45">
        <f>K94*'Future Plan Assumptions'!$B$101</f>
        <v>10963310.114054097</v>
      </c>
      <c r="M106" s="45">
        <f>L94*'Future Plan Assumptions'!$B$101</f>
        <v>10908493.563483829</v>
      </c>
      <c r="N106" s="45">
        <f>M94*'Future Plan Assumptions'!$B$101</f>
        <v>10853951.095666405</v>
      </c>
      <c r="O106" s="45">
        <f>N94*'Future Plan Assumptions'!$B$101</f>
        <v>10799681.340188075</v>
      </c>
      <c r="P106" s="45">
        <f>O94*'Future Plan Assumptions'!$B$101</f>
        <v>10745682.933487134</v>
      </c>
      <c r="Q106" s="45">
        <f>P94*'Future Plan Assumptions'!$B$101</f>
        <v>10691954.518819697</v>
      </c>
      <c r="R106" s="45">
        <f>Q94*'Future Plan Assumptions'!$B$101</f>
        <v>10638494.746225601</v>
      </c>
      <c r="S106" s="45">
        <f>R94*'Future Plan Assumptions'!$B$101</f>
        <v>10585302.272494473</v>
      </c>
      <c r="T106" s="45">
        <f>S94*'Future Plan Assumptions'!$B$101</f>
        <v>10532375.761131998</v>
      </c>
      <c r="U106" s="45">
        <f>T94*'Future Plan Assumptions'!$B$101</f>
        <v>10479713.882326338</v>
      </c>
      <c r="V106" s="45">
        <f>U94*'Future Plan Assumptions'!$B$101</f>
        <v>10427315.312914709</v>
      </c>
    </row>
    <row r="107" spans="1:22" x14ac:dyDescent="0.3">
      <c r="A107" s="244" t="s">
        <v>25</v>
      </c>
      <c r="B107" s="45"/>
      <c r="C107" s="45"/>
      <c r="D107" s="45"/>
      <c r="E107" s="45"/>
      <c r="F107" s="45"/>
      <c r="G107" s="45"/>
      <c r="H107" s="45"/>
      <c r="I107" s="45">
        <f>H95*'Future Plan Assumptions'!$B$101</f>
        <v>6258148.4824822759</v>
      </c>
      <c r="J107" s="45">
        <f>I95*'Future Plan Assumptions'!$B$101</f>
        <v>6226857.7400698643</v>
      </c>
      <c r="K107" s="45">
        <f>J95*'Future Plan Assumptions'!$B$101</f>
        <v>6195723.4513695156</v>
      </c>
      <c r="L107" s="45">
        <f>K95*'Future Plan Assumptions'!$B$101</f>
        <v>6164744.8341126675</v>
      </c>
      <c r="M107" s="45">
        <f>L95*'Future Plan Assumptions'!$B$101</f>
        <v>6133921.1099421065</v>
      </c>
      <c r="N107" s="45">
        <f>M95*'Future Plan Assumptions'!$B$101</f>
        <v>6103251.5043923948</v>
      </c>
      <c r="O107" s="45">
        <f>N95*'Future Plan Assumptions'!$B$101</f>
        <v>6072735.246870433</v>
      </c>
      <c r="P107" s="45">
        <f>O95*'Future Plan Assumptions'!$B$101</f>
        <v>6042371.5706360806</v>
      </c>
      <c r="Q107" s="45">
        <f>P95*'Future Plan Assumptions'!$B$101</f>
        <v>6012159.7127828998</v>
      </c>
      <c r="R107" s="45">
        <f>Q95*'Future Plan Assumptions'!$B$101</f>
        <v>5982098.9142189855</v>
      </c>
      <c r="S107" s="45">
        <f>R95*'Future Plan Assumptions'!$B$101</f>
        <v>5952188.4196478911</v>
      </c>
      <c r="T107" s="45">
        <f>S95*'Future Plan Assumptions'!$B$101</f>
        <v>5922427.4775496516</v>
      </c>
      <c r="U107" s="45">
        <f>T95*'Future Plan Assumptions'!$B$101</f>
        <v>5892815.3401619028</v>
      </c>
      <c r="V107" s="45">
        <f>U95*'Future Plan Assumptions'!$B$101</f>
        <v>5863351.2634610916</v>
      </c>
    </row>
    <row r="108" spans="1:22" x14ac:dyDescent="0.3">
      <c r="A108" s="244" t="s">
        <v>29</v>
      </c>
      <c r="B108" s="45"/>
      <c r="C108" s="45"/>
      <c r="D108" s="45"/>
      <c r="E108" s="45"/>
      <c r="F108" s="45"/>
      <c r="G108" s="45"/>
      <c r="H108" s="45"/>
      <c r="I108" s="45">
        <f>H96*'Future Plan Assumptions'!$B$101</f>
        <v>0</v>
      </c>
      <c r="J108" s="45">
        <f>I96*'Future Plan Assumptions'!$B$101</f>
        <v>5065112.9684728142</v>
      </c>
      <c r="K108" s="45">
        <f>J96*'Future Plan Assumptions'!$B$101</f>
        <v>4783717.8035576576</v>
      </c>
      <c r="L108" s="45">
        <f>K96*'Future Plan Assumptions'!$B$101</f>
        <v>4783717.8035576576</v>
      </c>
      <c r="M108" s="45">
        <f>L96*'Future Plan Assumptions'!$B$101</f>
        <v>4783717.8035576576</v>
      </c>
      <c r="N108" s="45">
        <f>M96*'Future Plan Assumptions'!$B$101</f>
        <v>4783717.8035576576</v>
      </c>
      <c r="O108" s="45">
        <f>N96*'Future Plan Assumptions'!$B$101</f>
        <v>4783717.8035576576</v>
      </c>
      <c r="P108" s="45">
        <f>O96*'Future Plan Assumptions'!$B$101</f>
        <v>4783717.8035576576</v>
      </c>
      <c r="Q108" s="45">
        <f>P96*'Future Plan Assumptions'!$B$101</f>
        <v>0</v>
      </c>
      <c r="R108" s="45">
        <f>Q96*'Future Plan Assumptions'!$B$101</f>
        <v>0</v>
      </c>
      <c r="S108" s="45">
        <f>R96*'Future Plan Assumptions'!$B$101</f>
        <v>0</v>
      </c>
      <c r="T108" s="45">
        <f>S96*'Future Plan Assumptions'!$B$101</f>
        <v>0</v>
      </c>
      <c r="U108" s="45">
        <f>T96*'Future Plan Assumptions'!$B$101</f>
        <v>0</v>
      </c>
      <c r="V108" s="45">
        <f>U96*'Future Plan Assumptions'!$B$101</f>
        <v>0</v>
      </c>
    </row>
    <row r="109" spans="1:22" x14ac:dyDescent="0.3">
      <c r="A109" s="244" t="s">
        <v>33</v>
      </c>
      <c r="B109" s="45"/>
      <c r="C109" s="45"/>
      <c r="D109" s="45"/>
      <c r="E109" s="45"/>
      <c r="F109" s="45"/>
      <c r="G109" s="45"/>
      <c r="H109" s="45"/>
      <c r="I109" s="45">
        <f>H97*'Future Plan Assumptions'!$B$101</f>
        <v>6445967.898240963</v>
      </c>
      <c r="J109" s="45">
        <f>I97*'Future Plan Assumptions'!$B$101</f>
        <v>6087858.5705609107</v>
      </c>
      <c r="K109" s="45">
        <f>J97*'Future Plan Assumptions'!$B$101</f>
        <v>6087858.5705609107</v>
      </c>
      <c r="L109" s="45">
        <f>K97*'Future Plan Assumptions'!$B$101</f>
        <v>6087858.5705609107</v>
      </c>
      <c r="M109" s="45">
        <f>L97*'Future Plan Assumptions'!$B$101</f>
        <v>6087858.5705609107</v>
      </c>
      <c r="N109" s="45">
        <f>M97*'Future Plan Assumptions'!$B$101</f>
        <v>6087858.5705609107</v>
      </c>
      <c r="O109" s="45">
        <f>N97*'Future Plan Assumptions'!$B$101</f>
        <v>6087858.5705609107</v>
      </c>
      <c r="P109" s="45">
        <f>O97*'Future Plan Assumptions'!$B$101</f>
        <v>0</v>
      </c>
      <c r="Q109" s="45">
        <f>P97*'Future Plan Assumptions'!$B$101</f>
        <v>0</v>
      </c>
      <c r="R109" s="45">
        <f>Q97*'Future Plan Assumptions'!$B$101</f>
        <v>0</v>
      </c>
      <c r="S109" s="45">
        <f>R97*'Future Plan Assumptions'!$B$101</f>
        <v>0</v>
      </c>
      <c r="T109" s="45">
        <f>S97*'Future Plan Assumptions'!$B$101</f>
        <v>0</v>
      </c>
      <c r="U109" s="45">
        <f>T97*'Future Plan Assumptions'!$B$101</f>
        <v>0</v>
      </c>
      <c r="V109" s="45">
        <f>U97*'Future Plan Assumptions'!$B$101</f>
        <v>0</v>
      </c>
    </row>
    <row r="110" spans="1:22" x14ac:dyDescent="0.3">
      <c r="A110" s="244" t="s">
        <v>40</v>
      </c>
      <c r="B110" s="45"/>
      <c r="C110" s="45"/>
      <c r="D110" s="45"/>
      <c r="E110" s="45"/>
      <c r="F110" s="45"/>
      <c r="G110" s="45"/>
      <c r="H110" s="45"/>
      <c r="I110" s="45">
        <f>H98*'Future Plan Assumptions'!$L$93+H98</f>
        <v>0</v>
      </c>
      <c r="J110" s="45">
        <f>I98*'Future Plan Assumptions'!$L$93+I98</f>
        <v>0</v>
      </c>
      <c r="K110" s="45">
        <f>J98*'Future Plan Assumptions'!$L$93+J98</f>
        <v>0</v>
      </c>
      <c r="L110" s="251">
        <f>'Total REC Delivery Activities'!L110*'Indexed REC Price Calculator'!M14</f>
        <v>1237676.5756356888</v>
      </c>
      <c r="M110" s="251">
        <f>'Total REC Delivery Activities'!M110*'Indexed REC Price Calculator'!N14</f>
        <v>-1718384.892851592</v>
      </c>
      <c r="N110" s="251">
        <f>'Total REC Delivery Activities'!N110*'Indexed REC Price Calculator'!O14</f>
        <v>-4733567.5907086208</v>
      </c>
      <c r="O110" s="251">
        <f>'Total REC Delivery Activities'!O110*'Indexed REC Price Calculator'!P14</f>
        <v>-7809053.9425227949</v>
      </c>
      <c r="P110" s="251">
        <f>'Total REC Delivery Activities'!P110*'Indexed REC Price Calculator'!Q14</f>
        <v>-10946050.021373246</v>
      </c>
      <c r="Q110" s="251">
        <f>'Total REC Delivery Activities'!Q110*'Indexed REC Price Calculator'!R14</f>
        <v>-14145786.021800717</v>
      </c>
      <c r="R110" s="251">
        <f>'Total REC Delivery Activities'!R110*'Indexed REC Price Calculator'!S14</f>
        <v>-17409516.742236733</v>
      </c>
      <c r="S110" s="251">
        <f>'Total REC Delivery Activities'!S110*'Indexed REC Price Calculator'!T14</f>
        <v>-20738522.077081464</v>
      </c>
      <c r="T110" s="251">
        <f>'Total REC Delivery Activities'!T110*'Indexed REC Price Calculator'!U14</f>
        <v>-24134107.518623084</v>
      </c>
      <c r="U110" s="251">
        <f>'Total REC Delivery Activities'!U110*'Indexed REC Price Calculator'!V14</f>
        <v>-27597604.668995537</v>
      </c>
      <c r="V110" s="251">
        <f>'Total REC Delivery Activities'!V110*'Indexed REC Price Calculator'!W14</f>
        <v>-31130371.76237544</v>
      </c>
    </row>
    <row r="111" spans="1:22" x14ac:dyDescent="0.3">
      <c r="A111" s="244" t="s">
        <v>41</v>
      </c>
      <c r="B111" s="45"/>
      <c r="C111" s="45"/>
      <c r="D111" s="45"/>
      <c r="E111" s="45"/>
      <c r="F111" s="45"/>
      <c r="G111" s="45"/>
      <c r="H111" s="45"/>
      <c r="I111" s="45">
        <f>H99*'Future Plan Assumptions'!$L$93+H99</f>
        <v>0</v>
      </c>
      <c r="J111" s="45">
        <f>I99*'Future Plan Assumptions'!$L$93+I99</f>
        <v>0</v>
      </c>
      <c r="K111" s="45">
        <f>J99*'Future Plan Assumptions'!$L$93+J99</f>
        <v>0</v>
      </c>
      <c r="L111" s="251">
        <f>'Total REC Delivery Activities'!L111*'Indexed REC Price Calculator'!M41</f>
        <v>23402541.260508541</v>
      </c>
      <c r="M111" s="251">
        <f>'Total REC Delivery Activities'!M111*'Indexed REC Price Calculator'!N41</f>
        <v>21037692.085718717</v>
      </c>
      <c r="N111" s="251">
        <f>'Total REC Delivery Activities'!N111*'Indexed REC Price Calculator'!O41</f>
        <v>18625545.927433096</v>
      </c>
      <c r="O111" s="251">
        <f>'Total REC Delivery Activities'!O111*'Indexed REC Price Calculator'!P41</f>
        <v>16165156.845981756</v>
      </c>
      <c r="P111" s="251">
        <f>'Total REC Delivery Activities'!P111*'Indexed REC Price Calculator'!Q41</f>
        <v>13655559.982901394</v>
      </c>
      <c r="Q111" s="251">
        <f>'Total REC Delivery Activities'!Q111*'Indexed REC Price Calculator'!R41</f>
        <v>11095771.182559418</v>
      </c>
      <c r="R111" s="251">
        <f>'Total REC Delivery Activities'!R111*'Indexed REC Price Calculator'!S41</f>
        <v>8484786.6062106043</v>
      </c>
      <c r="S111" s="251">
        <f>'Total REC Delivery Activities'!S111*'Indexed REC Price Calculator'!T41</f>
        <v>5821582.3383348212</v>
      </c>
      <c r="T111" s="251">
        <f>'Total REC Delivery Activities'!T111*'Indexed REC Price Calculator'!U41</f>
        <v>3105113.9851015252</v>
      </c>
      <c r="U111" s="251">
        <f>'Total REC Delivery Activities'!U111*'Indexed REC Price Calculator'!V41</f>
        <v>334316.26480356156</v>
      </c>
      <c r="V111" s="251">
        <f>'Total REC Delivery Activities'!V111*'Indexed REC Price Calculator'!W41</f>
        <v>-2491897.4099003607</v>
      </c>
    </row>
    <row r="112" spans="1:22" x14ac:dyDescent="0.3">
      <c r="A112" s="244" t="s">
        <v>42</v>
      </c>
      <c r="B112" s="45"/>
      <c r="C112" s="45"/>
      <c r="D112" s="45"/>
      <c r="E112" s="45"/>
      <c r="F112" s="45"/>
      <c r="G112" s="45"/>
      <c r="H112" s="45"/>
      <c r="I112" s="45">
        <f>H100*'Future Plan Assumptions'!$L$93+H100</f>
        <v>0</v>
      </c>
      <c r="J112" s="45">
        <f>I100*'Future Plan Assumptions'!$L$93+I100</f>
        <v>0</v>
      </c>
      <c r="K112" s="45">
        <f>J100*'Future Plan Assumptions'!$L$93+J100</f>
        <v>0</v>
      </c>
      <c r="L112" s="251">
        <f>'Total REC Delivery Activities'!L112*'Indexed REC Price Calculator'!M68</f>
        <v>5804633.8287817854</v>
      </c>
      <c r="M112" s="251">
        <f>'Total REC Delivery Activities'!M112*'Indexed REC Price Calculator'!N68</f>
        <v>5656830.755357421</v>
      </c>
      <c r="N112" s="251">
        <f>'Total REC Delivery Activities'!N112*'Indexed REC Price Calculator'!O68</f>
        <v>5506071.6204645699</v>
      </c>
      <c r="O112" s="251">
        <f>'Total REC Delivery Activities'!O112*'Indexed REC Price Calculator'!P68</f>
        <v>5352297.302873861</v>
      </c>
      <c r="P112" s="251">
        <f>'Total REC Delivery Activities'!P112*'Indexed REC Price Calculator'!Q68</f>
        <v>5195447.498931339</v>
      </c>
      <c r="Q112" s="251">
        <f>'Total REC Delivery Activities'!Q112*'Indexed REC Price Calculator'!R68</f>
        <v>5035460.6989099653</v>
      </c>
      <c r="R112" s="251">
        <f>'Total REC Delivery Activities'!R112*'Indexed REC Price Calculator'!S68</f>
        <v>4872274.1628881646</v>
      </c>
      <c r="S112" s="251">
        <f>'Total REC Delivery Activities'!S112*'Indexed REC Price Calculator'!T68</f>
        <v>4705823.8961459277</v>
      </c>
      <c r="T112" s="251">
        <f>'Total REC Delivery Activities'!T112*'Indexed REC Price Calculator'!U68</f>
        <v>4536044.6240688469</v>
      </c>
      <c r="U112" s="251">
        <f>'Total REC Delivery Activities'!U112*'Indexed REC Price Calculator'!V68</f>
        <v>4362869.7665502243</v>
      </c>
      <c r="V112" s="251">
        <f>'Total REC Delivery Activities'!V112*'Indexed REC Price Calculator'!W68</f>
        <v>4186231.4118812289</v>
      </c>
    </row>
    <row r="113" spans="1:22" x14ac:dyDescent="0.3">
      <c r="A113" s="245" t="s">
        <v>233</v>
      </c>
      <c r="B113" s="24">
        <f t="shared" ref="B113:V113" si="10">SUM(B104:B112)</f>
        <v>0</v>
      </c>
      <c r="C113" s="24">
        <f t="shared" si="10"/>
        <v>0</v>
      </c>
      <c r="D113" s="24">
        <f t="shared" si="10"/>
        <v>0</v>
      </c>
      <c r="E113" s="24">
        <f t="shared" si="10"/>
        <v>0</v>
      </c>
      <c r="F113" s="24">
        <f t="shared" si="10"/>
        <v>0</v>
      </c>
      <c r="G113" s="24">
        <f t="shared" si="10"/>
        <v>0</v>
      </c>
      <c r="H113" s="24">
        <f t="shared" si="10"/>
        <v>0</v>
      </c>
      <c r="I113" s="24">
        <f t="shared" si="10"/>
        <v>145736841.70588735</v>
      </c>
      <c r="J113" s="24">
        <f t="shared" si="10"/>
        <v>40629317.39980077</v>
      </c>
      <c r="K113" s="24">
        <f t="shared" si="10"/>
        <v>40261419.091287389</v>
      </c>
      <c r="L113" s="24">
        <f t="shared" si="10"/>
        <v>70620200.128333166</v>
      </c>
      <c r="M113" s="24">
        <f t="shared" si="10"/>
        <v>65065846.136890866</v>
      </c>
      <c r="N113" s="24">
        <f t="shared" si="10"/>
        <v>59402546.072488233</v>
      </c>
      <c r="O113" s="24">
        <f t="shared" si="10"/>
        <v>53628110.308631718</v>
      </c>
      <c r="P113" s="24">
        <f t="shared" si="10"/>
        <v>29476729.768140361</v>
      </c>
      <c r="Q113" s="24">
        <f t="shared" si="10"/>
        <v>18689560.091271263</v>
      </c>
      <c r="R113" s="24">
        <f t="shared" si="10"/>
        <v>12568137.687306624</v>
      </c>
      <c r="S113" s="24">
        <f t="shared" si="10"/>
        <v>6326374.8495416483</v>
      </c>
      <c r="T113" s="24">
        <f t="shared" si="10"/>
        <v>-38145.670771062374</v>
      </c>
      <c r="U113" s="24">
        <f t="shared" si="10"/>
        <v>-6527889.415153509</v>
      </c>
      <c r="V113" s="24">
        <f t="shared" si="10"/>
        <v>-13145371.18401877</v>
      </c>
    </row>
    <row r="116" spans="1:22" ht="15.6" x14ac:dyDescent="0.3">
      <c r="A116" s="248">
        <v>2030</v>
      </c>
      <c r="B116" s="247">
        <v>2022</v>
      </c>
      <c r="C116" s="247">
        <v>2023</v>
      </c>
      <c r="D116" s="247">
        <v>2024</v>
      </c>
      <c r="E116" s="247">
        <v>2025</v>
      </c>
      <c r="F116" s="247">
        <v>2026</v>
      </c>
      <c r="G116" s="247">
        <v>2027</v>
      </c>
      <c r="H116" s="247">
        <v>2028</v>
      </c>
      <c r="I116" s="247">
        <v>2029</v>
      </c>
      <c r="J116" s="247">
        <v>2030</v>
      </c>
      <c r="K116" s="247">
        <v>2031</v>
      </c>
      <c r="L116" s="247">
        <v>2032</v>
      </c>
      <c r="M116" s="247">
        <v>2033</v>
      </c>
      <c r="N116" s="247">
        <v>2034</v>
      </c>
      <c r="O116" s="247">
        <v>2035</v>
      </c>
      <c r="P116" s="247">
        <v>2036</v>
      </c>
      <c r="Q116" s="247">
        <v>2037</v>
      </c>
      <c r="R116" s="247">
        <v>2038</v>
      </c>
      <c r="S116" s="247">
        <v>2039</v>
      </c>
      <c r="T116" s="247">
        <v>2040</v>
      </c>
      <c r="U116" s="247">
        <v>2041</v>
      </c>
      <c r="V116" s="247">
        <v>2042</v>
      </c>
    </row>
    <row r="117" spans="1:22" x14ac:dyDescent="0.3">
      <c r="A117" s="244" t="s">
        <v>6</v>
      </c>
      <c r="B117" s="45"/>
      <c r="C117" s="45"/>
      <c r="D117" s="45"/>
      <c r="E117" s="45"/>
      <c r="F117" s="45"/>
      <c r="G117" s="45"/>
      <c r="H117" s="45"/>
      <c r="I117" s="45"/>
      <c r="J117" s="45">
        <f>I104*'Future Plan Assumptions'!$B$101</f>
        <v>115335157.94753489</v>
      </c>
      <c r="K117" s="45">
        <f>J104*'Future Plan Assumptions'!$B$101</f>
        <v>0</v>
      </c>
      <c r="L117" s="45">
        <f>K104*'Future Plan Assumptions'!$B$101</f>
        <v>0</v>
      </c>
      <c r="M117" s="45">
        <f>L104*'Future Plan Assumptions'!$B$101</f>
        <v>0</v>
      </c>
      <c r="N117" s="45">
        <f>M104*'Future Plan Assumptions'!$B$101</f>
        <v>0</v>
      </c>
      <c r="O117" s="45">
        <f>N104*'Future Plan Assumptions'!$B$101</f>
        <v>0</v>
      </c>
      <c r="P117" s="45">
        <f>O104*'Future Plan Assumptions'!$B$101</f>
        <v>0</v>
      </c>
      <c r="Q117" s="45">
        <f>P104*'Future Plan Assumptions'!$B$101</f>
        <v>0</v>
      </c>
      <c r="R117" s="45">
        <f>Q104*'Future Plan Assumptions'!$B$101</f>
        <v>0</v>
      </c>
      <c r="S117" s="45">
        <f>R104*'Future Plan Assumptions'!$B$101</f>
        <v>0</v>
      </c>
      <c r="T117" s="45">
        <f>S104*'Future Plan Assumptions'!$B$101</f>
        <v>0</v>
      </c>
      <c r="U117" s="45">
        <f>T104*'Future Plan Assumptions'!$B$101</f>
        <v>0</v>
      </c>
      <c r="V117" s="45">
        <f>U104*'Future Plan Assumptions'!$B$101</f>
        <v>0</v>
      </c>
    </row>
    <row r="118" spans="1:22" x14ac:dyDescent="0.3">
      <c r="A118" s="244" t="s">
        <v>12</v>
      </c>
      <c r="B118" s="45"/>
      <c r="C118" s="45"/>
      <c r="D118" s="45"/>
      <c r="E118" s="45"/>
      <c r="F118" s="45"/>
      <c r="G118" s="45"/>
      <c r="H118" s="45"/>
      <c r="I118" s="45"/>
      <c r="J118" s="45">
        <f>I105*'Future Plan Assumptions'!$B$101</f>
        <v>12376258.364622649</v>
      </c>
      <c r="K118" s="45">
        <f>J105*'Future Plan Assumptions'!$B$101</f>
        <v>11688688.455476949</v>
      </c>
      <c r="L118" s="45">
        <f>K105*'Future Plan Assumptions'!$B$101</f>
        <v>11688688.455476949</v>
      </c>
      <c r="M118" s="45">
        <f>L105*'Future Plan Assumptions'!$B$101</f>
        <v>11688688.455476949</v>
      </c>
      <c r="N118" s="45">
        <f>M105*'Future Plan Assumptions'!$B$101</f>
        <v>11688688.455476949</v>
      </c>
      <c r="O118" s="45">
        <f>N105*'Future Plan Assumptions'!$B$101</f>
        <v>11688688.455476949</v>
      </c>
      <c r="P118" s="45">
        <f>O105*'Future Plan Assumptions'!$B$101</f>
        <v>11688688.455476949</v>
      </c>
      <c r="Q118" s="45">
        <f>P105*'Future Plan Assumptions'!$B$101</f>
        <v>0</v>
      </c>
      <c r="R118" s="45">
        <f>Q105*'Future Plan Assumptions'!$B$101</f>
        <v>0</v>
      </c>
      <c r="S118" s="45">
        <f>R105*'Future Plan Assumptions'!$B$101</f>
        <v>0</v>
      </c>
      <c r="T118" s="45">
        <f>S105*'Future Plan Assumptions'!$B$101</f>
        <v>0</v>
      </c>
      <c r="U118" s="45">
        <f>T105*'Future Plan Assumptions'!$B$101</f>
        <v>0</v>
      </c>
      <c r="V118" s="45">
        <f>U105*'Future Plan Assumptions'!$B$101</f>
        <v>0</v>
      </c>
    </row>
    <row r="119" spans="1:22" x14ac:dyDescent="0.3">
      <c r="A119" s="244" t="s">
        <v>21</v>
      </c>
      <c r="B119" s="45"/>
      <c r="C119" s="45"/>
      <c r="D119" s="45"/>
      <c r="E119" s="45"/>
      <c r="F119" s="45"/>
      <c r="G119" s="45"/>
      <c r="H119" s="45"/>
      <c r="I119" s="45"/>
      <c r="J119" s="45">
        <f>I106*'Future Plan Assumptions'!$B$101</f>
        <v>0</v>
      </c>
      <c r="K119" s="45">
        <f>J106*'Future Plan Assumptions'!$B$101</f>
        <v>10630820.140392346</v>
      </c>
      <c r="L119" s="45">
        <f>K106*'Future Plan Assumptions'!$B$101</f>
        <v>10577666.039690387</v>
      </c>
      <c r="M119" s="45">
        <f>L106*'Future Plan Assumptions'!$B$101</f>
        <v>10524777.709491933</v>
      </c>
      <c r="N119" s="45">
        <f>M106*'Future Plan Assumptions'!$B$101</f>
        <v>10472153.820944475</v>
      </c>
      <c r="O119" s="45">
        <f>N106*'Future Plan Assumptions'!$B$101</f>
        <v>10419793.051839748</v>
      </c>
      <c r="P119" s="45">
        <f>O106*'Future Plan Assumptions'!$B$101</f>
        <v>10367694.086580552</v>
      </c>
      <c r="Q119" s="45">
        <f>P106*'Future Plan Assumptions'!$B$101</f>
        <v>10315855.616147649</v>
      </c>
      <c r="R119" s="45">
        <f>Q106*'Future Plan Assumptions'!$B$101</f>
        <v>10264276.338066909</v>
      </c>
      <c r="S119" s="45">
        <f>R106*'Future Plan Assumptions'!$B$101</f>
        <v>10212954.956376577</v>
      </c>
      <c r="T119" s="45">
        <f>S106*'Future Plan Assumptions'!$B$101</f>
        <v>10161890.181594694</v>
      </c>
      <c r="U119" s="45">
        <f>T106*'Future Plan Assumptions'!$B$101</f>
        <v>10111080.730686719</v>
      </c>
      <c r="V119" s="45">
        <f>U106*'Future Plan Assumptions'!$B$101</f>
        <v>10060525.327033285</v>
      </c>
    </row>
    <row r="120" spans="1:22" x14ac:dyDescent="0.3">
      <c r="A120" s="244" t="s">
        <v>25</v>
      </c>
      <c r="B120" s="45"/>
      <c r="C120" s="45"/>
      <c r="D120" s="45"/>
      <c r="E120" s="45"/>
      <c r="F120" s="45"/>
      <c r="G120" s="45"/>
      <c r="H120" s="45"/>
      <c r="I120" s="45"/>
      <c r="J120" s="45">
        <f>I107*'Future Plan Assumptions'!$B$101</f>
        <v>6007822.5431829849</v>
      </c>
      <c r="K120" s="45">
        <f>J107*'Future Plan Assumptions'!$B$101</f>
        <v>5977783.4304670691</v>
      </c>
      <c r="L120" s="45">
        <f>K107*'Future Plan Assumptions'!$B$101</f>
        <v>5947894.5133147351</v>
      </c>
      <c r="M120" s="45">
        <f>L107*'Future Plan Assumptions'!$B$101</f>
        <v>5918155.0407481603</v>
      </c>
      <c r="N120" s="45">
        <f>M107*'Future Plan Assumptions'!$B$101</f>
        <v>5888564.265544422</v>
      </c>
      <c r="O120" s="45">
        <f>N107*'Future Plan Assumptions'!$B$101</f>
        <v>5859121.4442166984</v>
      </c>
      <c r="P120" s="45">
        <f>O107*'Future Plan Assumptions'!$B$101</f>
        <v>5829825.8369956156</v>
      </c>
      <c r="Q120" s="45">
        <f>P107*'Future Plan Assumptions'!$B$101</f>
        <v>5800676.7078106375</v>
      </c>
      <c r="R120" s="45">
        <f>Q107*'Future Plan Assumptions'!$B$101</f>
        <v>5771673.3242715839</v>
      </c>
      <c r="S120" s="45">
        <f>R107*'Future Plan Assumptions'!$B$101</f>
        <v>5742814.9576502256</v>
      </c>
      <c r="T120" s="45">
        <f>S107*'Future Plan Assumptions'!$B$101</f>
        <v>5714100.8828619756</v>
      </c>
      <c r="U120" s="45">
        <f>T107*'Future Plan Assumptions'!$B$101</f>
        <v>5685530.3784476649</v>
      </c>
      <c r="V120" s="45">
        <f>U107*'Future Plan Assumptions'!$B$101</f>
        <v>5657102.7265554266</v>
      </c>
    </row>
    <row r="121" spans="1:22" x14ac:dyDescent="0.3">
      <c r="A121" s="244" t="s">
        <v>29</v>
      </c>
      <c r="B121" s="45"/>
      <c r="C121" s="45"/>
      <c r="D121" s="45"/>
      <c r="E121" s="45"/>
      <c r="F121" s="45"/>
      <c r="G121" s="45"/>
      <c r="H121" s="45"/>
      <c r="I121" s="45"/>
      <c r="J121" s="45">
        <f>I108*'Future Plan Assumptions'!$B$101</f>
        <v>0</v>
      </c>
      <c r="K121" s="45">
        <f>J108*'Future Plan Assumptions'!$B$101</f>
        <v>4862508.4497339018</v>
      </c>
      <c r="L121" s="45">
        <f>K108*'Future Plan Assumptions'!$B$101</f>
        <v>4592369.0914153513</v>
      </c>
      <c r="M121" s="45">
        <f>L108*'Future Plan Assumptions'!$B$101</f>
        <v>4592369.0914153513</v>
      </c>
      <c r="N121" s="45">
        <f>M108*'Future Plan Assumptions'!$B$101</f>
        <v>4592369.0914153513</v>
      </c>
      <c r="O121" s="45">
        <f>N108*'Future Plan Assumptions'!$B$101</f>
        <v>4592369.0914153513</v>
      </c>
      <c r="P121" s="45">
        <f>O108*'Future Plan Assumptions'!$B$101</f>
        <v>4592369.0914153513</v>
      </c>
      <c r="Q121" s="45">
        <f>P108*'Future Plan Assumptions'!$B$101</f>
        <v>4592369.0914153513</v>
      </c>
      <c r="R121" s="45">
        <f>Q108*'Future Plan Assumptions'!$B$101</f>
        <v>0</v>
      </c>
      <c r="S121" s="45">
        <f>R108*'Future Plan Assumptions'!$B$101</f>
        <v>0</v>
      </c>
      <c r="T121" s="45">
        <f>S108*'Future Plan Assumptions'!$B$101</f>
        <v>0</v>
      </c>
      <c r="U121" s="45">
        <f>T108*'Future Plan Assumptions'!$B$101</f>
        <v>0</v>
      </c>
      <c r="V121" s="45">
        <f>U108*'Future Plan Assumptions'!$B$101</f>
        <v>0</v>
      </c>
    </row>
    <row r="122" spans="1:22" x14ac:dyDescent="0.3">
      <c r="A122" s="244" t="s">
        <v>33</v>
      </c>
      <c r="B122" s="45"/>
      <c r="C122" s="45"/>
      <c r="D122" s="45"/>
      <c r="E122" s="45"/>
      <c r="F122" s="45"/>
      <c r="G122" s="45"/>
      <c r="H122" s="45"/>
      <c r="I122" s="45"/>
      <c r="J122" s="45">
        <f>I109*'Future Plan Assumptions'!$B$101</f>
        <v>6188129.1823113244</v>
      </c>
      <c r="K122" s="45">
        <f>J109*'Future Plan Assumptions'!$B$101</f>
        <v>5844344.2277384745</v>
      </c>
      <c r="L122" s="45">
        <f>K109*'Future Plan Assumptions'!$B$101</f>
        <v>5844344.2277384745</v>
      </c>
      <c r="M122" s="45">
        <f>L109*'Future Plan Assumptions'!$B$101</f>
        <v>5844344.2277384745</v>
      </c>
      <c r="N122" s="45">
        <f>M109*'Future Plan Assumptions'!$B$101</f>
        <v>5844344.2277384745</v>
      </c>
      <c r="O122" s="45">
        <f>N109*'Future Plan Assumptions'!$B$101</f>
        <v>5844344.2277384745</v>
      </c>
      <c r="P122" s="45">
        <f>O109*'Future Plan Assumptions'!$B$101</f>
        <v>5844344.2277384745</v>
      </c>
      <c r="Q122" s="45">
        <f>P109*'Future Plan Assumptions'!$B$101</f>
        <v>0</v>
      </c>
      <c r="R122" s="45">
        <f>Q109*'Future Plan Assumptions'!$B$101</f>
        <v>0</v>
      </c>
      <c r="S122" s="45">
        <f>R109*'Future Plan Assumptions'!$B$101</f>
        <v>0</v>
      </c>
      <c r="T122" s="45">
        <f>S109*'Future Plan Assumptions'!$B$101</f>
        <v>0</v>
      </c>
      <c r="U122" s="45">
        <f>T109*'Future Plan Assumptions'!$B$101</f>
        <v>0</v>
      </c>
      <c r="V122" s="45">
        <f>U109*'Future Plan Assumptions'!$B$101</f>
        <v>0</v>
      </c>
    </row>
    <row r="123" spans="1:22" x14ac:dyDescent="0.3">
      <c r="A123" s="244" t="s">
        <v>40</v>
      </c>
      <c r="B123" s="45"/>
      <c r="C123" s="45"/>
      <c r="D123" s="45"/>
      <c r="E123" s="45"/>
      <c r="F123" s="45"/>
      <c r="G123" s="45"/>
      <c r="H123" s="45"/>
      <c r="I123" s="45"/>
      <c r="J123" s="45">
        <f>I110*'Future Plan Assumptions'!$M$93+I110</f>
        <v>0</v>
      </c>
      <c r="K123" s="45">
        <f>J110*'Future Plan Assumptions'!$M$93+J110</f>
        <v>0</v>
      </c>
      <c r="L123" s="45">
        <f>K110*'Future Plan Assumptions'!$M$93+K110</f>
        <v>0</v>
      </c>
      <c r="M123" s="45">
        <f>'Total REC Delivery Activities'!M123*'Indexed REC Price Calculator'!N15</f>
        <v>896365.10714838025</v>
      </c>
      <c r="N123" s="45">
        <f>'Total REC Delivery Activities'!N123*'Indexed REC Price Calculator'!O15</f>
        <v>-2118817.5907086483</v>
      </c>
      <c r="O123" s="45">
        <f>'Total REC Delivery Activities'!O123*'Indexed REC Price Calculator'!P15</f>
        <v>-5194303.9425228219</v>
      </c>
      <c r="P123" s="45">
        <f>'Total REC Delivery Activities'!P123*'Indexed REC Price Calculator'!Q15</f>
        <v>-8331300.0213732738</v>
      </c>
      <c r="Q123" s="45">
        <f>'Total REC Delivery Activities'!Q123*'Indexed REC Price Calculator'!R15</f>
        <v>-11531036.021800745</v>
      </c>
      <c r="R123" s="45">
        <f>'Total REC Delivery Activities'!R123*'Indexed REC Price Calculator'!S15</f>
        <v>-14794766.74223676</v>
      </c>
      <c r="S123" s="45">
        <f>'Total REC Delivery Activities'!S123*'Indexed REC Price Calculator'!T15</f>
        <v>-18123772.07708149</v>
      </c>
      <c r="T123" s="45">
        <f>'Total REC Delivery Activities'!T123*'Indexed REC Price Calculator'!U15</f>
        <v>-21519357.51862311</v>
      </c>
      <c r="U123" s="45">
        <f>'Total REC Delivery Activities'!U123*'Indexed REC Price Calculator'!V15</f>
        <v>-24982854.668995563</v>
      </c>
      <c r="V123" s="45">
        <f>'Total REC Delivery Activities'!V123*'Indexed REC Price Calculator'!W15</f>
        <v>-28515621.762375467</v>
      </c>
    </row>
    <row r="124" spans="1:22" x14ac:dyDescent="0.3">
      <c r="A124" s="244" t="s">
        <v>41</v>
      </c>
      <c r="B124" s="45"/>
      <c r="C124" s="45"/>
      <c r="D124" s="45"/>
      <c r="E124" s="45"/>
      <c r="F124" s="45"/>
      <c r="G124" s="45"/>
      <c r="H124" s="45"/>
      <c r="I124" s="45"/>
      <c r="J124" s="45">
        <f>I111*'Future Plan Assumptions'!$M$93+I111</f>
        <v>0</v>
      </c>
      <c r="K124" s="45">
        <f>J111*'Future Plan Assumptions'!$M$93+J111</f>
        <v>0</v>
      </c>
      <c r="L124" s="45">
        <f>K111*'Future Plan Assumptions'!$M$93+K111</f>
        <v>0</v>
      </c>
      <c r="M124" s="45">
        <f>'Total REC Delivery Activities'!M124*'Indexed REC Price Calculator'!N42</f>
        <v>23522692.085718703</v>
      </c>
      <c r="N124" s="45">
        <f>'Total REC Delivery Activities'!N124*'Indexed REC Price Calculator'!O42</f>
        <v>21110545.927433081</v>
      </c>
      <c r="O124" s="45">
        <f>'Total REC Delivery Activities'!O124*'Indexed REC Price Calculator'!P42</f>
        <v>18650156.845981739</v>
      </c>
      <c r="P124" s="45">
        <f>'Total REC Delivery Activities'!P124*'Indexed REC Price Calculator'!Q42</f>
        <v>16140559.982901379</v>
      </c>
      <c r="Q124" s="45">
        <f>'Total REC Delivery Activities'!Q124*'Indexed REC Price Calculator'!R42</f>
        <v>13580771.182559403</v>
      </c>
      <c r="R124" s="45">
        <f>'Total REC Delivery Activities'!R124*'Indexed REC Price Calculator'!S42</f>
        <v>10969786.606210589</v>
      </c>
      <c r="S124" s="45">
        <f>'Total REC Delivery Activities'!S124*'Indexed REC Price Calculator'!T42</f>
        <v>8306582.3383348063</v>
      </c>
      <c r="T124" s="45">
        <f>'Total REC Delivery Activities'!T124*'Indexed REC Price Calculator'!U42</f>
        <v>5590113.9851015098</v>
      </c>
      <c r="U124" s="45">
        <f>'Total REC Delivery Activities'!U124*'Indexed REC Price Calculator'!V42</f>
        <v>2819316.2648035469</v>
      </c>
      <c r="V124" s="45">
        <f>'Total REC Delivery Activities'!V124*'Indexed REC Price Calculator'!W42</f>
        <v>-6897.4099003753508</v>
      </c>
    </row>
    <row r="125" spans="1:22" x14ac:dyDescent="0.3">
      <c r="A125" s="244" t="s">
        <v>42</v>
      </c>
      <c r="B125" s="45"/>
      <c r="C125" s="45"/>
      <c r="D125" s="45"/>
      <c r="E125" s="45"/>
      <c r="F125" s="45"/>
      <c r="G125" s="45"/>
      <c r="H125" s="45"/>
      <c r="I125" s="45"/>
      <c r="J125" s="45">
        <f>I112*'Future Plan Assumptions'!$M$93+I112</f>
        <v>0</v>
      </c>
      <c r="K125" s="45">
        <f>J112*'Future Plan Assumptions'!$M$93+J112</f>
        <v>0</v>
      </c>
      <c r="L125" s="45">
        <f>K112*'Future Plan Assumptions'!$M$93+K112</f>
        <v>0</v>
      </c>
      <c r="M125" s="45">
        <f>'Total REC Delivery Activities'!M125*'Indexed REC Price Calculator'!N69</f>
        <v>5888318.2553574182</v>
      </c>
      <c r="N125" s="45">
        <f>'Total REC Delivery Activities'!N125*'Indexed REC Price Calculator'!O69</f>
        <v>5737559.1204645662</v>
      </c>
      <c r="O125" s="45">
        <f>'Total REC Delivery Activities'!O125*'Indexed REC Price Calculator'!P69</f>
        <v>5583784.8028738573</v>
      </c>
      <c r="P125" s="45">
        <f>'Total REC Delivery Activities'!P125*'Indexed REC Price Calculator'!Q69</f>
        <v>5426934.9989313353</v>
      </c>
      <c r="Q125" s="45">
        <f>'Total REC Delivery Activities'!Q125*'Indexed REC Price Calculator'!R69</f>
        <v>5266948.1989099616</v>
      </c>
      <c r="R125" s="45">
        <f>'Total REC Delivery Activities'!R125*'Indexed REC Price Calculator'!S69</f>
        <v>5103761.6628881609</v>
      </c>
      <c r="S125" s="45">
        <f>'Total REC Delivery Activities'!S125*'Indexed REC Price Calculator'!T69</f>
        <v>4937311.396145924</v>
      </c>
      <c r="T125" s="45">
        <f>'Total REC Delivery Activities'!T125*'Indexed REC Price Calculator'!U69</f>
        <v>4767532.1240688432</v>
      </c>
      <c r="U125" s="45">
        <f>'Total REC Delivery Activities'!U125*'Indexed REC Price Calculator'!V69</f>
        <v>4594357.2665502205</v>
      </c>
      <c r="V125" s="45">
        <f>'Total REC Delivery Activities'!V125*'Indexed REC Price Calculator'!W69</f>
        <v>4417718.9118812252</v>
      </c>
    </row>
    <row r="126" spans="1:22" x14ac:dyDescent="0.3">
      <c r="A126" s="245" t="s">
        <v>233</v>
      </c>
      <c r="B126" s="24">
        <f t="shared" ref="B126:V126" si="11">SUM(B117:B125)</f>
        <v>0</v>
      </c>
      <c r="C126" s="24">
        <f t="shared" si="11"/>
        <v>0</v>
      </c>
      <c r="D126" s="24">
        <f t="shared" si="11"/>
        <v>0</v>
      </c>
      <c r="E126" s="24">
        <f t="shared" si="11"/>
        <v>0</v>
      </c>
      <c r="F126" s="24">
        <f t="shared" si="11"/>
        <v>0</v>
      </c>
      <c r="G126" s="24">
        <f t="shared" si="11"/>
        <v>0</v>
      </c>
      <c r="H126" s="24">
        <f t="shared" si="11"/>
        <v>0</v>
      </c>
      <c r="I126" s="24">
        <f t="shared" si="11"/>
        <v>0</v>
      </c>
      <c r="J126" s="24">
        <f t="shared" si="11"/>
        <v>139907368.03765184</v>
      </c>
      <c r="K126" s="24">
        <f t="shared" si="11"/>
        <v>39004144.70380874</v>
      </c>
      <c r="L126" s="24">
        <f t="shared" si="11"/>
        <v>38650962.327635899</v>
      </c>
      <c r="M126" s="24">
        <f t="shared" si="11"/>
        <v>68875709.973095372</v>
      </c>
      <c r="N126" s="24">
        <f t="shared" si="11"/>
        <v>63215407.318308666</v>
      </c>
      <c r="O126" s="24">
        <f t="shared" si="11"/>
        <v>57443953.977019995</v>
      </c>
      <c r="P126" s="24">
        <f t="shared" si="11"/>
        <v>51559116.658666387</v>
      </c>
      <c r="Q126" s="24">
        <f t="shared" si="11"/>
        <v>28025584.775042258</v>
      </c>
      <c r="R126" s="24">
        <f t="shared" si="11"/>
        <v>17314731.189200483</v>
      </c>
      <c r="S126" s="24">
        <f t="shared" si="11"/>
        <v>11075891.571426041</v>
      </c>
      <c r="T126" s="24">
        <f t="shared" si="11"/>
        <v>4714279.6550039127</v>
      </c>
      <c r="U126" s="24">
        <f t="shared" si="11"/>
        <v>-1772570.0285074115</v>
      </c>
      <c r="V126" s="24">
        <f t="shared" si="11"/>
        <v>-8387172.2068059053</v>
      </c>
    </row>
    <row r="129" spans="1:22" ht="15.6" x14ac:dyDescent="0.3">
      <c r="A129" s="248">
        <v>2031</v>
      </c>
      <c r="B129" s="247">
        <v>2022</v>
      </c>
      <c r="C129" s="247">
        <f t="shared" ref="C129:V129" si="12">B129+1</f>
        <v>2023</v>
      </c>
      <c r="D129" s="247">
        <f t="shared" si="12"/>
        <v>2024</v>
      </c>
      <c r="E129" s="247">
        <f t="shared" si="12"/>
        <v>2025</v>
      </c>
      <c r="F129" s="247">
        <f t="shared" si="12"/>
        <v>2026</v>
      </c>
      <c r="G129" s="247">
        <f t="shared" si="12"/>
        <v>2027</v>
      </c>
      <c r="H129" s="247">
        <f t="shared" si="12"/>
        <v>2028</v>
      </c>
      <c r="I129" s="247">
        <f t="shared" si="12"/>
        <v>2029</v>
      </c>
      <c r="J129" s="247">
        <f t="shared" si="12"/>
        <v>2030</v>
      </c>
      <c r="K129" s="247">
        <f t="shared" si="12"/>
        <v>2031</v>
      </c>
      <c r="L129" s="247">
        <f t="shared" si="12"/>
        <v>2032</v>
      </c>
      <c r="M129" s="247">
        <f t="shared" si="12"/>
        <v>2033</v>
      </c>
      <c r="N129" s="247">
        <f t="shared" si="12"/>
        <v>2034</v>
      </c>
      <c r="O129" s="247">
        <f t="shared" si="12"/>
        <v>2035</v>
      </c>
      <c r="P129" s="247">
        <f t="shared" si="12"/>
        <v>2036</v>
      </c>
      <c r="Q129" s="247">
        <f t="shared" si="12"/>
        <v>2037</v>
      </c>
      <c r="R129" s="247">
        <f t="shared" si="12"/>
        <v>2038</v>
      </c>
      <c r="S129" s="247">
        <f t="shared" si="12"/>
        <v>2039</v>
      </c>
      <c r="T129" s="247">
        <f t="shared" si="12"/>
        <v>2040</v>
      </c>
      <c r="U129" s="247">
        <f t="shared" si="12"/>
        <v>2041</v>
      </c>
      <c r="V129" s="247">
        <f t="shared" si="12"/>
        <v>2042</v>
      </c>
    </row>
    <row r="130" spans="1:22" x14ac:dyDescent="0.3">
      <c r="A130" s="244" t="s">
        <v>6</v>
      </c>
      <c r="B130" s="45"/>
      <c r="C130" s="45"/>
      <c r="D130" s="45"/>
      <c r="E130" s="45"/>
      <c r="F130" s="45"/>
      <c r="G130" s="45"/>
      <c r="H130" s="45"/>
      <c r="I130" s="45"/>
      <c r="J130" s="45"/>
      <c r="K130" s="45">
        <f>J117*'Future Plan Assumptions'!$B$101</f>
        <v>110721751.62963349</v>
      </c>
      <c r="L130" s="45">
        <f>K117*'Future Plan Assumptions'!$B$101</f>
        <v>0</v>
      </c>
      <c r="M130" s="45">
        <f>L117*'Future Plan Assumptions'!$B$101</f>
        <v>0</v>
      </c>
      <c r="N130" s="45">
        <f>M117*'Future Plan Assumptions'!$B$101</f>
        <v>0</v>
      </c>
      <c r="O130" s="45">
        <f>N117*'Future Plan Assumptions'!$B$101</f>
        <v>0</v>
      </c>
      <c r="P130" s="45">
        <f>O117*'Future Plan Assumptions'!$B$101</f>
        <v>0</v>
      </c>
      <c r="Q130" s="45">
        <f>P117*'Future Plan Assumptions'!$B$101</f>
        <v>0</v>
      </c>
      <c r="R130" s="45">
        <f>Q117*'Future Plan Assumptions'!$B$101</f>
        <v>0</v>
      </c>
      <c r="S130" s="45">
        <f>R117*'Future Plan Assumptions'!$B$101</f>
        <v>0</v>
      </c>
      <c r="T130" s="45">
        <f>S117*'Future Plan Assumptions'!$B$101</f>
        <v>0</v>
      </c>
      <c r="U130" s="45">
        <f>T117*'Future Plan Assumptions'!$B$101</f>
        <v>0</v>
      </c>
      <c r="V130" s="45">
        <f>U117*'Future Plan Assumptions'!$B$101</f>
        <v>0</v>
      </c>
    </row>
    <row r="131" spans="1:22" x14ac:dyDescent="0.3">
      <c r="A131" s="244" t="s">
        <v>12</v>
      </c>
      <c r="B131" s="45"/>
      <c r="C131" s="45"/>
      <c r="D131" s="45"/>
      <c r="E131" s="45"/>
      <c r="F131" s="45"/>
      <c r="G131" s="45"/>
      <c r="H131" s="45"/>
      <c r="I131" s="45"/>
      <c r="J131" s="45"/>
      <c r="K131" s="45">
        <f>J118*'Future Plan Assumptions'!$B$101</f>
        <v>11881208.030037742</v>
      </c>
      <c r="L131" s="45">
        <f>K118*'Future Plan Assumptions'!$B$101</f>
        <v>11221140.917257871</v>
      </c>
      <c r="M131" s="45">
        <f>L118*'Future Plan Assumptions'!$B$101</f>
        <v>11221140.917257871</v>
      </c>
      <c r="N131" s="45">
        <f>M118*'Future Plan Assumptions'!$B$101</f>
        <v>11221140.917257871</v>
      </c>
      <c r="O131" s="45">
        <f>N118*'Future Plan Assumptions'!$B$101</f>
        <v>11221140.917257871</v>
      </c>
      <c r="P131" s="45">
        <f>O118*'Future Plan Assumptions'!$B$101</f>
        <v>11221140.917257871</v>
      </c>
      <c r="Q131" s="45">
        <f>P118*'Future Plan Assumptions'!$B$101</f>
        <v>11221140.917257871</v>
      </c>
      <c r="R131" s="45">
        <f>Q118*'Future Plan Assumptions'!$B$101</f>
        <v>0</v>
      </c>
      <c r="S131" s="45">
        <f>R118*'Future Plan Assumptions'!$B$101</f>
        <v>0</v>
      </c>
      <c r="T131" s="45">
        <f>S118*'Future Plan Assumptions'!$B$101</f>
        <v>0</v>
      </c>
      <c r="U131" s="45">
        <f>T118*'Future Plan Assumptions'!$B$101</f>
        <v>0</v>
      </c>
      <c r="V131" s="45">
        <f>U118*'Future Plan Assumptions'!$B$101</f>
        <v>0</v>
      </c>
    </row>
    <row r="132" spans="1:22" x14ac:dyDescent="0.3">
      <c r="A132" s="244" t="s">
        <v>21</v>
      </c>
      <c r="B132" s="45"/>
      <c r="C132" s="45"/>
      <c r="D132" s="45"/>
      <c r="E132" s="45"/>
      <c r="F132" s="45"/>
      <c r="G132" s="45"/>
      <c r="H132" s="45"/>
      <c r="I132" s="45"/>
      <c r="J132" s="45"/>
      <c r="K132" s="45">
        <f>J119*'Future Plan Assumptions'!$B$101</f>
        <v>0</v>
      </c>
      <c r="L132" s="45">
        <f>K119*'Future Plan Assumptions'!$B$101</f>
        <v>10205587.334776653</v>
      </c>
      <c r="M132" s="45">
        <f>L119*'Future Plan Assumptions'!$B$101</f>
        <v>10154559.398102771</v>
      </c>
      <c r="N132" s="45">
        <f>M119*'Future Plan Assumptions'!$B$101</f>
        <v>10103786.601112256</v>
      </c>
      <c r="O132" s="45">
        <f>N119*'Future Plan Assumptions'!$B$101</f>
        <v>10053267.668106696</v>
      </c>
      <c r="P132" s="45">
        <f>O119*'Future Plan Assumptions'!$B$101</f>
        <v>10003001.329766158</v>
      </c>
      <c r="Q132" s="45">
        <f>P119*'Future Plan Assumptions'!$B$101</f>
        <v>9952986.3231173288</v>
      </c>
      <c r="R132" s="45">
        <f>Q119*'Future Plan Assumptions'!$B$101</f>
        <v>9903221.3915017415</v>
      </c>
      <c r="S132" s="45">
        <f>R119*'Future Plan Assumptions'!$B$101</f>
        <v>9853705.2845442332</v>
      </c>
      <c r="T132" s="45">
        <f>S119*'Future Plan Assumptions'!$B$101</f>
        <v>9804436.7581215128</v>
      </c>
      <c r="U132" s="45">
        <f>T119*'Future Plan Assumptions'!$B$101</f>
        <v>9755414.5743309055</v>
      </c>
      <c r="V132" s="45">
        <f>U119*'Future Plan Assumptions'!$B$101</f>
        <v>9706637.5014592502</v>
      </c>
    </row>
    <row r="133" spans="1:22" x14ac:dyDescent="0.3">
      <c r="A133" s="244" t="s">
        <v>25</v>
      </c>
      <c r="B133" s="45"/>
      <c r="C133" s="45"/>
      <c r="D133" s="45"/>
      <c r="E133" s="45"/>
      <c r="F133" s="45"/>
      <c r="G133" s="45"/>
      <c r="H133" s="45"/>
      <c r="I133" s="45"/>
      <c r="J133" s="45"/>
      <c r="K133" s="45">
        <f>J120*'Future Plan Assumptions'!$B$101</f>
        <v>5767509.6414556652</v>
      </c>
      <c r="L133" s="45">
        <f>K120*'Future Plan Assumptions'!$B$101</f>
        <v>5738672.0932483859</v>
      </c>
      <c r="M133" s="45">
        <f>L120*'Future Plan Assumptions'!$B$101</f>
        <v>5709978.732782146</v>
      </c>
      <c r="N133" s="45">
        <f>M120*'Future Plan Assumptions'!$B$101</f>
        <v>5681428.8391182339</v>
      </c>
      <c r="O133" s="45">
        <f>N120*'Future Plan Assumptions'!$B$101</f>
        <v>5653021.6949226446</v>
      </c>
      <c r="P133" s="45">
        <f>O120*'Future Plan Assumptions'!$B$101</f>
        <v>5624756.5864480305</v>
      </c>
      <c r="Q133" s="45">
        <f>P120*'Future Plan Assumptions'!$B$101</f>
        <v>5596632.803515791</v>
      </c>
      <c r="R133" s="45">
        <f>Q120*'Future Plan Assumptions'!$B$101</f>
        <v>5568649.6394982114</v>
      </c>
      <c r="S133" s="45">
        <f>R120*'Future Plan Assumptions'!$B$101</f>
        <v>5540806.3913007202</v>
      </c>
      <c r="T133" s="45">
        <f>S120*'Future Plan Assumptions'!$B$101</f>
        <v>5513102.3593442161</v>
      </c>
      <c r="U133" s="45">
        <f>T120*'Future Plan Assumptions'!$B$101</f>
        <v>5485536.8475474967</v>
      </c>
      <c r="V133" s="45">
        <f>U120*'Future Plan Assumptions'!$B$101</f>
        <v>5458109.1633097585</v>
      </c>
    </row>
    <row r="134" spans="1:22" x14ac:dyDescent="0.3">
      <c r="A134" s="244" t="s">
        <v>29</v>
      </c>
      <c r="B134" s="45"/>
      <c r="C134" s="45"/>
      <c r="D134" s="45"/>
      <c r="E134" s="45"/>
      <c r="F134" s="45"/>
      <c r="G134" s="45"/>
      <c r="H134" s="45"/>
      <c r="I134" s="45"/>
      <c r="J134" s="45"/>
      <c r="K134" s="45">
        <f>J121*'Future Plan Assumptions'!$B$101</f>
        <v>0</v>
      </c>
      <c r="L134" s="45">
        <f>K121*'Future Plan Assumptions'!$B$101</f>
        <v>4668008.1117445454</v>
      </c>
      <c r="M134" s="45">
        <f>L121*'Future Plan Assumptions'!$B$101</f>
        <v>4408674.3277587369</v>
      </c>
      <c r="N134" s="45">
        <f>M121*'Future Plan Assumptions'!$B$101</f>
        <v>4408674.3277587369</v>
      </c>
      <c r="O134" s="45">
        <f>N121*'Future Plan Assumptions'!$B$101</f>
        <v>4408674.3277587369</v>
      </c>
      <c r="P134" s="45">
        <f>O121*'Future Plan Assumptions'!$B$101</f>
        <v>4408674.3277587369</v>
      </c>
      <c r="Q134" s="45">
        <f>P121*'Future Plan Assumptions'!$B$101</f>
        <v>4408674.3277587369</v>
      </c>
      <c r="R134" s="45">
        <f>Q121*'Future Plan Assumptions'!$B$101</f>
        <v>4408674.3277587369</v>
      </c>
      <c r="S134" s="45">
        <f>R121*'Future Plan Assumptions'!$B$101</f>
        <v>0</v>
      </c>
      <c r="T134" s="45">
        <f>S121*'Future Plan Assumptions'!$B$101</f>
        <v>0</v>
      </c>
      <c r="U134" s="45">
        <f>T121*'Future Plan Assumptions'!$B$101</f>
        <v>0</v>
      </c>
      <c r="V134" s="45">
        <f>U121*'Future Plan Assumptions'!$B$101</f>
        <v>0</v>
      </c>
    </row>
    <row r="135" spans="1:22" x14ac:dyDescent="0.3">
      <c r="A135" s="244" t="s">
        <v>33</v>
      </c>
      <c r="B135" s="45"/>
      <c r="C135" s="45"/>
      <c r="D135" s="45"/>
      <c r="E135" s="45"/>
      <c r="F135" s="45"/>
      <c r="G135" s="45"/>
      <c r="H135" s="45"/>
      <c r="I135" s="45"/>
      <c r="J135" s="45"/>
      <c r="K135" s="45">
        <f>J122*'Future Plan Assumptions'!$B$101</f>
        <v>5940604.0150188711</v>
      </c>
      <c r="L135" s="45">
        <f>K122*'Future Plan Assumptions'!$B$101</f>
        <v>5610570.4586289357</v>
      </c>
      <c r="M135" s="45">
        <f>L122*'Future Plan Assumptions'!$B$101</f>
        <v>5610570.4586289357</v>
      </c>
      <c r="N135" s="45">
        <f>M122*'Future Plan Assumptions'!$B$101</f>
        <v>5610570.4586289357</v>
      </c>
      <c r="O135" s="45">
        <f>N122*'Future Plan Assumptions'!$B$101</f>
        <v>5610570.4586289357</v>
      </c>
      <c r="P135" s="45">
        <f>O122*'Future Plan Assumptions'!$B$101</f>
        <v>5610570.4586289357</v>
      </c>
      <c r="Q135" s="45">
        <f>P122*'Future Plan Assumptions'!$B$101</f>
        <v>5610570.4586289357</v>
      </c>
      <c r="R135" s="45">
        <f>Q122*'Future Plan Assumptions'!$B$101</f>
        <v>0</v>
      </c>
      <c r="S135" s="45">
        <f>R122*'Future Plan Assumptions'!$B$101</f>
        <v>0</v>
      </c>
      <c r="T135" s="45">
        <f>S122*'Future Plan Assumptions'!$B$101</f>
        <v>0</v>
      </c>
      <c r="U135" s="45">
        <f>T122*'Future Plan Assumptions'!$B$101</f>
        <v>0</v>
      </c>
      <c r="V135" s="45">
        <f>U122*'Future Plan Assumptions'!$B$101</f>
        <v>0</v>
      </c>
    </row>
    <row r="136" spans="1:22" x14ac:dyDescent="0.3">
      <c r="A136" s="244" t="s">
        <v>40</v>
      </c>
      <c r="B136" s="45"/>
      <c r="C136" s="45"/>
      <c r="D136" s="45"/>
      <c r="E136" s="45"/>
      <c r="F136" s="45"/>
      <c r="G136" s="45"/>
      <c r="H136" s="45"/>
      <c r="I136" s="45"/>
      <c r="J136" s="45"/>
      <c r="K136" s="45">
        <f>J123*'Future Plan Assumptions'!$N$93+J123</f>
        <v>0</v>
      </c>
      <c r="L136" s="45">
        <f>K123*'Future Plan Assumptions'!$N$93+K123</f>
        <v>0</v>
      </c>
      <c r="M136" s="45">
        <f>L123*'Future Plan Assumptions'!$N$93+L123</f>
        <v>0</v>
      </c>
      <c r="N136" s="251">
        <f>'Total REC Delivery Activities'!N136*'Indexed REC Price Calculator'!O16</f>
        <v>495932.40929135971</v>
      </c>
      <c r="O136" s="251">
        <f>'Total REC Delivery Activities'!O136*'Indexed REC Price Calculator'!P16</f>
        <v>-2579553.942522814</v>
      </c>
      <c r="P136" s="251">
        <f>'Total REC Delivery Activities'!P136*'Indexed REC Price Calculator'!Q16</f>
        <v>-5716550.0213732654</v>
      </c>
      <c r="Q136" s="251">
        <f>'Total REC Delivery Activities'!Q136*'Indexed REC Price Calculator'!R16</f>
        <v>-8916286.021800736</v>
      </c>
      <c r="R136" s="251">
        <f>'Total REC Delivery Activities'!R136*'Indexed REC Price Calculator'!S16</f>
        <v>-12180016.742236752</v>
      </c>
      <c r="S136" s="251">
        <f>'Total REC Delivery Activities'!S136*'Indexed REC Price Calculator'!T16</f>
        <v>-15509022.077081483</v>
      </c>
      <c r="T136" s="251">
        <f>'Total REC Delivery Activities'!T136*'Indexed REC Price Calculator'!U16</f>
        <v>-18904607.518623102</v>
      </c>
      <c r="U136" s="251">
        <f>'Total REC Delivery Activities'!U136*'Indexed REC Price Calculator'!V16</f>
        <v>-22368104.668995555</v>
      </c>
      <c r="V136" s="251">
        <f>'Total REC Delivery Activities'!V136*'Indexed REC Price Calculator'!W16</f>
        <v>-25900871.762375459</v>
      </c>
    </row>
    <row r="137" spans="1:22" x14ac:dyDescent="0.3">
      <c r="A137" s="244" t="s">
        <v>41</v>
      </c>
      <c r="B137" s="45"/>
      <c r="C137" s="45"/>
      <c r="D137" s="45"/>
      <c r="E137" s="45"/>
      <c r="F137" s="45"/>
      <c r="G137" s="45"/>
      <c r="H137" s="45"/>
      <c r="I137" s="45"/>
      <c r="J137" s="45"/>
      <c r="K137" s="45">
        <f>J124*'Future Plan Assumptions'!$N$93+J124</f>
        <v>0</v>
      </c>
      <c r="L137" s="45">
        <f>K124*'Future Plan Assumptions'!$N$93+K124</f>
        <v>0</v>
      </c>
      <c r="M137" s="45">
        <f>L124*'Future Plan Assumptions'!$N$93+L124</f>
        <v>0</v>
      </c>
      <c r="N137" s="251">
        <f>'Total REC Delivery Activities'!N137*'Indexed REC Price Calculator'!O43</f>
        <v>23595545.927433066</v>
      </c>
      <c r="O137" s="251">
        <f>'Total REC Delivery Activities'!O137*'Indexed REC Price Calculator'!P43</f>
        <v>21135156.845981725</v>
      </c>
      <c r="P137" s="251">
        <f>'Total REC Delivery Activities'!P137*'Indexed REC Price Calculator'!Q43</f>
        <v>18625559.982901365</v>
      </c>
      <c r="Q137" s="251">
        <f>'Total REC Delivery Activities'!Q137*'Indexed REC Price Calculator'!R43</f>
        <v>16065771.182559388</v>
      </c>
      <c r="R137" s="251">
        <f>'Total REC Delivery Activities'!R137*'Indexed REC Price Calculator'!S43</f>
        <v>13454786.606210575</v>
      </c>
      <c r="S137" s="251">
        <f>'Total REC Delivery Activities'!S137*'Indexed REC Price Calculator'!T43</f>
        <v>10791582.338334791</v>
      </c>
      <c r="T137" s="251">
        <f>'Total REC Delivery Activities'!T137*'Indexed REC Price Calculator'!U43</f>
        <v>8075113.9851014959</v>
      </c>
      <c r="U137" s="251">
        <f>'Total REC Delivery Activities'!U137*'Indexed REC Price Calculator'!V43</f>
        <v>5304316.2648035316</v>
      </c>
      <c r="V137" s="251">
        <f>'Total REC Delivery Activities'!V137*'Indexed REC Price Calculator'!W43</f>
        <v>2478102.5900996099</v>
      </c>
    </row>
    <row r="138" spans="1:22" x14ac:dyDescent="0.3">
      <c r="A138" s="244" t="s">
        <v>42</v>
      </c>
      <c r="B138" s="45"/>
      <c r="C138" s="45"/>
      <c r="D138" s="45"/>
      <c r="E138" s="45"/>
      <c r="F138" s="45"/>
      <c r="G138" s="45"/>
      <c r="H138" s="45"/>
      <c r="I138" s="45"/>
      <c r="J138" s="45"/>
      <c r="K138" s="45">
        <f>J125*'Future Plan Assumptions'!$N$93+J125</f>
        <v>0</v>
      </c>
      <c r="L138" s="45">
        <f>K125*'Future Plan Assumptions'!$N$93+K125</f>
        <v>0</v>
      </c>
      <c r="M138" s="45">
        <f>L125*'Future Plan Assumptions'!$N$93+L125</f>
        <v>0</v>
      </c>
      <c r="N138" s="251">
        <f>'Total REC Delivery Activities'!N138*'Indexed REC Price Calculator'!O70</f>
        <v>5969046.6204645662</v>
      </c>
      <c r="O138" s="251">
        <f>'Total REC Delivery Activities'!O138*'Indexed REC Price Calculator'!P70</f>
        <v>5815272.3028738573</v>
      </c>
      <c r="P138" s="251">
        <f>'Total REC Delivery Activities'!P138*'Indexed REC Price Calculator'!Q70</f>
        <v>5658422.4989313353</v>
      </c>
      <c r="Q138" s="251">
        <f>'Total REC Delivery Activities'!Q138*'Indexed REC Price Calculator'!R70</f>
        <v>5498435.6989099616</v>
      </c>
      <c r="R138" s="251">
        <f>'Total REC Delivery Activities'!R138*'Indexed REC Price Calculator'!S70</f>
        <v>5335249.1628881609</v>
      </c>
      <c r="S138" s="251">
        <f>'Total REC Delivery Activities'!S138*'Indexed REC Price Calculator'!T70</f>
        <v>5168798.896145924</v>
      </c>
      <c r="T138" s="251">
        <f>'Total REC Delivery Activities'!T138*'Indexed REC Price Calculator'!U70</f>
        <v>4999019.6240688432</v>
      </c>
      <c r="U138" s="251">
        <f>'Total REC Delivery Activities'!U138*'Indexed REC Price Calculator'!V70</f>
        <v>4825844.7665502205</v>
      </c>
      <c r="V138" s="251">
        <f>'Total REC Delivery Activities'!V138*'Indexed REC Price Calculator'!W70</f>
        <v>4649206.4118812252</v>
      </c>
    </row>
    <row r="139" spans="1:22" x14ac:dyDescent="0.3">
      <c r="A139" s="245" t="s">
        <v>233</v>
      </c>
      <c r="B139" s="24">
        <f t="shared" ref="B139:V139" si="13">SUM(B130:B138)</f>
        <v>0</v>
      </c>
      <c r="C139" s="24">
        <f t="shared" si="13"/>
        <v>0</v>
      </c>
      <c r="D139" s="24">
        <f t="shared" si="13"/>
        <v>0</v>
      </c>
      <c r="E139" s="24">
        <f t="shared" si="13"/>
        <v>0</v>
      </c>
      <c r="F139" s="24">
        <f t="shared" si="13"/>
        <v>0</v>
      </c>
      <c r="G139" s="24">
        <f t="shared" si="13"/>
        <v>0</v>
      </c>
      <c r="H139" s="24">
        <f t="shared" si="13"/>
        <v>0</v>
      </c>
      <c r="I139" s="24">
        <f t="shared" si="13"/>
        <v>0</v>
      </c>
      <c r="J139" s="24">
        <f t="shared" si="13"/>
        <v>0</v>
      </c>
      <c r="K139" s="24">
        <f t="shared" si="13"/>
        <v>134311073.31614578</v>
      </c>
      <c r="L139" s="24">
        <f t="shared" si="13"/>
        <v>37443978.915656388</v>
      </c>
      <c r="M139" s="24">
        <f t="shared" si="13"/>
        <v>37104923.834530465</v>
      </c>
      <c r="N139" s="24">
        <f t="shared" si="13"/>
        <v>67086126.101065025</v>
      </c>
      <c r="O139" s="24">
        <f t="shared" si="13"/>
        <v>61317550.273007646</v>
      </c>
      <c r="P139" s="24">
        <f t="shared" si="13"/>
        <v>55435576.080319166</v>
      </c>
      <c r="Q139" s="24">
        <f t="shared" si="13"/>
        <v>49437925.689947277</v>
      </c>
      <c r="R139" s="24">
        <f t="shared" si="13"/>
        <v>26490564.385620672</v>
      </c>
      <c r="S139" s="24">
        <f t="shared" si="13"/>
        <v>15845870.833244186</v>
      </c>
      <c r="T139" s="24">
        <f t="shared" si="13"/>
        <v>9487065.2080129646</v>
      </c>
      <c r="U139" s="24">
        <f t="shared" si="13"/>
        <v>3003007.7842365978</v>
      </c>
      <c r="V139" s="24">
        <f t="shared" si="13"/>
        <v>-3608816.0956256147</v>
      </c>
    </row>
    <row r="143" spans="1:22" ht="15.6" x14ac:dyDescent="0.3">
      <c r="A143" s="248">
        <v>2032</v>
      </c>
      <c r="B143" s="247">
        <v>2022</v>
      </c>
      <c r="C143" s="247">
        <f t="shared" ref="C143:V143" si="14">B143+1</f>
        <v>2023</v>
      </c>
      <c r="D143" s="247">
        <f t="shared" si="14"/>
        <v>2024</v>
      </c>
      <c r="E143" s="247">
        <f t="shared" si="14"/>
        <v>2025</v>
      </c>
      <c r="F143" s="247">
        <f t="shared" si="14"/>
        <v>2026</v>
      </c>
      <c r="G143" s="247">
        <f t="shared" si="14"/>
        <v>2027</v>
      </c>
      <c r="H143" s="247">
        <f t="shared" si="14"/>
        <v>2028</v>
      </c>
      <c r="I143" s="247">
        <f t="shared" si="14"/>
        <v>2029</v>
      </c>
      <c r="J143" s="247">
        <f t="shared" si="14"/>
        <v>2030</v>
      </c>
      <c r="K143" s="247">
        <f t="shared" si="14"/>
        <v>2031</v>
      </c>
      <c r="L143" s="247">
        <f t="shared" si="14"/>
        <v>2032</v>
      </c>
      <c r="M143" s="247">
        <f t="shared" si="14"/>
        <v>2033</v>
      </c>
      <c r="N143" s="247">
        <f t="shared" si="14"/>
        <v>2034</v>
      </c>
      <c r="O143" s="247">
        <f t="shared" si="14"/>
        <v>2035</v>
      </c>
      <c r="P143" s="247">
        <f t="shared" si="14"/>
        <v>2036</v>
      </c>
      <c r="Q143" s="247">
        <f t="shared" si="14"/>
        <v>2037</v>
      </c>
      <c r="R143" s="247">
        <f t="shared" si="14"/>
        <v>2038</v>
      </c>
      <c r="S143" s="247">
        <f t="shared" si="14"/>
        <v>2039</v>
      </c>
      <c r="T143" s="247">
        <f t="shared" si="14"/>
        <v>2040</v>
      </c>
      <c r="U143" s="247">
        <f t="shared" si="14"/>
        <v>2041</v>
      </c>
      <c r="V143" s="247">
        <f t="shared" si="14"/>
        <v>2042</v>
      </c>
    </row>
    <row r="144" spans="1:22" x14ac:dyDescent="0.3">
      <c r="A144" s="244" t="s">
        <v>6</v>
      </c>
      <c r="B144" s="45"/>
      <c r="C144" s="45"/>
      <c r="D144" s="45"/>
      <c r="E144" s="45"/>
      <c r="F144" s="45"/>
      <c r="G144" s="45"/>
      <c r="H144" s="45"/>
      <c r="I144" s="45"/>
      <c r="J144" s="45"/>
      <c r="K144" s="45"/>
      <c r="L144" s="45">
        <f>K130*'Future Plan Assumptions'!$B$101</f>
        <v>106292881.56444815</v>
      </c>
      <c r="M144" s="45">
        <f>L130*'Future Plan Assumptions'!$B$101</f>
        <v>0</v>
      </c>
      <c r="N144" s="45">
        <f>M130*'Future Plan Assumptions'!$B$101</f>
        <v>0</v>
      </c>
      <c r="O144" s="45">
        <f>N130*'Future Plan Assumptions'!$B$101</f>
        <v>0</v>
      </c>
      <c r="P144" s="45">
        <f>O130*'Future Plan Assumptions'!$B$101</f>
        <v>0</v>
      </c>
      <c r="Q144" s="45">
        <f>P130*'Future Plan Assumptions'!$B$101</f>
        <v>0</v>
      </c>
      <c r="R144" s="45">
        <f>Q130*'Future Plan Assumptions'!$B$101</f>
        <v>0</v>
      </c>
      <c r="S144" s="45">
        <f>R130*'Future Plan Assumptions'!$B$101</f>
        <v>0</v>
      </c>
      <c r="T144" s="45">
        <f>S130*'Future Plan Assumptions'!$B$101</f>
        <v>0</v>
      </c>
      <c r="U144" s="45">
        <f>T130*'Future Plan Assumptions'!$B$101</f>
        <v>0</v>
      </c>
      <c r="V144" s="45">
        <f>U130*'Future Plan Assumptions'!$B$101</f>
        <v>0</v>
      </c>
    </row>
    <row r="145" spans="1:22" x14ac:dyDescent="0.3">
      <c r="A145" s="244" t="s">
        <v>12</v>
      </c>
      <c r="B145" s="45"/>
      <c r="C145" s="45"/>
      <c r="D145" s="45"/>
      <c r="E145" s="45"/>
      <c r="F145" s="45"/>
      <c r="G145" s="45"/>
      <c r="H145" s="45"/>
      <c r="I145" s="45"/>
      <c r="J145" s="45"/>
      <c r="K145" s="45"/>
      <c r="L145" s="45">
        <f>K131*'Future Plan Assumptions'!$B$101</f>
        <v>11405959.708836231</v>
      </c>
      <c r="M145" s="45">
        <f>L131*'Future Plan Assumptions'!$B$101</f>
        <v>10772295.280567557</v>
      </c>
      <c r="N145" s="45">
        <f>M131*'Future Plan Assumptions'!$B$101</f>
        <v>10772295.280567557</v>
      </c>
      <c r="O145" s="45">
        <f>N131*'Future Plan Assumptions'!$B$101</f>
        <v>10772295.280567557</v>
      </c>
      <c r="P145" s="45">
        <f>O131*'Future Plan Assumptions'!$B$101</f>
        <v>10772295.280567557</v>
      </c>
      <c r="Q145" s="45">
        <f>P131*'Future Plan Assumptions'!$B$101</f>
        <v>10772295.280567557</v>
      </c>
      <c r="R145" s="45">
        <f>Q131*'Future Plan Assumptions'!$B$101</f>
        <v>10772295.280567557</v>
      </c>
      <c r="S145" s="45">
        <f>R131*'Future Plan Assumptions'!$B$101</f>
        <v>0</v>
      </c>
      <c r="T145" s="45">
        <f>S131*'Future Plan Assumptions'!$B$101</f>
        <v>0</v>
      </c>
      <c r="U145" s="45">
        <f>T131*'Future Plan Assumptions'!$B$101</f>
        <v>0</v>
      </c>
      <c r="V145" s="45">
        <f>U131*'Future Plan Assumptions'!$B$101</f>
        <v>0</v>
      </c>
    </row>
    <row r="146" spans="1:22" x14ac:dyDescent="0.3">
      <c r="A146" s="244" t="s">
        <v>21</v>
      </c>
      <c r="B146" s="45"/>
      <c r="C146" s="45"/>
      <c r="D146" s="45"/>
      <c r="E146" s="45"/>
      <c r="F146" s="45"/>
      <c r="G146" s="45"/>
      <c r="H146" s="45"/>
      <c r="I146" s="45"/>
      <c r="J146" s="45"/>
      <c r="K146" s="45"/>
      <c r="L146" s="45">
        <f>K132*'Future Plan Assumptions'!$B$101</f>
        <v>0</v>
      </c>
      <c r="M146" s="45">
        <f>L132*'Future Plan Assumptions'!$B$101</f>
        <v>9797363.8413855862</v>
      </c>
      <c r="N146" s="45">
        <f>M132*'Future Plan Assumptions'!$B$101</f>
        <v>9748377.0221786611</v>
      </c>
      <c r="O146" s="45">
        <f>N132*'Future Plan Assumptions'!$B$101</f>
        <v>9699635.137067765</v>
      </c>
      <c r="P146" s="45">
        <f>O132*'Future Plan Assumptions'!$B$101</f>
        <v>9651136.9613824282</v>
      </c>
      <c r="Q146" s="45">
        <f>P132*'Future Plan Assumptions'!$B$101</f>
        <v>9602881.2765755113</v>
      </c>
      <c r="R146" s="45">
        <f>Q132*'Future Plan Assumptions'!$B$101</f>
        <v>9554866.8701926358</v>
      </c>
      <c r="S146" s="45">
        <f>R132*'Future Plan Assumptions'!$B$101</f>
        <v>9507092.5358416717</v>
      </c>
      <c r="T146" s="45">
        <f>S132*'Future Plan Assumptions'!$B$101</f>
        <v>9459557.0731624644</v>
      </c>
      <c r="U146" s="45">
        <f>T132*'Future Plan Assumptions'!$B$101</f>
        <v>9412259.2877966519</v>
      </c>
      <c r="V146" s="45">
        <f>U132*'Future Plan Assumptions'!$B$101</f>
        <v>9365197.9913576692</v>
      </c>
    </row>
    <row r="147" spans="1:22" x14ac:dyDescent="0.3">
      <c r="A147" s="244" t="s">
        <v>25</v>
      </c>
      <c r="B147" s="45"/>
      <c r="C147" s="45"/>
      <c r="D147" s="45"/>
      <c r="E147" s="45"/>
      <c r="F147" s="45"/>
      <c r="G147" s="45"/>
      <c r="H147" s="45"/>
      <c r="I147" s="45"/>
      <c r="J147" s="45"/>
      <c r="K147" s="45"/>
      <c r="L147" s="45">
        <f>K133*'Future Plan Assumptions'!$B$101</f>
        <v>5536809.2557974383</v>
      </c>
      <c r="M147" s="45">
        <f>L133*'Future Plan Assumptions'!$B$101</f>
        <v>5509125.2095184503</v>
      </c>
      <c r="N147" s="45">
        <f>M133*'Future Plan Assumptions'!$B$101</f>
        <v>5481579.5834708596</v>
      </c>
      <c r="O147" s="45">
        <f>N133*'Future Plan Assumptions'!$B$101</f>
        <v>5454171.6855535042</v>
      </c>
      <c r="P147" s="45">
        <f>O133*'Future Plan Assumptions'!$B$101</f>
        <v>5426900.8271257384</v>
      </c>
      <c r="Q147" s="45">
        <f>P133*'Future Plan Assumptions'!$B$101</f>
        <v>5399766.3229901092</v>
      </c>
      <c r="R147" s="45">
        <f>Q133*'Future Plan Assumptions'!$B$101</f>
        <v>5372767.4913751595</v>
      </c>
      <c r="S147" s="45">
        <f>R133*'Future Plan Assumptions'!$B$101</f>
        <v>5345903.6539182831</v>
      </c>
      <c r="T147" s="45">
        <f>S133*'Future Plan Assumptions'!$B$101</f>
        <v>5319174.1356486911</v>
      </c>
      <c r="U147" s="45">
        <f>T133*'Future Plan Assumptions'!$B$101</f>
        <v>5292578.2649704469</v>
      </c>
      <c r="V147" s="45">
        <f>U133*'Future Plan Assumptions'!$B$101</f>
        <v>5266115.3736455962</v>
      </c>
    </row>
    <row r="148" spans="1:22" x14ac:dyDescent="0.3">
      <c r="A148" s="244" t="s">
        <v>29</v>
      </c>
      <c r="B148" s="45"/>
      <c r="C148" s="45"/>
      <c r="D148" s="45"/>
      <c r="E148" s="45"/>
      <c r="F148" s="45"/>
      <c r="G148" s="45"/>
      <c r="H148" s="45"/>
      <c r="I148" s="45"/>
      <c r="J148" s="45"/>
      <c r="K148" s="45"/>
      <c r="L148" s="45">
        <f>K134*'Future Plan Assumptions'!$B$101</f>
        <v>0</v>
      </c>
      <c r="M148" s="45">
        <f>L134*'Future Plan Assumptions'!$B$101</f>
        <v>4481287.787274763</v>
      </c>
      <c r="N148" s="45">
        <f>M134*'Future Plan Assumptions'!$B$101</f>
        <v>4232327.3546483871</v>
      </c>
      <c r="O148" s="45">
        <f>N134*'Future Plan Assumptions'!$B$101</f>
        <v>4232327.3546483871</v>
      </c>
      <c r="P148" s="45">
        <f>O134*'Future Plan Assumptions'!$B$101</f>
        <v>4232327.3546483871</v>
      </c>
      <c r="Q148" s="45">
        <f>P134*'Future Plan Assumptions'!$B$101</f>
        <v>4232327.3546483871</v>
      </c>
      <c r="R148" s="45">
        <f>Q134*'Future Plan Assumptions'!$B$101</f>
        <v>4232327.3546483871</v>
      </c>
      <c r="S148" s="45">
        <f>R134*'Future Plan Assumptions'!$B$101</f>
        <v>4232327.3546483871</v>
      </c>
      <c r="T148" s="45">
        <f>S134*'Future Plan Assumptions'!$B$101</f>
        <v>0</v>
      </c>
      <c r="U148" s="45">
        <f>T134*'Future Plan Assumptions'!$B$101</f>
        <v>0</v>
      </c>
      <c r="V148" s="45">
        <f>U134*'Future Plan Assumptions'!$B$101</f>
        <v>0</v>
      </c>
    </row>
    <row r="149" spans="1:22" x14ac:dyDescent="0.3">
      <c r="A149" s="244" t="s">
        <v>33</v>
      </c>
      <c r="B149" s="45"/>
      <c r="C149" s="45"/>
      <c r="D149" s="45"/>
      <c r="E149" s="45"/>
      <c r="F149" s="45"/>
      <c r="G149" s="45"/>
      <c r="H149" s="45"/>
      <c r="I149" s="45"/>
      <c r="J149" s="45"/>
      <c r="K149" s="45"/>
      <c r="L149" s="45">
        <f>K135*'Future Plan Assumptions'!$B$101</f>
        <v>5702979.8544181157</v>
      </c>
      <c r="M149" s="45">
        <f>L135*'Future Plan Assumptions'!$B$101</f>
        <v>5386147.6402837783</v>
      </c>
      <c r="N149" s="45">
        <f>M135*'Future Plan Assumptions'!$B$101</f>
        <v>5386147.6402837783</v>
      </c>
      <c r="O149" s="45">
        <f>N135*'Future Plan Assumptions'!$B$101</f>
        <v>5386147.6402837783</v>
      </c>
      <c r="P149" s="45">
        <f>O135*'Future Plan Assumptions'!$B$101</f>
        <v>5386147.6402837783</v>
      </c>
      <c r="Q149" s="45">
        <f>P135*'Future Plan Assumptions'!$B$101</f>
        <v>5386147.6402837783</v>
      </c>
      <c r="R149" s="45">
        <f>Q135*'Future Plan Assumptions'!$B$101</f>
        <v>5386147.6402837783</v>
      </c>
      <c r="S149" s="45">
        <f>R135*'Future Plan Assumptions'!$B$101</f>
        <v>0</v>
      </c>
      <c r="T149" s="45">
        <f>S135*'Future Plan Assumptions'!$B$101</f>
        <v>0</v>
      </c>
      <c r="U149" s="45">
        <f>T135*'Future Plan Assumptions'!$B$101</f>
        <v>0</v>
      </c>
      <c r="V149" s="45">
        <f>U135*'Future Plan Assumptions'!$B$101</f>
        <v>0</v>
      </c>
    </row>
    <row r="150" spans="1:22" x14ac:dyDescent="0.3">
      <c r="A150" s="244" t="s">
        <v>40</v>
      </c>
      <c r="B150" s="45"/>
      <c r="C150" s="45"/>
      <c r="D150" s="45"/>
      <c r="E150" s="45"/>
      <c r="F150" s="45"/>
      <c r="G150" s="45"/>
      <c r="H150" s="45"/>
      <c r="I150" s="45"/>
      <c r="J150" s="45"/>
      <c r="K150" s="45"/>
      <c r="L150" s="45">
        <f>K136*'Future Plan Assumptions'!$O$93+K136</f>
        <v>0</v>
      </c>
      <c r="M150" s="45">
        <f>L136*'Future Plan Assumptions'!$O$93+L136</f>
        <v>0</v>
      </c>
      <c r="N150" s="45">
        <f>M136*'Future Plan Assumptions'!$O$93+M136</f>
        <v>0</v>
      </c>
      <c r="O150" s="45">
        <f>'Total REC Delivery Activities'!O148*'Indexed REC Price Calculator'!P17</f>
        <v>35196.057477175913</v>
      </c>
      <c r="P150" s="45">
        <f>'Total REC Delivery Activities'!P148*'Indexed REC Price Calculator'!Q17</f>
        <v>-3101800.0213732757</v>
      </c>
      <c r="Q150" s="45">
        <f>'Total REC Delivery Activities'!Q148*'Indexed REC Price Calculator'!R17</f>
        <v>-6301536.0218007462</v>
      </c>
      <c r="R150" s="45">
        <f>'Total REC Delivery Activities'!R148*'Indexed REC Price Calculator'!S17</f>
        <v>-9565266.7422367614</v>
      </c>
      <c r="S150" s="45">
        <f>'Total REC Delivery Activities'!S148*'Indexed REC Price Calculator'!T17</f>
        <v>-12894272.077081492</v>
      </c>
      <c r="T150" s="45">
        <f>'Total REC Delivery Activities'!T148*'Indexed REC Price Calculator'!U17</f>
        <v>-16289857.518623112</v>
      </c>
      <c r="U150" s="45">
        <f>'Total REC Delivery Activities'!U148*'Indexed REC Price Calculator'!V17</f>
        <v>-19753354.668995567</v>
      </c>
      <c r="V150" s="45">
        <f>'Total REC Delivery Activities'!V148*'Indexed REC Price Calculator'!W17</f>
        <v>-23286121.76237547</v>
      </c>
    </row>
    <row r="151" spans="1:22" x14ac:dyDescent="0.3">
      <c r="A151" s="244" t="s">
        <v>41</v>
      </c>
      <c r="B151" s="45"/>
      <c r="C151" s="45"/>
      <c r="D151" s="45"/>
      <c r="E151" s="45"/>
      <c r="F151" s="45"/>
      <c r="G151" s="45"/>
      <c r="H151" s="45"/>
      <c r="I151" s="45"/>
      <c r="J151" s="45"/>
      <c r="K151" s="45"/>
      <c r="L151" s="45">
        <f>K137*'Future Plan Assumptions'!$O$93+K137</f>
        <v>0</v>
      </c>
      <c r="M151" s="45">
        <f>L137*'Future Plan Assumptions'!$O$93+L137</f>
        <v>0</v>
      </c>
      <c r="N151" s="45">
        <f>M137*'Future Plan Assumptions'!$O$93+M137</f>
        <v>0</v>
      </c>
      <c r="O151" s="45">
        <f>'Total REC Delivery Activities'!O149*'Indexed REC Price Calculator'!P44</f>
        <v>23620156.845981739</v>
      </c>
      <c r="P151" s="45">
        <f>'Total REC Delivery Activities'!P149*'Indexed REC Price Calculator'!Q44</f>
        <v>21110559.982901379</v>
      </c>
      <c r="Q151" s="45">
        <f>'Total REC Delivery Activities'!Q149*'Indexed REC Price Calculator'!R44</f>
        <v>18550771.182559401</v>
      </c>
      <c r="R151" s="45">
        <f>'Total REC Delivery Activities'!R149*'Indexed REC Price Calculator'!S44</f>
        <v>15939786.606210589</v>
      </c>
      <c r="S151" s="45">
        <f>'Total REC Delivery Activities'!S149*'Indexed REC Price Calculator'!T44</f>
        <v>13276582.338334804</v>
      </c>
      <c r="T151" s="45">
        <f>'Total REC Delivery Activities'!T149*'Indexed REC Price Calculator'!U44</f>
        <v>10560113.98510151</v>
      </c>
      <c r="U151" s="45">
        <f>'Total REC Delivery Activities'!U149*'Indexed REC Price Calculator'!V44</f>
        <v>7789316.2648035455</v>
      </c>
      <c r="V151" s="45">
        <f>'Total REC Delivery Activities'!V149*'Indexed REC Price Calculator'!W44</f>
        <v>4963102.5900996234</v>
      </c>
    </row>
    <row r="152" spans="1:22" x14ac:dyDescent="0.3">
      <c r="A152" s="244" t="s">
        <v>42</v>
      </c>
      <c r="B152" s="45"/>
      <c r="C152" s="45"/>
      <c r="D152" s="45"/>
      <c r="E152" s="45"/>
      <c r="F152" s="45"/>
      <c r="G152" s="45"/>
      <c r="H152" s="45"/>
      <c r="I152" s="45"/>
      <c r="J152" s="45"/>
      <c r="K152" s="45"/>
      <c r="L152" s="45">
        <f>K138*'Future Plan Assumptions'!$O$93+K138</f>
        <v>0</v>
      </c>
      <c r="M152" s="45">
        <f>L138*'Future Plan Assumptions'!$O$93+L138</f>
        <v>0</v>
      </c>
      <c r="N152" s="45">
        <f>M138*'Future Plan Assumptions'!$O$93+M138</f>
        <v>0</v>
      </c>
      <c r="O152" s="45">
        <f>'Total REC Delivery Activities'!O150*'Indexed REC Price Calculator'!P71</f>
        <v>6046759.8028738583</v>
      </c>
      <c r="P152" s="45">
        <f>'Total REC Delivery Activities'!P150*'Indexed REC Price Calculator'!Q71</f>
        <v>5889909.9989313353</v>
      </c>
      <c r="Q152" s="45">
        <f>'Total REC Delivery Activities'!Q150*'Indexed REC Price Calculator'!R71</f>
        <v>5729923.1989099616</v>
      </c>
      <c r="R152" s="45">
        <f>'Total REC Delivery Activities'!R150*'Indexed REC Price Calculator'!S71</f>
        <v>5566736.6628881609</v>
      </c>
      <c r="S152" s="45">
        <f>'Total REC Delivery Activities'!S150*'Indexed REC Price Calculator'!T71</f>
        <v>5400286.396145924</v>
      </c>
      <c r="T152" s="45">
        <f>'Total REC Delivery Activities'!T150*'Indexed REC Price Calculator'!U71</f>
        <v>5230507.1240688432</v>
      </c>
      <c r="U152" s="45">
        <f>'Total REC Delivery Activities'!U150*'Indexed REC Price Calculator'!V71</f>
        <v>5057332.2665502205</v>
      </c>
      <c r="V152" s="45">
        <f>'Total REC Delivery Activities'!V150*'Indexed REC Price Calculator'!W71</f>
        <v>4880693.9118812252</v>
      </c>
    </row>
    <row r="153" spans="1:22" x14ac:dyDescent="0.3">
      <c r="A153" s="245" t="s">
        <v>233</v>
      </c>
      <c r="B153" s="24">
        <f t="shared" ref="B153:V153" si="15">SUM(B144:B152)</f>
        <v>0</v>
      </c>
      <c r="C153" s="24">
        <f t="shared" si="15"/>
        <v>0</v>
      </c>
      <c r="D153" s="24">
        <f t="shared" si="15"/>
        <v>0</v>
      </c>
      <c r="E153" s="24">
        <f t="shared" si="15"/>
        <v>0</v>
      </c>
      <c r="F153" s="24">
        <f t="shared" si="15"/>
        <v>0</v>
      </c>
      <c r="G153" s="24">
        <f t="shared" si="15"/>
        <v>0</v>
      </c>
      <c r="H153" s="24">
        <f t="shared" si="15"/>
        <v>0</v>
      </c>
      <c r="I153" s="24">
        <f t="shared" si="15"/>
        <v>0</v>
      </c>
      <c r="J153" s="24">
        <f t="shared" si="15"/>
        <v>0</v>
      </c>
      <c r="K153" s="24">
        <f t="shared" si="15"/>
        <v>0</v>
      </c>
      <c r="L153" s="24">
        <f t="shared" si="15"/>
        <v>128938630.38349994</v>
      </c>
      <c r="M153" s="24">
        <f t="shared" si="15"/>
        <v>35946219.759030133</v>
      </c>
      <c r="N153" s="24">
        <f t="shared" si="15"/>
        <v>35620726.88114924</v>
      </c>
      <c r="O153" s="24">
        <f t="shared" si="15"/>
        <v>65246689.804453768</v>
      </c>
      <c r="P153" s="24">
        <f t="shared" si="15"/>
        <v>59367478.024467319</v>
      </c>
      <c r="Q153" s="24">
        <f t="shared" si="15"/>
        <v>53372576.234733962</v>
      </c>
      <c r="R153" s="24">
        <f t="shared" si="15"/>
        <v>47259661.163929507</v>
      </c>
      <c r="S153" s="24">
        <f t="shared" si="15"/>
        <v>24867920.201807581</v>
      </c>
      <c r="T153" s="24">
        <f t="shared" si="15"/>
        <v>14279494.799358398</v>
      </c>
      <c r="U153" s="24">
        <f t="shared" si="15"/>
        <v>7798131.4151252974</v>
      </c>
      <c r="V153" s="24">
        <f t="shared" si="15"/>
        <v>1188988.1046086438</v>
      </c>
    </row>
    <row r="157" spans="1:22" ht="15.6" x14ac:dyDescent="0.3">
      <c r="A157" s="248">
        <v>2033</v>
      </c>
      <c r="B157" s="247">
        <v>2022</v>
      </c>
      <c r="C157" s="247">
        <v>2023</v>
      </c>
      <c r="D157" s="247">
        <v>2024</v>
      </c>
      <c r="E157" s="247">
        <v>2025</v>
      </c>
      <c r="F157" s="247">
        <v>2026</v>
      </c>
      <c r="G157" s="247">
        <v>2027</v>
      </c>
      <c r="H157" s="247">
        <v>2028</v>
      </c>
      <c r="I157" s="247">
        <v>2029</v>
      </c>
      <c r="J157" s="247">
        <v>2030</v>
      </c>
      <c r="K157" s="247">
        <v>2031</v>
      </c>
      <c r="L157" s="247">
        <v>2032</v>
      </c>
      <c r="M157" s="247">
        <v>2033</v>
      </c>
      <c r="N157" s="247">
        <v>2034</v>
      </c>
      <c r="O157" s="247">
        <v>2035</v>
      </c>
      <c r="P157" s="247">
        <v>2036</v>
      </c>
      <c r="Q157" s="247">
        <v>2037</v>
      </c>
      <c r="R157" s="247">
        <v>2038</v>
      </c>
      <c r="S157" s="247">
        <v>2039</v>
      </c>
      <c r="T157" s="247">
        <v>2040</v>
      </c>
      <c r="U157" s="247">
        <v>2041</v>
      </c>
      <c r="V157" s="247">
        <v>2042</v>
      </c>
    </row>
    <row r="158" spans="1:22" x14ac:dyDescent="0.3">
      <c r="A158" s="244" t="s">
        <v>6</v>
      </c>
      <c r="B158" s="45"/>
      <c r="C158" s="45"/>
      <c r="D158" s="45"/>
      <c r="E158" s="45"/>
      <c r="F158" s="45"/>
      <c r="G158" s="45"/>
      <c r="H158" s="45"/>
      <c r="I158" s="45"/>
      <c r="J158" s="45"/>
      <c r="K158" s="45"/>
      <c r="L158" s="45"/>
      <c r="M158" s="45">
        <f>L144*'Future Plan Assumptions'!$B$101/2</f>
        <v>51020583.150935106</v>
      </c>
      <c r="N158" s="45">
        <f>M144*'Future Plan Assumptions'!$B$101/2</f>
        <v>0</v>
      </c>
      <c r="O158" s="45">
        <f>N144*'Future Plan Assumptions'!$B$101/2</f>
        <v>0</v>
      </c>
      <c r="P158" s="45">
        <f>O144*'Future Plan Assumptions'!$B$101/2</f>
        <v>0</v>
      </c>
      <c r="Q158" s="45">
        <f>P144*'Future Plan Assumptions'!$B$101/2</f>
        <v>0</v>
      </c>
      <c r="R158" s="45">
        <f>Q144*'Future Plan Assumptions'!$B$101/2</f>
        <v>0</v>
      </c>
      <c r="S158" s="45">
        <f>R144*'Future Plan Assumptions'!$B$101/2</f>
        <v>0</v>
      </c>
      <c r="T158" s="45">
        <f>S144*'Future Plan Assumptions'!$B$101/2</f>
        <v>0</v>
      </c>
      <c r="U158" s="45">
        <f>T144*'Future Plan Assumptions'!$B$101/2</f>
        <v>0</v>
      </c>
      <c r="V158" s="45">
        <f>U144*'Future Plan Assumptions'!$B$101/2</f>
        <v>0</v>
      </c>
    </row>
    <row r="159" spans="1:22" x14ac:dyDescent="0.3">
      <c r="A159" s="244" t="s">
        <v>12</v>
      </c>
      <c r="B159" s="45"/>
      <c r="C159" s="45"/>
      <c r="D159" s="45"/>
      <c r="E159" s="45"/>
      <c r="F159" s="45"/>
      <c r="G159" s="45"/>
      <c r="H159" s="45"/>
      <c r="I159" s="45"/>
      <c r="J159" s="45"/>
      <c r="K159" s="45"/>
      <c r="L159" s="45"/>
      <c r="M159" s="45">
        <f>L145*'Future Plan Assumptions'!$B$101/2</f>
        <v>5474860.6602413906</v>
      </c>
      <c r="N159" s="45">
        <f>M145*'Future Plan Assumptions'!$B$101/2</f>
        <v>5170701.7346724272</v>
      </c>
      <c r="O159" s="45">
        <f>N145*'Future Plan Assumptions'!$B$101/2</f>
        <v>5170701.7346724272</v>
      </c>
      <c r="P159" s="45">
        <f>O145*'Future Plan Assumptions'!$B$101/2</f>
        <v>5170701.7346724272</v>
      </c>
      <c r="Q159" s="45">
        <f>P145*'Future Plan Assumptions'!$B$101/2</f>
        <v>5170701.7346724272</v>
      </c>
      <c r="R159" s="45">
        <f>Q145*'Future Plan Assumptions'!$B$101/2</f>
        <v>5170701.7346724272</v>
      </c>
      <c r="S159" s="45">
        <f>R145*'Future Plan Assumptions'!$B$101/2</f>
        <v>5170701.7346724272</v>
      </c>
      <c r="T159" s="45">
        <f>S145*'Future Plan Assumptions'!$B$101/2</f>
        <v>0</v>
      </c>
      <c r="U159" s="45">
        <f>T145*'Future Plan Assumptions'!$B$101/2</f>
        <v>0</v>
      </c>
      <c r="V159" s="45">
        <f>U145*'Future Plan Assumptions'!$B$101/2</f>
        <v>0</v>
      </c>
    </row>
    <row r="160" spans="1:22" x14ac:dyDescent="0.3">
      <c r="A160" s="244" t="s">
        <v>21</v>
      </c>
      <c r="B160" s="45"/>
      <c r="C160" s="45"/>
      <c r="D160" s="45"/>
      <c r="E160" s="45"/>
      <c r="F160" s="45"/>
      <c r="G160" s="45"/>
      <c r="H160" s="45"/>
      <c r="I160" s="45"/>
      <c r="J160" s="45"/>
      <c r="K160" s="45"/>
      <c r="L160" s="45"/>
      <c r="M160" s="45">
        <f>L146*'Future Plan Assumptions'!$B$101/2</f>
        <v>0</v>
      </c>
      <c r="N160" s="45">
        <f>M146*'Future Plan Assumptions'!$B$101/2</f>
        <v>4702734.6438650815</v>
      </c>
      <c r="O160" s="45">
        <f>N146*'Future Plan Assumptions'!$B$101/2</f>
        <v>4679220.9706457574</v>
      </c>
      <c r="P160" s="45">
        <f>O146*'Future Plan Assumptions'!$B$101/2</f>
        <v>4655824.8657925269</v>
      </c>
      <c r="Q160" s="45">
        <f>P146*'Future Plan Assumptions'!$B$101/2</f>
        <v>4632545.7414635653</v>
      </c>
      <c r="R160" s="45">
        <f>Q146*'Future Plan Assumptions'!$B$101/2</f>
        <v>4609383.0127562452</v>
      </c>
      <c r="S160" s="45">
        <f>R146*'Future Plan Assumptions'!$B$101/2</f>
        <v>4586336.0976924654</v>
      </c>
      <c r="T160" s="45">
        <f>S146*'Future Plan Assumptions'!$B$101/2</f>
        <v>4563404.4172040019</v>
      </c>
      <c r="U160" s="45">
        <f>T146*'Future Plan Assumptions'!$B$101/2</f>
        <v>4540587.3951179823</v>
      </c>
      <c r="V160" s="45">
        <f>U146*'Future Plan Assumptions'!$B$101/2</f>
        <v>4517884.4581423923</v>
      </c>
    </row>
    <row r="161" spans="1:22" x14ac:dyDescent="0.3">
      <c r="A161" s="244" t="s">
        <v>25</v>
      </c>
      <c r="B161" s="45"/>
      <c r="C161" s="45"/>
      <c r="D161" s="45"/>
      <c r="E161" s="45"/>
      <c r="F161" s="45"/>
      <c r="G161" s="45"/>
      <c r="H161" s="45"/>
      <c r="I161" s="45"/>
      <c r="J161" s="45"/>
      <c r="K161" s="45"/>
      <c r="L161" s="45"/>
      <c r="M161" s="45">
        <f>L147*'Future Plan Assumptions'!$B$101/2</f>
        <v>2657668.4427827704</v>
      </c>
      <c r="N161" s="45">
        <f>M147*'Future Plan Assumptions'!$B$101/2</f>
        <v>2644380.1005688561</v>
      </c>
      <c r="O161" s="45">
        <f>N147*'Future Plan Assumptions'!$B$101/2</f>
        <v>2631158.2000660123</v>
      </c>
      <c r="P161" s="45">
        <f>O147*'Future Plan Assumptions'!$B$101/2</f>
        <v>2618002.409065682</v>
      </c>
      <c r="Q161" s="45">
        <f>P147*'Future Plan Assumptions'!$B$101/2</f>
        <v>2604912.3970203544</v>
      </c>
      <c r="R161" s="45">
        <f>Q147*'Future Plan Assumptions'!$B$101/2</f>
        <v>2591887.8350352524</v>
      </c>
      <c r="S161" s="45">
        <f>R147*'Future Plan Assumptions'!$B$101/2</f>
        <v>2578928.3958600764</v>
      </c>
      <c r="T161" s="45">
        <f>S147*'Future Plan Assumptions'!$B$101/2</f>
        <v>2566033.753880776</v>
      </c>
      <c r="U161" s="45">
        <f>T147*'Future Plan Assumptions'!$B$101/2</f>
        <v>2553203.5851113717</v>
      </c>
      <c r="V161" s="45">
        <f>U147*'Future Plan Assumptions'!$B$101/2</f>
        <v>2540437.5671858145</v>
      </c>
    </row>
    <row r="162" spans="1:22" x14ac:dyDescent="0.3">
      <c r="A162" s="244" t="s">
        <v>29</v>
      </c>
      <c r="B162" s="45"/>
      <c r="C162" s="45"/>
      <c r="D162" s="45"/>
      <c r="E162" s="45"/>
      <c r="F162" s="45"/>
      <c r="G162" s="45"/>
      <c r="H162" s="45"/>
      <c r="I162" s="45"/>
      <c r="J162" s="45"/>
      <c r="K162" s="45"/>
      <c r="L162" s="45"/>
      <c r="M162" s="45">
        <f>L148*'Future Plan Assumptions'!$B$101/2</f>
        <v>0</v>
      </c>
      <c r="N162" s="45">
        <f>M148*'Future Plan Assumptions'!$B$101/2</f>
        <v>2151018.1378918863</v>
      </c>
      <c r="O162" s="45">
        <f>N148*'Future Plan Assumptions'!$B$101/2</f>
        <v>2031517.1302312256</v>
      </c>
      <c r="P162" s="45">
        <f>O148*'Future Plan Assumptions'!$B$101/2</f>
        <v>2031517.1302312256</v>
      </c>
      <c r="Q162" s="45">
        <f>P148*'Future Plan Assumptions'!$B$101/2</f>
        <v>2031517.1302312256</v>
      </c>
      <c r="R162" s="45">
        <f>Q148*'Future Plan Assumptions'!$B$101/2</f>
        <v>2031517.1302312256</v>
      </c>
      <c r="S162" s="45">
        <f>R148*'Future Plan Assumptions'!$B$101/2</f>
        <v>2031517.1302312256</v>
      </c>
      <c r="T162" s="45">
        <f>S148*'Future Plan Assumptions'!$B$101/2</f>
        <v>2031517.1302312256</v>
      </c>
      <c r="U162" s="45">
        <f>T148*'Future Plan Assumptions'!$B$101/2</f>
        <v>0</v>
      </c>
      <c r="V162" s="45">
        <f>U148*'Future Plan Assumptions'!$B$101/2</f>
        <v>0</v>
      </c>
    </row>
    <row r="163" spans="1:22" x14ac:dyDescent="0.3">
      <c r="A163" s="244" t="s">
        <v>33</v>
      </c>
      <c r="B163" s="45"/>
      <c r="C163" s="45"/>
      <c r="D163" s="45"/>
      <c r="E163" s="45"/>
      <c r="F163" s="45"/>
      <c r="G163" s="45"/>
      <c r="H163" s="45"/>
      <c r="I163" s="45"/>
      <c r="J163" s="45"/>
      <c r="K163" s="45"/>
      <c r="L163" s="45"/>
      <c r="M163" s="45">
        <f>L149*'Future Plan Assumptions'!$B$101/2</f>
        <v>2737430.3301206953</v>
      </c>
      <c r="N163" s="45">
        <f>M149*'Future Plan Assumptions'!$B$101/2</f>
        <v>2585350.8673362136</v>
      </c>
      <c r="O163" s="45">
        <f>N149*'Future Plan Assumptions'!$B$101/2</f>
        <v>2585350.8673362136</v>
      </c>
      <c r="P163" s="45">
        <f>O149*'Future Plan Assumptions'!$B$101/2</f>
        <v>2585350.8673362136</v>
      </c>
      <c r="Q163" s="45">
        <f>P149*'Future Plan Assumptions'!$B$101/2</f>
        <v>2585350.8673362136</v>
      </c>
      <c r="R163" s="45">
        <f>Q149*'Future Plan Assumptions'!$B$101/2</f>
        <v>2585350.8673362136</v>
      </c>
      <c r="S163" s="45">
        <f>R149*'Future Plan Assumptions'!$B$101/2</f>
        <v>2585350.8673362136</v>
      </c>
      <c r="T163" s="45">
        <f>S149*'Future Plan Assumptions'!$B$101/2</f>
        <v>0</v>
      </c>
      <c r="U163" s="45">
        <f>T149*'Future Plan Assumptions'!$B$101/2</f>
        <v>0</v>
      </c>
      <c r="V163" s="45">
        <f>U149*'Future Plan Assumptions'!$B$101/2</f>
        <v>0</v>
      </c>
    </row>
    <row r="164" spans="1:22" x14ac:dyDescent="0.3">
      <c r="A164" s="244" t="s">
        <v>40</v>
      </c>
      <c r="B164" s="45"/>
      <c r="C164" s="45"/>
      <c r="D164" s="45"/>
      <c r="E164" s="45"/>
      <c r="F164" s="45"/>
      <c r="G164" s="45"/>
      <c r="H164" s="45"/>
      <c r="I164" s="45"/>
      <c r="J164" s="45"/>
      <c r="K164" s="45"/>
      <c r="L164" s="45"/>
      <c r="M164" s="45">
        <f>L150*'Future Plan Assumptions'!$P$93+L150</f>
        <v>0</v>
      </c>
      <c r="N164" s="45">
        <f>M150*'Future Plan Assumptions'!$P$93+M150</f>
        <v>0</v>
      </c>
      <c r="O164" s="45">
        <f>N150*'Future Plan Assumptions'!$P$93+N150</f>
        <v>0</v>
      </c>
      <c r="P164" s="251">
        <f>'Total REC Delivery Activities'!P160*'Indexed REC Price Calculator'!Q18</f>
        <v>-243525.01068663379</v>
      </c>
      <c r="Q164" s="251">
        <f>'Total REC Delivery Activities'!Q160*'Indexed REC Price Calculator'!R18</f>
        <v>-1843393.0109003694</v>
      </c>
      <c r="R164" s="251">
        <f>'Total REC Delivery Activities'!R160*'Indexed REC Price Calculator'!S18</f>
        <v>-3475258.371118377</v>
      </c>
      <c r="S164" s="251">
        <f>'Total REC Delivery Activities'!S160*'Indexed REC Price Calculator'!T18</f>
        <v>-5139761.0385407424</v>
      </c>
      <c r="T164" s="251">
        <f>'Total REC Delivery Activities'!T160*'Indexed REC Price Calculator'!U18</f>
        <v>-6837553.7593115522</v>
      </c>
      <c r="U164" s="251">
        <f>'Total REC Delivery Activities'!U160*'Indexed REC Price Calculator'!V18</f>
        <v>-8569302.3344977796</v>
      </c>
      <c r="V164" s="251">
        <f>'Total REC Delivery Activities'!V160*'Indexed REC Price Calculator'!W18</f>
        <v>-10335685.881187731</v>
      </c>
    </row>
    <row r="165" spans="1:22" x14ac:dyDescent="0.3">
      <c r="A165" s="244" t="s">
        <v>41</v>
      </c>
      <c r="B165" s="45"/>
      <c r="C165" s="45"/>
      <c r="D165" s="45"/>
      <c r="E165" s="45"/>
      <c r="F165" s="45"/>
      <c r="G165" s="45"/>
      <c r="H165" s="45"/>
      <c r="I165" s="45"/>
      <c r="J165" s="45"/>
      <c r="K165" s="45"/>
      <c r="L165" s="45"/>
      <c r="M165" s="45">
        <f>L151*'Future Plan Assumptions'!$P$93+L151</f>
        <v>0</v>
      </c>
      <c r="N165" s="45">
        <f>M151*'Future Plan Assumptions'!$P$93+M151</f>
        <v>0</v>
      </c>
      <c r="O165" s="45">
        <f>N151*'Future Plan Assumptions'!$P$93+N151</f>
        <v>0</v>
      </c>
      <c r="P165" s="251">
        <f>'Total REC Delivery Activities'!P161*'Indexed REC Price Calculator'!Q45</f>
        <v>11797779.991450695</v>
      </c>
      <c r="Q165" s="251">
        <f>'Total REC Delivery Activities'!Q161*'Indexed REC Price Calculator'!R45</f>
        <v>10517885.591279708</v>
      </c>
      <c r="R165" s="251">
        <f>'Total REC Delivery Activities'!R161*'Indexed REC Price Calculator'!S45</f>
        <v>9212393.3031053022</v>
      </c>
      <c r="S165" s="251">
        <f>'Total REC Delivery Activities'!S161*'Indexed REC Price Calculator'!T45</f>
        <v>7880791.1691674097</v>
      </c>
      <c r="T165" s="251">
        <f>'Total REC Delivery Activities'!T161*'Indexed REC Price Calculator'!U45</f>
        <v>6522556.9925507614</v>
      </c>
      <c r="U165" s="251">
        <f>'Total REC Delivery Activities'!U161*'Indexed REC Price Calculator'!V45</f>
        <v>5137158.1324017793</v>
      </c>
      <c r="V165" s="251">
        <f>'Total REC Delivery Activities'!V161*'Indexed REC Price Calculator'!W45</f>
        <v>3724051.2950498187</v>
      </c>
    </row>
    <row r="166" spans="1:22" x14ac:dyDescent="0.3">
      <c r="A166" s="244" t="s">
        <v>42</v>
      </c>
      <c r="B166" s="45"/>
      <c r="C166" s="45"/>
      <c r="D166" s="45"/>
      <c r="E166" s="45"/>
      <c r="F166" s="45"/>
      <c r="G166" s="45"/>
      <c r="H166" s="45"/>
      <c r="I166" s="45"/>
      <c r="J166" s="45"/>
      <c r="K166" s="45"/>
      <c r="L166" s="45"/>
      <c r="M166" s="45">
        <f>L152*'Future Plan Assumptions'!$P$93+L152</f>
        <v>0</v>
      </c>
      <c r="N166" s="45">
        <f>M152*'Future Plan Assumptions'!$P$93+M152</f>
        <v>0</v>
      </c>
      <c r="O166" s="45">
        <f>N152*'Future Plan Assumptions'!$P$93+N152</f>
        <v>0</v>
      </c>
      <c r="P166" s="251">
        <f>'Total REC Delivery Activities'!P162*'Indexed REC Price Calculator'!Q72</f>
        <v>3060698.7494656676</v>
      </c>
      <c r="Q166" s="251">
        <f>'Total REC Delivery Activities'!Q162*'Indexed REC Price Calculator'!R72</f>
        <v>2980705.3494549808</v>
      </c>
      <c r="R166" s="251">
        <f>'Total REC Delivery Activities'!R162*'Indexed REC Price Calculator'!S72</f>
        <v>2899112.0814440805</v>
      </c>
      <c r="S166" s="251">
        <f>'Total REC Delivery Activities'!S162*'Indexed REC Price Calculator'!T72</f>
        <v>2815886.9480729625</v>
      </c>
      <c r="T166" s="251">
        <f>'Total REC Delivery Activities'!T162*'Indexed REC Price Calculator'!U72</f>
        <v>2730997.3120344216</v>
      </c>
      <c r="U166" s="251">
        <f>'Total REC Delivery Activities'!U162*'Indexed REC Price Calculator'!V72</f>
        <v>2644409.8832751103</v>
      </c>
      <c r="V166" s="251">
        <f>'Total REC Delivery Activities'!V162*'Indexed REC Price Calculator'!W72</f>
        <v>2556090.7059406131</v>
      </c>
    </row>
    <row r="167" spans="1:22" x14ac:dyDescent="0.3">
      <c r="A167" s="245" t="s">
        <v>233</v>
      </c>
      <c r="B167" s="24">
        <f t="shared" ref="B167:V167" si="16">SUM(B158:B166)</f>
        <v>0</v>
      </c>
      <c r="C167" s="24">
        <f t="shared" si="16"/>
        <v>0</v>
      </c>
      <c r="D167" s="24">
        <f t="shared" si="16"/>
        <v>0</v>
      </c>
      <c r="E167" s="24">
        <f t="shared" si="16"/>
        <v>0</v>
      </c>
      <c r="F167" s="24">
        <f t="shared" si="16"/>
        <v>0</v>
      </c>
      <c r="G167" s="24">
        <f t="shared" si="16"/>
        <v>0</v>
      </c>
      <c r="H167" s="24">
        <f t="shared" si="16"/>
        <v>0</v>
      </c>
      <c r="I167" s="24">
        <f t="shared" si="16"/>
        <v>0</v>
      </c>
      <c r="J167" s="24">
        <f t="shared" si="16"/>
        <v>0</v>
      </c>
      <c r="K167" s="24">
        <f t="shared" si="16"/>
        <v>0</v>
      </c>
      <c r="L167" s="24">
        <f t="shared" si="16"/>
        <v>0</v>
      </c>
      <c r="M167" s="24">
        <f t="shared" si="16"/>
        <v>61890542.584079958</v>
      </c>
      <c r="N167" s="24">
        <f t="shared" si="16"/>
        <v>17254185.484334469</v>
      </c>
      <c r="O167" s="24">
        <f t="shared" si="16"/>
        <v>17097948.902951635</v>
      </c>
      <c r="P167" s="24">
        <f t="shared" si="16"/>
        <v>31676350.737327807</v>
      </c>
      <c r="Q167" s="24">
        <f t="shared" si="16"/>
        <v>28680225.800558101</v>
      </c>
      <c r="R167" s="24">
        <f t="shared" si="16"/>
        <v>25625087.59346237</v>
      </c>
      <c r="S167" s="24">
        <f t="shared" si="16"/>
        <v>22509751.304492038</v>
      </c>
      <c r="T167" s="24">
        <f t="shared" si="16"/>
        <v>11576955.846589636</v>
      </c>
      <c r="U167" s="24">
        <f t="shared" si="16"/>
        <v>6306056.6614084635</v>
      </c>
      <c r="V167" s="24">
        <f t="shared" si="16"/>
        <v>3002778.1451309072</v>
      </c>
    </row>
    <row r="169" spans="1:22" ht="15.6" x14ac:dyDescent="0.3">
      <c r="A169" s="248">
        <v>2034</v>
      </c>
      <c r="B169" s="247">
        <v>2022</v>
      </c>
      <c r="C169" s="247">
        <v>2023</v>
      </c>
      <c r="D169" s="247">
        <v>2024</v>
      </c>
      <c r="E169" s="247">
        <v>2025</v>
      </c>
      <c r="F169" s="247">
        <v>2026</v>
      </c>
      <c r="G169" s="247">
        <v>2027</v>
      </c>
      <c r="H169" s="247">
        <v>2028</v>
      </c>
      <c r="I169" s="247">
        <v>2029</v>
      </c>
      <c r="J169" s="247">
        <v>2030</v>
      </c>
      <c r="K169" s="247">
        <v>2031</v>
      </c>
      <c r="L169" s="247">
        <v>2032</v>
      </c>
      <c r="M169" s="247">
        <v>2033</v>
      </c>
      <c r="N169" s="247">
        <v>2034</v>
      </c>
      <c r="O169" s="247">
        <v>2035</v>
      </c>
      <c r="P169" s="247">
        <v>2036</v>
      </c>
      <c r="Q169" s="247">
        <v>2037</v>
      </c>
      <c r="R169" s="247">
        <v>2038</v>
      </c>
      <c r="S169" s="247">
        <v>2039</v>
      </c>
      <c r="T169" s="247">
        <v>2040</v>
      </c>
      <c r="U169" s="247">
        <v>2041</v>
      </c>
      <c r="V169" s="247">
        <v>2042</v>
      </c>
    </row>
    <row r="170" spans="1:22" x14ac:dyDescent="0.3">
      <c r="A170" s="244" t="s">
        <v>6</v>
      </c>
      <c r="B170" s="45"/>
      <c r="C170" s="45"/>
      <c r="D170" s="45"/>
      <c r="E170" s="45"/>
      <c r="F170" s="45"/>
      <c r="G170" s="45"/>
      <c r="H170" s="45"/>
      <c r="I170" s="45"/>
      <c r="J170" s="45"/>
      <c r="K170" s="45"/>
      <c r="L170" s="45"/>
      <c r="M170" s="45"/>
      <c r="N170" s="45">
        <f>M158*'Future Plan Assumptions'!$B$101</f>
        <v>48979759.824897699</v>
      </c>
      <c r="O170" s="45">
        <f>N158*'Future Plan Assumptions'!$B$101</f>
        <v>0</v>
      </c>
      <c r="P170" s="45">
        <f>O158*'Future Plan Assumptions'!$B$101</f>
        <v>0</v>
      </c>
      <c r="Q170" s="45">
        <f>P158*'Future Plan Assumptions'!$B$101</f>
        <v>0</v>
      </c>
      <c r="R170" s="45">
        <f>Q158*'Future Plan Assumptions'!$B$101</f>
        <v>0</v>
      </c>
      <c r="S170" s="45">
        <f>R158*'Future Plan Assumptions'!$B$101</f>
        <v>0</v>
      </c>
      <c r="T170" s="45">
        <f>S158*'Future Plan Assumptions'!$B$101</f>
        <v>0</v>
      </c>
      <c r="U170" s="45">
        <f>T158*'Future Plan Assumptions'!$B$101</f>
        <v>0</v>
      </c>
      <c r="V170" s="45">
        <f>U158*'Future Plan Assumptions'!$B$101</f>
        <v>0</v>
      </c>
    </row>
    <row r="171" spans="1:22" x14ac:dyDescent="0.3">
      <c r="A171" s="244" t="s">
        <v>12</v>
      </c>
      <c r="B171" s="45"/>
      <c r="C171" s="45"/>
      <c r="D171" s="45"/>
      <c r="E171" s="45"/>
      <c r="F171" s="45"/>
      <c r="G171" s="45"/>
      <c r="H171" s="45"/>
      <c r="I171" s="45"/>
      <c r="J171" s="45"/>
      <c r="K171" s="45"/>
      <c r="L171" s="45"/>
      <c r="M171" s="45"/>
      <c r="N171" s="45">
        <f>M159*'Future Plan Assumptions'!$B$101</f>
        <v>5255866.2338317344</v>
      </c>
      <c r="O171" s="45">
        <f>N159*'Future Plan Assumptions'!$B$101</f>
        <v>4963873.6652855296</v>
      </c>
      <c r="P171" s="45">
        <f>O159*'Future Plan Assumptions'!$B$101</f>
        <v>4963873.6652855296</v>
      </c>
      <c r="Q171" s="45">
        <f>P159*'Future Plan Assumptions'!$B$101</f>
        <v>4963873.6652855296</v>
      </c>
      <c r="R171" s="45">
        <f>Q159*'Future Plan Assumptions'!$B$101</f>
        <v>4963873.6652855296</v>
      </c>
      <c r="S171" s="45">
        <f>R159*'Future Plan Assumptions'!$B$101</f>
        <v>4963873.6652855296</v>
      </c>
      <c r="T171" s="45">
        <f>S159*'Future Plan Assumptions'!$B$101</f>
        <v>4963873.6652855296</v>
      </c>
      <c r="U171" s="45">
        <f>T159*'Future Plan Assumptions'!$B$101</f>
        <v>0</v>
      </c>
      <c r="V171" s="45">
        <f>U159*'Future Plan Assumptions'!$B$101</f>
        <v>0</v>
      </c>
    </row>
    <row r="172" spans="1:22" x14ac:dyDescent="0.3">
      <c r="A172" s="244" t="s">
        <v>21</v>
      </c>
      <c r="B172" s="45"/>
      <c r="C172" s="45"/>
      <c r="D172" s="45"/>
      <c r="E172" s="45"/>
      <c r="F172" s="45"/>
      <c r="G172" s="45"/>
      <c r="H172" s="45"/>
      <c r="I172" s="45"/>
      <c r="J172" s="45"/>
      <c r="K172" s="45"/>
      <c r="L172" s="45"/>
      <c r="M172" s="45"/>
      <c r="N172" s="45">
        <f>M160*'Future Plan Assumptions'!$B$101</f>
        <v>0</v>
      </c>
      <c r="O172" s="45">
        <f>N160*'Future Plan Assumptions'!$B$101</f>
        <v>4514625.2581104785</v>
      </c>
      <c r="P172" s="45">
        <f>O160*'Future Plan Assumptions'!$B$101</f>
        <v>4492052.1318199271</v>
      </c>
      <c r="Q172" s="45">
        <f>P160*'Future Plan Assumptions'!$B$101</f>
        <v>4469591.8711608257</v>
      </c>
      <c r="R172" s="45">
        <f>Q160*'Future Plan Assumptions'!$B$101</f>
        <v>4447243.9118050225</v>
      </c>
      <c r="S172" s="45">
        <f>R160*'Future Plan Assumptions'!$B$101</f>
        <v>4425007.6922459956</v>
      </c>
      <c r="T172" s="45">
        <f>S160*'Future Plan Assumptions'!$B$101</f>
        <v>4402882.6537847668</v>
      </c>
      <c r="U172" s="45">
        <f>T160*'Future Plan Assumptions'!$B$101</f>
        <v>4380868.2405158421</v>
      </c>
      <c r="V172" s="45">
        <f>U160*'Future Plan Assumptions'!$B$101</f>
        <v>4358963.8993132627</v>
      </c>
    </row>
    <row r="173" spans="1:22" x14ac:dyDescent="0.3">
      <c r="A173" s="244" t="s">
        <v>25</v>
      </c>
      <c r="B173" s="45"/>
      <c r="C173" s="45"/>
      <c r="D173" s="45"/>
      <c r="E173" s="45"/>
      <c r="F173" s="45"/>
      <c r="G173" s="45"/>
      <c r="H173" s="45"/>
      <c r="I173" s="45"/>
      <c r="J173" s="45"/>
      <c r="K173" s="45"/>
      <c r="L173" s="45"/>
      <c r="M173" s="45"/>
      <c r="N173" s="45">
        <f>M161*'Future Plan Assumptions'!$B$101</f>
        <v>2551361.7050714595</v>
      </c>
      <c r="O173" s="45">
        <f>N161*'Future Plan Assumptions'!$B$101</f>
        <v>2538604.8965461017</v>
      </c>
      <c r="P173" s="45">
        <f>O161*'Future Plan Assumptions'!$B$101</f>
        <v>2525911.8720633718</v>
      </c>
      <c r="Q173" s="45">
        <f>P161*'Future Plan Assumptions'!$B$101</f>
        <v>2513282.3127030544</v>
      </c>
      <c r="R173" s="45">
        <f>Q161*'Future Plan Assumptions'!$B$101</f>
        <v>2500715.9011395401</v>
      </c>
      <c r="S173" s="45">
        <f>R161*'Future Plan Assumptions'!$B$101</f>
        <v>2488212.3216338423</v>
      </c>
      <c r="T173" s="45">
        <f>S161*'Future Plan Assumptions'!$B$101</f>
        <v>2475771.2600256731</v>
      </c>
      <c r="U173" s="45">
        <f>T161*'Future Plan Assumptions'!$B$101</f>
        <v>2463392.4037255449</v>
      </c>
      <c r="V173" s="45">
        <f>U161*'Future Plan Assumptions'!$B$101</f>
        <v>2451075.4417069168</v>
      </c>
    </row>
    <row r="174" spans="1:22" x14ac:dyDescent="0.3">
      <c r="A174" s="244" t="s">
        <v>29</v>
      </c>
      <c r="B174" s="45"/>
      <c r="C174" s="45"/>
      <c r="D174" s="45"/>
      <c r="E174" s="45"/>
      <c r="F174" s="45"/>
      <c r="G174" s="45"/>
      <c r="H174" s="45"/>
      <c r="I174" s="45"/>
      <c r="J174" s="45"/>
      <c r="K174" s="45"/>
      <c r="L174" s="45"/>
      <c r="M174" s="45"/>
      <c r="N174" s="45">
        <f>M162*'Future Plan Assumptions'!$B$101</f>
        <v>0</v>
      </c>
      <c r="O174" s="45">
        <f>N162*'Future Plan Assumptions'!$B$101</f>
        <v>2064977.4123762108</v>
      </c>
      <c r="P174" s="45">
        <f>O162*'Future Plan Assumptions'!$B$101</f>
        <v>1950256.4450219765</v>
      </c>
      <c r="Q174" s="45">
        <f>P162*'Future Plan Assumptions'!$B$101</f>
        <v>1950256.4450219765</v>
      </c>
      <c r="R174" s="45">
        <f>Q162*'Future Plan Assumptions'!$B$101</f>
        <v>1950256.4450219765</v>
      </c>
      <c r="S174" s="45">
        <f>R162*'Future Plan Assumptions'!$B$101</f>
        <v>1950256.4450219765</v>
      </c>
      <c r="T174" s="45">
        <f>S162*'Future Plan Assumptions'!$B$101</f>
        <v>1950256.4450219765</v>
      </c>
      <c r="U174" s="45">
        <f>T162*'Future Plan Assumptions'!$B$101</f>
        <v>1950256.4450219765</v>
      </c>
      <c r="V174" s="45">
        <f>U162*'Future Plan Assumptions'!$B$101</f>
        <v>0</v>
      </c>
    </row>
    <row r="175" spans="1:22" x14ac:dyDescent="0.3">
      <c r="A175" s="244" t="s">
        <v>33</v>
      </c>
      <c r="B175" s="45"/>
      <c r="C175" s="45"/>
      <c r="D175" s="45"/>
      <c r="E175" s="45"/>
      <c r="F175" s="45"/>
      <c r="G175" s="45"/>
      <c r="H175" s="45"/>
      <c r="I175" s="45"/>
      <c r="J175" s="45"/>
      <c r="K175" s="45"/>
      <c r="L175" s="45"/>
      <c r="M175" s="45"/>
      <c r="N175" s="45">
        <f>M163*'Future Plan Assumptions'!$B$101</f>
        <v>2627933.1169158672</v>
      </c>
      <c r="O175" s="45">
        <f>N163*'Future Plan Assumptions'!$B$101</f>
        <v>2481936.8326427648</v>
      </c>
      <c r="P175" s="45">
        <f>O163*'Future Plan Assumptions'!$B$101</f>
        <v>2481936.8326427648</v>
      </c>
      <c r="Q175" s="45">
        <f>P163*'Future Plan Assumptions'!$B$101</f>
        <v>2481936.8326427648</v>
      </c>
      <c r="R175" s="45">
        <f>Q163*'Future Plan Assumptions'!$B$101</f>
        <v>2481936.8326427648</v>
      </c>
      <c r="S175" s="45">
        <f>R163*'Future Plan Assumptions'!$B$101</f>
        <v>2481936.8326427648</v>
      </c>
      <c r="T175" s="45">
        <f>S163*'Future Plan Assumptions'!$B$101</f>
        <v>2481936.8326427648</v>
      </c>
      <c r="U175" s="45">
        <f>T163*'Future Plan Assumptions'!$B$101</f>
        <v>0</v>
      </c>
      <c r="V175" s="45">
        <f>U163*'Future Plan Assumptions'!$B$101</f>
        <v>0</v>
      </c>
    </row>
    <row r="176" spans="1:22" x14ac:dyDescent="0.3">
      <c r="A176" s="244" t="s">
        <v>40</v>
      </c>
      <c r="B176" s="45"/>
      <c r="C176" s="45"/>
      <c r="D176" s="45"/>
      <c r="E176" s="45"/>
      <c r="F176" s="45"/>
      <c r="G176" s="45"/>
      <c r="H176" s="45"/>
      <c r="I176" s="45"/>
      <c r="J176" s="45"/>
      <c r="K176" s="45"/>
      <c r="L176" s="45"/>
      <c r="M176" s="45"/>
      <c r="N176" s="45">
        <f>M164*'Future Plan Assumptions'!$Q$93+M164</f>
        <v>0</v>
      </c>
      <c r="O176" s="45">
        <f>N164*'Future Plan Assumptions'!$Q$93+N164</f>
        <v>0</v>
      </c>
      <c r="P176" s="45">
        <f>O164*'Future Plan Assumptions'!$Q$93+O164</f>
        <v>0</v>
      </c>
      <c r="Q176" s="251">
        <f>'Total REC Delivery Activities'!Q172*'Indexed REC Price Calculator'!R19</f>
        <v>-536018.01090037427</v>
      </c>
      <c r="R176" s="251">
        <f>'Total REC Delivery Activities'!R172*'Indexed REC Price Calculator'!S19</f>
        <v>-2167883.3711183821</v>
      </c>
      <c r="S176" s="251">
        <f>'Total REC Delivery Activities'!S172*'Indexed REC Price Calculator'!T19</f>
        <v>-3832386.038540747</v>
      </c>
      <c r="T176" s="251">
        <f>'Total REC Delivery Activities'!T172*'Indexed REC Price Calculator'!U19</f>
        <v>-5530178.7593115568</v>
      </c>
      <c r="U176" s="251">
        <f>'Total REC Delivery Activities'!U172*'Indexed REC Price Calculator'!V19</f>
        <v>-7261927.3344977843</v>
      </c>
      <c r="V176" s="251">
        <f>'Total REC Delivery Activities'!V172*'Indexed REC Price Calculator'!W19</f>
        <v>-9028310.8811877351</v>
      </c>
    </row>
    <row r="177" spans="1:22" x14ac:dyDescent="0.3">
      <c r="A177" s="244" t="s">
        <v>41</v>
      </c>
      <c r="B177" s="45"/>
      <c r="C177" s="45"/>
      <c r="D177" s="45"/>
      <c r="E177" s="45"/>
      <c r="F177" s="45"/>
      <c r="G177" s="45"/>
      <c r="H177" s="45"/>
      <c r="I177" s="45"/>
      <c r="J177" s="45"/>
      <c r="K177" s="45"/>
      <c r="L177" s="45"/>
      <c r="M177" s="45"/>
      <c r="N177" s="45">
        <f>M165*'Future Plan Assumptions'!$Q$93+M165</f>
        <v>0</v>
      </c>
      <c r="O177" s="45">
        <f>N165*'Future Plan Assumptions'!$Q$93+N165</f>
        <v>0</v>
      </c>
      <c r="P177" s="45">
        <f>O165*'Future Plan Assumptions'!$Q$93+O165</f>
        <v>0</v>
      </c>
      <c r="Q177" s="251">
        <f>'Total REC Delivery Activities'!Q173*'Indexed REC Price Calculator'!R46</f>
        <v>11760385.5912797</v>
      </c>
      <c r="R177" s="251">
        <f>'Total REC Delivery Activities'!R173*'Indexed REC Price Calculator'!S46</f>
        <v>10454893.303105295</v>
      </c>
      <c r="S177" s="251">
        <f>'Total REC Delivery Activities'!S173*'Indexed REC Price Calculator'!T46</f>
        <v>9123291.1691674013</v>
      </c>
      <c r="T177" s="251">
        <f>'Total REC Delivery Activities'!T173*'Indexed REC Price Calculator'!U46</f>
        <v>7765056.992550754</v>
      </c>
      <c r="U177" s="251">
        <f>'Total REC Delivery Activities'!U173*'Indexed REC Price Calculator'!V46</f>
        <v>6379658.1324017718</v>
      </c>
      <c r="V177" s="251">
        <f>'Total REC Delivery Activities'!V173*'Indexed REC Price Calculator'!W46</f>
        <v>4966551.2950498108</v>
      </c>
    </row>
    <row r="178" spans="1:22" x14ac:dyDescent="0.3">
      <c r="A178" s="244" t="s">
        <v>42</v>
      </c>
      <c r="B178" s="45"/>
      <c r="C178" s="45"/>
      <c r="D178" s="45"/>
      <c r="E178" s="45"/>
      <c r="F178" s="45"/>
      <c r="G178" s="45"/>
      <c r="H178" s="45"/>
      <c r="I178" s="45"/>
      <c r="J178" s="45"/>
      <c r="K178" s="45"/>
      <c r="L178" s="45"/>
      <c r="M178" s="45"/>
      <c r="N178" s="45">
        <f>M166*'Future Plan Assumptions'!$Q$93+M166</f>
        <v>0</v>
      </c>
      <c r="O178" s="45">
        <f>N166*'Future Plan Assumptions'!$Q$93+N166</f>
        <v>0</v>
      </c>
      <c r="P178" s="45">
        <f>O166*'Future Plan Assumptions'!$Q$93+O166</f>
        <v>0</v>
      </c>
      <c r="Q178" s="251">
        <f>'Total REC Delivery Activities'!Q174*'Indexed REC Price Calculator'!R73</f>
        <v>3096449.0994549808</v>
      </c>
      <c r="R178" s="251">
        <f>'Total REC Delivery Activities'!R174*'Indexed REC Price Calculator'!S73</f>
        <v>3014855.8314440805</v>
      </c>
      <c r="S178" s="251">
        <f>'Total REC Delivery Activities'!S174*'Indexed REC Price Calculator'!T73</f>
        <v>2931630.6980729625</v>
      </c>
      <c r="T178" s="251">
        <f>'Total REC Delivery Activities'!T174*'Indexed REC Price Calculator'!U73</f>
        <v>2846741.0620344216</v>
      </c>
      <c r="U178" s="251">
        <f>'Total REC Delivery Activities'!U174*'Indexed REC Price Calculator'!V73</f>
        <v>2760153.6332751103</v>
      </c>
      <c r="V178" s="251">
        <f>'Total REC Delivery Activities'!V174*'Indexed REC Price Calculator'!W73</f>
        <v>2671834.4559406131</v>
      </c>
    </row>
    <row r="179" spans="1:22" x14ac:dyDescent="0.3">
      <c r="A179" s="245" t="s">
        <v>233</v>
      </c>
      <c r="B179" s="24">
        <f t="shared" ref="B179:V179" si="17">SUM(B170:B178)</f>
        <v>0</v>
      </c>
      <c r="C179" s="24">
        <f t="shared" si="17"/>
        <v>0</v>
      </c>
      <c r="D179" s="24">
        <f t="shared" si="17"/>
        <v>0</v>
      </c>
      <c r="E179" s="24">
        <f t="shared" si="17"/>
        <v>0</v>
      </c>
      <c r="F179" s="24">
        <f t="shared" si="17"/>
        <v>0</v>
      </c>
      <c r="G179" s="24">
        <f t="shared" si="17"/>
        <v>0</v>
      </c>
      <c r="H179" s="24">
        <f t="shared" si="17"/>
        <v>0</v>
      </c>
      <c r="I179" s="24">
        <f t="shared" si="17"/>
        <v>0</v>
      </c>
      <c r="J179" s="24">
        <f t="shared" si="17"/>
        <v>0</v>
      </c>
      <c r="K179" s="24">
        <f t="shared" si="17"/>
        <v>0</v>
      </c>
      <c r="L179" s="24">
        <f t="shared" si="17"/>
        <v>0</v>
      </c>
      <c r="M179" s="24">
        <f t="shared" si="17"/>
        <v>0</v>
      </c>
      <c r="N179" s="24">
        <f t="shared" si="17"/>
        <v>59414920.880716756</v>
      </c>
      <c r="O179" s="24">
        <f t="shared" si="17"/>
        <v>16564018.064961083</v>
      </c>
      <c r="P179" s="24">
        <f t="shared" si="17"/>
        <v>16414030.94683357</v>
      </c>
      <c r="Q179" s="24">
        <f t="shared" si="17"/>
        <v>30699757.806648456</v>
      </c>
      <c r="R179" s="24">
        <f t="shared" si="17"/>
        <v>27645892.519325826</v>
      </c>
      <c r="S179" s="24">
        <f t="shared" si="17"/>
        <v>24531822.785529725</v>
      </c>
      <c r="T179" s="24">
        <f t="shared" si="17"/>
        <v>21356340.152034327</v>
      </c>
      <c r="U179" s="24">
        <f t="shared" si="17"/>
        <v>10672401.52044246</v>
      </c>
      <c r="V179" s="24">
        <f t="shared" si="17"/>
        <v>5420114.2108228691</v>
      </c>
    </row>
    <row r="181" spans="1:22" ht="15.6" x14ac:dyDescent="0.3">
      <c r="A181" s="248">
        <v>2035</v>
      </c>
      <c r="B181" s="247">
        <v>2022</v>
      </c>
      <c r="C181" s="247">
        <v>2023</v>
      </c>
      <c r="D181" s="247">
        <v>2024</v>
      </c>
      <c r="E181" s="247">
        <v>2025</v>
      </c>
      <c r="F181" s="247">
        <v>2026</v>
      </c>
      <c r="G181" s="247">
        <v>2027</v>
      </c>
      <c r="H181" s="247">
        <v>2028</v>
      </c>
      <c r="I181" s="247">
        <v>2029</v>
      </c>
      <c r="J181" s="247">
        <v>2030</v>
      </c>
      <c r="K181" s="247">
        <v>2031</v>
      </c>
      <c r="L181" s="247">
        <v>2032</v>
      </c>
      <c r="M181" s="247">
        <v>2033</v>
      </c>
      <c r="N181" s="247">
        <v>2034</v>
      </c>
      <c r="O181" s="247">
        <v>2035</v>
      </c>
      <c r="P181" s="247">
        <v>2036</v>
      </c>
      <c r="Q181" s="247">
        <v>2037</v>
      </c>
      <c r="R181" s="247">
        <v>2038</v>
      </c>
      <c r="S181" s="247">
        <v>2039</v>
      </c>
      <c r="T181" s="247">
        <v>2040</v>
      </c>
      <c r="U181" s="247">
        <v>2041</v>
      </c>
      <c r="V181" s="247">
        <v>2042</v>
      </c>
    </row>
    <row r="182" spans="1:22" x14ac:dyDescent="0.3">
      <c r="A182" s="244" t="s">
        <v>6</v>
      </c>
      <c r="B182" s="45"/>
      <c r="C182" s="45"/>
      <c r="D182" s="45"/>
      <c r="E182" s="45">
        <f>D170*'Future Plan Assumptions'!$B$101</f>
        <v>0</v>
      </c>
      <c r="F182" s="45">
        <f>E170*'Future Plan Assumptions'!$B$101</f>
        <v>0</v>
      </c>
      <c r="G182" s="45">
        <f>F170*'Future Plan Assumptions'!$B$101</f>
        <v>0</v>
      </c>
      <c r="H182" s="45">
        <f>G170*'Future Plan Assumptions'!$B$101</f>
        <v>0</v>
      </c>
      <c r="I182" s="45">
        <f>H170*'Future Plan Assumptions'!$B$101</f>
        <v>0</v>
      </c>
      <c r="J182" s="45">
        <f>I170*'Future Plan Assumptions'!$B$101</f>
        <v>0</v>
      </c>
      <c r="K182" s="45">
        <f>J170*'Future Plan Assumptions'!$B$101</f>
        <v>0</v>
      </c>
      <c r="L182" s="45">
        <f>K170*'Future Plan Assumptions'!$B$101</f>
        <v>0</v>
      </c>
      <c r="M182" s="45">
        <f>L170*'Future Plan Assumptions'!$B$101</f>
        <v>0</v>
      </c>
      <c r="N182" s="45">
        <f>M170*'Future Plan Assumptions'!$B$101</f>
        <v>0</v>
      </c>
      <c r="O182" s="45">
        <f>N170*'Future Plan Assumptions'!$B$101</f>
        <v>47020569.43190179</v>
      </c>
      <c r="P182" s="45">
        <f>O170*'Future Plan Assumptions'!$B$101</f>
        <v>0</v>
      </c>
      <c r="Q182" s="45">
        <f>P170*'Future Plan Assumptions'!$B$101</f>
        <v>0</v>
      </c>
      <c r="R182" s="45">
        <f>Q170*'Future Plan Assumptions'!$B$101</f>
        <v>0</v>
      </c>
      <c r="S182" s="45">
        <f>R170*'Future Plan Assumptions'!$B$101</f>
        <v>0</v>
      </c>
      <c r="T182" s="45">
        <f>S170*'Future Plan Assumptions'!$B$101</f>
        <v>0</v>
      </c>
      <c r="U182" s="45">
        <f>T170*'Future Plan Assumptions'!$B$101</f>
        <v>0</v>
      </c>
      <c r="V182" s="45">
        <f>U170*'Future Plan Assumptions'!$B$101</f>
        <v>0</v>
      </c>
    </row>
    <row r="183" spans="1:22" x14ac:dyDescent="0.3">
      <c r="A183" s="244" t="s">
        <v>12</v>
      </c>
      <c r="B183" s="45"/>
      <c r="C183" s="45"/>
      <c r="D183" s="45"/>
      <c r="E183" s="45">
        <f>D171*'Future Plan Assumptions'!$B$101</f>
        <v>0</v>
      </c>
      <c r="F183" s="45">
        <f>E171*'Future Plan Assumptions'!$B$101</f>
        <v>0</v>
      </c>
      <c r="G183" s="45">
        <f>F171*'Future Plan Assumptions'!$B$101</f>
        <v>0</v>
      </c>
      <c r="H183" s="45">
        <f>G171*'Future Plan Assumptions'!$B$101</f>
        <v>0</v>
      </c>
      <c r="I183" s="45">
        <f>H171*'Future Plan Assumptions'!$B$101</f>
        <v>0</v>
      </c>
      <c r="J183" s="45">
        <f>I171*'Future Plan Assumptions'!$B$101</f>
        <v>0</v>
      </c>
      <c r="K183" s="45">
        <f>J171*'Future Plan Assumptions'!$B$101</f>
        <v>0</v>
      </c>
      <c r="L183" s="45">
        <f>K171*'Future Plan Assumptions'!$B$101</f>
        <v>0</v>
      </c>
      <c r="M183" s="45">
        <f>L171*'Future Plan Assumptions'!$B$101</f>
        <v>0</v>
      </c>
      <c r="N183" s="45">
        <f>M171*'Future Plan Assumptions'!$B$101</f>
        <v>0</v>
      </c>
      <c r="O183" s="45">
        <f>N171*'Future Plan Assumptions'!$B$101</f>
        <v>5045631.5844784649</v>
      </c>
      <c r="P183" s="45">
        <f>O171*'Future Plan Assumptions'!$B$101</f>
        <v>4765318.7186741084</v>
      </c>
      <c r="Q183" s="45">
        <f>P171*'Future Plan Assumptions'!$B$101</f>
        <v>4765318.7186741084</v>
      </c>
      <c r="R183" s="45">
        <f>Q171*'Future Plan Assumptions'!$B$101</f>
        <v>4765318.7186741084</v>
      </c>
      <c r="S183" s="45">
        <f>R171*'Future Plan Assumptions'!$B$101</f>
        <v>4765318.7186741084</v>
      </c>
      <c r="T183" s="45">
        <f>S171*'Future Plan Assumptions'!$B$101</f>
        <v>4765318.7186741084</v>
      </c>
      <c r="U183" s="45">
        <f>T171*'Future Plan Assumptions'!$B$101</f>
        <v>4765318.7186741084</v>
      </c>
      <c r="V183" s="45">
        <f>U171*'Future Plan Assumptions'!$B$101</f>
        <v>0</v>
      </c>
    </row>
    <row r="184" spans="1:22" x14ac:dyDescent="0.3">
      <c r="A184" s="244" t="s">
        <v>21</v>
      </c>
      <c r="B184" s="45"/>
      <c r="C184" s="45"/>
      <c r="D184" s="45"/>
      <c r="E184" s="45">
        <f>D172*'Future Plan Assumptions'!$B$101</f>
        <v>0</v>
      </c>
      <c r="F184" s="45">
        <f>E172*'Future Plan Assumptions'!$B$101</f>
        <v>0</v>
      </c>
      <c r="G184" s="45">
        <f>F172*'Future Plan Assumptions'!$B$101</f>
        <v>0</v>
      </c>
      <c r="H184" s="45">
        <f>G172*'Future Plan Assumptions'!$B$101</f>
        <v>0</v>
      </c>
      <c r="I184" s="45">
        <f>H172*'Future Plan Assumptions'!$B$101</f>
        <v>0</v>
      </c>
      <c r="J184" s="45">
        <f>I172*'Future Plan Assumptions'!$B$101</f>
        <v>0</v>
      </c>
      <c r="K184" s="45">
        <f>J172*'Future Plan Assumptions'!$B$101</f>
        <v>0</v>
      </c>
      <c r="L184" s="45">
        <f>K172*'Future Plan Assumptions'!$B$101</f>
        <v>0</v>
      </c>
      <c r="M184" s="45">
        <f>L172*'Future Plan Assumptions'!$B$101</f>
        <v>0</v>
      </c>
      <c r="N184" s="45">
        <f>M172*'Future Plan Assumptions'!$B$101</f>
        <v>0</v>
      </c>
      <c r="O184" s="45">
        <f>N172*'Future Plan Assumptions'!$B$101</f>
        <v>0</v>
      </c>
      <c r="P184" s="45">
        <f>O172*'Future Plan Assumptions'!$B$101</f>
        <v>4334040.247786059</v>
      </c>
      <c r="Q184" s="45">
        <f>P172*'Future Plan Assumptions'!$B$101</f>
        <v>4312370.0465471298</v>
      </c>
      <c r="R184" s="45">
        <f>Q172*'Future Plan Assumptions'!$B$101</f>
        <v>4290808.1963143926</v>
      </c>
      <c r="S184" s="45">
        <f>R172*'Future Plan Assumptions'!$B$101</f>
        <v>4269354.1553328214</v>
      </c>
      <c r="T184" s="45">
        <f>S172*'Future Plan Assumptions'!$B$101</f>
        <v>4248007.3845561557</v>
      </c>
      <c r="U184" s="45">
        <f>T172*'Future Plan Assumptions'!$B$101</f>
        <v>4226767.3476333758</v>
      </c>
      <c r="V184" s="45">
        <f>U172*'Future Plan Assumptions'!$B$101</f>
        <v>4205633.5108952085</v>
      </c>
    </row>
    <row r="185" spans="1:22" x14ac:dyDescent="0.3">
      <c r="A185" s="244" t="s">
        <v>25</v>
      </c>
      <c r="B185" s="45"/>
      <c r="C185" s="45"/>
      <c r="D185" s="45"/>
      <c r="E185" s="45">
        <f>D173*'Future Plan Assumptions'!$B$101</f>
        <v>0</v>
      </c>
      <c r="F185" s="45">
        <f>E173*'Future Plan Assumptions'!$B$101</f>
        <v>0</v>
      </c>
      <c r="G185" s="45">
        <f>F173*'Future Plan Assumptions'!$B$101</f>
        <v>0</v>
      </c>
      <c r="H185" s="45">
        <f>G173*'Future Plan Assumptions'!$B$101</f>
        <v>0</v>
      </c>
      <c r="I185" s="45">
        <f>H173*'Future Plan Assumptions'!$B$101</f>
        <v>0</v>
      </c>
      <c r="J185" s="45">
        <f>I173*'Future Plan Assumptions'!$B$101</f>
        <v>0</v>
      </c>
      <c r="K185" s="45">
        <f>J173*'Future Plan Assumptions'!$B$101</f>
        <v>0</v>
      </c>
      <c r="L185" s="45">
        <f>K173*'Future Plan Assumptions'!$B$101</f>
        <v>0</v>
      </c>
      <c r="M185" s="45">
        <f>L173*'Future Plan Assumptions'!$B$101</f>
        <v>0</v>
      </c>
      <c r="N185" s="45">
        <f>M173*'Future Plan Assumptions'!$B$101</f>
        <v>0</v>
      </c>
      <c r="O185" s="45">
        <f>N173*'Future Plan Assumptions'!$B$101</f>
        <v>2449307.2368686008</v>
      </c>
      <c r="P185" s="45">
        <f>O173*'Future Plan Assumptions'!$B$101</f>
        <v>2437060.7006842573</v>
      </c>
      <c r="Q185" s="45">
        <f>P173*'Future Plan Assumptions'!$B$101</f>
        <v>2424875.3971808366</v>
      </c>
      <c r="R185" s="45">
        <f>Q173*'Future Plan Assumptions'!$B$101</f>
        <v>2412751.0201949324</v>
      </c>
      <c r="S185" s="45">
        <f>R173*'Future Plan Assumptions'!$B$101</f>
        <v>2400687.2650939585</v>
      </c>
      <c r="T185" s="45">
        <f>S173*'Future Plan Assumptions'!$B$101</f>
        <v>2388683.8287684885</v>
      </c>
      <c r="U185" s="45">
        <f>T173*'Future Plan Assumptions'!$B$101</f>
        <v>2376740.409624646</v>
      </c>
      <c r="V185" s="45">
        <f>U173*'Future Plan Assumptions'!$B$101</f>
        <v>2364856.7075765231</v>
      </c>
    </row>
    <row r="186" spans="1:22" x14ac:dyDescent="0.3">
      <c r="A186" s="244" t="s">
        <v>29</v>
      </c>
      <c r="B186" s="45"/>
      <c r="C186" s="45"/>
      <c r="D186" s="45"/>
      <c r="E186" s="45">
        <f>D174*'Future Plan Assumptions'!$B$101</f>
        <v>0</v>
      </c>
      <c r="F186" s="45">
        <f>E174*'Future Plan Assumptions'!$B$101</f>
        <v>0</v>
      </c>
      <c r="G186" s="45">
        <f>F174*'Future Plan Assumptions'!$B$101</f>
        <v>0</v>
      </c>
      <c r="H186" s="45">
        <f>G174*'Future Plan Assumptions'!$B$101</f>
        <v>0</v>
      </c>
      <c r="I186" s="45">
        <f>H174*'Future Plan Assumptions'!$B$101</f>
        <v>0</v>
      </c>
      <c r="J186" s="45">
        <f>I174*'Future Plan Assumptions'!$B$101</f>
        <v>0</v>
      </c>
      <c r="K186" s="45">
        <f>J174*'Future Plan Assumptions'!$B$101</f>
        <v>0</v>
      </c>
      <c r="L186" s="45">
        <f>K174*'Future Plan Assumptions'!$B$101</f>
        <v>0</v>
      </c>
      <c r="M186" s="45">
        <f>L174*'Future Plan Assumptions'!$B$101</f>
        <v>0</v>
      </c>
      <c r="N186" s="45">
        <f>M174*'Future Plan Assumptions'!$B$101</f>
        <v>0</v>
      </c>
      <c r="O186" s="45">
        <f>N174*'Future Plan Assumptions'!$B$101</f>
        <v>0</v>
      </c>
      <c r="P186" s="45">
        <f>O174*'Future Plan Assumptions'!$B$101</f>
        <v>1982378.3158811622</v>
      </c>
      <c r="Q186" s="45">
        <f>P174*'Future Plan Assumptions'!$B$101</f>
        <v>1872246.1872210973</v>
      </c>
      <c r="R186" s="45">
        <f>Q174*'Future Plan Assumptions'!$B$101</f>
        <v>1872246.1872210973</v>
      </c>
      <c r="S186" s="45">
        <f>R174*'Future Plan Assumptions'!$B$101</f>
        <v>1872246.1872210973</v>
      </c>
      <c r="T186" s="45">
        <f>S174*'Future Plan Assumptions'!$B$101</f>
        <v>1872246.1872210973</v>
      </c>
      <c r="U186" s="45">
        <f>T174*'Future Plan Assumptions'!$B$101</f>
        <v>1872246.1872210973</v>
      </c>
      <c r="V186" s="45">
        <f>U174*'Future Plan Assumptions'!$B$101</f>
        <v>1872246.1872210973</v>
      </c>
    </row>
    <row r="187" spans="1:22" x14ac:dyDescent="0.3">
      <c r="A187" s="244" t="s">
        <v>33</v>
      </c>
      <c r="B187" s="45"/>
      <c r="C187" s="45"/>
      <c r="D187" s="45"/>
      <c r="E187" s="45">
        <f>D175*'Future Plan Assumptions'!$B$101</f>
        <v>0</v>
      </c>
      <c r="F187" s="45">
        <f>E175*'Future Plan Assumptions'!$B$101</f>
        <v>0</v>
      </c>
      <c r="G187" s="45">
        <f>F175*'Future Plan Assumptions'!$B$101</f>
        <v>0</v>
      </c>
      <c r="H187" s="45">
        <f>G175*'Future Plan Assumptions'!$B$101</f>
        <v>0</v>
      </c>
      <c r="I187" s="45">
        <f>H175*'Future Plan Assumptions'!$B$101</f>
        <v>0</v>
      </c>
      <c r="J187" s="45">
        <f>I175*'Future Plan Assumptions'!$B$101</f>
        <v>0</v>
      </c>
      <c r="K187" s="45">
        <f>J175*'Future Plan Assumptions'!$B$101</f>
        <v>0</v>
      </c>
      <c r="L187" s="45">
        <f>K175*'Future Plan Assumptions'!$B$101</f>
        <v>0</v>
      </c>
      <c r="M187" s="45">
        <f>L175*'Future Plan Assumptions'!$B$101</f>
        <v>0</v>
      </c>
      <c r="N187" s="45">
        <f>M175*'Future Plan Assumptions'!$B$101</f>
        <v>0</v>
      </c>
      <c r="O187" s="45">
        <f>N175*'Future Plan Assumptions'!$B$101</f>
        <v>2522815.7922392325</v>
      </c>
      <c r="P187" s="45">
        <f>O175*'Future Plan Assumptions'!$B$101</f>
        <v>2382659.3593370542</v>
      </c>
      <c r="Q187" s="45">
        <f>P175*'Future Plan Assumptions'!$B$101</f>
        <v>2382659.3593370542</v>
      </c>
      <c r="R187" s="45">
        <f>Q175*'Future Plan Assumptions'!$B$101</f>
        <v>2382659.3593370542</v>
      </c>
      <c r="S187" s="45">
        <f>R175*'Future Plan Assumptions'!$B$101</f>
        <v>2382659.3593370542</v>
      </c>
      <c r="T187" s="45">
        <f>S175*'Future Plan Assumptions'!$B$101</f>
        <v>2382659.3593370542</v>
      </c>
      <c r="U187" s="45">
        <f>T175*'Future Plan Assumptions'!$B$101</f>
        <v>2382659.3593370542</v>
      </c>
      <c r="V187" s="45">
        <f>U175*'Future Plan Assumptions'!$B$101</f>
        <v>0</v>
      </c>
    </row>
    <row r="188" spans="1:22" x14ac:dyDescent="0.3">
      <c r="A188" s="244" t="s">
        <v>40</v>
      </c>
      <c r="B188" s="45"/>
      <c r="C188" s="45"/>
      <c r="D188" s="45"/>
      <c r="E188" s="45">
        <f>D176*'Future Plan Assumptions'!$B$101</f>
        <v>0</v>
      </c>
      <c r="F188" s="45">
        <f>E176*'Future Plan Assumptions'!$B$101</f>
        <v>0</v>
      </c>
      <c r="G188" s="45">
        <f>F176*'Future Plan Assumptions'!$B$101</f>
        <v>0</v>
      </c>
      <c r="H188" s="45">
        <f t="shared" ref="H188:N188" si="18">G176</f>
        <v>0</v>
      </c>
      <c r="I188" s="45">
        <f t="shared" si="18"/>
        <v>0</v>
      </c>
      <c r="J188" s="45">
        <f t="shared" si="18"/>
        <v>0</v>
      </c>
      <c r="K188" s="45">
        <f t="shared" si="18"/>
        <v>0</v>
      </c>
      <c r="L188" s="45">
        <f t="shared" si="18"/>
        <v>0</v>
      </c>
      <c r="M188" s="45">
        <f t="shared" si="18"/>
        <v>0</v>
      </c>
      <c r="N188" s="45">
        <f t="shared" si="18"/>
        <v>0</v>
      </c>
      <c r="O188" s="45">
        <f>N176*'Future Plan Assumptions'!$R$93+N176</f>
        <v>0</v>
      </c>
      <c r="P188" s="45">
        <f>O176*'Future Plan Assumptions'!$R$93+O176</f>
        <v>0</v>
      </c>
      <c r="Q188" s="45">
        <f>P176*'Future Plan Assumptions'!$R$93+P176</f>
        <v>0</v>
      </c>
      <c r="R188" s="45">
        <f>'Total REC Delivery Activities'!R184*'Indexed REC Price Calculator'!S20</f>
        <v>-860508.37111837813</v>
      </c>
      <c r="S188" s="45">
        <f>'Total REC Delivery Activities'!S184*'Indexed REC Price Calculator'!T20</f>
        <v>-2525011.0385407433</v>
      </c>
      <c r="T188" s="45">
        <f>'Total REC Delivery Activities'!T184*'Indexed REC Price Calculator'!U20</f>
        <v>-4222803.7593115531</v>
      </c>
      <c r="U188" s="45">
        <f>'Total REC Delivery Activities'!U184*'Indexed REC Price Calculator'!V20</f>
        <v>-5954552.3344977805</v>
      </c>
      <c r="V188" s="45">
        <f>'Total REC Delivery Activities'!V184*'Indexed REC Price Calculator'!W20</f>
        <v>-7720935.8811877314</v>
      </c>
    </row>
    <row r="189" spans="1:22" x14ac:dyDescent="0.3">
      <c r="A189" s="244" t="s">
        <v>41</v>
      </c>
      <c r="B189" s="45"/>
      <c r="C189" s="45"/>
      <c r="D189" s="45"/>
      <c r="E189" s="45">
        <f>D177*'Future Plan Assumptions'!$B$101</f>
        <v>0</v>
      </c>
      <c r="F189" s="45">
        <f>E177*'Future Plan Assumptions'!$B$101</f>
        <v>0</v>
      </c>
      <c r="G189" s="45">
        <f>F177*'Future Plan Assumptions'!$B$101</f>
        <v>0</v>
      </c>
      <c r="H189" s="45">
        <f t="shared" ref="H189:N189" si="19">G177</f>
        <v>0</v>
      </c>
      <c r="I189" s="45">
        <f t="shared" si="19"/>
        <v>0</v>
      </c>
      <c r="J189" s="45">
        <f t="shared" si="19"/>
        <v>0</v>
      </c>
      <c r="K189" s="45">
        <f t="shared" si="19"/>
        <v>0</v>
      </c>
      <c r="L189" s="45">
        <f t="shared" si="19"/>
        <v>0</v>
      </c>
      <c r="M189" s="45">
        <f t="shared" si="19"/>
        <v>0</v>
      </c>
      <c r="N189" s="45">
        <f t="shared" si="19"/>
        <v>0</v>
      </c>
      <c r="O189" s="45">
        <f>N177*'Future Plan Assumptions'!$R$93+N177</f>
        <v>0</v>
      </c>
      <c r="P189" s="45">
        <f>O177*'Future Plan Assumptions'!$R$93+O177</f>
        <v>0</v>
      </c>
      <c r="Q189" s="45">
        <f>P177*'Future Plan Assumptions'!$R$93+P177</f>
        <v>0</v>
      </c>
      <c r="R189" s="45">
        <f>'Total REC Delivery Activities'!R185*'Indexed REC Price Calculator'!S47</f>
        <v>11697393.3031053</v>
      </c>
      <c r="S189" s="45">
        <f>'Total REC Delivery Activities'!S185*'Indexed REC Price Calculator'!T47</f>
        <v>10365791.169167409</v>
      </c>
      <c r="T189" s="45">
        <f>'Total REC Delivery Activities'!T185*'Indexed REC Price Calculator'!U47</f>
        <v>9007556.9925507605</v>
      </c>
      <c r="U189" s="45">
        <f>'Total REC Delivery Activities'!U185*'Indexed REC Price Calculator'!V47</f>
        <v>7622158.1324017793</v>
      </c>
      <c r="V189" s="45">
        <f>'Total REC Delivery Activities'!V185*'Indexed REC Price Calculator'!W47</f>
        <v>6209051.2950498182</v>
      </c>
    </row>
    <row r="190" spans="1:22" x14ac:dyDescent="0.3">
      <c r="A190" s="244" t="s">
        <v>42</v>
      </c>
      <c r="B190" s="45"/>
      <c r="C190" s="45"/>
      <c r="D190" s="45"/>
      <c r="E190" s="45">
        <f>D178*'Future Plan Assumptions'!$B$101</f>
        <v>0</v>
      </c>
      <c r="F190" s="45">
        <f>E178*'Future Plan Assumptions'!$B$101</f>
        <v>0</v>
      </c>
      <c r="G190" s="45">
        <f>F178*'Future Plan Assumptions'!$B$101</f>
        <v>0</v>
      </c>
      <c r="H190" s="45">
        <f t="shared" ref="H190:N190" si="20">G178</f>
        <v>0</v>
      </c>
      <c r="I190" s="45">
        <f t="shared" si="20"/>
        <v>0</v>
      </c>
      <c r="J190" s="45">
        <f t="shared" si="20"/>
        <v>0</v>
      </c>
      <c r="K190" s="45">
        <f t="shared" si="20"/>
        <v>0</v>
      </c>
      <c r="L190" s="45">
        <f t="shared" si="20"/>
        <v>0</v>
      </c>
      <c r="M190" s="45">
        <f t="shared" si="20"/>
        <v>0</v>
      </c>
      <c r="N190" s="45">
        <f t="shared" si="20"/>
        <v>0</v>
      </c>
      <c r="O190" s="45">
        <f>N178*'Future Plan Assumptions'!$R$93+N178</f>
        <v>0</v>
      </c>
      <c r="P190" s="45">
        <f>O178*'Future Plan Assumptions'!$R$93+O178</f>
        <v>0</v>
      </c>
      <c r="Q190" s="45">
        <f>P178*'Future Plan Assumptions'!$R$93+P178</f>
        <v>0</v>
      </c>
      <c r="R190" s="45">
        <f>'Total REC Delivery Activities'!R186*'Indexed REC Price Calculator'!S47</f>
        <v>731087.08144408127</v>
      </c>
      <c r="S190" s="45">
        <f>'Total REC Delivery Activities'!S186*'Indexed REC Price Calculator'!T47</f>
        <v>647861.94807296304</v>
      </c>
      <c r="T190" s="45">
        <f>'Total REC Delivery Activities'!T186*'Indexed REC Price Calculator'!U47</f>
        <v>562972.31203442253</v>
      </c>
      <c r="U190" s="45">
        <f>'Total REC Delivery Activities'!U186*'Indexed REC Price Calculator'!V47</f>
        <v>476384.88327511121</v>
      </c>
      <c r="V190" s="45">
        <f>'Total REC Delivery Activities'!V186*'Indexed REC Price Calculator'!W47</f>
        <v>388065.70594061364</v>
      </c>
    </row>
    <row r="191" spans="1:22" x14ac:dyDescent="0.3">
      <c r="A191" s="245" t="s">
        <v>233</v>
      </c>
      <c r="B191" s="24">
        <f t="shared" ref="B191:V191" si="21">SUM(B182:B190)</f>
        <v>0</v>
      </c>
      <c r="C191" s="24">
        <f t="shared" si="21"/>
        <v>0</v>
      </c>
      <c r="D191" s="24">
        <f t="shared" si="21"/>
        <v>0</v>
      </c>
      <c r="E191" s="24">
        <f t="shared" si="21"/>
        <v>0</v>
      </c>
      <c r="F191" s="24">
        <f t="shared" si="21"/>
        <v>0</v>
      </c>
      <c r="G191" s="24">
        <f t="shared" si="21"/>
        <v>0</v>
      </c>
      <c r="H191" s="24">
        <f t="shared" si="21"/>
        <v>0</v>
      </c>
      <c r="I191" s="24">
        <f t="shared" si="21"/>
        <v>0</v>
      </c>
      <c r="J191" s="24">
        <f t="shared" si="21"/>
        <v>0</v>
      </c>
      <c r="K191" s="24">
        <f t="shared" si="21"/>
        <v>0</v>
      </c>
      <c r="L191" s="24">
        <f t="shared" si="21"/>
        <v>0</v>
      </c>
      <c r="M191" s="24">
        <f t="shared" si="21"/>
        <v>0</v>
      </c>
      <c r="N191" s="24">
        <f t="shared" si="21"/>
        <v>0</v>
      </c>
      <c r="O191" s="24">
        <f t="shared" si="21"/>
        <v>57038324.045488089</v>
      </c>
      <c r="P191" s="24">
        <f t="shared" si="21"/>
        <v>15901457.342362642</v>
      </c>
      <c r="Q191" s="24">
        <f t="shared" si="21"/>
        <v>15757469.708960226</v>
      </c>
      <c r="R191" s="24">
        <f t="shared" si="21"/>
        <v>27291755.495172586</v>
      </c>
      <c r="S191" s="24">
        <f t="shared" si="21"/>
        <v>24178907.76435867</v>
      </c>
      <c r="T191" s="24">
        <f t="shared" si="21"/>
        <v>21004641.023830533</v>
      </c>
      <c r="U191" s="24">
        <f t="shared" si="21"/>
        <v>17767722.703669392</v>
      </c>
      <c r="V191" s="24">
        <f t="shared" si="21"/>
        <v>7318917.5254955292</v>
      </c>
    </row>
    <row r="193" spans="1:22" ht="15.6" x14ac:dyDescent="0.3">
      <c r="A193" s="248">
        <v>2036</v>
      </c>
      <c r="B193" s="247">
        <v>2022</v>
      </c>
      <c r="C193" s="247">
        <v>2023</v>
      </c>
      <c r="D193" s="247">
        <v>2024</v>
      </c>
      <c r="E193" s="247">
        <v>2025</v>
      </c>
      <c r="F193" s="247">
        <v>2026</v>
      </c>
      <c r="G193" s="247">
        <v>2027</v>
      </c>
      <c r="H193" s="247">
        <v>2028</v>
      </c>
      <c r="I193" s="247">
        <v>2029</v>
      </c>
      <c r="J193" s="247">
        <v>2030</v>
      </c>
      <c r="K193" s="247">
        <v>2031</v>
      </c>
      <c r="L193" s="247">
        <v>2032</v>
      </c>
      <c r="M193" s="247">
        <v>2033</v>
      </c>
      <c r="N193" s="247">
        <v>2034</v>
      </c>
      <c r="O193" s="247">
        <v>2035</v>
      </c>
      <c r="P193" s="247">
        <v>2036</v>
      </c>
      <c r="Q193" s="247">
        <v>2037</v>
      </c>
      <c r="R193" s="247">
        <v>2038</v>
      </c>
      <c r="S193" s="247">
        <v>2039</v>
      </c>
      <c r="T193" s="247">
        <v>2040</v>
      </c>
      <c r="U193" s="247">
        <v>2041</v>
      </c>
      <c r="V193" s="247">
        <v>2042</v>
      </c>
    </row>
    <row r="194" spans="1:22" x14ac:dyDescent="0.3">
      <c r="A194" s="244" t="s">
        <v>6</v>
      </c>
      <c r="B194" s="45"/>
      <c r="C194" s="45"/>
      <c r="D194" s="45"/>
      <c r="E194" s="45"/>
      <c r="F194" s="45">
        <f>E182*'Future Plan Assumptions'!$B$101</f>
        <v>0</v>
      </c>
      <c r="G194" s="45">
        <f>F182*'Future Plan Assumptions'!$B$101</f>
        <v>0</v>
      </c>
      <c r="H194" s="45">
        <f>G182*'Future Plan Assumptions'!$B$101</f>
        <v>0</v>
      </c>
      <c r="I194" s="45">
        <f>H182*'Future Plan Assumptions'!$B$101</f>
        <v>0</v>
      </c>
      <c r="J194" s="45">
        <f>I182*'Future Plan Assumptions'!$B$101</f>
        <v>0</v>
      </c>
      <c r="K194" s="45">
        <f>J182*'Future Plan Assumptions'!$B$101</f>
        <v>0</v>
      </c>
      <c r="L194" s="45">
        <f>K182*'Future Plan Assumptions'!$B$101</f>
        <v>0</v>
      </c>
      <c r="M194" s="45">
        <f>L182*'Future Plan Assumptions'!$B$101</f>
        <v>0</v>
      </c>
      <c r="N194" s="45">
        <f>M182*'Future Plan Assumptions'!$B$101</f>
        <v>0</v>
      </c>
      <c r="O194" s="45">
        <f>N182*'Future Plan Assumptions'!$B$101</f>
        <v>0</v>
      </c>
      <c r="P194" s="45">
        <f>O182*'Future Plan Assumptions'!$B$101</f>
        <v>45139746.654625714</v>
      </c>
      <c r="Q194" s="45">
        <f>P182*'Future Plan Assumptions'!$B$101</f>
        <v>0</v>
      </c>
      <c r="R194" s="45">
        <f>Q182*'Future Plan Assumptions'!$B$101</f>
        <v>0</v>
      </c>
      <c r="S194" s="45">
        <f>R182*'Future Plan Assumptions'!$B$101</f>
        <v>0</v>
      </c>
      <c r="T194" s="45">
        <f>S182*'Future Plan Assumptions'!$B$101</f>
        <v>0</v>
      </c>
      <c r="U194" s="45">
        <f>T182*'Future Plan Assumptions'!$B$101</f>
        <v>0</v>
      </c>
      <c r="V194" s="45">
        <f>U182*'Future Plan Assumptions'!$B$101</f>
        <v>0</v>
      </c>
    </row>
    <row r="195" spans="1:22" x14ac:dyDescent="0.3">
      <c r="A195" s="244" t="s">
        <v>12</v>
      </c>
      <c r="B195" s="45"/>
      <c r="C195" s="45"/>
      <c r="D195" s="45"/>
      <c r="E195" s="45"/>
      <c r="F195" s="45">
        <f>E183*'Future Plan Assumptions'!$B$101</f>
        <v>0</v>
      </c>
      <c r="G195" s="45">
        <f>F183*'Future Plan Assumptions'!$B$101</f>
        <v>0</v>
      </c>
      <c r="H195" s="45">
        <f>G183*'Future Plan Assumptions'!$B$101</f>
        <v>0</v>
      </c>
      <c r="I195" s="45">
        <f>H183*'Future Plan Assumptions'!$B$101</f>
        <v>0</v>
      </c>
      <c r="J195" s="45">
        <f>I183*'Future Plan Assumptions'!$B$101</f>
        <v>0</v>
      </c>
      <c r="K195" s="45">
        <f>J183*'Future Plan Assumptions'!$B$101</f>
        <v>0</v>
      </c>
      <c r="L195" s="45">
        <f>K183*'Future Plan Assumptions'!$B$101</f>
        <v>0</v>
      </c>
      <c r="M195" s="45">
        <f>L183*'Future Plan Assumptions'!$B$101</f>
        <v>0</v>
      </c>
      <c r="N195" s="45">
        <f>M183*'Future Plan Assumptions'!$B$101</f>
        <v>0</v>
      </c>
      <c r="O195" s="45">
        <f>N183*'Future Plan Assumptions'!$B$101</f>
        <v>0</v>
      </c>
      <c r="P195" s="45">
        <f>O183*'Future Plan Assumptions'!$B$101</f>
        <v>4843806.321099326</v>
      </c>
      <c r="Q195" s="45">
        <f>P183*'Future Plan Assumptions'!$B$101</f>
        <v>4574705.9699271442</v>
      </c>
      <c r="R195" s="45">
        <f>Q183*'Future Plan Assumptions'!$B$101</f>
        <v>4574705.9699271442</v>
      </c>
      <c r="S195" s="45">
        <f>R183*'Future Plan Assumptions'!$B$101</f>
        <v>4574705.9699271442</v>
      </c>
      <c r="T195" s="45">
        <f>S183*'Future Plan Assumptions'!$B$101</f>
        <v>4574705.9699271442</v>
      </c>
      <c r="U195" s="45">
        <f>T183*'Future Plan Assumptions'!$B$101</f>
        <v>4574705.9699271442</v>
      </c>
      <c r="V195" s="45">
        <f>U183*'Future Plan Assumptions'!$B$101</f>
        <v>4574705.9699271442</v>
      </c>
    </row>
    <row r="196" spans="1:22" x14ac:dyDescent="0.3">
      <c r="A196" s="244" t="s">
        <v>21</v>
      </c>
      <c r="B196" s="45"/>
      <c r="C196" s="45"/>
      <c r="D196" s="45"/>
      <c r="E196" s="45"/>
      <c r="F196" s="45">
        <f>E184*'Future Plan Assumptions'!$B$101</f>
        <v>0</v>
      </c>
      <c r="G196" s="45">
        <f>F184*'Future Plan Assumptions'!$B$101</f>
        <v>0</v>
      </c>
      <c r="H196" s="45">
        <f>G184*'Future Plan Assumptions'!$B$101</f>
        <v>0</v>
      </c>
      <c r="I196" s="45">
        <f>H184*'Future Plan Assumptions'!$B$101</f>
        <v>0</v>
      </c>
      <c r="J196" s="45">
        <f>I184*'Future Plan Assumptions'!$B$101</f>
        <v>0</v>
      </c>
      <c r="K196" s="45">
        <f>J184*'Future Plan Assumptions'!$B$101</f>
        <v>0</v>
      </c>
      <c r="L196" s="45">
        <f>K184*'Future Plan Assumptions'!$B$101</f>
        <v>0</v>
      </c>
      <c r="M196" s="45">
        <f>L184*'Future Plan Assumptions'!$B$101</f>
        <v>0</v>
      </c>
      <c r="N196" s="45">
        <f>M184*'Future Plan Assumptions'!$B$101</f>
        <v>0</v>
      </c>
      <c r="O196" s="45">
        <f>N184*'Future Plan Assumptions'!$B$101</f>
        <v>0</v>
      </c>
      <c r="P196" s="45">
        <f>O184*'Future Plan Assumptions'!$B$101</f>
        <v>0</v>
      </c>
      <c r="Q196" s="45">
        <f>P184*'Future Plan Assumptions'!$B$101</f>
        <v>4160678.6378746163</v>
      </c>
      <c r="R196" s="45">
        <f>Q184*'Future Plan Assumptions'!$B$101</f>
        <v>4139875.2446852443</v>
      </c>
      <c r="S196" s="45">
        <f>R184*'Future Plan Assumptions'!$B$101</f>
        <v>4119175.8684618166</v>
      </c>
      <c r="T196" s="45">
        <f>S184*'Future Plan Assumptions'!$B$101</f>
        <v>4098579.9891195083</v>
      </c>
      <c r="U196" s="45">
        <f>T184*'Future Plan Assumptions'!$B$101</f>
        <v>4078087.0891739093</v>
      </c>
      <c r="V196" s="45">
        <f>U184*'Future Plan Assumptions'!$B$101</f>
        <v>4057696.6537280404</v>
      </c>
    </row>
    <row r="197" spans="1:22" x14ac:dyDescent="0.3">
      <c r="A197" s="244" t="s">
        <v>25</v>
      </c>
      <c r="B197" s="45"/>
      <c r="C197" s="45"/>
      <c r="D197" s="45"/>
      <c r="E197" s="45"/>
      <c r="F197" s="45">
        <f>E185*'Future Plan Assumptions'!$B$101</f>
        <v>0</v>
      </c>
      <c r="G197" s="45">
        <f>F185*'Future Plan Assumptions'!$B$101</f>
        <v>0</v>
      </c>
      <c r="H197" s="45">
        <f>G185*'Future Plan Assumptions'!$B$101</f>
        <v>0</v>
      </c>
      <c r="I197" s="45">
        <f>H185*'Future Plan Assumptions'!$B$101</f>
        <v>0</v>
      </c>
      <c r="J197" s="45">
        <f>I185*'Future Plan Assumptions'!$B$101</f>
        <v>0</v>
      </c>
      <c r="K197" s="45">
        <f>J185*'Future Plan Assumptions'!$B$101</f>
        <v>0</v>
      </c>
      <c r="L197" s="45">
        <f>K185*'Future Plan Assumptions'!$B$101</f>
        <v>0</v>
      </c>
      <c r="M197" s="45">
        <f>L185*'Future Plan Assumptions'!$B$101</f>
        <v>0</v>
      </c>
      <c r="N197" s="45">
        <f>M185*'Future Plan Assumptions'!$B$101</f>
        <v>0</v>
      </c>
      <c r="O197" s="45">
        <f>N185*'Future Plan Assumptions'!$B$101</f>
        <v>0</v>
      </c>
      <c r="P197" s="45">
        <f>O185*'Future Plan Assumptions'!$B$101</f>
        <v>2351334.9473938565</v>
      </c>
      <c r="Q197" s="45">
        <f>P185*'Future Plan Assumptions'!$B$101</f>
        <v>2339578.2726568868</v>
      </c>
      <c r="R197" s="45">
        <f>Q185*'Future Plan Assumptions'!$B$101</f>
        <v>2327880.3812936032</v>
      </c>
      <c r="S197" s="45">
        <f>R185*'Future Plan Assumptions'!$B$101</f>
        <v>2316240.9793871348</v>
      </c>
      <c r="T197" s="45">
        <f>S185*'Future Plan Assumptions'!$B$101</f>
        <v>2304659.7744902</v>
      </c>
      <c r="U197" s="45">
        <f>T185*'Future Plan Assumptions'!$B$101</f>
        <v>2293136.4756177487</v>
      </c>
      <c r="V197" s="45">
        <f>U185*'Future Plan Assumptions'!$B$101</f>
        <v>2281670.7932396601</v>
      </c>
    </row>
    <row r="198" spans="1:22" x14ac:dyDescent="0.3">
      <c r="A198" s="244" t="s">
        <v>29</v>
      </c>
      <c r="B198" s="45"/>
      <c r="C198" s="45"/>
      <c r="D198" s="45"/>
      <c r="E198" s="45"/>
      <c r="F198" s="45">
        <f>E186*'Future Plan Assumptions'!$B$101</f>
        <v>0</v>
      </c>
      <c r="G198" s="45">
        <f>F186*'Future Plan Assumptions'!$B$101</f>
        <v>0</v>
      </c>
      <c r="H198" s="45">
        <f>G186*'Future Plan Assumptions'!$B$101</f>
        <v>0</v>
      </c>
      <c r="I198" s="45">
        <f>H186*'Future Plan Assumptions'!$B$101</f>
        <v>0</v>
      </c>
      <c r="J198" s="45">
        <f>I186*'Future Plan Assumptions'!$B$101</f>
        <v>0</v>
      </c>
      <c r="K198" s="45">
        <f>J186*'Future Plan Assumptions'!$B$101</f>
        <v>0</v>
      </c>
      <c r="L198" s="45">
        <f>K186*'Future Plan Assumptions'!$B$101</f>
        <v>0</v>
      </c>
      <c r="M198" s="45">
        <f>L186*'Future Plan Assumptions'!$B$101</f>
        <v>0</v>
      </c>
      <c r="N198" s="45">
        <f>M186*'Future Plan Assumptions'!$B$101</f>
        <v>0</v>
      </c>
      <c r="O198" s="45">
        <f>N186*'Future Plan Assumptions'!$B$101</f>
        <v>0</v>
      </c>
      <c r="P198" s="45">
        <f>O186*'Future Plan Assumptions'!$B$101</f>
        <v>0</v>
      </c>
      <c r="Q198" s="45">
        <f>P186*'Future Plan Assumptions'!$B$101</f>
        <v>1903083.1832459157</v>
      </c>
      <c r="R198" s="45">
        <f>Q186*'Future Plan Assumptions'!$B$101</f>
        <v>1797356.3397322532</v>
      </c>
      <c r="S198" s="45">
        <f>R186*'Future Plan Assumptions'!$B$101</f>
        <v>1797356.3397322532</v>
      </c>
      <c r="T198" s="45">
        <f>S186*'Future Plan Assumptions'!$B$101</f>
        <v>1797356.3397322532</v>
      </c>
      <c r="U198" s="45">
        <f>T186*'Future Plan Assumptions'!$B$101</f>
        <v>1797356.3397322532</v>
      </c>
      <c r="V198" s="45">
        <f>U186*'Future Plan Assumptions'!$B$101</f>
        <v>1797356.3397322532</v>
      </c>
    </row>
    <row r="199" spans="1:22" x14ac:dyDescent="0.3">
      <c r="A199" s="244" t="s">
        <v>33</v>
      </c>
      <c r="B199" s="45"/>
      <c r="C199" s="45"/>
      <c r="D199" s="45"/>
      <c r="E199" s="45"/>
      <c r="F199" s="45">
        <f>E187*'Future Plan Assumptions'!$B$101</f>
        <v>0</v>
      </c>
      <c r="G199" s="45">
        <f>F187*'Future Plan Assumptions'!$B$101</f>
        <v>0</v>
      </c>
      <c r="H199" s="45">
        <f>G187*'Future Plan Assumptions'!$B$101</f>
        <v>0</v>
      </c>
      <c r="I199" s="45">
        <f>H187*'Future Plan Assumptions'!$B$101</f>
        <v>0</v>
      </c>
      <c r="J199" s="45">
        <f>I187*'Future Plan Assumptions'!$B$101</f>
        <v>0</v>
      </c>
      <c r="K199" s="45">
        <f>J187*'Future Plan Assumptions'!$B$101</f>
        <v>0</v>
      </c>
      <c r="L199" s="45">
        <f>K187*'Future Plan Assumptions'!$B$101</f>
        <v>0</v>
      </c>
      <c r="M199" s="45">
        <f>L187*'Future Plan Assumptions'!$B$101</f>
        <v>0</v>
      </c>
      <c r="N199" s="45">
        <f>M187*'Future Plan Assumptions'!$B$101</f>
        <v>0</v>
      </c>
      <c r="O199" s="45">
        <f>N187*'Future Plan Assumptions'!$B$101</f>
        <v>0</v>
      </c>
      <c r="P199" s="45">
        <f>O187*'Future Plan Assumptions'!$B$101</f>
        <v>2421903.160549663</v>
      </c>
      <c r="Q199" s="45">
        <f>P187*'Future Plan Assumptions'!$B$101</f>
        <v>2287352.9849635721</v>
      </c>
      <c r="R199" s="45">
        <f>Q187*'Future Plan Assumptions'!$B$101</f>
        <v>2287352.9849635721</v>
      </c>
      <c r="S199" s="45">
        <f>R187*'Future Plan Assumptions'!$B$101</f>
        <v>2287352.9849635721</v>
      </c>
      <c r="T199" s="45">
        <f>S187*'Future Plan Assumptions'!$B$101</f>
        <v>2287352.9849635721</v>
      </c>
      <c r="U199" s="45">
        <f>T187*'Future Plan Assumptions'!$B$101</f>
        <v>2287352.9849635721</v>
      </c>
      <c r="V199" s="45">
        <f>U187*'Future Plan Assumptions'!$B$101</f>
        <v>2287352.9849635721</v>
      </c>
    </row>
    <row r="200" spans="1:22" x14ac:dyDescent="0.3">
      <c r="A200" s="244" t="s">
        <v>40</v>
      </c>
      <c r="B200" s="45"/>
      <c r="C200" s="45"/>
      <c r="D200" s="45"/>
      <c r="E200" s="45"/>
      <c r="F200" s="45">
        <f>E188*'Future Plan Assumptions'!$B$101</f>
        <v>0</v>
      </c>
      <c r="G200" s="45">
        <f>F188*'Future Plan Assumptions'!$B$101</f>
        <v>0</v>
      </c>
      <c r="H200" s="45">
        <f>G188*'Future Plan Assumptions'!$B$101</f>
        <v>0</v>
      </c>
      <c r="I200" s="45">
        <f>H188*'Future Plan Assumptions'!$B$101</f>
        <v>0</v>
      </c>
      <c r="J200" s="45">
        <f>I188*'Future Plan Assumptions'!$B$101</f>
        <v>0</v>
      </c>
      <c r="K200" s="45">
        <f>J188*'Future Plan Assumptions'!$B$101</f>
        <v>0</v>
      </c>
      <c r="L200" s="45">
        <f>K188*'Future Plan Assumptions'!$B$101</f>
        <v>0</v>
      </c>
      <c r="M200" s="45">
        <f>L188*'Future Plan Assumptions'!$B$101</f>
        <v>0</v>
      </c>
      <c r="N200" s="45">
        <f>M188*'Future Plan Assumptions'!$B$101</f>
        <v>0</v>
      </c>
      <c r="O200" s="45">
        <f>N188*'Future Plan Assumptions'!$B$101</f>
        <v>0</v>
      </c>
      <c r="P200" s="45">
        <f>O188*'Future Plan Assumptions'!$S$93+O188</f>
        <v>0</v>
      </c>
      <c r="Q200" s="45">
        <f>P188*'Future Plan Assumptions'!$S$93+P188</f>
        <v>0</v>
      </c>
      <c r="R200" s="45">
        <f>Q188*'Future Plan Assumptions'!$S$93+Q188</f>
        <v>0</v>
      </c>
      <c r="S200" s="251">
        <f>'Total REC Delivery Activities'!S196*'Indexed REC Price Calculator'!T21</f>
        <v>-1217636.0385407391</v>
      </c>
      <c r="T200" s="251">
        <f>'Total REC Delivery Activities'!T196*'Indexed REC Price Calculator'!U21</f>
        <v>-2915428.7593115489</v>
      </c>
      <c r="U200" s="251">
        <f>'Total REC Delivery Activities'!U196*'Indexed REC Price Calculator'!V21</f>
        <v>-4647177.3344977759</v>
      </c>
      <c r="V200" s="251">
        <f>'Total REC Delivery Activities'!V196*'Indexed REC Price Calculator'!W21</f>
        <v>-6413560.8811877277</v>
      </c>
    </row>
    <row r="201" spans="1:22" x14ac:dyDescent="0.3">
      <c r="A201" s="244" t="s">
        <v>41</v>
      </c>
      <c r="B201" s="45"/>
      <c r="C201" s="45"/>
      <c r="D201" s="45"/>
      <c r="E201" s="45"/>
      <c r="F201" s="45">
        <f>E189*'Future Plan Assumptions'!$B$101</f>
        <v>0</v>
      </c>
      <c r="G201" s="45">
        <f>F189*'Future Plan Assumptions'!$B$101</f>
        <v>0</v>
      </c>
      <c r="H201" s="45">
        <f>G189*'Future Plan Assumptions'!$B$101</f>
        <v>0</v>
      </c>
      <c r="I201" s="45">
        <f>H189*'Future Plan Assumptions'!$B$101</f>
        <v>0</v>
      </c>
      <c r="J201" s="45">
        <f>I189*'Future Plan Assumptions'!$B$101</f>
        <v>0</v>
      </c>
      <c r="K201" s="45">
        <f>J189*'Future Plan Assumptions'!$B$101</f>
        <v>0</v>
      </c>
      <c r="L201" s="45">
        <f>K189*'Future Plan Assumptions'!$B$101</f>
        <v>0</v>
      </c>
      <c r="M201" s="45">
        <f>L189*'Future Plan Assumptions'!$B$101</f>
        <v>0</v>
      </c>
      <c r="N201" s="45">
        <f>M189*'Future Plan Assumptions'!$B$101</f>
        <v>0</v>
      </c>
      <c r="O201" s="45">
        <f>N189*'Future Plan Assumptions'!$B$101</f>
        <v>0</v>
      </c>
      <c r="P201" s="45">
        <f>O189*'Future Plan Assumptions'!$S$93+O189</f>
        <v>0</v>
      </c>
      <c r="Q201" s="45">
        <f>P189*'Future Plan Assumptions'!$S$93+P189</f>
        <v>0</v>
      </c>
      <c r="R201" s="45">
        <f>Q189*'Future Plan Assumptions'!$S$93+Q189</f>
        <v>0</v>
      </c>
      <c r="S201" s="251">
        <f>'Total REC Delivery Activities'!S197*'Indexed REC Price Calculator'!T48</f>
        <v>11608291.169167401</v>
      </c>
      <c r="T201" s="251">
        <f>'Total REC Delivery Activities'!T197*'Indexed REC Price Calculator'!U48</f>
        <v>10250056.992550753</v>
      </c>
      <c r="U201" s="251">
        <f>'Total REC Delivery Activities'!U197*'Indexed REC Price Calculator'!V48</f>
        <v>8864658.1324017718</v>
      </c>
      <c r="V201" s="251">
        <f>'Total REC Delivery Activities'!V197*'Indexed REC Price Calculator'!W48</f>
        <v>7451551.2950498108</v>
      </c>
    </row>
    <row r="202" spans="1:22" x14ac:dyDescent="0.3">
      <c r="A202" s="244" t="s">
        <v>42</v>
      </c>
      <c r="B202" s="45"/>
      <c r="C202" s="45"/>
      <c r="D202" s="45"/>
      <c r="E202" s="45"/>
      <c r="F202" s="45">
        <f>E190*'Future Plan Assumptions'!$B$101</f>
        <v>0</v>
      </c>
      <c r="G202" s="45">
        <f>F190*'Future Plan Assumptions'!$B$101</f>
        <v>0</v>
      </c>
      <c r="H202" s="45">
        <f>G190*'Future Plan Assumptions'!$B$101</f>
        <v>0</v>
      </c>
      <c r="I202" s="45">
        <f>H190*'Future Plan Assumptions'!$B$101</f>
        <v>0</v>
      </c>
      <c r="J202" s="45">
        <f>I190*'Future Plan Assumptions'!$B$101</f>
        <v>0</v>
      </c>
      <c r="K202" s="45">
        <f>J190*'Future Plan Assumptions'!$B$101</f>
        <v>0</v>
      </c>
      <c r="L202" s="45">
        <f>K190*'Future Plan Assumptions'!$B$101</f>
        <v>0</v>
      </c>
      <c r="M202" s="45">
        <f>L190*'Future Plan Assumptions'!$B$101</f>
        <v>0</v>
      </c>
      <c r="N202" s="45">
        <f>M190*'Future Plan Assumptions'!$B$101</f>
        <v>0</v>
      </c>
      <c r="O202" s="45">
        <f>N190*'Future Plan Assumptions'!$B$101</f>
        <v>0</v>
      </c>
      <c r="P202" s="45">
        <f>O190*'Future Plan Assumptions'!$S$93+O190</f>
        <v>0</v>
      </c>
      <c r="Q202" s="45">
        <f>P190*'Future Plan Assumptions'!$S$93+P190</f>
        <v>0</v>
      </c>
      <c r="R202" s="45">
        <f>Q190*'Future Plan Assumptions'!$S$93+Q190</f>
        <v>0</v>
      </c>
      <c r="S202" s="251">
        <f>'Total REC Delivery Activities'!S198*'Indexed REC Price Calculator'!T75</f>
        <v>3163118.1980729634</v>
      </c>
      <c r="T202" s="251">
        <f>'Total REC Delivery Activities'!T198*'Indexed REC Price Calculator'!U75</f>
        <v>3078228.5620344225</v>
      </c>
      <c r="U202" s="251">
        <f>'Total REC Delivery Activities'!U198*'Indexed REC Price Calculator'!V75</f>
        <v>2991641.1332751112</v>
      </c>
      <c r="V202" s="251">
        <f>'Total REC Delivery Activities'!V198*'Indexed REC Price Calculator'!W75</f>
        <v>2903321.955940614</v>
      </c>
    </row>
    <row r="203" spans="1:22" x14ac:dyDescent="0.3">
      <c r="A203" s="245" t="s">
        <v>233</v>
      </c>
      <c r="B203" s="24">
        <f t="shared" ref="B203:V203" si="22">SUM(B194:B202)</f>
        <v>0</v>
      </c>
      <c r="C203" s="24">
        <f t="shared" si="22"/>
        <v>0</v>
      </c>
      <c r="D203" s="24">
        <f t="shared" si="22"/>
        <v>0</v>
      </c>
      <c r="E203" s="24">
        <f t="shared" si="22"/>
        <v>0</v>
      </c>
      <c r="F203" s="24">
        <f t="shared" si="22"/>
        <v>0</v>
      </c>
      <c r="G203" s="24">
        <f t="shared" si="22"/>
        <v>0</v>
      </c>
      <c r="H203" s="24">
        <f t="shared" si="22"/>
        <v>0</v>
      </c>
      <c r="I203" s="24">
        <f t="shared" si="22"/>
        <v>0</v>
      </c>
      <c r="J203" s="24">
        <f t="shared" si="22"/>
        <v>0</v>
      </c>
      <c r="K203" s="24">
        <f t="shared" si="22"/>
        <v>0</v>
      </c>
      <c r="L203" s="24">
        <f t="shared" si="22"/>
        <v>0</v>
      </c>
      <c r="M203" s="24">
        <f t="shared" si="22"/>
        <v>0</v>
      </c>
      <c r="N203" s="24">
        <f t="shared" si="22"/>
        <v>0</v>
      </c>
      <c r="O203" s="24">
        <f t="shared" si="22"/>
        <v>0</v>
      </c>
      <c r="P203" s="24">
        <f t="shared" si="22"/>
        <v>54756791.08366856</v>
      </c>
      <c r="Q203" s="24">
        <f t="shared" si="22"/>
        <v>15265399.048668137</v>
      </c>
      <c r="R203" s="24">
        <f t="shared" si="22"/>
        <v>15127170.920601819</v>
      </c>
      <c r="S203" s="24">
        <f t="shared" si="22"/>
        <v>28648605.471171543</v>
      </c>
      <c r="T203" s="24">
        <f t="shared" si="22"/>
        <v>25475511.853506304</v>
      </c>
      <c r="U203" s="24">
        <f t="shared" si="22"/>
        <v>22239760.790593732</v>
      </c>
      <c r="V203" s="24">
        <f t="shared" si="22"/>
        <v>18940095.11139337</v>
      </c>
    </row>
    <row r="205" spans="1:22" ht="15.6" x14ac:dyDescent="0.3">
      <c r="A205" s="248">
        <v>2037</v>
      </c>
      <c r="B205" s="247">
        <v>2022</v>
      </c>
      <c r="C205" s="247">
        <v>2023</v>
      </c>
      <c r="D205" s="247">
        <v>2024</v>
      </c>
      <c r="E205" s="247">
        <v>2025</v>
      </c>
      <c r="F205" s="247">
        <v>2026</v>
      </c>
      <c r="G205" s="247">
        <v>2027</v>
      </c>
      <c r="H205" s="247">
        <v>2028</v>
      </c>
      <c r="I205" s="247">
        <v>2029</v>
      </c>
      <c r="J205" s="247">
        <v>2030</v>
      </c>
      <c r="K205" s="247">
        <v>2031</v>
      </c>
      <c r="L205" s="247">
        <v>2032</v>
      </c>
      <c r="M205" s="247">
        <v>2033</v>
      </c>
      <c r="N205" s="247">
        <v>2034</v>
      </c>
      <c r="O205" s="247">
        <v>2035</v>
      </c>
      <c r="P205" s="247">
        <v>2036</v>
      </c>
      <c r="Q205" s="247">
        <v>2037</v>
      </c>
      <c r="R205" s="247">
        <v>2038</v>
      </c>
      <c r="S205" s="247">
        <v>2039</v>
      </c>
      <c r="T205" s="247">
        <v>2040</v>
      </c>
      <c r="U205" s="247">
        <v>2041</v>
      </c>
      <c r="V205" s="247">
        <v>2042</v>
      </c>
    </row>
    <row r="206" spans="1:22" x14ac:dyDescent="0.3">
      <c r="A206" s="244" t="s">
        <v>6</v>
      </c>
      <c r="B206" s="45"/>
      <c r="C206" s="45"/>
      <c r="D206" s="45"/>
      <c r="E206" s="45"/>
      <c r="F206" s="45"/>
      <c r="G206" s="45">
        <f>F194*'Future Plan Assumptions'!$B$101</f>
        <v>0</v>
      </c>
      <c r="H206" s="45">
        <f>G194*'Future Plan Assumptions'!$B$101</f>
        <v>0</v>
      </c>
      <c r="I206" s="45">
        <f>H194*'Future Plan Assumptions'!$B$101</f>
        <v>0</v>
      </c>
      <c r="J206" s="45">
        <f>I194*'Future Plan Assumptions'!$B$101</f>
        <v>0</v>
      </c>
      <c r="K206" s="45">
        <f>J194*'Future Plan Assumptions'!$B$101</f>
        <v>0</v>
      </c>
      <c r="L206" s="45">
        <f>K194*'Future Plan Assumptions'!$B$101</f>
        <v>0</v>
      </c>
      <c r="M206" s="45">
        <f>L194*'Future Plan Assumptions'!$B$101</f>
        <v>0</v>
      </c>
      <c r="N206" s="45">
        <f>M194*'Future Plan Assumptions'!$B$101</f>
        <v>0</v>
      </c>
      <c r="O206" s="45">
        <f>N194*'Future Plan Assumptions'!$B$101</f>
        <v>0</v>
      </c>
      <c r="P206" s="45">
        <f>O194*'Future Plan Assumptions'!$B$101</f>
        <v>0</v>
      </c>
      <c r="Q206" s="45">
        <f>P194*'Future Plan Assumptions'!$B$101</f>
        <v>43334156.788440682</v>
      </c>
      <c r="R206" s="45">
        <f>Q194*'Future Plan Assumptions'!$B$101</f>
        <v>0</v>
      </c>
      <c r="S206" s="45">
        <f>R194*'Future Plan Assumptions'!$B$101</f>
        <v>0</v>
      </c>
      <c r="T206" s="45">
        <f>S194*'Future Plan Assumptions'!$B$101</f>
        <v>0</v>
      </c>
      <c r="U206" s="45">
        <f>T194*'Future Plan Assumptions'!$B$101</f>
        <v>0</v>
      </c>
      <c r="V206" s="45">
        <f>U194*'Future Plan Assumptions'!$B$101</f>
        <v>0</v>
      </c>
    </row>
    <row r="207" spans="1:22" x14ac:dyDescent="0.3">
      <c r="A207" s="244" t="s">
        <v>12</v>
      </c>
      <c r="B207" s="45"/>
      <c r="C207" s="45"/>
      <c r="D207" s="45"/>
      <c r="E207" s="45"/>
      <c r="F207" s="45"/>
      <c r="G207" s="45">
        <f>F195*'Future Plan Assumptions'!$B$101</f>
        <v>0</v>
      </c>
      <c r="H207" s="45">
        <f>G195*'Future Plan Assumptions'!$B$101</f>
        <v>0</v>
      </c>
      <c r="I207" s="45">
        <f>H195*'Future Plan Assumptions'!$B$101</f>
        <v>0</v>
      </c>
      <c r="J207" s="45">
        <f>I195*'Future Plan Assumptions'!$B$101</f>
        <v>0</v>
      </c>
      <c r="K207" s="45">
        <f>J195*'Future Plan Assumptions'!$B$101</f>
        <v>0</v>
      </c>
      <c r="L207" s="45">
        <f>K195*'Future Plan Assumptions'!$B$101</f>
        <v>0</v>
      </c>
      <c r="M207" s="45">
        <f>L195*'Future Plan Assumptions'!$B$101</f>
        <v>0</v>
      </c>
      <c r="N207" s="45">
        <f>M195*'Future Plan Assumptions'!$B$101</f>
        <v>0</v>
      </c>
      <c r="O207" s="45">
        <f>N195*'Future Plan Assumptions'!$B$101</f>
        <v>0</v>
      </c>
      <c r="P207" s="45">
        <f>O195*'Future Plan Assumptions'!$B$101</f>
        <v>0</v>
      </c>
      <c r="Q207" s="45">
        <f>P195*'Future Plan Assumptions'!$B$101</f>
        <v>4650054.0682553528</v>
      </c>
      <c r="R207" s="45">
        <f>Q195*'Future Plan Assumptions'!$B$101</f>
        <v>4391717.7311300579</v>
      </c>
      <c r="S207" s="45">
        <f>R195*'Future Plan Assumptions'!$B$101</f>
        <v>4391717.7311300579</v>
      </c>
      <c r="T207" s="45">
        <f>S195*'Future Plan Assumptions'!$B$101</f>
        <v>4391717.7311300579</v>
      </c>
      <c r="U207" s="45">
        <f>T195*'Future Plan Assumptions'!$B$101</f>
        <v>4391717.7311300579</v>
      </c>
      <c r="V207" s="45">
        <f>U195*'Future Plan Assumptions'!$B$101</f>
        <v>4391717.7311300579</v>
      </c>
    </row>
    <row r="208" spans="1:22" x14ac:dyDescent="0.3">
      <c r="A208" s="244" t="s">
        <v>21</v>
      </c>
      <c r="B208" s="45"/>
      <c r="C208" s="45"/>
      <c r="D208" s="45"/>
      <c r="E208" s="45"/>
      <c r="F208" s="45"/>
      <c r="G208" s="45">
        <f>F196*'Future Plan Assumptions'!$B$101</f>
        <v>0</v>
      </c>
      <c r="H208" s="45">
        <f>G196*'Future Plan Assumptions'!$B$101</f>
        <v>0</v>
      </c>
      <c r="I208" s="45">
        <f>H196*'Future Plan Assumptions'!$B$101</f>
        <v>0</v>
      </c>
      <c r="J208" s="45">
        <f>I196*'Future Plan Assumptions'!$B$101</f>
        <v>0</v>
      </c>
      <c r="K208" s="45">
        <f>J196*'Future Plan Assumptions'!$B$101</f>
        <v>0</v>
      </c>
      <c r="L208" s="45">
        <f>K196*'Future Plan Assumptions'!$B$101</f>
        <v>0</v>
      </c>
      <c r="M208" s="45">
        <f>L196*'Future Plan Assumptions'!$B$101</f>
        <v>0</v>
      </c>
      <c r="N208" s="45">
        <f>M196*'Future Plan Assumptions'!$B$101</f>
        <v>0</v>
      </c>
      <c r="O208" s="45">
        <f>N196*'Future Plan Assumptions'!$B$101</f>
        <v>0</v>
      </c>
      <c r="P208" s="45">
        <f>O196*'Future Plan Assumptions'!$B$101</f>
        <v>0</v>
      </c>
      <c r="Q208" s="45">
        <f>P196*'Future Plan Assumptions'!$B$101</f>
        <v>0</v>
      </c>
      <c r="R208" s="45">
        <f>Q196*'Future Plan Assumptions'!$B$101</f>
        <v>3994251.4923596317</v>
      </c>
      <c r="S208" s="45">
        <f>R196*'Future Plan Assumptions'!$B$101</f>
        <v>3974280.2348978342</v>
      </c>
      <c r="T208" s="45">
        <f>S196*'Future Plan Assumptions'!$B$101</f>
        <v>3954408.8337233439</v>
      </c>
      <c r="U208" s="45">
        <f>T196*'Future Plan Assumptions'!$B$101</f>
        <v>3934636.7895547277</v>
      </c>
      <c r="V208" s="45">
        <f>U196*'Future Plan Assumptions'!$B$101</f>
        <v>3914963.6056069527</v>
      </c>
    </row>
    <row r="209" spans="1:22" x14ac:dyDescent="0.3">
      <c r="A209" s="244" t="s">
        <v>25</v>
      </c>
      <c r="B209" s="45"/>
      <c r="C209" s="45"/>
      <c r="D209" s="45"/>
      <c r="E209" s="45"/>
      <c r="F209" s="45"/>
      <c r="G209" s="45">
        <f>F197*'Future Plan Assumptions'!$B$101</f>
        <v>0</v>
      </c>
      <c r="H209" s="45">
        <f>G197*'Future Plan Assumptions'!$B$101</f>
        <v>0</v>
      </c>
      <c r="I209" s="45">
        <f>H197*'Future Plan Assumptions'!$B$101</f>
        <v>0</v>
      </c>
      <c r="J209" s="45">
        <f>I197*'Future Plan Assumptions'!$B$101</f>
        <v>0</v>
      </c>
      <c r="K209" s="45">
        <f>J197*'Future Plan Assumptions'!$B$101</f>
        <v>0</v>
      </c>
      <c r="L209" s="45">
        <f>K197*'Future Plan Assumptions'!$B$101</f>
        <v>0</v>
      </c>
      <c r="M209" s="45">
        <f>L197*'Future Plan Assumptions'!$B$101</f>
        <v>0</v>
      </c>
      <c r="N209" s="45">
        <f>M197*'Future Plan Assumptions'!$B$101</f>
        <v>0</v>
      </c>
      <c r="O209" s="45">
        <f>N197*'Future Plan Assumptions'!$B$101</f>
        <v>0</v>
      </c>
      <c r="P209" s="45">
        <f>O197*'Future Plan Assumptions'!$B$101</f>
        <v>0</v>
      </c>
      <c r="Q209" s="45">
        <f>P197*'Future Plan Assumptions'!$B$101</f>
        <v>2257281.5494981022</v>
      </c>
      <c r="R209" s="45">
        <f>Q197*'Future Plan Assumptions'!$B$101</f>
        <v>2245995.1417506114</v>
      </c>
      <c r="S209" s="45">
        <f>R197*'Future Plan Assumptions'!$B$101</f>
        <v>2234765.166041859</v>
      </c>
      <c r="T209" s="45">
        <f>S197*'Future Plan Assumptions'!$B$101</f>
        <v>2223591.3402116494</v>
      </c>
      <c r="U209" s="45">
        <f>T197*'Future Plan Assumptions'!$B$101</f>
        <v>2212473.3835105919</v>
      </c>
      <c r="V209" s="45">
        <f>U197*'Future Plan Assumptions'!$B$101</f>
        <v>2201411.0165930386</v>
      </c>
    </row>
    <row r="210" spans="1:22" x14ac:dyDescent="0.3">
      <c r="A210" s="244" t="s">
        <v>29</v>
      </c>
      <c r="B210" s="45"/>
      <c r="C210" s="45"/>
      <c r="D210" s="45"/>
      <c r="E210" s="45"/>
      <c r="F210" s="45"/>
      <c r="G210" s="45">
        <f>F198*'Future Plan Assumptions'!$B$101</f>
        <v>0</v>
      </c>
      <c r="H210" s="45">
        <f>G198*'Future Plan Assumptions'!$B$101</f>
        <v>0</v>
      </c>
      <c r="I210" s="45">
        <f>H198*'Future Plan Assumptions'!$B$101</f>
        <v>0</v>
      </c>
      <c r="J210" s="45">
        <f>I198*'Future Plan Assumptions'!$B$101</f>
        <v>0</v>
      </c>
      <c r="K210" s="45">
        <f>J198*'Future Plan Assumptions'!$B$101</f>
        <v>0</v>
      </c>
      <c r="L210" s="45">
        <f>K198*'Future Plan Assumptions'!$B$101</f>
        <v>0</v>
      </c>
      <c r="M210" s="45">
        <f>L198*'Future Plan Assumptions'!$B$101</f>
        <v>0</v>
      </c>
      <c r="N210" s="45">
        <f>M198*'Future Plan Assumptions'!$B$101</f>
        <v>0</v>
      </c>
      <c r="O210" s="45">
        <f>N198*'Future Plan Assumptions'!$B$101</f>
        <v>0</v>
      </c>
      <c r="P210" s="45">
        <f>O198*'Future Plan Assumptions'!$B$101</f>
        <v>0</v>
      </c>
      <c r="Q210" s="45">
        <f>P198*'Future Plan Assumptions'!$B$101</f>
        <v>0</v>
      </c>
      <c r="R210" s="45">
        <f>Q198*'Future Plan Assumptions'!$B$101</f>
        <v>1826959.8559160789</v>
      </c>
      <c r="S210" s="45">
        <f>R198*'Future Plan Assumptions'!$B$101</f>
        <v>1725462.086142963</v>
      </c>
      <c r="T210" s="45">
        <f>S198*'Future Plan Assumptions'!$B$101</f>
        <v>1725462.086142963</v>
      </c>
      <c r="U210" s="45">
        <f>T198*'Future Plan Assumptions'!$B$101</f>
        <v>1725462.086142963</v>
      </c>
      <c r="V210" s="45">
        <f>U198*'Future Plan Assumptions'!$B$101</f>
        <v>1725462.086142963</v>
      </c>
    </row>
    <row r="211" spans="1:22" x14ac:dyDescent="0.3">
      <c r="A211" s="244" t="s">
        <v>33</v>
      </c>
      <c r="B211" s="45"/>
      <c r="C211" s="45"/>
      <c r="D211" s="45"/>
      <c r="E211" s="45"/>
      <c r="F211" s="45"/>
      <c r="G211" s="45">
        <f>F199*'Future Plan Assumptions'!$B$101</f>
        <v>0</v>
      </c>
      <c r="H211" s="45">
        <f>G199*'Future Plan Assumptions'!$B$101</f>
        <v>0</v>
      </c>
      <c r="I211" s="45">
        <f>H199*'Future Plan Assumptions'!$B$101</f>
        <v>0</v>
      </c>
      <c r="J211" s="45">
        <f>I199*'Future Plan Assumptions'!$B$101</f>
        <v>0</v>
      </c>
      <c r="K211" s="45">
        <f>J199*'Future Plan Assumptions'!$B$101</f>
        <v>0</v>
      </c>
      <c r="L211" s="45">
        <f>K199*'Future Plan Assumptions'!$B$101</f>
        <v>0</v>
      </c>
      <c r="M211" s="45">
        <f>L199*'Future Plan Assumptions'!$B$101</f>
        <v>0</v>
      </c>
      <c r="N211" s="45">
        <f>M199*'Future Plan Assumptions'!$B$101</f>
        <v>0</v>
      </c>
      <c r="O211" s="45">
        <f>N199*'Future Plan Assumptions'!$B$101</f>
        <v>0</v>
      </c>
      <c r="P211" s="45">
        <f>O199*'Future Plan Assumptions'!$B$101</f>
        <v>0</v>
      </c>
      <c r="Q211" s="45">
        <f>P199*'Future Plan Assumptions'!$B$101</f>
        <v>2325027.0341276764</v>
      </c>
      <c r="R211" s="45">
        <f>Q199*'Future Plan Assumptions'!$B$101</f>
        <v>2195858.865565029</v>
      </c>
      <c r="S211" s="45">
        <f>R199*'Future Plan Assumptions'!$B$101</f>
        <v>2195858.865565029</v>
      </c>
      <c r="T211" s="45">
        <f>S199*'Future Plan Assumptions'!$B$101</f>
        <v>2195858.865565029</v>
      </c>
      <c r="U211" s="45">
        <f>T199*'Future Plan Assumptions'!$B$101</f>
        <v>2195858.865565029</v>
      </c>
      <c r="V211" s="45">
        <f>U199*'Future Plan Assumptions'!$B$101</f>
        <v>2195858.865565029</v>
      </c>
    </row>
    <row r="212" spans="1:22" x14ac:dyDescent="0.3">
      <c r="A212" s="244" t="s">
        <v>40</v>
      </c>
      <c r="B212" s="45"/>
      <c r="C212" s="45"/>
      <c r="D212" s="45"/>
      <c r="E212" s="45"/>
      <c r="F212" s="45"/>
      <c r="G212" s="45">
        <f>F200*'Future Plan Assumptions'!$B$101</f>
        <v>0</v>
      </c>
      <c r="H212" s="45">
        <f>G200*'Future Plan Assumptions'!$B$101</f>
        <v>0</v>
      </c>
      <c r="I212" s="45">
        <f>H200*'Future Plan Assumptions'!$B$101</f>
        <v>0</v>
      </c>
      <c r="J212" s="45">
        <f>I200*'Future Plan Assumptions'!$B$101</f>
        <v>0</v>
      </c>
      <c r="K212" s="45">
        <f>J200*'Future Plan Assumptions'!$B$101</f>
        <v>0</v>
      </c>
      <c r="L212" s="45">
        <f>K200*'Future Plan Assumptions'!$B$101</f>
        <v>0</v>
      </c>
      <c r="M212" s="45">
        <f>L200*'Future Plan Assumptions'!$B$101</f>
        <v>0</v>
      </c>
      <c r="N212" s="45">
        <f>M200*'Future Plan Assumptions'!$B$101</f>
        <v>0</v>
      </c>
      <c r="O212" s="45">
        <f>N200*'Future Plan Assumptions'!$B$101</f>
        <v>0</v>
      </c>
      <c r="P212" s="45">
        <f>O200*'Future Plan Assumptions'!$B$101</f>
        <v>0</v>
      </c>
      <c r="Q212" s="45">
        <f>P200*'Future Plan Assumptions'!$S$93+P200</f>
        <v>0</v>
      </c>
      <c r="R212" s="45">
        <f>Q200*'Future Plan Assumptions'!$S$93+Q200</f>
        <v>0</v>
      </c>
      <c r="S212" s="45">
        <f>R200*'Future Plan Assumptions'!$S$93+R200</f>
        <v>0</v>
      </c>
      <c r="T212" s="251">
        <f>'Total REC Delivery Activities'!T208*'Indexed REC Price Calculator'!U22</f>
        <v>-1608053.7593115452</v>
      </c>
      <c r="U212" s="251">
        <f>'Total REC Delivery Activities'!U208*'Indexed REC Price Calculator'!V22</f>
        <v>-3339802.3344977722</v>
      </c>
      <c r="V212" s="251">
        <f>'Total REC Delivery Activities'!V208*'Indexed REC Price Calculator'!W22</f>
        <v>-5106185.8811877239</v>
      </c>
    </row>
    <row r="213" spans="1:22" x14ac:dyDescent="0.3">
      <c r="A213" s="244" t="s">
        <v>41</v>
      </c>
      <c r="B213" s="45"/>
      <c r="C213" s="45"/>
      <c r="D213" s="45"/>
      <c r="E213" s="45"/>
      <c r="F213" s="45"/>
      <c r="G213" s="45">
        <f>F201*'Future Plan Assumptions'!$B$101</f>
        <v>0</v>
      </c>
      <c r="H213" s="45">
        <f>G201*'Future Plan Assumptions'!$B$101</f>
        <v>0</v>
      </c>
      <c r="I213" s="45">
        <f>H201*'Future Plan Assumptions'!$B$101</f>
        <v>0</v>
      </c>
      <c r="J213" s="45">
        <f>I201*'Future Plan Assumptions'!$B$101</f>
        <v>0</v>
      </c>
      <c r="K213" s="45">
        <f>J201*'Future Plan Assumptions'!$B$101</f>
        <v>0</v>
      </c>
      <c r="L213" s="45">
        <f>K201*'Future Plan Assumptions'!$B$101</f>
        <v>0</v>
      </c>
      <c r="M213" s="45">
        <f>L201*'Future Plan Assumptions'!$B$101</f>
        <v>0</v>
      </c>
      <c r="N213" s="45">
        <f>M201*'Future Plan Assumptions'!$B$101</f>
        <v>0</v>
      </c>
      <c r="O213" s="45">
        <f>N201*'Future Plan Assumptions'!$B$101</f>
        <v>0</v>
      </c>
      <c r="P213" s="45">
        <f>O201*'Future Plan Assumptions'!$B$101</f>
        <v>0</v>
      </c>
      <c r="Q213" s="45">
        <f>P201*'Future Plan Assumptions'!$S$93+P201</f>
        <v>0</v>
      </c>
      <c r="R213" s="45">
        <f>Q201*'Future Plan Assumptions'!$S$93+Q201</f>
        <v>0</v>
      </c>
      <c r="S213" s="45">
        <f>R201*'Future Plan Assumptions'!$S$93+R201</f>
        <v>0</v>
      </c>
      <c r="T213" s="251">
        <f>'Total REC Delivery Activities'!T209*'Indexed REC Price Calculator'!U49</f>
        <v>11492556.992550761</v>
      </c>
      <c r="U213" s="251">
        <f>'Total REC Delivery Activities'!U209*'Indexed REC Price Calculator'!V49</f>
        <v>10107158.132401779</v>
      </c>
      <c r="V213" s="251">
        <f>'Total REC Delivery Activities'!V209*'Indexed REC Price Calculator'!W49</f>
        <v>8694051.2950498182</v>
      </c>
    </row>
    <row r="214" spans="1:22" x14ac:dyDescent="0.3">
      <c r="A214" s="244" t="s">
        <v>42</v>
      </c>
      <c r="B214" s="45"/>
      <c r="C214" s="45"/>
      <c r="D214" s="45"/>
      <c r="E214" s="45"/>
      <c r="F214" s="45"/>
      <c r="G214" s="45">
        <f>F202*'Future Plan Assumptions'!$B$101</f>
        <v>0</v>
      </c>
      <c r="H214" s="45">
        <f>G202*'Future Plan Assumptions'!$B$101</f>
        <v>0</v>
      </c>
      <c r="I214" s="45">
        <f>H202*'Future Plan Assumptions'!$B$101</f>
        <v>0</v>
      </c>
      <c r="J214" s="45">
        <f>I202*'Future Plan Assumptions'!$B$101</f>
        <v>0</v>
      </c>
      <c r="K214" s="45">
        <f>J202*'Future Plan Assumptions'!$B$101</f>
        <v>0</v>
      </c>
      <c r="L214" s="45">
        <f>K202*'Future Plan Assumptions'!$B$101</f>
        <v>0</v>
      </c>
      <c r="M214" s="45">
        <f>L202*'Future Plan Assumptions'!$B$101</f>
        <v>0</v>
      </c>
      <c r="N214" s="45">
        <f>M202*'Future Plan Assumptions'!$B$101</f>
        <v>0</v>
      </c>
      <c r="O214" s="45">
        <f>N202*'Future Plan Assumptions'!$B$101</f>
        <v>0</v>
      </c>
      <c r="P214" s="45">
        <f>O202*'Future Plan Assumptions'!$B$101</f>
        <v>0</v>
      </c>
      <c r="Q214" s="45">
        <f>P202*'Future Plan Assumptions'!$S$93+P202</f>
        <v>0</v>
      </c>
      <c r="R214" s="45">
        <f>Q202*'Future Plan Assumptions'!$S$93+Q202</f>
        <v>0</v>
      </c>
      <c r="S214" s="45">
        <f>R202*'Future Plan Assumptions'!$S$93+R202</f>
        <v>0</v>
      </c>
      <c r="T214" s="251">
        <f>'Total REC Delivery Activities'!T210*'Indexed REC Price Calculator'!U76</f>
        <v>3193972.312034423</v>
      </c>
      <c r="U214" s="251">
        <f>'Total REC Delivery Activities'!U210*'Indexed REC Price Calculator'!V76</f>
        <v>3107384.8832751112</v>
      </c>
      <c r="V214" s="251">
        <f>'Total REC Delivery Activities'!V210*'Indexed REC Price Calculator'!W76</f>
        <v>3019065.705940614</v>
      </c>
    </row>
    <row r="215" spans="1:22" x14ac:dyDescent="0.3">
      <c r="A215" s="245" t="s">
        <v>233</v>
      </c>
      <c r="B215" s="24">
        <f t="shared" ref="B215:V215" si="23">SUM(B206:B214)</f>
        <v>0</v>
      </c>
      <c r="C215" s="24">
        <f t="shared" si="23"/>
        <v>0</v>
      </c>
      <c r="D215" s="24">
        <f t="shared" si="23"/>
        <v>0</v>
      </c>
      <c r="E215" s="24">
        <f t="shared" si="23"/>
        <v>0</v>
      </c>
      <c r="F215" s="24">
        <f t="shared" si="23"/>
        <v>0</v>
      </c>
      <c r="G215" s="24">
        <f t="shared" si="23"/>
        <v>0</v>
      </c>
      <c r="H215" s="24">
        <f t="shared" si="23"/>
        <v>0</v>
      </c>
      <c r="I215" s="24">
        <f t="shared" si="23"/>
        <v>0</v>
      </c>
      <c r="J215" s="24">
        <f t="shared" si="23"/>
        <v>0</v>
      </c>
      <c r="K215" s="24">
        <f t="shared" si="23"/>
        <v>0</v>
      </c>
      <c r="L215" s="24">
        <f t="shared" si="23"/>
        <v>0</v>
      </c>
      <c r="M215" s="24">
        <f t="shared" si="23"/>
        <v>0</v>
      </c>
      <c r="N215" s="24">
        <f t="shared" si="23"/>
        <v>0</v>
      </c>
      <c r="O215" s="24">
        <f t="shared" si="23"/>
        <v>0</v>
      </c>
      <c r="P215" s="24">
        <f t="shared" si="23"/>
        <v>0</v>
      </c>
      <c r="Q215" s="24">
        <f t="shared" si="23"/>
        <v>52566519.440321811</v>
      </c>
      <c r="R215" s="24">
        <f t="shared" si="23"/>
        <v>14654783.086721409</v>
      </c>
      <c r="S215" s="24">
        <f t="shared" si="23"/>
        <v>14522084.083777744</v>
      </c>
      <c r="T215" s="24">
        <f t="shared" si="23"/>
        <v>27569514.402046684</v>
      </c>
      <c r="U215" s="24">
        <f t="shared" si="23"/>
        <v>24334889.537082486</v>
      </c>
      <c r="V215" s="24">
        <f t="shared" si="23"/>
        <v>21036344.424840752</v>
      </c>
    </row>
    <row r="217" spans="1:22" ht="15.6" x14ac:dyDescent="0.3">
      <c r="A217" s="248">
        <v>2038</v>
      </c>
      <c r="B217" s="247">
        <v>2022</v>
      </c>
      <c r="C217" s="247">
        <v>2023</v>
      </c>
      <c r="D217" s="247">
        <v>2024</v>
      </c>
      <c r="E217" s="247">
        <v>2025</v>
      </c>
      <c r="F217" s="247">
        <v>2026</v>
      </c>
      <c r="G217" s="247">
        <v>2027</v>
      </c>
      <c r="H217" s="247">
        <v>2028</v>
      </c>
      <c r="I217" s="247">
        <v>2029</v>
      </c>
      <c r="J217" s="247">
        <v>2030</v>
      </c>
      <c r="K217" s="247">
        <v>2031</v>
      </c>
      <c r="L217" s="247">
        <v>2032</v>
      </c>
      <c r="M217" s="247">
        <v>2033</v>
      </c>
      <c r="N217" s="247">
        <v>2034</v>
      </c>
      <c r="O217" s="247">
        <v>2035</v>
      </c>
      <c r="P217" s="247">
        <v>2036</v>
      </c>
      <c r="Q217" s="247">
        <v>2037</v>
      </c>
      <c r="R217" s="247">
        <v>2038</v>
      </c>
      <c r="S217" s="247">
        <v>2039</v>
      </c>
      <c r="T217" s="247">
        <v>2040</v>
      </c>
      <c r="U217" s="247">
        <v>2041</v>
      </c>
      <c r="V217" s="247">
        <v>2042</v>
      </c>
    </row>
    <row r="218" spans="1:22" x14ac:dyDescent="0.3">
      <c r="A218" s="244" t="s">
        <v>6</v>
      </c>
      <c r="B218" s="45"/>
      <c r="C218" s="45"/>
      <c r="D218" s="45"/>
      <c r="E218" s="45"/>
      <c r="F218" s="45"/>
      <c r="G218" s="45"/>
      <c r="H218" s="45">
        <f>G206*'Future Plan Assumptions'!$B$101</f>
        <v>0</v>
      </c>
      <c r="I218" s="45">
        <f>H206*'Future Plan Assumptions'!$B$101</f>
        <v>0</v>
      </c>
      <c r="J218" s="45">
        <f>I206*'Future Plan Assumptions'!$B$101</f>
        <v>0</v>
      </c>
      <c r="K218" s="45">
        <f>J206*'Future Plan Assumptions'!$B$101</f>
        <v>0</v>
      </c>
      <c r="L218" s="45">
        <f>K206*'Future Plan Assumptions'!$B$101</f>
        <v>0</v>
      </c>
      <c r="M218" s="45">
        <f>L206*'Future Plan Assumptions'!$B$101</f>
        <v>0</v>
      </c>
      <c r="N218" s="45">
        <f>M206*'Future Plan Assumptions'!$B$101</f>
        <v>0</v>
      </c>
      <c r="O218" s="45">
        <f>N206*'Future Plan Assumptions'!$B$101</f>
        <v>0</v>
      </c>
      <c r="P218" s="45">
        <f>O206*'Future Plan Assumptions'!$B$101</f>
        <v>0</v>
      </c>
      <c r="Q218" s="45">
        <f>P206*'Future Plan Assumptions'!$B$101</f>
        <v>0</v>
      </c>
      <c r="R218" s="45">
        <f>Q206*'Future Plan Assumptions'!$B$101</f>
        <v>41600790.51690305</v>
      </c>
      <c r="S218" s="45">
        <f>R206*'Future Plan Assumptions'!$B$101</f>
        <v>0</v>
      </c>
      <c r="T218" s="45">
        <f>S206*'Future Plan Assumptions'!$B$101</f>
        <v>0</v>
      </c>
      <c r="U218" s="45">
        <f>T206*'Future Plan Assumptions'!$B$101</f>
        <v>0</v>
      </c>
      <c r="V218" s="45">
        <f>U206*'Future Plan Assumptions'!$B$101</f>
        <v>0</v>
      </c>
    </row>
    <row r="219" spans="1:22" x14ac:dyDescent="0.3">
      <c r="A219" s="244" t="s">
        <v>12</v>
      </c>
      <c r="B219" s="45"/>
      <c r="C219" s="45"/>
      <c r="D219" s="45"/>
      <c r="E219" s="45"/>
      <c r="F219" s="45"/>
      <c r="G219" s="45"/>
      <c r="H219" s="45">
        <f>G207*'Future Plan Assumptions'!$B$101</f>
        <v>0</v>
      </c>
      <c r="I219" s="45">
        <f>H207*'Future Plan Assumptions'!$B$101</f>
        <v>0</v>
      </c>
      <c r="J219" s="45">
        <f>I207*'Future Plan Assumptions'!$B$101</f>
        <v>0</v>
      </c>
      <c r="K219" s="45">
        <f>J207*'Future Plan Assumptions'!$B$101</f>
        <v>0</v>
      </c>
      <c r="L219" s="45">
        <f>K207*'Future Plan Assumptions'!$B$101</f>
        <v>0</v>
      </c>
      <c r="M219" s="45">
        <f>L207*'Future Plan Assumptions'!$B$101</f>
        <v>0</v>
      </c>
      <c r="N219" s="45">
        <f>M207*'Future Plan Assumptions'!$B$101</f>
        <v>0</v>
      </c>
      <c r="O219" s="45">
        <f>N207*'Future Plan Assumptions'!$B$101</f>
        <v>0</v>
      </c>
      <c r="P219" s="45">
        <f>O207*'Future Plan Assumptions'!$B$101</f>
        <v>0</v>
      </c>
      <c r="Q219" s="45">
        <f>P207*'Future Plan Assumptions'!$B$101</f>
        <v>0</v>
      </c>
      <c r="R219" s="45">
        <f>Q207*'Future Plan Assumptions'!$B$101</f>
        <v>4464051.9055251386</v>
      </c>
      <c r="S219" s="45">
        <f>R207*'Future Plan Assumptions'!$B$101</f>
        <v>4216049.0218848558</v>
      </c>
      <c r="T219" s="45">
        <f>S207*'Future Plan Assumptions'!$B$101</f>
        <v>4216049.0218848558</v>
      </c>
      <c r="U219" s="45">
        <f>T207*'Future Plan Assumptions'!$B$101</f>
        <v>4216049.0218848558</v>
      </c>
      <c r="V219" s="45">
        <f>U207*'Future Plan Assumptions'!$B$101</f>
        <v>4216049.0218848558</v>
      </c>
    </row>
    <row r="220" spans="1:22" x14ac:dyDescent="0.3">
      <c r="A220" s="244" t="s">
        <v>21</v>
      </c>
      <c r="B220" s="45"/>
      <c r="C220" s="45"/>
      <c r="D220" s="45"/>
      <c r="E220" s="45"/>
      <c r="F220" s="45"/>
      <c r="G220" s="45"/>
      <c r="H220" s="45">
        <f>G208*'Future Plan Assumptions'!$B$101</f>
        <v>0</v>
      </c>
      <c r="I220" s="45">
        <f>H208*'Future Plan Assumptions'!$B$101</f>
        <v>0</v>
      </c>
      <c r="J220" s="45">
        <f>I208*'Future Plan Assumptions'!$B$101</f>
        <v>0</v>
      </c>
      <c r="K220" s="45">
        <f>J208*'Future Plan Assumptions'!$B$101</f>
        <v>0</v>
      </c>
      <c r="L220" s="45">
        <f>K208*'Future Plan Assumptions'!$B$101</f>
        <v>0</v>
      </c>
      <c r="M220" s="45">
        <f>L208*'Future Plan Assumptions'!$B$101</f>
        <v>0</v>
      </c>
      <c r="N220" s="45">
        <f>M208*'Future Plan Assumptions'!$B$101</f>
        <v>0</v>
      </c>
      <c r="O220" s="45">
        <f>N208*'Future Plan Assumptions'!$B$101</f>
        <v>0</v>
      </c>
      <c r="P220" s="45">
        <f>O208*'Future Plan Assumptions'!$B$101</f>
        <v>0</v>
      </c>
      <c r="Q220" s="45">
        <f>P208*'Future Plan Assumptions'!$B$101</f>
        <v>0</v>
      </c>
      <c r="R220" s="45">
        <f>Q208*'Future Plan Assumptions'!$B$101</f>
        <v>0</v>
      </c>
      <c r="S220" s="45">
        <f>R208*'Future Plan Assumptions'!$B$101</f>
        <v>3834481.4326652461</v>
      </c>
      <c r="T220" s="45">
        <f>S208*'Future Plan Assumptions'!$B$101</f>
        <v>3815309.0255019208</v>
      </c>
      <c r="U220" s="45">
        <f>T208*'Future Plan Assumptions'!$B$101</f>
        <v>3796232.4803744098</v>
      </c>
      <c r="V220" s="45">
        <f>U208*'Future Plan Assumptions'!$B$101</f>
        <v>3777251.3179725385</v>
      </c>
    </row>
    <row r="221" spans="1:22" x14ac:dyDescent="0.3">
      <c r="A221" s="244" t="s">
        <v>25</v>
      </c>
      <c r="B221" s="45"/>
      <c r="C221" s="45"/>
      <c r="D221" s="45"/>
      <c r="E221" s="45"/>
      <c r="F221" s="45"/>
      <c r="G221" s="45"/>
      <c r="H221" s="45">
        <f>G209*'Future Plan Assumptions'!$B$101</f>
        <v>0</v>
      </c>
      <c r="I221" s="45">
        <f>H209*'Future Plan Assumptions'!$B$101</f>
        <v>0</v>
      </c>
      <c r="J221" s="45">
        <f>I209*'Future Plan Assumptions'!$B$101</f>
        <v>0</v>
      </c>
      <c r="K221" s="45">
        <f>J209*'Future Plan Assumptions'!$B$101</f>
        <v>0</v>
      </c>
      <c r="L221" s="45">
        <f>K209*'Future Plan Assumptions'!$B$101</f>
        <v>0</v>
      </c>
      <c r="M221" s="45">
        <f>L209*'Future Plan Assumptions'!$B$101</f>
        <v>0</v>
      </c>
      <c r="N221" s="45">
        <f>M209*'Future Plan Assumptions'!$B$101</f>
        <v>0</v>
      </c>
      <c r="O221" s="45">
        <f>N209*'Future Plan Assumptions'!$B$101</f>
        <v>0</v>
      </c>
      <c r="P221" s="45">
        <f>O209*'Future Plan Assumptions'!$B$101</f>
        <v>0</v>
      </c>
      <c r="Q221" s="45">
        <f>P209*'Future Plan Assumptions'!$B$101</f>
        <v>0</v>
      </c>
      <c r="R221" s="45">
        <f>Q209*'Future Plan Assumptions'!$B$101</f>
        <v>2166990.2875181781</v>
      </c>
      <c r="S221" s="45">
        <f>R209*'Future Plan Assumptions'!$B$101</f>
        <v>2156155.336080587</v>
      </c>
      <c r="T221" s="45">
        <f>S209*'Future Plan Assumptions'!$B$101</f>
        <v>2145374.5594001845</v>
      </c>
      <c r="U221" s="45">
        <f>T209*'Future Plan Assumptions'!$B$101</f>
        <v>2134647.6866031834</v>
      </c>
      <c r="V221" s="45">
        <f>U209*'Future Plan Assumptions'!$B$101</f>
        <v>2123974.4481701683</v>
      </c>
    </row>
    <row r="222" spans="1:22" x14ac:dyDescent="0.3">
      <c r="A222" s="244" t="s">
        <v>29</v>
      </c>
      <c r="B222" s="45"/>
      <c r="C222" s="45"/>
      <c r="D222" s="45"/>
      <c r="E222" s="45"/>
      <c r="F222" s="45"/>
      <c r="G222" s="45"/>
      <c r="H222" s="45">
        <f>G210*'Future Plan Assumptions'!$B$101</f>
        <v>0</v>
      </c>
      <c r="I222" s="45">
        <f>H210*'Future Plan Assumptions'!$B$101</f>
        <v>0</v>
      </c>
      <c r="J222" s="45">
        <f>I210*'Future Plan Assumptions'!$B$101</f>
        <v>0</v>
      </c>
      <c r="K222" s="45">
        <f>J210*'Future Plan Assumptions'!$B$101</f>
        <v>0</v>
      </c>
      <c r="L222" s="45">
        <f>K210*'Future Plan Assumptions'!$B$101</f>
        <v>0</v>
      </c>
      <c r="M222" s="45">
        <f>L210*'Future Plan Assumptions'!$B$101</f>
        <v>0</v>
      </c>
      <c r="N222" s="45">
        <f>M210*'Future Plan Assumptions'!$B$101</f>
        <v>0</v>
      </c>
      <c r="O222" s="45">
        <f>N210*'Future Plan Assumptions'!$B$101</f>
        <v>0</v>
      </c>
      <c r="P222" s="45">
        <f>O210*'Future Plan Assumptions'!$B$101</f>
        <v>0</v>
      </c>
      <c r="Q222" s="45">
        <f>P210*'Future Plan Assumptions'!$B$101</f>
        <v>0</v>
      </c>
      <c r="R222" s="45">
        <f>Q210*'Future Plan Assumptions'!$B$101</f>
        <v>0</v>
      </c>
      <c r="S222" s="45">
        <f>R210*'Future Plan Assumptions'!$B$101</f>
        <v>1753881.4616794356</v>
      </c>
      <c r="T222" s="45">
        <f>S210*'Future Plan Assumptions'!$B$101</f>
        <v>1656443.6026972444</v>
      </c>
      <c r="U222" s="45">
        <f>T210*'Future Plan Assumptions'!$B$101</f>
        <v>1656443.6026972444</v>
      </c>
      <c r="V222" s="45">
        <f>U210*'Future Plan Assumptions'!$B$101</f>
        <v>1656443.6026972444</v>
      </c>
    </row>
    <row r="223" spans="1:22" x14ac:dyDescent="0.3">
      <c r="A223" s="244" t="s">
        <v>33</v>
      </c>
      <c r="B223" s="45"/>
      <c r="C223" s="45"/>
      <c r="D223" s="45"/>
      <c r="E223" s="45"/>
      <c r="F223" s="45"/>
      <c r="G223" s="45"/>
      <c r="H223" s="45">
        <f>G211*'Future Plan Assumptions'!$B$101</f>
        <v>0</v>
      </c>
      <c r="I223" s="45">
        <f>H211*'Future Plan Assumptions'!$B$101</f>
        <v>0</v>
      </c>
      <c r="J223" s="45">
        <f>I211*'Future Plan Assumptions'!$B$101</f>
        <v>0</v>
      </c>
      <c r="K223" s="45">
        <f>J211*'Future Plan Assumptions'!$B$101</f>
        <v>0</v>
      </c>
      <c r="L223" s="45">
        <f>K211*'Future Plan Assumptions'!$B$101</f>
        <v>0</v>
      </c>
      <c r="M223" s="45">
        <f>L211*'Future Plan Assumptions'!$B$101</f>
        <v>0</v>
      </c>
      <c r="N223" s="45">
        <f>M211*'Future Plan Assumptions'!$B$101</f>
        <v>0</v>
      </c>
      <c r="O223" s="45">
        <f>N211*'Future Plan Assumptions'!$B$101</f>
        <v>0</v>
      </c>
      <c r="P223" s="45">
        <f>O211*'Future Plan Assumptions'!$B$101</f>
        <v>0</v>
      </c>
      <c r="Q223" s="45">
        <f>P211*'Future Plan Assumptions'!$B$101</f>
        <v>0</v>
      </c>
      <c r="R223" s="45">
        <f>Q211*'Future Plan Assumptions'!$B$101</f>
        <v>2232025.9527625693</v>
      </c>
      <c r="S223" s="45">
        <f>R211*'Future Plan Assumptions'!$B$101</f>
        <v>2108024.5109424279</v>
      </c>
      <c r="T223" s="45">
        <f>S211*'Future Plan Assumptions'!$B$101</f>
        <v>2108024.5109424279</v>
      </c>
      <c r="U223" s="45">
        <f>T211*'Future Plan Assumptions'!$B$101</f>
        <v>2108024.5109424279</v>
      </c>
      <c r="V223" s="45">
        <f>U211*'Future Plan Assumptions'!$B$101</f>
        <v>2108024.5109424279</v>
      </c>
    </row>
    <row r="224" spans="1:22" x14ac:dyDescent="0.3">
      <c r="A224" s="244" t="s">
        <v>40</v>
      </c>
      <c r="B224" s="45"/>
      <c r="C224" s="45"/>
      <c r="D224" s="45"/>
      <c r="E224" s="45"/>
      <c r="F224" s="45"/>
      <c r="G224" s="45"/>
      <c r="H224" s="45">
        <f>G212*'Future Plan Assumptions'!$B$101</f>
        <v>0</v>
      </c>
      <c r="I224" s="45">
        <f>H212*'Future Plan Assumptions'!$B$101</f>
        <v>0</v>
      </c>
      <c r="J224" s="45">
        <f>I212*'Future Plan Assumptions'!$B$101</f>
        <v>0</v>
      </c>
      <c r="K224" s="45">
        <f>J212*'Future Plan Assumptions'!$B$101</f>
        <v>0</v>
      </c>
      <c r="L224" s="45">
        <f>K212*'Future Plan Assumptions'!$B$101</f>
        <v>0</v>
      </c>
      <c r="M224" s="45">
        <f>L212*'Future Plan Assumptions'!$B$101</f>
        <v>0</v>
      </c>
      <c r="N224" s="45">
        <f>M212*'Future Plan Assumptions'!$B$101</f>
        <v>0</v>
      </c>
      <c r="O224" s="45">
        <f>N212*'Future Plan Assumptions'!$B$101</f>
        <v>0</v>
      </c>
      <c r="P224" s="45">
        <f>O212*'Future Plan Assumptions'!$B$101</f>
        <v>0</v>
      </c>
      <c r="Q224" s="45">
        <f>P212*'Future Plan Assumptions'!$B$101</f>
        <v>0</v>
      </c>
      <c r="R224" s="45">
        <f>Q212*'Future Plan Assumptions'!$T$93+Q212</f>
        <v>0</v>
      </c>
      <c r="S224" s="45">
        <f>R212*'Future Plan Assumptions'!$T$93+R212</f>
        <v>0</v>
      </c>
      <c r="T224" s="45">
        <f>S212*'Future Plan Assumptions'!$T$93+S212</f>
        <v>0</v>
      </c>
      <c r="U224" s="251">
        <f>'Total REC Delivery Activities'!U221*'Indexed REC Price Calculator'!V23</f>
        <v>-2032427.3344977684</v>
      </c>
      <c r="V224" s="251">
        <f>'Total REC Delivery Activities'!V221*'Indexed REC Price Calculator'!W23</f>
        <v>-3798810.8811877198</v>
      </c>
    </row>
    <row r="225" spans="1:22" x14ac:dyDescent="0.3">
      <c r="A225" s="244" t="s">
        <v>41</v>
      </c>
      <c r="B225" s="45"/>
      <c r="C225" s="45"/>
      <c r="D225" s="45"/>
      <c r="E225" s="45"/>
      <c r="F225" s="45"/>
      <c r="G225" s="45"/>
      <c r="H225" s="45">
        <f>G213*'Future Plan Assumptions'!$B$101</f>
        <v>0</v>
      </c>
      <c r="I225" s="45">
        <f>H213*'Future Plan Assumptions'!$B$101</f>
        <v>0</v>
      </c>
      <c r="J225" s="45">
        <f>I213*'Future Plan Assumptions'!$B$101</f>
        <v>0</v>
      </c>
      <c r="K225" s="45">
        <f>J213*'Future Plan Assumptions'!$B$101</f>
        <v>0</v>
      </c>
      <c r="L225" s="45">
        <f>K213*'Future Plan Assumptions'!$B$101</f>
        <v>0</v>
      </c>
      <c r="M225" s="45">
        <f>L213*'Future Plan Assumptions'!$B$101</f>
        <v>0</v>
      </c>
      <c r="N225" s="45">
        <f>M213*'Future Plan Assumptions'!$B$101</f>
        <v>0</v>
      </c>
      <c r="O225" s="45">
        <f>N213*'Future Plan Assumptions'!$B$101</f>
        <v>0</v>
      </c>
      <c r="P225" s="45">
        <f>O213*'Future Plan Assumptions'!$B$101</f>
        <v>0</v>
      </c>
      <c r="Q225" s="45">
        <f>P213*'Future Plan Assumptions'!$B$101</f>
        <v>0</v>
      </c>
      <c r="R225" s="45">
        <f>Q213*'Future Plan Assumptions'!$T$93+Q213</f>
        <v>0</v>
      </c>
      <c r="S225" s="45">
        <f>R213*'Future Plan Assumptions'!$T$93+R213</f>
        <v>0</v>
      </c>
      <c r="T225" s="45">
        <f>S213*'Future Plan Assumptions'!$T$93+S213</f>
        <v>0</v>
      </c>
      <c r="U225" s="251">
        <f>'Total REC Delivery Activities'!U222*'Indexed REC Price Calculator'!V50</f>
        <v>11349658.132401785</v>
      </c>
      <c r="V225" s="251">
        <f>'Total REC Delivery Activities'!V222*'Indexed REC Price Calculator'!W50</f>
        <v>9936551.2950498238</v>
      </c>
    </row>
    <row r="226" spans="1:22" x14ac:dyDescent="0.3">
      <c r="A226" s="244" t="s">
        <v>42</v>
      </c>
      <c r="B226" s="45"/>
      <c r="C226" s="45"/>
      <c r="D226" s="45"/>
      <c r="E226" s="45"/>
      <c r="F226" s="45"/>
      <c r="G226" s="45"/>
      <c r="H226" s="45">
        <f>G214*'Future Plan Assumptions'!$B$101</f>
        <v>0</v>
      </c>
      <c r="I226" s="45">
        <f>H214*'Future Plan Assumptions'!$B$101</f>
        <v>0</v>
      </c>
      <c r="J226" s="45">
        <f>I214*'Future Plan Assumptions'!$B$101</f>
        <v>0</v>
      </c>
      <c r="K226" s="45">
        <f>J214*'Future Plan Assumptions'!$B$101</f>
        <v>0</v>
      </c>
      <c r="L226" s="45">
        <f>K214*'Future Plan Assumptions'!$B$101</f>
        <v>0</v>
      </c>
      <c r="M226" s="45">
        <f>L214*'Future Plan Assumptions'!$B$101</f>
        <v>0</v>
      </c>
      <c r="N226" s="45">
        <f>M214*'Future Plan Assumptions'!$B$101</f>
        <v>0</v>
      </c>
      <c r="O226" s="45">
        <f>N214*'Future Plan Assumptions'!$B$101</f>
        <v>0</v>
      </c>
      <c r="P226" s="45">
        <f>O214*'Future Plan Assumptions'!$B$101</f>
        <v>0</v>
      </c>
      <c r="Q226" s="45">
        <f>P214*'Future Plan Assumptions'!$B$101</f>
        <v>0</v>
      </c>
      <c r="R226" s="45">
        <f>Q214*'Future Plan Assumptions'!$T$93+Q214</f>
        <v>0</v>
      </c>
      <c r="S226" s="45">
        <f>R214*'Future Plan Assumptions'!$T$93+R214</f>
        <v>0</v>
      </c>
      <c r="T226" s="45">
        <f>S214*'Future Plan Assumptions'!$T$93+S214</f>
        <v>0</v>
      </c>
      <c r="U226" s="251">
        <f>'Total REC Delivery Activities'!U223*'Indexed REC Price Calculator'!V77</f>
        <v>3223128.6332751117</v>
      </c>
      <c r="V226" s="251">
        <f>'Total REC Delivery Activities'!V223*'Indexed REC Price Calculator'!W77</f>
        <v>3134809.455940614</v>
      </c>
    </row>
    <row r="227" spans="1:22" x14ac:dyDescent="0.3">
      <c r="A227" s="245" t="s">
        <v>233</v>
      </c>
      <c r="B227" s="24">
        <f t="shared" ref="B227:V227" si="24">SUM(B218:B226)</f>
        <v>0</v>
      </c>
      <c r="C227" s="24">
        <f t="shared" si="24"/>
        <v>0</v>
      </c>
      <c r="D227" s="24">
        <f t="shared" si="24"/>
        <v>0</v>
      </c>
      <c r="E227" s="24">
        <f t="shared" si="24"/>
        <v>0</v>
      </c>
      <c r="F227" s="24">
        <f t="shared" si="24"/>
        <v>0</v>
      </c>
      <c r="G227" s="24">
        <f t="shared" si="24"/>
        <v>0</v>
      </c>
      <c r="H227" s="24">
        <f t="shared" si="24"/>
        <v>0</v>
      </c>
      <c r="I227" s="24">
        <f t="shared" si="24"/>
        <v>0</v>
      </c>
      <c r="J227" s="24">
        <f t="shared" si="24"/>
        <v>0</v>
      </c>
      <c r="K227" s="24">
        <f t="shared" si="24"/>
        <v>0</v>
      </c>
      <c r="L227" s="24">
        <f t="shared" si="24"/>
        <v>0</v>
      </c>
      <c r="M227" s="24">
        <f t="shared" si="24"/>
        <v>0</v>
      </c>
      <c r="N227" s="24">
        <f t="shared" si="24"/>
        <v>0</v>
      </c>
      <c r="O227" s="24">
        <f t="shared" si="24"/>
        <v>0</v>
      </c>
      <c r="P227" s="24">
        <f t="shared" si="24"/>
        <v>0</v>
      </c>
      <c r="Q227" s="24">
        <f t="shared" si="24"/>
        <v>0</v>
      </c>
      <c r="R227" s="24">
        <f t="shared" si="24"/>
        <v>50463858.662708938</v>
      </c>
      <c r="S227" s="24">
        <f t="shared" si="24"/>
        <v>14068591.763252553</v>
      </c>
      <c r="T227" s="24">
        <f t="shared" si="24"/>
        <v>13941200.720426632</v>
      </c>
      <c r="U227" s="24">
        <f t="shared" si="24"/>
        <v>26451756.733681247</v>
      </c>
      <c r="V227" s="24">
        <f t="shared" si="24"/>
        <v>23154292.771469954</v>
      </c>
    </row>
    <row r="229" spans="1:22" ht="15.6" x14ac:dyDescent="0.3">
      <c r="A229" s="248">
        <v>2039</v>
      </c>
      <c r="B229" s="247">
        <v>2022</v>
      </c>
      <c r="C229" s="247">
        <v>2023</v>
      </c>
      <c r="D229" s="247">
        <v>2024</v>
      </c>
      <c r="E229" s="247">
        <v>2025</v>
      </c>
      <c r="F229" s="247">
        <v>2026</v>
      </c>
      <c r="G229" s="247">
        <v>2027</v>
      </c>
      <c r="H229" s="247">
        <v>2028</v>
      </c>
      <c r="I229" s="247">
        <v>2029</v>
      </c>
      <c r="J229" s="247">
        <v>2030</v>
      </c>
      <c r="K229" s="247">
        <v>2031</v>
      </c>
      <c r="L229" s="247">
        <v>2032</v>
      </c>
      <c r="M229" s="247">
        <v>2033</v>
      </c>
      <c r="N229" s="247">
        <v>2034</v>
      </c>
      <c r="O229" s="247">
        <v>2035</v>
      </c>
      <c r="P229" s="247">
        <v>2036</v>
      </c>
      <c r="Q229" s="247">
        <v>2037</v>
      </c>
      <c r="R229" s="247">
        <v>2038</v>
      </c>
      <c r="S229" s="247">
        <v>2039</v>
      </c>
      <c r="T229" s="247">
        <v>2040</v>
      </c>
      <c r="U229" s="247">
        <v>2041</v>
      </c>
      <c r="V229" s="247">
        <v>2042</v>
      </c>
    </row>
    <row r="230" spans="1:22" x14ac:dyDescent="0.3">
      <c r="A230" s="244" t="s">
        <v>6</v>
      </c>
      <c r="B230" s="45"/>
      <c r="C230" s="45"/>
      <c r="D230" s="45"/>
      <c r="E230" s="45"/>
      <c r="F230" s="45"/>
      <c r="G230" s="45"/>
      <c r="H230" s="45"/>
      <c r="I230" s="45">
        <f>H218*'Future Plan Assumptions'!$B$101</f>
        <v>0</v>
      </c>
      <c r="J230" s="45">
        <f>I218*'Future Plan Assumptions'!$B$101</f>
        <v>0</v>
      </c>
      <c r="K230" s="45">
        <f>J218*'Future Plan Assumptions'!$B$101</f>
        <v>0</v>
      </c>
      <c r="L230" s="45">
        <f>K218*'Future Plan Assumptions'!$B$101</f>
        <v>0</v>
      </c>
      <c r="M230" s="45">
        <f>L218*'Future Plan Assumptions'!$B$101</f>
        <v>0</v>
      </c>
      <c r="N230" s="45">
        <f>M218*'Future Plan Assumptions'!$B$101</f>
        <v>0</v>
      </c>
      <c r="O230" s="45">
        <f>N218*'Future Plan Assumptions'!$B$101</f>
        <v>0</v>
      </c>
      <c r="P230" s="45">
        <f>O218*'Future Plan Assumptions'!$B$101</f>
        <v>0</v>
      </c>
      <c r="Q230" s="45">
        <f>P218*'Future Plan Assumptions'!$B$101</f>
        <v>0</v>
      </c>
      <c r="R230" s="45">
        <f>Q218*'Future Plan Assumptions'!$B$101</f>
        <v>0</v>
      </c>
      <c r="S230" s="45">
        <f>R218*'Future Plan Assumptions'!$B$101</f>
        <v>39936758.896226928</v>
      </c>
      <c r="T230" s="45">
        <f>S218*'Future Plan Assumptions'!$B$101</f>
        <v>0</v>
      </c>
      <c r="U230" s="45">
        <f>T218*'Future Plan Assumptions'!$B$101</f>
        <v>0</v>
      </c>
      <c r="V230" s="45">
        <f>U218*'Future Plan Assumptions'!$B$101</f>
        <v>0</v>
      </c>
    </row>
    <row r="231" spans="1:22" x14ac:dyDescent="0.3">
      <c r="A231" s="244" t="s">
        <v>12</v>
      </c>
      <c r="B231" s="45"/>
      <c r="C231" s="45"/>
      <c r="D231" s="45"/>
      <c r="E231" s="45"/>
      <c r="F231" s="45"/>
      <c r="G231" s="45"/>
      <c r="H231" s="45"/>
      <c r="I231" s="45">
        <f>H219*'Future Plan Assumptions'!$B$101</f>
        <v>0</v>
      </c>
      <c r="J231" s="45">
        <f>I219*'Future Plan Assumptions'!$B$101</f>
        <v>0</v>
      </c>
      <c r="K231" s="45">
        <f>J219*'Future Plan Assumptions'!$B$101</f>
        <v>0</v>
      </c>
      <c r="L231" s="45">
        <f>K219*'Future Plan Assumptions'!$B$101</f>
        <v>0</v>
      </c>
      <c r="M231" s="45">
        <f>L219*'Future Plan Assumptions'!$B$101</f>
        <v>0</v>
      </c>
      <c r="N231" s="45">
        <f>M219*'Future Plan Assumptions'!$B$101</f>
        <v>0</v>
      </c>
      <c r="O231" s="45">
        <f>N219*'Future Plan Assumptions'!$B$101</f>
        <v>0</v>
      </c>
      <c r="P231" s="45">
        <f>O219*'Future Plan Assumptions'!$B$101</f>
        <v>0</v>
      </c>
      <c r="Q231" s="45">
        <f>P219*'Future Plan Assumptions'!$B$101</f>
        <v>0</v>
      </c>
      <c r="R231" s="45">
        <f>Q219*'Future Plan Assumptions'!$B$101</f>
        <v>0</v>
      </c>
      <c r="S231" s="45">
        <f>R219*'Future Plan Assumptions'!$B$101</f>
        <v>4285489.8293041326</v>
      </c>
      <c r="T231" s="45">
        <f>S219*'Future Plan Assumptions'!$B$101</f>
        <v>4047407.0610094615</v>
      </c>
      <c r="U231" s="45">
        <f>T219*'Future Plan Assumptions'!$B$101</f>
        <v>4047407.0610094615</v>
      </c>
      <c r="V231" s="45">
        <f>U219*'Future Plan Assumptions'!$B$101</f>
        <v>4047407.0610094615</v>
      </c>
    </row>
    <row r="232" spans="1:22" x14ac:dyDescent="0.3">
      <c r="A232" s="244" t="s">
        <v>21</v>
      </c>
      <c r="B232" s="45"/>
      <c r="C232" s="45"/>
      <c r="D232" s="45"/>
      <c r="E232" s="45"/>
      <c r="F232" s="45"/>
      <c r="G232" s="45"/>
      <c r="H232" s="45"/>
      <c r="I232" s="45">
        <f>H220*'Future Plan Assumptions'!$B$101</f>
        <v>0</v>
      </c>
      <c r="J232" s="45">
        <f>I220*'Future Plan Assumptions'!$B$101</f>
        <v>0</v>
      </c>
      <c r="K232" s="45">
        <f>J220*'Future Plan Assumptions'!$B$101</f>
        <v>0</v>
      </c>
      <c r="L232" s="45">
        <f>K220*'Future Plan Assumptions'!$B$101</f>
        <v>0</v>
      </c>
      <c r="M232" s="45">
        <f>L220*'Future Plan Assumptions'!$B$101</f>
        <v>0</v>
      </c>
      <c r="N232" s="45">
        <f>M220*'Future Plan Assumptions'!$B$101</f>
        <v>0</v>
      </c>
      <c r="O232" s="45">
        <f>N220*'Future Plan Assumptions'!$B$101</f>
        <v>0</v>
      </c>
      <c r="P232" s="45">
        <f>O220*'Future Plan Assumptions'!$B$101</f>
        <v>0</v>
      </c>
      <c r="Q232" s="45">
        <f>P220*'Future Plan Assumptions'!$B$101</f>
        <v>0</v>
      </c>
      <c r="R232" s="45">
        <f>Q220*'Future Plan Assumptions'!$B$101</f>
        <v>0</v>
      </c>
      <c r="S232" s="45">
        <f>R220*'Future Plan Assumptions'!$B$101</f>
        <v>0</v>
      </c>
      <c r="T232" s="45">
        <f>S220*'Future Plan Assumptions'!$B$101</f>
        <v>3681102.1753586363</v>
      </c>
      <c r="U232" s="45">
        <f>T220*'Future Plan Assumptions'!$B$101</f>
        <v>3662696.6644818438</v>
      </c>
      <c r="V232" s="45">
        <f>U220*'Future Plan Assumptions'!$B$101</f>
        <v>3644383.1811594334</v>
      </c>
    </row>
    <row r="233" spans="1:22" x14ac:dyDescent="0.3">
      <c r="A233" s="244" t="s">
        <v>25</v>
      </c>
      <c r="B233" s="45"/>
      <c r="C233" s="45"/>
      <c r="D233" s="45"/>
      <c r="E233" s="45"/>
      <c r="F233" s="45"/>
      <c r="G233" s="45"/>
      <c r="H233" s="45"/>
      <c r="I233" s="45">
        <f>H221*'Future Plan Assumptions'!$B$101</f>
        <v>0</v>
      </c>
      <c r="J233" s="45">
        <f>I221*'Future Plan Assumptions'!$B$101</f>
        <v>0</v>
      </c>
      <c r="K233" s="45">
        <f>J221*'Future Plan Assumptions'!$B$101</f>
        <v>0</v>
      </c>
      <c r="L233" s="45">
        <f>K221*'Future Plan Assumptions'!$B$101</f>
        <v>0</v>
      </c>
      <c r="M233" s="45">
        <f>L221*'Future Plan Assumptions'!$B$101</f>
        <v>0</v>
      </c>
      <c r="N233" s="45">
        <f>M221*'Future Plan Assumptions'!$B$101</f>
        <v>0</v>
      </c>
      <c r="O233" s="45">
        <f>N221*'Future Plan Assumptions'!$B$101</f>
        <v>0</v>
      </c>
      <c r="P233" s="45">
        <f>O221*'Future Plan Assumptions'!$B$101</f>
        <v>0</v>
      </c>
      <c r="Q233" s="45">
        <f>P221*'Future Plan Assumptions'!$B$101</f>
        <v>0</v>
      </c>
      <c r="R233" s="45">
        <f>Q221*'Future Plan Assumptions'!$B$101</f>
        <v>0</v>
      </c>
      <c r="S233" s="45">
        <f>R221*'Future Plan Assumptions'!$B$101</f>
        <v>2080310.6760174509</v>
      </c>
      <c r="T233" s="45">
        <f>S221*'Future Plan Assumptions'!$B$101</f>
        <v>2069909.1226373634</v>
      </c>
      <c r="U233" s="45">
        <f>T221*'Future Plan Assumptions'!$B$101</f>
        <v>2059559.5770241772</v>
      </c>
      <c r="V233" s="45">
        <f>U221*'Future Plan Assumptions'!$B$101</f>
        <v>2049261.7791390559</v>
      </c>
    </row>
    <row r="234" spans="1:22" x14ac:dyDescent="0.3">
      <c r="A234" s="244" t="s">
        <v>29</v>
      </c>
      <c r="B234" s="45"/>
      <c r="C234" s="45"/>
      <c r="D234" s="45"/>
      <c r="E234" s="45"/>
      <c r="F234" s="45"/>
      <c r="G234" s="45"/>
      <c r="H234" s="45"/>
      <c r="I234" s="45">
        <f>H222*'Future Plan Assumptions'!$B$101</f>
        <v>0</v>
      </c>
      <c r="J234" s="45">
        <f>I222*'Future Plan Assumptions'!$B$101</f>
        <v>0</v>
      </c>
      <c r="K234" s="45">
        <f>J222*'Future Plan Assumptions'!$B$101</f>
        <v>0</v>
      </c>
      <c r="L234" s="45">
        <f>K222*'Future Plan Assumptions'!$B$101</f>
        <v>0</v>
      </c>
      <c r="M234" s="45">
        <f>L222*'Future Plan Assumptions'!$B$101</f>
        <v>0</v>
      </c>
      <c r="N234" s="45">
        <f>M222*'Future Plan Assumptions'!$B$101</f>
        <v>0</v>
      </c>
      <c r="O234" s="45">
        <f>N222*'Future Plan Assumptions'!$B$101</f>
        <v>0</v>
      </c>
      <c r="P234" s="45">
        <f>O222*'Future Plan Assumptions'!$B$101</f>
        <v>0</v>
      </c>
      <c r="Q234" s="45">
        <f>P222*'Future Plan Assumptions'!$B$101</f>
        <v>0</v>
      </c>
      <c r="R234" s="45">
        <f>Q222*'Future Plan Assumptions'!$B$101</f>
        <v>0</v>
      </c>
      <c r="S234" s="45">
        <f>R222*'Future Plan Assumptions'!$B$101</f>
        <v>0</v>
      </c>
      <c r="T234" s="45">
        <f>S222*'Future Plan Assumptions'!$B$101</f>
        <v>1683726.2032122582</v>
      </c>
      <c r="U234" s="45">
        <f>T222*'Future Plan Assumptions'!$B$101</f>
        <v>1590185.8585893544</v>
      </c>
      <c r="V234" s="45">
        <f>U222*'Future Plan Assumptions'!$B$101</f>
        <v>1590185.8585893544</v>
      </c>
    </row>
    <row r="235" spans="1:22" x14ac:dyDescent="0.3">
      <c r="A235" s="244" t="s">
        <v>33</v>
      </c>
      <c r="B235" s="45"/>
      <c r="C235" s="45"/>
      <c r="D235" s="45"/>
      <c r="E235" s="45"/>
      <c r="F235" s="45"/>
      <c r="G235" s="45"/>
      <c r="H235" s="45"/>
      <c r="I235" s="45">
        <f>H223*'Future Plan Assumptions'!$B$101</f>
        <v>0</v>
      </c>
      <c r="J235" s="45">
        <f>I223*'Future Plan Assumptions'!$B$101</f>
        <v>0</v>
      </c>
      <c r="K235" s="45">
        <f>J223*'Future Plan Assumptions'!$B$101</f>
        <v>0</v>
      </c>
      <c r="L235" s="45">
        <f>K223*'Future Plan Assumptions'!$B$101</f>
        <v>0</v>
      </c>
      <c r="M235" s="45">
        <f>L223*'Future Plan Assumptions'!$B$101</f>
        <v>0</v>
      </c>
      <c r="N235" s="45">
        <f>M223*'Future Plan Assumptions'!$B$101</f>
        <v>0</v>
      </c>
      <c r="O235" s="45">
        <f>N223*'Future Plan Assumptions'!$B$101</f>
        <v>0</v>
      </c>
      <c r="P235" s="45">
        <f>O223*'Future Plan Assumptions'!$B$101</f>
        <v>0</v>
      </c>
      <c r="Q235" s="45">
        <f>P223*'Future Plan Assumptions'!$B$101</f>
        <v>0</v>
      </c>
      <c r="R235" s="45">
        <f>Q223*'Future Plan Assumptions'!$B$101</f>
        <v>0</v>
      </c>
      <c r="S235" s="45">
        <f>R223*'Future Plan Assumptions'!$B$101</f>
        <v>2142744.9146520663</v>
      </c>
      <c r="T235" s="45">
        <f>S223*'Future Plan Assumptions'!$B$101</f>
        <v>2023703.5305047308</v>
      </c>
      <c r="U235" s="45">
        <f>T223*'Future Plan Assumptions'!$B$101</f>
        <v>2023703.5305047308</v>
      </c>
      <c r="V235" s="45">
        <f>U223*'Future Plan Assumptions'!$B$101</f>
        <v>2023703.5305047308</v>
      </c>
    </row>
    <row r="236" spans="1:22" x14ac:dyDescent="0.3">
      <c r="A236" s="244" t="s">
        <v>40</v>
      </c>
      <c r="B236" s="45"/>
      <c r="C236" s="45"/>
      <c r="D236" s="45"/>
      <c r="E236" s="45"/>
      <c r="F236" s="45"/>
      <c r="G236" s="45"/>
      <c r="H236" s="45"/>
      <c r="I236" s="45">
        <f>H224*'Future Plan Assumptions'!$B$101</f>
        <v>0</v>
      </c>
      <c r="J236" s="45">
        <f>I224*'Future Plan Assumptions'!$B$101</f>
        <v>0</v>
      </c>
      <c r="K236" s="45">
        <f>J224*'Future Plan Assumptions'!$B$101</f>
        <v>0</v>
      </c>
      <c r="L236" s="45">
        <f>K224*'Future Plan Assumptions'!$B$101</f>
        <v>0</v>
      </c>
      <c r="M236" s="45">
        <f>L224*'Future Plan Assumptions'!$B$101</f>
        <v>0</v>
      </c>
      <c r="N236" s="45">
        <f>M224*'Future Plan Assumptions'!$B$101</f>
        <v>0</v>
      </c>
      <c r="O236" s="45">
        <f>N224*'Future Plan Assumptions'!$B$101</f>
        <v>0</v>
      </c>
      <c r="P236" s="45">
        <f>O224*'Future Plan Assumptions'!$B$101</f>
        <v>0</v>
      </c>
      <c r="Q236" s="45">
        <f>P224*'Future Plan Assumptions'!$B$101</f>
        <v>0</v>
      </c>
      <c r="R236" s="45">
        <f>Q224*'Future Plan Assumptions'!$B$101</f>
        <v>0</v>
      </c>
      <c r="S236" s="45">
        <f>R224*'Future Plan Assumptions'!$U$93+R224</f>
        <v>0</v>
      </c>
      <c r="T236" s="45">
        <f>S224*'Future Plan Assumptions'!$U$93+S224</f>
        <v>0</v>
      </c>
      <c r="U236" s="45">
        <f>T224*'Future Plan Assumptions'!$U$93+T224</f>
        <v>0</v>
      </c>
      <c r="V236" s="251">
        <f>'Total REC Delivery Activities'!V234*'Indexed REC Price Calculator'!W24</f>
        <v>-2491435.8811877156</v>
      </c>
    </row>
    <row r="237" spans="1:22" x14ac:dyDescent="0.3">
      <c r="A237" s="244" t="s">
        <v>41</v>
      </c>
      <c r="B237" s="45"/>
      <c r="C237" s="45"/>
      <c r="D237" s="45"/>
      <c r="E237" s="45"/>
      <c r="F237" s="45"/>
      <c r="G237" s="45"/>
      <c r="H237" s="45"/>
      <c r="I237" s="45">
        <f>H225*'Future Plan Assumptions'!$B$101</f>
        <v>0</v>
      </c>
      <c r="J237" s="45">
        <f>I225*'Future Plan Assumptions'!$B$101</f>
        <v>0</v>
      </c>
      <c r="K237" s="45">
        <f>J225*'Future Plan Assumptions'!$B$101</f>
        <v>0</v>
      </c>
      <c r="L237" s="45">
        <f>K225*'Future Plan Assumptions'!$B$101</f>
        <v>0</v>
      </c>
      <c r="M237" s="45">
        <f>L225*'Future Plan Assumptions'!$B$101</f>
        <v>0</v>
      </c>
      <c r="N237" s="45">
        <f>M225*'Future Plan Assumptions'!$B$101</f>
        <v>0</v>
      </c>
      <c r="O237" s="45">
        <f>N225*'Future Plan Assumptions'!$B$101</f>
        <v>0</v>
      </c>
      <c r="P237" s="45">
        <f>O225*'Future Plan Assumptions'!$B$101</f>
        <v>0</v>
      </c>
      <c r="Q237" s="45">
        <f>P225*'Future Plan Assumptions'!$B$101</f>
        <v>0</v>
      </c>
      <c r="R237" s="45">
        <f>Q225*'Future Plan Assumptions'!$B$101</f>
        <v>0</v>
      </c>
      <c r="S237" s="45">
        <f>R225*'Future Plan Assumptions'!$U$93+R225</f>
        <v>0</v>
      </c>
      <c r="T237" s="45">
        <f>S225*'Future Plan Assumptions'!$U$93+S225</f>
        <v>0</v>
      </c>
      <c r="U237" s="45">
        <f>T225*'Future Plan Assumptions'!$U$93+T225</f>
        <v>0</v>
      </c>
      <c r="V237" s="251">
        <f>'Total REC Delivery Activities'!V235*'Indexed REC Price Calculator'!W51</f>
        <v>11179051.295049816</v>
      </c>
    </row>
    <row r="238" spans="1:22" x14ac:dyDescent="0.3">
      <c r="A238" s="244" t="s">
        <v>42</v>
      </c>
      <c r="B238" s="45"/>
      <c r="C238" s="45"/>
      <c r="D238" s="45"/>
      <c r="E238" s="45"/>
      <c r="F238" s="45"/>
      <c r="G238" s="45"/>
      <c r="H238" s="45"/>
      <c r="I238" s="45">
        <f>H226*'Future Plan Assumptions'!$B$101</f>
        <v>0</v>
      </c>
      <c r="J238" s="45">
        <f>I226*'Future Plan Assumptions'!$B$101</f>
        <v>0</v>
      </c>
      <c r="K238" s="45">
        <f>J226*'Future Plan Assumptions'!$B$101</f>
        <v>0</v>
      </c>
      <c r="L238" s="45">
        <f>K226*'Future Plan Assumptions'!$B$101</f>
        <v>0</v>
      </c>
      <c r="M238" s="45">
        <f>L226*'Future Plan Assumptions'!$B$101</f>
        <v>0</v>
      </c>
      <c r="N238" s="45">
        <f>M226*'Future Plan Assumptions'!$B$101</f>
        <v>0</v>
      </c>
      <c r="O238" s="45">
        <f>N226*'Future Plan Assumptions'!$B$101</f>
        <v>0</v>
      </c>
      <c r="P238" s="45">
        <f>O226*'Future Plan Assumptions'!$B$101</f>
        <v>0</v>
      </c>
      <c r="Q238" s="45">
        <f>P226*'Future Plan Assumptions'!$B$101</f>
        <v>0</v>
      </c>
      <c r="R238" s="45">
        <f>Q226*'Future Plan Assumptions'!$B$101</f>
        <v>0</v>
      </c>
      <c r="S238" s="45">
        <f>R226*'Future Plan Assumptions'!$U$93+R226</f>
        <v>0</v>
      </c>
      <c r="T238" s="45">
        <f>S226*'Future Plan Assumptions'!$U$93+S226</f>
        <v>0</v>
      </c>
      <c r="U238" s="45">
        <f>T226*'Future Plan Assumptions'!$U$93+T226</f>
        <v>0</v>
      </c>
      <c r="V238" s="251">
        <f>'Total REC Delivery Activities'!V236*'Indexed REC Price Calculator'!W78</f>
        <v>3250553.205940614</v>
      </c>
    </row>
    <row r="239" spans="1:22" x14ac:dyDescent="0.3">
      <c r="A239" s="245" t="s">
        <v>233</v>
      </c>
      <c r="B239" s="24">
        <f t="shared" ref="B239:V239" si="25">SUM(B230:B238)</f>
        <v>0</v>
      </c>
      <c r="C239" s="24">
        <f t="shared" si="25"/>
        <v>0</v>
      </c>
      <c r="D239" s="24">
        <f t="shared" si="25"/>
        <v>0</v>
      </c>
      <c r="E239" s="24">
        <f t="shared" si="25"/>
        <v>0</v>
      </c>
      <c r="F239" s="24">
        <f t="shared" si="25"/>
        <v>0</v>
      </c>
      <c r="G239" s="24">
        <f t="shared" si="25"/>
        <v>0</v>
      </c>
      <c r="H239" s="24">
        <f t="shared" si="25"/>
        <v>0</v>
      </c>
      <c r="I239" s="24">
        <f t="shared" si="25"/>
        <v>0</v>
      </c>
      <c r="J239" s="24">
        <f t="shared" si="25"/>
        <v>0</v>
      </c>
      <c r="K239" s="24">
        <f t="shared" si="25"/>
        <v>0</v>
      </c>
      <c r="L239" s="24">
        <f t="shared" si="25"/>
        <v>0</v>
      </c>
      <c r="M239" s="24">
        <f t="shared" si="25"/>
        <v>0</v>
      </c>
      <c r="N239" s="24">
        <f t="shared" si="25"/>
        <v>0</v>
      </c>
      <c r="O239" s="24">
        <f t="shared" si="25"/>
        <v>0</v>
      </c>
      <c r="P239" s="24">
        <f t="shared" si="25"/>
        <v>0</v>
      </c>
      <c r="Q239" s="24">
        <f t="shared" si="25"/>
        <v>0</v>
      </c>
      <c r="R239" s="24">
        <f t="shared" si="25"/>
        <v>0</v>
      </c>
      <c r="S239" s="24">
        <f t="shared" si="25"/>
        <v>48445304.316200569</v>
      </c>
      <c r="T239" s="24">
        <f t="shared" si="25"/>
        <v>13505848.092722449</v>
      </c>
      <c r="U239" s="24">
        <f t="shared" si="25"/>
        <v>13383552.691609569</v>
      </c>
      <c r="V239" s="24">
        <f t="shared" si="25"/>
        <v>25293110.030204754</v>
      </c>
    </row>
    <row r="242" spans="1:22" ht="15.6" x14ac:dyDescent="0.3">
      <c r="A242" s="248">
        <v>2040</v>
      </c>
      <c r="B242" s="247">
        <v>2022</v>
      </c>
      <c r="C242" s="247">
        <v>2023</v>
      </c>
      <c r="D242" s="247">
        <v>2024</v>
      </c>
      <c r="E242" s="247">
        <v>2025</v>
      </c>
      <c r="F242" s="247">
        <v>2026</v>
      </c>
      <c r="G242" s="247">
        <v>2027</v>
      </c>
      <c r="H242" s="247">
        <v>2028</v>
      </c>
      <c r="I242" s="247">
        <v>2029</v>
      </c>
      <c r="J242" s="247">
        <v>2030</v>
      </c>
      <c r="K242" s="247">
        <v>2031</v>
      </c>
      <c r="L242" s="247">
        <v>2032</v>
      </c>
      <c r="M242" s="247">
        <v>2033</v>
      </c>
      <c r="N242" s="247">
        <v>2034</v>
      </c>
      <c r="O242" s="247">
        <v>2035</v>
      </c>
      <c r="P242" s="247">
        <v>2036</v>
      </c>
      <c r="Q242" s="247">
        <v>2037</v>
      </c>
      <c r="R242" s="247">
        <v>2038</v>
      </c>
      <c r="S242" s="247">
        <v>2039</v>
      </c>
      <c r="T242" s="247">
        <v>2040</v>
      </c>
      <c r="U242" s="247">
        <v>2041</v>
      </c>
      <c r="V242" s="247">
        <v>2042</v>
      </c>
    </row>
    <row r="243" spans="1:22" x14ac:dyDescent="0.3">
      <c r="A243" s="244" t="s">
        <v>6</v>
      </c>
      <c r="B243" s="45"/>
      <c r="C243" s="45"/>
      <c r="D243" s="45"/>
      <c r="E243" s="45"/>
      <c r="F243" s="45"/>
      <c r="G243" s="45"/>
      <c r="H243" s="45"/>
      <c r="I243" s="45"/>
      <c r="J243" s="45">
        <f>I230*'Future Plan Assumptions'!$B$101</f>
        <v>0</v>
      </c>
      <c r="K243" s="45">
        <f>J230*'Future Plan Assumptions'!$B$101</f>
        <v>0</v>
      </c>
      <c r="L243" s="45">
        <f>K230*'Future Plan Assumptions'!$B$101</f>
        <v>0</v>
      </c>
      <c r="M243" s="45">
        <f>L230*'Future Plan Assumptions'!$B$101</f>
        <v>0</v>
      </c>
      <c r="N243" s="45">
        <f>M230*'Future Plan Assumptions'!$B$101</f>
        <v>0</v>
      </c>
      <c r="O243" s="45">
        <f>N230*'Future Plan Assumptions'!$B$101</f>
        <v>0</v>
      </c>
      <c r="P243" s="45">
        <f>O230*'Future Plan Assumptions'!$B$101</f>
        <v>0</v>
      </c>
      <c r="Q243" s="45">
        <f>P230*'Future Plan Assumptions'!$B$101</f>
        <v>0</v>
      </c>
      <c r="R243" s="45">
        <f>Q230*'Future Plan Assumptions'!$B$101</f>
        <v>0</v>
      </c>
      <c r="S243" s="45">
        <f>R230*'Future Plan Assumptions'!$B$101</f>
        <v>0</v>
      </c>
      <c r="T243" s="45">
        <f>S230*'Future Plan Assumptions'!$B$101</f>
        <v>38339288.540377848</v>
      </c>
      <c r="U243" s="45">
        <f>T230*'Future Plan Assumptions'!$B$101</f>
        <v>0</v>
      </c>
      <c r="V243" s="45">
        <f>U230*'Future Plan Assumptions'!$B$101</f>
        <v>0</v>
      </c>
    </row>
    <row r="244" spans="1:22" x14ac:dyDescent="0.3">
      <c r="A244" s="244" t="s">
        <v>12</v>
      </c>
      <c r="B244" s="45"/>
      <c r="C244" s="45"/>
      <c r="D244" s="45"/>
      <c r="E244" s="45"/>
      <c r="F244" s="45"/>
      <c r="G244" s="45"/>
      <c r="H244" s="45"/>
      <c r="I244" s="45"/>
      <c r="J244" s="45">
        <f>I231*'Future Plan Assumptions'!$B$101</f>
        <v>0</v>
      </c>
      <c r="K244" s="45">
        <f>J231*'Future Plan Assumptions'!$B$101</f>
        <v>0</v>
      </c>
      <c r="L244" s="45">
        <f>K231*'Future Plan Assumptions'!$B$101</f>
        <v>0</v>
      </c>
      <c r="M244" s="45">
        <f>L231*'Future Plan Assumptions'!$B$101</f>
        <v>0</v>
      </c>
      <c r="N244" s="45">
        <f>M231*'Future Plan Assumptions'!$B$101</f>
        <v>0</v>
      </c>
      <c r="O244" s="45">
        <f>N231*'Future Plan Assumptions'!$B$101</f>
        <v>0</v>
      </c>
      <c r="P244" s="45">
        <f>O231*'Future Plan Assumptions'!$B$101</f>
        <v>0</v>
      </c>
      <c r="Q244" s="45">
        <f>P231*'Future Plan Assumptions'!$B$101</f>
        <v>0</v>
      </c>
      <c r="R244" s="45">
        <f>Q231*'Future Plan Assumptions'!$B$101</f>
        <v>0</v>
      </c>
      <c r="S244" s="45">
        <f>R231*'Future Plan Assumptions'!$B$101</f>
        <v>0</v>
      </c>
      <c r="T244" s="45">
        <f>S231*'Future Plan Assumptions'!$B$101</f>
        <v>4114070.236131967</v>
      </c>
      <c r="U244" s="45">
        <f>T231*'Future Plan Assumptions'!$B$101</f>
        <v>3885510.7785690827</v>
      </c>
      <c r="V244" s="45">
        <f>U231*'Future Plan Assumptions'!$B$101</f>
        <v>3885510.7785690827</v>
      </c>
    </row>
    <row r="245" spans="1:22" x14ac:dyDescent="0.3">
      <c r="A245" s="244" t="s">
        <v>21</v>
      </c>
      <c r="B245" s="45"/>
      <c r="C245" s="45"/>
      <c r="D245" s="45"/>
      <c r="E245" s="45"/>
      <c r="F245" s="45"/>
      <c r="G245" s="45"/>
      <c r="H245" s="45"/>
      <c r="I245" s="45"/>
      <c r="J245" s="45">
        <f>I232*'Future Plan Assumptions'!$B$101</f>
        <v>0</v>
      </c>
      <c r="K245" s="45">
        <f>J232*'Future Plan Assumptions'!$B$101</f>
        <v>0</v>
      </c>
      <c r="L245" s="45">
        <f>K232*'Future Plan Assumptions'!$B$101</f>
        <v>0</v>
      </c>
      <c r="M245" s="45">
        <f>L232*'Future Plan Assumptions'!$B$101</f>
        <v>0</v>
      </c>
      <c r="N245" s="45">
        <f>M232*'Future Plan Assumptions'!$B$101</f>
        <v>0</v>
      </c>
      <c r="O245" s="45">
        <f>N232*'Future Plan Assumptions'!$B$101</f>
        <v>0</v>
      </c>
      <c r="P245" s="45">
        <f>O232*'Future Plan Assumptions'!$B$101</f>
        <v>0</v>
      </c>
      <c r="Q245" s="45">
        <f>P232*'Future Plan Assumptions'!$B$101</f>
        <v>0</v>
      </c>
      <c r="R245" s="45">
        <f>Q232*'Future Plan Assumptions'!$B$101</f>
        <v>0</v>
      </c>
      <c r="S245" s="45">
        <f>R232*'Future Plan Assumptions'!$B$101</f>
        <v>0</v>
      </c>
      <c r="T245" s="45">
        <f>S232*'Future Plan Assumptions'!$B$101</f>
        <v>0</v>
      </c>
      <c r="U245" s="45">
        <f>T232*'Future Plan Assumptions'!$B$101</f>
        <v>3533858.0883442909</v>
      </c>
      <c r="V245" s="45">
        <f>U232*'Future Plan Assumptions'!$B$101</f>
        <v>3516188.7979025701</v>
      </c>
    </row>
    <row r="246" spans="1:22" x14ac:dyDescent="0.3">
      <c r="A246" s="244" t="s">
        <v>25</v>
      </c>
      <c r="B246" s="45"/>
      <c r="C246" s="45"/>
      <c r="D246" s="45"/>
      <c r="E246" s="45"/>
      <c r="F246" s="45"/>
      <c r="G246" s="45"/>
      <c r="H246" s="45"/>
      <c r="I246" s="45"/>
      <c r="J246" s="45">
        <f>I233*'Future Plan Assumptions'!$B$101</f>
        <v>0</v>
      </c>
      <c r="K246" s="45">
        <f>J233*'Future Plan Assumptions'!$B$101</f>
        <v>0</v>
      </c>
      <c r="L246" s="45">
        <f>K233*'Future Plan Assumptions'!$B$101</f>
        <v>0</v>
      </c>
      <c r="M246" s="45">
        <f>L233*'Future Plan Assumptions'!$B$101</f>
        <v>0</v>
      </c>
      <c r="N246" s="45">
        <f>M233*'Future Plan Assumptions'!$B$101</f>
        <v>0</v>
      </c>
      <c r="O246" s="45">
        <f>N233*'Future Plan Assumptions'!$B$101</f>
        <v>0</v>
      </c>
      <c r="P246" s="45">
        <f>O233*'Future Plan Assumptions'!$B$101</f>
        <v>0</v>
      </c>
      <c r="Q246" s="45">
        <f>P233*'Future Plan Assumptions'!$B$101</f>
        <v>0</v>
      </c>
      <c r="R246" s="45">
        <f>Q233*'Future Plan Assumptions'!$B$101</f>
        <v>0</v>
      </c>
      <c r="S246" s="45">
        <f>R233*'Future Plan Assumptions'!$B$101</f>
        <v>0</v>
      </c>
      <c r="T246" s="45">
        <f>S233*'Future Plan Assumptions'!$B$101</f>
        <v>1997098.2489767529</v>
      </c>
      <c r="U246" s="45">
        <f>T233*'Future Plan Assumptions'!$B$101</f>
        <v>1987112.7577318689</v>
      </c>
      <c r="V246" s="45">
        <f>U233*'Future Plan Assumptions'!$B$101</f>
        <v>1977177.1939432099</v>
      </c>
    </row>
    <row r="247" spans="1:22" x14ac:dyDescent="0.3">
      <c r="A247" s="244" t="s">
        <v>29</v>
      </c>
      <c r="B247" s="45"/>
      <c r="C247" s="45"/>
      <c r="D247" s="45"/>
      <c r="E247" s="45"/>
      <c r="F247" s="45"/>
      <c r="G247" s="45"/>
      <c r="H247" s="45"/>
      <c r="I247" s="45"/>
      <c r="J247" s="45">
        <f>I234*'Future Plan Assumptions'!$B$101</f>
        <v>0</v>
      </c>
      <c r="K247" s="45">
        <f>J234*'Future Plan Assumptions'!$B$101</f>
        <v>0</v>
      </c>
      <c r="L247" s="45">
        <f>K234*'Future Plan Assumptions'!$B$101</f>
        <v>0</v>
      </c>
      <c r="M247" s="45">
        <f>L234*'Future Plan Assumptions'!$B$101</f>
        <v>0</v>
      </c>
      <c r="N247" s="45">
        <f>M234*'Future Plan Assumptions'!$B$101</f>
        <v>0</v>
      </c>
      <c r="O247" s="45">
        <f>N234*'Future Plan Assumptions'!$B$101</f>
        <v>0</v>
      </c>
      <c r="P247" s="45">
        <f>O234*'Future Plan Assumptions'!$B$101</f>
        <v>0</v>
      </c>
      <c r="Q247" s="45">
        <f>P234*'Future Plan Assumptions'!$B$101</f>
        <v>0</v>
      </c>
      <c r="R247" s="45">
        <f>Q234*'Future Plan Assumptions'!$B$101</f>
        <v>0</v>
      </c>
      <c r="S247" s="45">
        <f>R234*'Future Plan Assumptions'!$B$101</f>
        <v>0</v>
      </c>
      <c r="T247" s="45">
        <f>S234*'Future Plan Assumptions'!$B$101</f>
        <v>0</v>
      </c>
      <c r="U247" s="45">
        <f>T234*'Future Plan Assumptions'!$B$101</f>
        <v>1616377.1550837678</v>
      </c>
      <c r="V247" s="45">
        <f>U234*'Future Plan Assumptions'!$B$101</f>
        <v>1526578.4242457801</v>
      </c>
    </row>
    <row r="248" spans="1:22" x14ac:dyDescent="0.3">
      <c r="A248" s="244" t="s">
        <v>33</v>
      </c>
      <c r="B248" s="45"/>
      <c r="C248" s="45"/>
      <c r="D248" s="45"/>
      <c r="E248" s="45"/>
      <c r="F248" s="45"/>
      <c r="G248" s="45"/>
      <c r="H248" s="45"/>
      <c r="I248" s="45"/>
      <c r="J248" s="45">
        <f>I235*'Future Plan Assumptions'!$B$101</f>
        <v>0</v>
      </c>
      <c r="K248" s="45">
        <f>J235*'Future Plan Assumptions'!$B$101</f>
        <v>0</v>
      </c>
      <c r="L248" s="45">
        <f>K235*'Future Plan Assumptions'!$B$101</f>
        <v>0</v>
      </c>
      <c r="M248" s="45">
        <f>L235*'Future Plan Assumptions'!$B$101</f>
        <v>0</v>
      </c>
      <c r="N248" s="45">
        <f>M235*'Future Plan Assumptions'!$B$101</f>
        <v>0</v>
      </c>
      <c r="O248" s="45">
        <f>N235*'Future Plan Assumptions'!$B$101</f>
        <v>0</v>
      </c>
      <c r="P248" s="45">
        <f>O235*'Future Plan Assumptions'!$B$101</f>
        <v>0</v>
      </c>
      <c r="Q248" s="45">
        <f>P235*'Future Plan Assumptions'!$B$101</f>
        <v>0</v>
      </c>
      <c r="R248" s="45">
        <f>Q235*'Future Plan Assumptions'!$B$101</f>
        <v>0</v>
      </c>
      <c r="S248" s="45">
        <f>R235*'Future Plan Assumptions'!$B$101</f>
        <v>0</v>
      </c>
      <c r="T248" s="45">
        <f>S235*'Future Plan Assumptions'!$B$101</f>
        <v>2057035.1180659835</v>
      </c>
      <c r="U248" s="45">
        <f>T235*'Future Plan Assumptions'!$B$101</f>
        <v>1942755.3892845414</v>
      </c>
      <c r="V248" s="45">
        <f>U235*'Future Plan Assumptions'!$B$101</f>
        <v>1942755.3892845414</v>
      </c>
    </row>
    <row r="249" spans="1:22" x14ac:dyDescent="0.3">
      <c r="A249" s="244" t="s">
        <v>40</v>
      </c>
      <c r="B249" s="45"/>
      <c r="C249" s="45"/>
      <c r="D249" s="45"/>
      <c r="E249" s="45"/>
      <c r="F249" s="45"/>
      <c r="G249" s="45"/>
      <c r="H249" s="45"/>
      <c r="I249" s="45"/>
      <c r="J249" s="45">
        <f>I236*'Future Plan Assumptions'!$B$101</f>
        <v>0</v>
      </c>
      <c r="K249" s="45">
        <f>J236*'Future Plan Assumptions'!$B$101</f>
        <v>0</v>
      </c>
      <c r="L249" s="45">
        <f>K236*'Future Plan Assumptions'!$B$101</f>
        <v>0</v>
      </c>
      <c r="M249" s="45">
        <f>L236*'Future Plan Assumptions'!$B$101</f>
        <v>0</v>
      </c>
      <c r="N249" s="45">
        <f>M236*'Future Plan Assumptions'!$B$101</f>
        <v>0</v>
      </c>
      <c r="O249" s="45">
        <f>N236*'Future Plan Assumptions'!$B$101</f>
        <v>0</v>
      </c>
      <c r="P249" s="45">
        <f>O236*'Future Plan Assumptions'!$B$101</f>
        <v>0</v>
      </c>
      <c r="Q249" s="45">
        <f>P236*'Future Plan Assumptions'!$B$101</f>
        <v>0</v>
      </c>
      <c r="R249" s="45">
        <f>Q236*'Future Plan Assumptions'!$B$101</f>
        <v>0</v>
      </c>
      <c r="S249" s="45">
        <f>R236*'Future Plan Assumptions'!$B$101</f>
        <v>0</v>
      </c>
      <c r="T249" s="45">
        <f>S236*'Future Plan Assumptions'!$V$93+S236</f>
        <v>0</v>
      </c>
      <c r="U249" s="45">
        <f>T236*'Future Plan Assumptions'!$V$93+T236</f>
        <v>0</v>
      </c>
      <c r="V249" s="45">
        <f>U236*'Future Plan Assumptions'!$V$93+U236</f>
        <v>0</v>
      </c>
    </row>
    <row r="250" spans="1:22" x14ac:dyDescent="0.3">
      <c r="A250" s="244" t="s">
        <v>41</v>
      </c>
      <c r="B250" s="45"/>
      <c r="C250" s="45"/>
      <c r="D250" s="45"/>
      <c r="E250" s="45"/>
      <c r="F250" s="45"/>
      <c r="G250" s="45"/>
      <c r="H250" s="45"/>
      <c r="I250" s="45"/>
      <c r="J250" s="45">
        <f>I237*'Future Plan Assumptions'!$B$101</f>
        <v>0</v>
      </c>
      <c r="K250" s="45">
        <f>J237*'Future Plan Assumptions'!$B$101</f>
        <v>0</v>
      </c>
      <c r="L250" s="45">
        <f>K237*'Future Plan Assumptions'!$B$101</f>
        <v>0</v>
      </c>
      <c r="M250" s="45">
        <f>L237*'Future Plan Assumptions'!$B$101</f>
        <v>0</v>
      </c>
      <c r="N250" s="45">
        <f>M237*'Future Plan Assumptions'!$B$101</f>
        <v>0</v>
      </c>
      <c r="O250" s="45">
        <f>N237*'Future Plan Assumptions'!$B$101</f>
        <v>0</v>
      </c>
      <c r="P250" s="45">
        <f>O237*'Future Plan Assumptions'!$B$101</f>
        <v>0</v>
      </c>
      <c r="Q250" s="45">
        <f>P237*'Future Plan Assumptions'!$B$101</f>
        <v>0</v>
      </c>
      <c r="R250" s="45">
        <f>Q237*'Future Plan Assumptions'!$B$101</f>
        <v>0</v>
      </c>
      <c r="S250" s="45">
        <f>R237*'Future Plan Assumptions'!$B$101</f>
        <v>0</v>
      </c>
      <c r="T250" s="45">
        <f>S237*'Future Plan Assumptions'!$V$93+S237</f>
        <v>0</v>
      </c>
      <c r="U250" s="45">
        <f>T237*'Future Plan Assumptions'!$V$93+T237</f>
        <v>0</v>
      </c>
      <c r="V250" s="45">
        <f>U237*'Future Plan Assumptions'!$V$93+U237</f>
        <v>0</v>
      </c>
    </row>
    <row r="251" spans="1:22" x14ac:dyDescent="0.3">
      <c r="A251" s="244" t="s">
        <v>42</v>
      </c>
      <c r="B251" s="45"/>
      <c r="C251" s="45"/>
      <c r="D251" s="45"/>
      <c r="E251" s="45"/>
      <c r="F251" s="45"/>
      <c r="G251" s="45"/>
      <c r="H251" s="45"/>
      <c r="I251" s="45"/>
      <c r="J251" s="45">
        <f>I238*'Future Plan Assumptions'!$B$101</f>
        <v>0</v>
      </c>
      <c r="K251" s="45">
        <f>J238*'Future Plan Assumptions'!$B$101</f>
        <v>0</v>
      </c>
      <c r="L251" s="45">
        <f>K238*'Future Plan Assumptions'!$B$101</f>
        <v>0</v>
      </c>
      <c r="M251" s="45">
        <f>L238*'Future Plan Assumptions'!$B$101</f>
        <v>0</v>
      </c>
      <c r="N251" s="45">
        <f>M238*'Future Plan Assumptions'!$B$101</f>
        <v>0</v>
      </c>
      <c r="O251" s="45">
        <f>N238*'Future Plan Assumptions'!$B$101</f>
        <v>0</v>
      </c>
      <c r="P251" s="45">
        <f>O238*'Future Plan Assumptions'!$B$101</f>
        <v>0</v>
      </c>
      <c r="Q251" s="45">
        <f>P238*'Future Plan Assumptions'!$B$101</f>
        <v>0</v>
      </c>
      <c r="R251" s="45">
        <f>Q238*'Future Plan Assumptions'!$B$101</f>
        <v>0</v>
      </c>
      <c r="S251" s="45">
        <f>R238*'Future Plan Assumptions'!$B$101</f>
        <v>0</v>
      </c>
      <c r="T251" s="45">
        <f>S238*'Future Plan Assumptions'!$V$93+S238</f>
        <v>0</v>
      </c>
      <c r="U251" s="45">
        <f>T238*'Future Plan Assumptions'!$V$93+T238</f>
        <v>0</v>
      </c>
      <c r="V251" s="45">
        <f>U238*'Future Plan Assumptions'!$V$93+U238</f>
        <v>0</v>
      </c>
    </row>
    <row r="252" spans="1:22" x14ac:dyDescent="0.3">
      <c r="A252" s="245" t="s">
        <v>233</v>
      </c>
      <c r="B252" s="24">
        <f t="shared" ref="B252:V252" si="26">SUM(B243:B251)</f>
        <v>0</v>
      </c>
      <c r="C252" s="24">
        <f t="shared" si="26"/>
        <v>0</v>
      </c>
      <c r="D252" s="24">
        <f t="shared" si="26"/>
        <v>0</v>
      </c>
      <c r="E252" s="24">
        <f t="shared" si="26"/>
        <v>0</v>
      </c>
      <c r="F252" s="24">
        <f t="shared" si="26"/>
        <v>0</v>
      </c>
      <c r="G252" s="24">
        <f t="shared" si="26"/>
        <v>0</v>
      </c>
      <c r="H252" s="24">
        <f t="shared" si="26"/>
        <v>0</v>
      </c>
      <c r="I252" s="24">
        <f t="shared" si="26"/>
        <v>0</v>
      </c>
      <c r="J252" s="24">
        <f t="shared" si="26"/>
        <v>0</v>
      </c>
      <c r="K252" s="24">
        <f t="shared" si="26"/>
        <v>0</v>
      </c>
      <c r="L252" s="24">
        <f t="shared" si="26"/>
        <v>0</v>
      </c>
      <c r="M252" s="24">
        <f t="shared" si="26"/>
        <v>0</v>
      </c>
      <c r="N252" s="24">
        <f t="shared" si="26"/>
        <v>0</v>
      </c>
      <c r="O252" s="24">
        <f t="shared" si="26"/>
        <v>0</v>
      </c>
      <c r="P252" s="24">
        <f t="shared" si="26"/>
        <v>0</v>
      </c>
      <c r="Q252" s="24">
        <f t="shared" si="26"/>
        <v>0</v>
      </c>
      <c r="R252" s="24">
        <f t="shared" si="26"/>
        <v>0</v>
      </c>
      <c r="S252" s="24">
        <f t="shared" si="26"/>
        <v>0</v>
      </c>
      <c r="T252" s="24">
        <f t="shared" si="26"/>
        <v>46507492.143552549</v>
      </c>
      <c r="U252" s="24">
        <f t="shared" si="26"/>
        <v>12965614.169013552</v>
      </c>
      <c r="V252" s="24">
        <f t="shared" si="26"/>
        <v>12848210.583945185</v>
      </c>
    </row>
    <row r="261" spans="1:22" ht="15.6" x14ac:dyDescent="0.3">
      <c r="A261" s="246" t="s">
        <v>235</v>
      </c>
      <c r="B261" s="247">
        <v>2022</v>
      </c>
      <c r="C261" s="247">
        <f t="shared" ref="C261:V261" si="27">B261+1</f>
        <v>2023</v>
      </c>
      <c r="D261" s="247">
        <f t="shared" si="27"/>
        <v>2024</v>
      </c>
      <c r="E261" s="247">
        <f t="shared" si="27"/>
        <v>2025</v>
      </c>
      <c r="F261" s="247">
        <f t="shared" si="27"/>
        <v>2026</v>
      </c>
      <c r="G261" s="247">
        <f t="shared" si="27"/>
        <v>2027</v>
      </c>
      <c r="H261" s="247">
        <f t="shared" si="27"/>
        <v>2028</v>
      </c>
      <c r="I261" s="247">
        <f t="shared" si="27"/>
        <v>2029</v>
      </c>
      <c r="J261" s="247">
        <f t="shared" si="27"/>
        <v>2030</v>
      </c>
      <c r="K261" s="247">
        <f t="shared" si="27"/>
        <v>2031</v>
      </c>
      <c r="L261" s="247">
        <f t="shared" si="27"/>
        <v>2032</v>
      </c>
      <c r="M261" s="247">
        <f t="shared" si="27"/>
        <v>2033</v>
      </c>
      <c r="N261" s="247">
        <f t="shared" si="27"/>
        <v>2034</v>
      </c>
      <c r="O261" s="247">
        <f t="shared" si="27"/>
        <v>2035</v>
      </c>
      <c r="P261" s="247">
        <f t="shared" si="27"/>
        <v>2036</v>
      </c>
      <c r="Q261" s="247">
        <f t="shared" si="27"/>
        <v>2037</v>
      </c>
      <c r="R261" s="247">
        <f t="shared" si="27"/>
        <v>2038</v>
      </c>
      <c r="S261" s="247">
        <f t="shared" si="27"/>
        <v>2039</v>
      </c>
      <c r="T261" s="247">
        <f t="shared" si="27"/>
        <v>2040</v>
      </c>
      <c r="U261" s="247">
        <f t="shared" si="27"/>
        <v>2041</v>
      </c>
      <c r="V261" s="247">
        <f t="shared" si="27"/>
        <v>2042</v>
      </c>
    </row>
    <row r="262" spans="1:22" x14ac:dyDescent="0.3">
      <c r="A262" s="244" t="s">
        <v>6</v>
      </c>
      <c r="B262" s="114">
        <f t="shared" ref="B262:V262" si="28">B4+B18+B32+B44+B56+B68+B80+B92+B104+B117+B130+B144+B158+B170+B182+B194+B206+B218+B230+B243</f>
        <v>335733555.14188653</v>
      </c>
      <c r="C262" s="114">
        <f t="shared" si="28"/>
        <v>153483990.97419566</v>
      </c>
      <c r="D262" s="114">
        <f t="shared" si="28"/>
        <v>147344631.33522782</v>
      </c>
      <c r="E262" s="114">
        <f t="shared" si="28"/>
        <v>141450846.0818187</v>
      </c>
      <c r="F262" s="114">
        <f t="shared" si="28"/>
        <v>135792812.23854595</v>
      </c>
      <c r="G262" s="114">
        <f t="shared" si="28"/>
        <v>130361099.74900411</v>
      </c>
      <c r="H262" s="114">
        <f t="shared" si="28"/>
        <v>125146655.75904395</v>
      </c>
      <c r="I262" s="114">
        <f t="shared" si="28"/>
        <v>120140789.52868219</v>
      </c>
      <c r="J262" s="114">
        <f t="shared" si="28"/>
        <v>115335157.94753489</v>
      </c>
      <c r="K262" s="114">
        <f t="shared" si="28"/>
        <v>110721751.62963349</v>
      </c>
      <c r="L262" s="114">
        <f t="shared" si="28"/>
        <v>106292881.56444815</v>
      </c>
      <c r="M262" s="114">
        <f t="shared" si="28"/>
        <v>51020583.150935106</v>
      </c>
      <c r="N262" s="114">
        <f t="shared" si="28"/>
        <v>48979759.824897699</v>
      </c>
      <c r="O262" s="114">
        <f t="shared" si="28"/>
        <v>47020569.43190179</v>
      </c>
      <c r="P262" s="114">
        <f t="shared" si="28"/>
        <v>45139746.654625714</v>
      </c>
      <c r="Q262" s="114">
        <f t="shared" si="28"/>
        <v>43334156.788440682</v>
      </c>
      <c r="R262" s="114">
        <f t="shared" si="28"/>
        <v>41600790.51690305</v>
      </c>
      <c r="S262" s="114">
        <f t="shared" si="28"/>
        <v>39936758.896226928</v>
      </c>
      <c r="T262" s="114">
        <f t="shared" si="28"/>
        <v>38339288.540377848</v>
      </c>
      <c r="U262" s="114">
        <f t="shared" si="28"/>
        <v>0</v>
      </c>
      <c r="V262" s="114">
        <f t="shared" si="28"/>
        <v>0</v>
      </c>
    </row>
    <row r="263" spans="1:22" x14ac:dyDescent="0.3">
      <c r="A263" s="244" t="s">
        <v>12</v>
      </c>
      <c r="B263" s="114">
        <f t="shared" ref="B263:V263" si="29">B5+B19+B33+B45+B57+B69+B81+B93+B105+B118+B131+B145+B159+B171+B183+B195+B207+B219+B231+B244</f>
        <v>36754764.933285579</v>
      </c>
      <c r="C263" s="114">
        <f t="shared" si="29"/>
        <v>51182724.957920611</v>
      </c>
      <c r="D263" s="114">
        <f t="shared" si="29"/>
        <v>66078826.744133383</v>
      </c>
      <c r="E263" s="114">
        <f t="shared" si="29"/>
        <v>80379084.45889765</v>
      </c>
      <c r="F263" s="114">
        <f t="shared" si="29"/>
        <v>94107331.865071341</v>
      </c>
      <c r="G263" s="114">
        <f t="shared" si="29"/>
        <v>107286449.37499809</v>
      </c>
      <c r="H263" s="114">
        <f t="shared" si="29"/>
        <v>119938402.18452775</v>
      </c>
      <c r="I263" s="114">
        <f t="shared" si="29"/>
        <v>97371443.333573177</v>
      </c>
      <c r="J263" s="114">
        <f t="shared" si="29"/>
        <v>93476585.600230247</v>
      </c>
      <c r="K263" s="114">
        <f t="shared" si="29"/>
        <v>89737522.176221043</v>
      </c>
      <c r="L263" s="114">
        <f t="shared" si="29"/>
        <v>86148021.289172187</v>
      </c>
      <c r="M263" s="114">
        <f t="shared" si="29"/>
        <v>77227239.777363911</v>
      </c>
      <c r="N263" s="114">
        <f t="shared" si="29"/>
        <v>68967448.451596916</v>
      </c>
      <c r="O263" s="114">
        <f t="shared" si="29"/>
        <v>61038048.778860621</v>
      </c>
      <c r="P263" s="114">
        <f t="shared" si="29"/>
        <v>53425825.093033768</v>
      </c>
      <c r="Q263" s="114">
        <f t="shared" si="29"/>
        <v>46118090.354639992</v>
      </c>
      <c r="R263" s="114">
        <f t="shared" si="29"/>
        <v>39102665.005781963</v>
      </c>
      <c r="S263" s="114">
        <f t="shared" si="29"/>
        <v>32367856.670878254</v>
      </c>
      <c r="T263" s="114">
        <f t="shared" si="29"/>
        <v>31073142.404043123</v>
      </c>
      <c r="U263" s="114">
        <f t="shared" si="29"/>
        <v>25880709.281194713</v>
      </c>
      <c r="V263" s="114">
        <f t="shared" si="29"/>
        <v>21115390.562520605</v>
      </c>
    </row>
    <row r="264" spans="1:22" x14ac:dyDescent="0.3">
      <c r="A264" s="244" t="s">
        <v>21</v>
      </c>
      <c r="B264" s="114">
        <f t="shared" ref="B264:V264" si="30">B6+B20+B34+B46+B58+B70+B82+B94+B106+B119+B132+B146+B160+B172+B184+B196+B208+B220+B232+B245</f>
        <v>0</v>
      </c>
      <c r="C264" s="114">
        <f t="shared" si="30"/>
        <v>35482865.218152002</v>
      </c>
      <c r="D264" s="114">
        <f t="shared" si="30"/>
        <v>49452574.210854515</v>
      </c>
      <c r="E264" s="114">
        <f t="shared" si="30"/>
        <v>62786549.725841783</v>
      </c>
      <c r="F264" s="114">
        <f t="shared" si="30"/>
        <v>75510605.827812463</v>
      </c>
      <c r="G264" s="114">
        <f t="shared" si="30"/>
        <v>87649522.09524928</v>
      </c>
      <c r="H264" s="114">
        <f t="shared" si="30"/>
        <v>99227085.009485886</v>
      </c>
      <c r="I264" s="114">
        <f t="shared" si="30"/>
        <v>110266127.68816277</v>
      </c>
      <c r="J264" s="114">
        <f t="shared" si="30"/>
        <v>120788568.02929734</v>
      </c>
      <c r="K264" s="114">
        <f t="shared" si="30"/>
        <v>130815445.32954322</v>
      </c>
      <c r="L264" s="114">
        <f t="shared" si="30"/>
        <v>140366955.43767211</v>
      </c>
      <c r="M264" s="114">
        <f t="shared" si="30"/>
        <v>149462484.50186935</v>
      </c>
      <c r="N264" s="114">
        <f t="shared" si="30"/>
        <v>153417906.72322506</v>
      </c>
      <c r="O264" s="114">
        <f t="shared" si="30"/>
        <v>157165442.44771945</v>
      </c>
      <c r="P264" s="114">
        <f t="shared" si="30"/>
        <v>160713655.48326683</v>
      </c>
      <c r="Q264" s="114">
        <f t="shared" si="30"/>
        <v>164070765.8437252</v>
      </c>
      <c r="R264" s="114">
        <f t="shared" si="30"/>
        <v>167244663.50686622</v>
      </c>
      <c r="S264" s="114">
        <f t="shared" si="30"/>
        <v>170242921.62199709</v>
      </c>
      <c r="T264" s="114">
        <f t="shared" si="30"/>
        <v>173072809.1892457</v>
      </c>
      <c r="U264" s="114">
        <f t="shared" si="30"/>
        <v>175741303.23164374</v>
      </c>
      <c r="V264" s="114">
        <f t="shared" si="30"/>
        <v>174862596.71548566</v>
      </c>
    </row>
    <row r="265" spans="1:22" x14ac:dyDescent="0.3">
      <c r="A265" s="244" t="s">
        <v>25</v>
      </c>
      <c r="B265" s="114">
        <f t="shared" ref="B265:V265" si="31">B7+B21+B35+B47+B59+B71+B83+B95+B107+B120+B133+B147+B161+B173+B185+B197+B209+B221+B233+B246</f>
        <v>18137533.746097699</v>
      </c>
      <c r="C265" s="114">
        <f t="shared" si="31"/>
        <v>26041846.018425301</v>
      </c>
      <c r="D265" s="114">
        <f t="shared" si="31"/>
        <v>33586836.731748931</v>
      </c>
      <c r="E265" s="114">
        <f t="shared" si="31"/>
        <v>40787094.493769318</v>
      </c>
      <c r="F265" s="114">
        <f t="shared" si="31"/>
        <v>47656623.289152436</v>
      </c>
      <c r="G265" s="114">
        <f t="shared" si="31"/>
        <v>54208865.869844563</v>
      </c>
      <c r="H265" s="114">
        <f t="shared" si="31"/>
        <v>60456726.209747717</v>
      </c>
      <c r="I265" s="114">
        <f t="shared" si="31"/>
        <v>66412591.061181255</v>
      </c>
      <c r="J265" s="114">
        <f t="shared" si="31"/>
        <v>72088350.649058342</v>
      </c>
      <c r="K265" s="114">
        <f t="shared" si="31"/>
        <v>77495418.537268713</v>
      </c>
      <c r="L265" s="114">
        <f t="shared" si="31"/>
        <v>82644750.700379789</v>
      </c>
      <c r="M265" s="114">
        <f t="shared" si="31"/>
        <v>84889195.389660671</v>
      </c>
      <c r="N265" s="114">
        <f t="shared" si="31"/>
        <v>87016111.11778383</v>
      </c>
      <c r="O265" s="114">
        <f t="shared" si="31"/>
        <v>89030337.799063519</v>
      </c>
      <c r="P265" s="114">
        <f t="shared" si="31"/>
        <v>90936521.057462052</v>
      </c>
      <c r="Q265" s="114">
        <f t="shared" si="31"/>
        <v>92739120.001672849</v>
      </c>
      <c r="R265" s="114">
        <f t="shared" si="31"/>
        <v>94442414.689182669</v>
      </c>
      <c r="S265" s="114">
        <f t="shared" si="31"/>
        <v>96050513.291754186</v>
      </c>
      <c r="T265" s="114">
        <f t="shared" si="31"/>
        <v>97567358.974272177</v>
      </c>
      <c r="U265" s="114">
        <f t="shared" si="31"/>
        <v>97079522.179400831</v>
      </c>
      <c r="V265" s="114">
        <f t="shared" si="31"/>
        <v>80186721.455449283</v>
      </c>
    </row>
    <row r="266" spans="1:22" x14ac:dyDescent="0.3">
      <c r="A266" s="244" t="s">
        <v>29</v>
      </c>
      <c r="B266" s="114">
        <f t="shared" ref="B266:V266" si="32">B8+B22+B36+B48+B60+B72+B84+B96+B108+B121+B134+B148+B162+B174+B186+B198+B210+B222+B234+B247</f>
        <v>0</v>
      </c>
      <c r="C266" s="114">
        <f t="shared" si="32"/>
        <v>9471594.050903393</v>
      </c>
      <c r="D266" s="114">
        <f t="shared" si="32"/>
        <v>15416250.417782357</v>
      </c>
      <c r="E266" s="114">
        <f t="shared" si="32"/>
        <v>21268780.210680254</v>
      </c>
      <c r="F266" s="114">
        <f t="shared" si="32"/>
        <v>26887208.811862234</v>
      </c>
      <c r="G266" s="114">
        <f t="shared" si="32"/>
        <v>32280900.268996932</v>
      </c>
      <c r="H266" s="114">
        <f t="shared" si="32"/>
        <v>37458844.067846239</v>
      </c>
      <c r="I266" s="114">
        <f t="shared" si="32"/>
        <v>42429670.114741579</v>
      </c>
      <c r="J266" s="114">
        <f t="shared" si="32"/>
        <v>38256268.738352351</v>
      </c>
      <c r="K266" s="114">
        <f t="shared" si="32"/>
        <v>36726017.988818258</v>
      </c>
      <c r="L266" s="114">
        <f t="shared" si="32"/>
        <v>35256977.269265525</v>
      </c>
      <c r="M266" s="114">
        <f t="shared" si="32"/>
        <v>33846698.1784949</v>
      </c>
      <c r="N266" s="114">
        <f t="shared" si="32"/>
        <v>30341812.113463219</v>
      </c>
      <c r="O266" s="114">
        <f t="shared" si="32"/>
        <v>27096622.498693459</v>
      </c>
      <c r="P266" s="114">
        <f t="shared" si="32"/>
        <v>23981240.468514498</v>
      </c>
      <c r="Q266" s="114">
        <f t="shared" si="32"/>
        <v>20990473.719542693</v>
      </c>
      <c r="R266" s="114">
        <f t="shared" si="32"/>
        <v>18119337.640529756</v>
      </c>
      <c r="S266" s="114">
        <f t="shared" si="32"/>
        <v>15363047.00467734</v>
      </c>
      <c r="T266" s="114">
        <f t="shared" si="32"/>
        <v>12717007.994259017</v>
      </c>
      <c r="U266" s="114">
        <f t="shared" si="32"/>
        <v>12208327.674488656</v>
      </c>
      <c r="V266" s="114">
        <f t="shared" si="32"/>
        <v>10168272.498628693</v>
      </c>
    </row>
    <row r="267" spans="1:22" x14ac:dyDescent="0.3">
      <c r="A267" s="244" t="s">
        <v>33</v>
      </c>
      <c r="B267" s="114">
        <f t="shared" ref="B267:V267" si="33">B9+B23+B37+B49+B61+B73+B85+B97+B109+B122+B135+B149+B163+B175+B187+B199+B211+B223+B235+B248</f>
        <v>19783279.830774501</v>
      </c>
      <c r="C267" s="114">
        <f t="shared" si="33"/>
        <v>26919154.433973588</v>
      </c>
      <c r="D267" s="114">
        <f t="shared" si="33"/>
        <v>34367205.327079974</v>
      </c>
      <c r="E267" s="114">
        <f t="shared" si="33"/>
        <v>41517334.1844621</v>
      </c>
      <c r="F267" s="114">
        <f t="shared" si="33"/>
        <v>48381457.887548946</v>
      </c>
      <c r="G267" s="114">
        <f t="shared" si="33"/>
        <v>54971016.642512321</v>
      </c>
      <c r="H267" s="114">
        <f t="shared" si="33"/>
        <v>61296993.047277153</v>
      </c>
      <c r="I267" s="114">
        <f t="shared" si="33"/>
        <v>48685721.666786589</v>
      </c>
      <c r="J267" s="114">
        <f t="shared" si="33"/>
        <v>46738292.800115123</v>
      </c>
      <c r="K267" s="114">
        <f t="shared" si="33"/>
        <v>44868761.088110521</v>
      </c>
      <c r="L267" s="114">
        <f t="shared" si="33"/>
        <v>43074010.644586094</v>
      </c>
      <c r="M267" s="114">
        <f t="shared" si="33"/>
        <v>38613619.888681956</v>
      </c>
      <c r="N267" s="114">
        <f t="shared" si="33"/>
        <v>34483724.225798458</v>
      </c>
      <c r="O267" s="114">
        <f t="shared" si="33"/>
        <v>30519024.389430311</v>
      </c>
      <c r="P267" s="114">
        <f t="shared" si="33"/>
        <v>26712912.546516884</v>
      </c>
      <c r="Q267" s="114">
        <f t="shared" si="33"/>
        <v>23059045.177319996</v>
      </c>
      <c r="R267" s="114">
        <f t="shared" si="33"/>
        <v>19551332.502890982</v>
      </c>
      <c r="S267" s="114">
        <f t="shared" si="33"/>
        <v>16183928.335439127</v>
      </c>
      <c r="T267" s="114">
        <f t="shared" si="33"/>
        <v>15536571.202021562</v>
      </c>
      <c r="U267" s="114">
        <f t="shared" si="33"/>
        <v>12940354.640597356</v>
      </c>
      <c r="V267" s="114">
        <f t="shared" si="33"/>
        <v>10557695.281260302</v>
      </c>
    </row>
    <row r="268" spans="1:22" x14ac:dyDescent="0.3">
      <c r="A268" s="244" t="s">
        <v>40</v>
      </c>
      <c r="B268" s="114">
        <f t="shared" ref="B268:V268" si="34">B10+B24+B38+B50+B62+B74+B86+B98+B110+B123+B136+B150+B164+B176+B188+B200+B212+B224+B236+B249</f>
        <v>0</v>
      </c>
      <c r="C268" s="114">
        <f t="shared" si="34"/>
        <v>0</v>
      </c>
      <c r="D268" s="114">
        <f t="shared" si="34"/>
        <v>0</v>
      </c>
      <c r="E268" s="114">
        <f t="shared" si="34"/>
        <v>380149.51999999897</v>
      </c>
      <c r="F268" s="114">
        <f t="shared" si="34"/>
        <v>2856929.3503999878</v>
      </c>
      <c r="G268" s="114">
        <f t="shared" si="34"/>
        <v>167132.76580795785</v>
      </c>
      <c r="H268" s="114">
        <f t="shared" si="34"/>
        <v>-3913482.9146358902</v>
      </c>
      <c r="I268" s="114">
        <f t="shared" si="34"/>
        <v>-10963539.775403816</v>
      </c>
      <c r="J268" s="114">
        <f t="shared" si="34"/>
        <v>-21149340.517436609</v>
      </c>
      <c r="K268" s="114">
        <f t="shared" si="34"/>
        <v>-34641606.273240596</v>
      </c>
      <c r="L268" s="114">
        <f t="shared" si="34"/>
        <v>-51615586.823069729</v>
      </c>
      <c r="M268" s="114">
        <f t="shared" si="34"/>
        <v>-72251173.452382699</v>
      </c>
      <c r="N268" s="114">
        <f t="shared" si="34"/>
        <v>-96733014.512138963</v>
      </c>
      <c r="O268" s="114">
        <f t="shared" si="34"/>
        <v>-125250633.74490456</v>
      </c>
      <c r="P268" s="114">
        <f t="shared" si="34"/>
        <v>-157755026.43048927</v>
      </c>
      <c r="Q268" s="114">
        <f t="shared" si="34"/>
        <v>-192796997.46999952</v>
      </c>
      <c r="R268" s="114">
        <f t="shared" si="34"/>
        <v>-230485443.29051784</v>
      </c>
      <c r="S268" s="114">
        <f t="shared" si="34"/>
        <v>-270932078.19486886</v>
      </c>
      <c r="T268" s="114">
        <f t="shared" si="34"/>
        <v>-314251503.51807773</v>
      </c>
      <c r="U268" s="114">
        <f t="shared" si="34"/>
        <v>-360561278.42293698</v>
      </c>
      <c r="V268" s="114">
        <f t="shared" si="34"/>
        <v>-409981992.37258333</v>
      </c>
    </row>
    <row r="269" spans="1:22" x14ac:dyDescent="0.3">
      <c r="A269" s="244" t="s">
        <v>41</v>
      </c>
      <c r="B269" s="114">
        <f t="shared" ref="B269:V269" si="35">B11+B25+B39+B51+B63+B75+B87+B99+B111+B124+B137+B151+B165+B177+B189+B201+B213+B225+B237+B250</f>
        <v>0</v>
      </c>
      <c r="C269" s="114">
        <f t="shared" si="35"/>
        <v>0</v>
      </c>
      <c r="D269" s="114">
        <f t="shared" si="35"/>
        <v>0</v>
      </c>
      <c r="E269" s="114">
        <f t="shared" si="35"/>
        <v>20156827.082651991</v>
      </c>
      <c r="F269" s="114">
        <f t="shared" si="35"/>
        <v>29603130.169272792</v>
      </c>
      <c r="G269" s="114">
        <f t="shared" si="35"/>
        <v>37447177.63459637</v>
      </c>
      <c r="H269" s="114">
        <f t="shared" si="35"/>
        <v>55545822.294840291</v>
      </c>
      <c r="I269" s="114">
        <f t="shared" si="35"/>
        <v>71719497.436429262</v>
      </c>
      <c r="J269" s="114">
        <f t="shared" si="35"/>
        <v>85836391.745625108</v>
      </c>
      <c r="K269" s="114">
        <f t="shared" si="35"/>
        <v>97761188.098839387</v>
      </c>
      <c r="L269" s="114">
        <f t="shared" si="35"/>
        <v>107354976.01734532</v>
      </c>
      <c r="M269" s="114">
        <f t="shared" si="35"/>
        <v>114475162.02232942</v>
      </c>
      <c r="N269" s="114">
        <f t="shared" si="35"/>
        <v>118975377.84130985</v>
      </c>
      <c r="O269" s="114">
        <f t="shared" si="35"/>
        <v>120705386.41583011</v>
      </c>
      <c r="P269" s="114">
        <f t="shared" si="35"/>
        <v>107713205.66774099</v>
      </c>
      <c r="Q269" s="114">
        <f t="shared" si="35"/>
        <v>92955638.729259208</v>
      </c>
      <c r="R269" s="114">
        <f t="shared" si="35"/>
        <v>76347049.131337762</v>
      </c>
      <c r="S269" s="114">
        <f t="shared" si="35"/>
        <v>57799580.451087706</v>
      </c>
      <c r="T269" s="114">
        <f t="shared" si="35"/>
        <v>37223101.729282252</v>
      </c>
      <c r="U269" s="114">
        <f t="shared" si="35"/>
        <v>14525151.592331653</v>
      </c>
      <c r="V269" s="114">
        <f t="shared" si="35"/>
        <v>-10389118.951263085</v>
      </c>
    </row>
    <row r="270" spans="1:22" x14ac:dyDescent="0.3">
      <c r="A270" s="244" t="s">
        <v>42</v>
      </c>
      <c r="B270" s="114">
        <f t="shared" ref="B270:V270" si="36">B12+B26+B40+B52+B64+B76+B88+B100+B112+B125+B138+B152+B166+B178+B190+B202+B214+B226+B238+B251</f>
        <v>0</v>
      </c>
      <c r="C270" s="114">
        <f t="shared" si="36"/>
        <v>0</v>
      </c>
      <c r="D270" s="114">
        <f t="shared" si="36"/>
        <v>0</v>
      </c>
      <c r="E270" s="114">
        <f t="shared" si="36"/>
        <v>2379985.4624399994</v>
      </c>
      <c r="F270" s="114">
        <f t="shared" si="36"/>
        <v>5690863.0490648746</v>
      </c>
      <c r="G270" s="114">
        <f t="shared" si="36"/>
        <v>8296833.3495694855</v>
      </c>
      <c r="H270" s="114">
        <f t="shared" si="36"/>
        <v>13481028.829185806</v>
      </c>
      <c r="I270" s="114">
        <f t="shared" si="36"/>
        <v>18621688.440914556</v>
      </c>
      <c r="J270" s="114">
        <f t="shared" si="36"/>
        <v>23710581.088706199</v>
      </c>
      <c r="K270" s="114">
        <f t="shared" si="36"/>
        <v>28739256.678474724</v>
      </c>
      <c r="L270" s="114">
        <f t="shared" si="36"/>
        <v>33699040.648186192</v>
      </c>
      <c r="M270" s="114">
        <f t="shared" si="36"/>
        <v>38581028.366743557</v>
      </c>
      <c r="N270" s="114">
        <f t="shared" si="36"/>
        <v>43376079.398607545</v>
      </c>
      <c r="O270" s="114">
        <f t="shared" si="36"/>
        <v>48074811.631022885</v>
      </c>
      <c r="P270" s="114">
        <f t="shared" si="36"/>
        <v>49606896.511182688</v>
      </c>
      <c r="Q270" s="114">
        <f t="shared" si="36"/>
        <v>51067392.187405437</v>
      </c>
      <c r="R270" s="114">
        <f t="shared" si="36"/>
        <v>50051441.96023342</v>
      </c>
      <c r="S270" s="114">
        <f t="shared" si="36"/>
        <v>51352588.01224947</v>
      </c>
      <c r="T270" s="114">
        <f t="shared" si="36"/>
        <v>52565692.998551421</v>
      </c>
      <c r="U270" s="114">
        <f t="shared" si="36"/>
        <v>53684986.556284532</v>
      </c>
      <c r="V270" s="114">
        <f t="shared" si="36"/>
        <v>54704549.231357098</v>
      </c>
    </row>
    <row r="271" spans="1:22" x14ac:dyDescent="0.3">
      <c r="A271" s="245" t="s">
        <v>233</v>
      </c>
      <c r="B271" s="114">
        <f t="shared" ref="B271:V271" si="37">B13+B27+B41+B53+B65+B77+B89+B101+B113+B126+B139+B153+B167+B179+B191+B203+B215+B227+B239+B252</f>
        <v>410409133.6520443</v>
      </c>
      <c r="C271" s="114">
        <f t="shared" si="37"/>
        <v>302582175.65357059</v>
      </c>
      <c r="D271" s="114">
        <f t="shared" si="37"/>
        <v>346246324.76682699</v>
      </c>
      <c r="E271" s="114">
        <f t="shared" si="37"/>
        <v>411106651.2205618</v>
      </c>
      <c r="F271" s="114">
        <f t="shared" si="37"/>
        <v>466486962.48873103</v>
      </c>
      <c r="G271" s="114">
        <f t="shared" si="37"/>
        <v>512668997.75057912</v>
      </c>
      <c r="H271" s="114">
        <f t="shared" si="37"/>
        <v>568638074.48731887</v>
      </c>
      <c r="I271" s="114">
        <f t="shared" si="37"/>
        <v>564683989.4950676</v>
      </c>
      <c r="J271" s="114">
        <f t="shared" si="37"/>
        <v>575080856.08148301</v>
      </c>
      <c r="K271" s="114">
        <f t="shared" si="37"/>
        <v>582223755.25366867</v>
      </c>
      <c r="L271" s="114">
        <f t="shared" si="37"/>
        <v>583222026.74798572</v>
      </c>
      <c r="M271" s="114">
        <f t="shared" si="37"/>
        <v>515864837.82369626</v>
      </c>
      <c r="N271" s="114">
        <f t="shared" si="37"/>
        <v>488825205.18454361</v>
      </c>
      <c r="O271" s="114">
        <f t="shared" si="37"/>
        <v>455399609.64761758</v>
      </c>
      <c r="P271" s="114">
        <f t="shared" si="37"/>
        <v>400474977.05185425</v>
      </c>
      <c r="Q271" s="114">
        <f t="shared" si="37"/>
        <v>341537685.33200657</v>
      </c>
      <c r="R271" s="114">
        <f t="shared" si="37"/>
        <v>275974251.66320795</v>
      </c>
      <c r="S271" s="114">
        <f t="shared" si="37"/>
        <v>208365116.08944124</v>
      </c>
      <c r="T271" s="114">
        <f t="shared" si="37"/>
        <v>143843469.51397544</v>
      </c>
      <c r="U271" s="114">
        <f t="shared" si="37"/>
        <v>31499076.733004622</v>
      </c>
      <c r="V271" s="114">
        <f t="shared" si="37"/>
        <v>-68775885.579144672</v>
      </c>
    </row>
    <row r="275" spans="1:22" ht="15.6" x14ac:dyDescent="0.3">
      <c r="A275" s="246" t="s">
        <v>236</v>
      </c>
      <c r="B275" s="247">
        <v>2022</v>
      </c>
      <c r="C275" s="247">
        <f t="shared" ref="C275:V275" si="38">B275+1</f>
        <v>2023</v>
      </c>
      <c r="D275" s="247">
        <f t="shared" si="38"/>
        <v>2024</v>
      </c>
      <c r="E275" s="247">
        <f t="shared" si="38"/>
        <v>2025</v>
      </c>
      <c r="F275" s="247">
        <f t="shared" si="38"/>
        <v>2026</v>
      </c>
      <c r="G275" s="247">
        <f t="shared" si="38"/>
        <v>2027</v>
      </c>
      <c r="H275" s="247">
        <f t="shared" si="38"/>
        <v>2028</v>
      </c>
      <c r="I275" s="247">
        <f t="shared" si="38"/>
        <v>2029</v>
      </c>
      <c r="J275" s="247">
        <f t="shared" si="38"/>
        <v>2030</v>
      </c>
      <c r="K275" s="247">
        <f t="shared" si="38"/>
        <v>2031</v>
      </c>
      <c r="L275" s="247">
        <f t="shared" si="38"/>
        <v>2032</v>
      </c>
      <c r="M275" s="247">
        <f t="shared" si="38"/>
        <v>2033</v>
      </c>
      <c r="N275" s="247">
        <f t="shared" si="38"/>
        <v>2034</v>
      </c>
      <c r="O275" s="247">
        <f t="shared" si="38"/>
        <v>2035</v>
      </c>
      <c r="P275" s="247">
        <f t="shared" si="38"/>
        <v>2036</v>
      </c>
      <c r="Q275" s="247">
        <f t="shared" si="38"/>
        <v>2037</v>
      </c>
      <c r="R275" s="247">
        <f t="shared" si="38"/>
        <v>2038</v>
      </c>
      <c r="S275" s="247">
        <f t="shared" si="38"/>
        <v>2039</v>
      </c>
      <c r="T275" s="247">
        <f t="shared" si="38"/>
        <v>2040</v>
      </c>
      <c r="U275" s="247">
        <f t="shared" si="38"/>
        <v>2041</v>
      </c>
      <c r="V275" s="247">
        <f t="shared" si="38"/>
        <v>2042</v>
      </c>
    </row>
    <row r="276" spans="1:22" x14ac:dyDescent="0.3">
      <c r="A276" s="244" t="s">
        <v>6</v>
      </c>
      <c r="B276" s="114">
        <f t="shared" ref="B276:V276" si="39">B4</f>
        <v>138837111.63146961</v>
      </c>
      <c r="C276" s="114">
        <f t="shared" si="39"/>
        <v>0</v>
      </c>
      <c r="D276" s="114">
        <f t="shared" si="39"/>
        <v>0</v>
      </c>
      <c r="E276" s="114">
        <f t="shared" si="39"/>
        <v>0</v>
      </c>
      <c r="F276" s="114">
        <f t="shared" si="39"/>
        <v>0</v>
      </c>
      <c r="G276" s="114">
        <f t="shared" si="39"/>
        <v>0</v>
      </c>
      <c r="H276" s="114">
        <f t="shared" si="39"/>
        <v>0</v>
      </c>
      <c r="I276" s="114">
        <f t="shared" si="39"/>
        <v>0</v>
      </c>
      <c r="J276" s="114">
        <f t="shared" si="39"/>
        <v>0</v>
      </c>
      <c r="K276" s="114">
        <f t="shared" si="39"/>
        <v>0</v>
      </c>
      <c r="L276" s="114">
        <f t="shared" si="39"/>
        <v>0</v>
      </c>
      <c r="M276" s="114">
        <f t="shared" si="39"/>
        <v>0</v>
      </c>
      <c r="N276" s="114">
        <f t="shared" si="39"/>
        <v>0</v>
      </c>
      <c r="O276" s="114">
        <f t="shared" si="39"/>
        <v>0</v>
      </c>
      <c r="P276" s="114">
        <f t="shared" si="39"/>
        <v>0</v>
      </c>
      <c r="Q276" s="114">
        <f t="shared" si="39"/>
        <v>0</v>
      </c>
      <c r="R276" s="114">
        <f t="shared" si="39"/>
        <v>0</v>
      </c>
      <c r="S276" s="114">
        <f t="shared" si="39"/>
        <v>0</v>
      </c>
      <c r="T276" s="114">
        <f t="shared" si="39"/>
        <v>0</v>
      </c>
      <c r="U276" s="114">
        <f t="shared" si="39"/>
        <v>0</v>
      </c>
      <c r="V276" s="114">
        <f t="shared" si="39"/>
        <v>0</v>
      </c>
    </row>
    <row r="277" spans="1:22" x14ac:dyDescent="0.3">
      <c r="A277" s="244" t="s">
        <v>12</v>
      </c>
      <c r="B277" s="114">
        <f t="shared" ref="B277:V277" si="40">B5</f>
        <v>11407011.035787132</v>
      </c>
      <c r="C277" s="114">
        <f t="shared" si="40"/>
        <v>10773288.200465625</v>
      </c>
      <c r="D277" s="114">
        <f t="shared" si="40"/>
        <v>10773288.200465625</v>
      </c>
      <c r="E277" s="114">
        <f t="shared" si="40"/>
        <v>10773288.200465625</v>
      </c>
      <c r="F277" s="114">
        <f t="shared" si="40"/>
        <v>10773288.200465625</v>
      </c>
      <c r="G277" s="114">
        <f t="shared" si="40"/>
        <v>10773288.200465625</v>
      </c>
      <c r="H277" s="114">
        <f t="shared" si="40"/>
        <v>10773288.200465625</v>
      </c>
      <c r="I277" s="114">
        <f t="shared" si="40"/>
        <v>0</v>
      </c>
      <c r="J277" s="114">
        <f t="shared" si="40"/>
        <v>0</v>
      </c>
      <c r="K277" s="114">
        <f t="shared" si="40"/>
        <v>0</v>
      </c>
      <c r="L277" s="114">
        <f t="shared" si="40"/>
        <v>0</v>
      </c>
      <c r="M277" s="114">
        <f t="shared" si="40"/>
        <v>0</v>
      </c>
      <c r="N277" s="114">
        <f t="shared" si="40"/>
        <v>0</v>
      </c>
      <c r="O277" s="114">
        <f t="shared" si="40"/>
        <v>0</v>
      </c>
      <c r="P277" s="114">
        <f t="shared" si="40"/>
        <v>0</v>
      </c>
      <c r="Q277" s="114">
        <f t="shared" si="40"/>
        <v>0</v>
      </c>
      <c r="R277" s="114">
        <f t="shared" si="40"/>
        <v>0</v>
      </c>
      <c r="S277" s="114">
        <f t="shared" si="40"/>
        <v>0</v>
      </c>
      <c r="T277" s="114">
        <f t="shared" si="40"/>
        <v>0</v>
      </c>
      <c r="U277" s="114">
        <f t="shared" si="40"/>
        <v>0</v>
      </c>
      <c r="V277" s="114">
        <f t="shared" si="40"/>
        <v>0</v>
      </c>
    </row>
    <row r="278" spans="1:22" x14ac:dyDescent="0.3">
      <c r="A278" s="244" t="s">
        <v>21</v>
      </c>
      <c r="B278" s="114">
        <f t="shared" ref="B278:V278" si="41">B6</f>
        <v>0</v>
      </c>
      <c r="C278" s="114">
        <f t="shared" si="41"/>
        <v>22628271.316199999</v>
      </c>
      <c r="D278" s="114">
        <f t="shared" si="41"/>
        <v>22515129.959619001</v>
      </c>
      <c r="E278" s="114">
        <f t="shared" si="41"/>
        <v>22402554.309820905</v>
      </c>
      <c r="F278" s="114">
        <f t="shared" si="41"/>
        <v>22290541.5382718</v>
      </c>
      <c r="G278" s="114">
        <f t="shared" si="41"/>
        <v>22179088.830580443</v>
      </c>
      <c r="H278" s="114">
        <f t="shared" si="41"/>
        <v>22068193.386427537</v>
      </c>
      <c r="I278" s="114">
        <f t="shared" si="41"/>
        <v>21957852.4194954</v>
      </c>
      <c r="J278" s="114">
        <f t="shared" si="41"/>
        <v>21848063.157397922</v>
      </c>
      <c r="K278" s="114">
        <f t="shared" si="41"/>
        <v>21738822.841610931</v>
      </c>
      <c r="L278" s="114">
        <f t="shared" si="41"/>
        <v>21630128.727402877</v>
      </c>
      <c r="M278" s="114">
        <f t="shared" si="41"/>
        <v>21521978.083765864</v>
      </c>
      <c r="N278" s="114">
        <f t="shared" si="41"/>
        <v>21414368.193347033</v>
      </c>
      <c r="O278" s="114">
        <f t="shared" si="41"/>
        <v>21307296.352380298</v>
      </c>
      <c r="P278" s="114">
        <f t="shared" si="41"/>
        <v>21200759.870618396</v>
      </c>
      <c r="Q278" s="114">
        <f t="shared" si="41"/>
        <v>21094756.071265306</v>
      </c>
      <c r="R278" s="114">
        <f t="shared" si="41"/>
        <v>20989282.290908977</v>
      </c>
      <c r="S278" s="114">
        <f t="shared" si="41"/>
        <v>20884335.879454434</v>
      </c>
      <c r="T278" s="114">
        <f t="shared" si="41"/>
        <v>20779914.20005716</v>
      </c>
      <c r="U278" s="114">
        <f t="shared" si="41"/>
        <v>20676014.629056875</v>
      </c>
      <c r="V278" s="114">
        <f t="shared" si="41"/>
        <v>20572634.555911593</v>
      </c>
    </row>
    <row r="279" spans="1:22" x14ac:dyDescent="0.3">
      <c r="A279" s="244" t="s">
        <v>25</v>
      </c>
      <c r="B279" s="114">
        <f t="shared" ref="B279:V279" si="42">B7</f>
        <v>43118.909750583334</v>
      </c>
      <c r="C279" s="114">
        <f t="shared" si="42"/>
        <v>42903.315201830417</v>
      </c>
      <c r="D279" s="114">
        <f t="shared" si="42"/>
        <v>42688.798625821262</v>
      </c>
      <c r="E279" s="114">
        <f t="shared" si="42"/>
        <v>42475.354632692164</v>
      </c>
      <c r="F279" s="114">
        <f t="shared" si="42"/>
        <v>42262.977859528699</v>
      </c>
      <c r="G279" s="114">
        <f t="shared" si="42"/>
        <v>42051.662970231046</v>
      </c>
      <c r="H279" s="114">
        <f t="shared" si="42"/>
        <v>41841.404655379891</v>
      </c>
      <c r="I279" s="114">
        <f t="shared" si="42"/>
        <v>41632.197632102994</v>
      </c>
      <c r="J279" s="114">
        <f t="shared" si="42"/>
        <v>41424.036643942476</v>
      </c>
      <c r="K279" s="114">
        <f t="shared" si="42"/>
        <v>41216.916460722772</v>
      </c>
      <c r="L279" s="114">
        <f t="shared" si="42"/>
        <v>41010.831878419158</v>
      </c>
      <c r="M279" s="114">
        <f t="shared" si="42"/>
        <v>40805.777719027057</v>
      </c>
      <c r="N279" s="114">
        <f t="shared" si="42"/>
        <v>40601.748830431927</v>
      </c>
      <c r="O279" s="114">
        <f t="shared" si="42"/>
        <v>40398.740086279766</v>
      </c>
      <c r="P279" s="114">
        <f t="shared" si="42"/>
        <v>40196.746385848368</v>
      </c>
      <c r="Q279" s="114">
        <f t="shared" si="42"/>
        <v>39995.762653919126</v>
      </c>
      <c r="R279" s="114">
        <f t="shared" si="42"/>
        <v>39795.783840649528</v>
      </c>
      <c r="S279" s="114">
        <f t="shared" si="42"/>
        <v>39596.804921446281</v>
      </c>
      <c r="T279" s="114">
        <f t="shared" si="42"/>
        <v>39398.820896839046</v>
      </c>
      <c r="U279" s="114">
        <f t="shared" si="42"/>
        <v>39201.826792354856</v>
      </c>
      <c r="V279" s="114">
        <f t="shared" si="42"/>
        <v>0</v>
      </c>
    </row>
    <row r="280" spans="1:22" x14ac:dyDescent="0.3">
      <c r="A280" s="244" t="s">
        <v>29</v>
      </c>
      <c r="B280" s="114">
        <f t="shared" ref="B280:V280" si="43">B8</f>
        <v>0</v>
      </c>
      <c r="C280" s="114">
        <f t="shared" si="43"/>
        <v>617609.8121744924</v>
      </c>
      <c r="D280" s="114">
        <f t="shared" si="43"/>
        <v>583298.15594257612</v>
      </c>
      <c r="E280" s="114">
        <f t="shared" si="43"/>
        <v>583298.15594257612</v>
      </c>
      <c r="F280" s="114">
        <f t="shared" si="43"/>
        <v>583298.15594257612</v>
      </c>
      <c r="G280" s="114">
        <f t="shared" si="43"/>
        <v>583298.15594257612</v>
      </c>
      <c r="H280" s="114">
        <f t="shared" si="43"/>
        <v>583298.15594257612</v>
      </c>
      <c r="I280" s="114">
        <f t="shared" si="43"/>
        <v>583298.15594257612</v>
      </c>
      <c r="J280" s="114">
        <f t="shared" si="43"/>
        <v>0</v>
      </c>
      <c r="K280" s="114">
        <f t="shared" si="43"/>
        <v>0</v>
      </c>
      <c r="L280" s="114">
        <f t="shared" si="43"/>
        <v>0</v>
      </c>
      <c r="M280" s="114">
        <f t="shared" si="43"/>
        <v>0</v>
      </c>
      <c r="N280" s="114">
        <f t="shared" si="43"/>
        <v>0</v>
      </c>
      <c r="O280" s="114">
        <f t="shared" si="43"/>
        <v>0</v>
      </c>
      <c r="P280" s="114">
        <f t="shared" si="43"/>
        <v>0</v>
      </c>
      <c r="Q280" s="114">
        <f t="shared" si="43"/>
        <v>0</v>
      </c>
      <c r="R280" s="114">
        <f t="shared" si="43"/>
        <v>0</v>
      </c>
      <c r="S280" s="114">
        <f t="shared" si="43"/>
        <v>0</v>
      </c>
      <c r="T280" s="114">
        <f t="shared" si="43"/>
        <v>0</v>
      </c>
      <c r="U280" s="114">
        <f t="shared" si="43"/>
        <v>0</v>
      </c>
      <c r="V280" s="114">
        <f t="shared" si="43"/>
        <v>0</v>
      </c>
    </row>
    <row r="281" spans="1:22" x14ac:dyDescent="0.3">
      <c r="A281" s="244" t="s">
        <v>33</v>
      </c>
      <c r="B281" s="114">
        <f t="shared" ref="B281:V281" si="44">B9</f>
        <v>0</v>
      </c>
      <c r="C281" s="114">
        <f t="shared" si="44"/>
        <v>0</v>
      </c>
      <c r="D281" s="114">
        <f t="shared" si="44"/>
        <v>0</v>
      </c>
      <c r="E281" s="114">
        <f t="shared" si="44"/>
        <v>0</v>
      </c>
      <c r="F281" s="114">
        <f t="shared" si="44"/>
        <v>0</v>
      </c>
      <c r="G281" s="114">
        <f t="shared" si="44"/>
        <v>0</v>
      </c>
      <c r="H281" s="114">
        <f t="shared" si="44"/>
        <v>0</v>
      </c>
      <c r="I281" s="114">
        <f t="shared" si="44"/>
        <v>0</v>
      </c>
      <c r="J281" s="114">
        <f t="shared" si="44"/>
        <v>0</v>
      </c>
      <c r="K281" s="114">
        <f t="shared" si="44"/>
        <v>0</v>
      </c>
      <c r="L281" s="114">
        <f t="shared" si="44"/>
        <v>0</v>
      </c>
      <c r="M281" s="114">
        <f t="shared" si="44"/>
        <v>0</v>
      </c>
      <c r="N281" s="114">
        <f t="shared" si="44"/>
        <v>0</v>
      </c>
      <c r="O281" s="114">
        <f t="shared" si="44"/>
        <v>0</v>
      </c>
      <c r="P281" s="114">
        <f t="shared" si="44"/>
        <v>0</v>
      </c>
      <c r="Q281" s="114">
        <f t="shared" si="44"/>
        <v>0</v>
      </c>
      <c r="R281" s="114">
        <f t="shared" si="44"/>
        <v>0</v>
      </c>
      <c r="S281" s="114">
        <f t="shared" si="44"/>
        <v>0</v>
      </c>
      <c r="T281" s="114">
        <f t="shared" si="44"/>
        <v>0</v>
      </c>
      <c r="U281" s="114">
        <f t="shared" si="44"/>
        <v>0</v>
      </c>
      <c r="V281" s="114">
        <f t="shared" si="44"/>
        <v>0</v>
      </c>
    </row>
    <row r="282" spans="1:22" x14ac:dyDescent="0.3">
      <c r="A282" s="244" t="s">
        <v>40</v>
      </c>
      <c r="B282" s="114">
        <f t="shared" ref="B282:V282" si="45">B10</f>
        <v>0</v>
      </c>
      <c r="C282" s="114">
        <f t="shared" si="45"/>
        <v>0</v>
      </c>
      <c r="D282" s="114">
        <f t="shared" si="45"/>
        <v>0</v>
      </c>
      <c r="E282" s="114">
        <f t="shared" si="45"/>
        <v>380149.51999999897</v>
      </c>
      <c r="F282" s="114">
        <f t="shared" si="45"/>
        <v>-93361.489600002722</v>
      </c>
      <c r="G282" s="114">
        <f t="shared" si="45"/>
        <v>-576342.71939200419</v>
      </c>
      <c r="H282" s="114">
        <f t="shared" si="45"/>
        <v>-1068983.5737798437</v>
      </c>
      <c r="I282" s="114">
        <f t="shared" si="45"/>
        <v>-1571477.2452554407</v>
      </c>
      <c r="J282" s="114">
        <f t="shared" si="45"/>
        <v>-2084020.7901605493</v>
      </c>
      <c r="K282" s="114">
        <f t="shared" si="45"/>
        <v>-2606815.2059637615</v>
      </c>
      <c r="L282" s="114">
        <f t="shared" si="45"/>
        <v>-3140065.510083037</v>
      </c>
      <c r="M282" s="114">
        <f t="shared" si="45"/>
        <v>-3683980.8202846968</v>
      </c>
      <c r="N282" s="114">
        <f t="shared" si="45"/>
        <v>-4238774.4366903901</v>
      </c>
      <c r="O282" s="114">
        <f t="shared" si="45"/>
        <v>-4804663.9254241977</v>
      </c>
      <c r="P282" s="114">
        <f t="shared" si="45"/>
        <v>-5381871.2039326811</v>
      </c>
      <c r="Q282" s="114">
        <f t="shared" si="45"/>
        <v>-5970622.6280113356</v>
      </c>
      <c r="R282" s="114">
        <f t="shared" si="45"/>
        <v>-6571149.0805715621</v>
      </c>
      <c r="S282" s="114">
        <f t="shared" si="45"/>
        <v>-7183686.0621829927</v>
      </c>
      <c r="T282" s="114">
        <f t="shared" si="45"/>
        <v>-7808473.7834266508</v>
      </c>
      <c r="U282" s="114">
        <f t="shared" si="45"/>
        <v>-8445757.2590951826</v>
      </c>
      <c r="V282" s="114">
        <f t="shared" si="45"/>
        <v>-9095786.4042770844</v>
      </c>
    </row>
    <row r="283" spans="1:22" x14ac:dyDescent="0.3">
      <c r="A283" s="244" t="s">
        <v>41</v>
      </c>
      <c r="B283" s="114">
        <f t="shared" ref="B283:V283" si="46">B11</f>
        <v>0</v>
      </c>
      <c r="C283" s="114">
        <f t="shared" si="46"/>
        <v>0</v>
      </c>
      <c r="D283" s="114">
        <f t="shared" si="46"/>
        <v>0</v>
      </c>
      <c r="E283" s="114">
        <f t="shared" si="46"/>
        <v>10103248.309491996</v>
      </c>
      <c r="F283" s="114">
        <f t="shared" si="46"/>
        <v>9081673.6571409237</v>
      </c>
      <c r="G283" s="114">
        <f t="shared" si="46"/>
        <v>8050738.1077306336</v>
      </c>
      <c r="H283" s="114">
        <f t="shared" si="46"/>
        <v>7010272.8810686413</v>
      </c>
      <c r="I283" s="114">
        <f t="shared" si="46"/>
        <v>5960106.8286517207</v>
      </c>
      <c r="J283" s="114">
        <f t="shared" si="46"/>
        <v>4900066.3976455126</v>
      </c>
      <c r="K283" s="114">
        <f t="shared" si="46"/>
        <v>3829975.5943310759</v>
      </c>
      <c r="L283" s="114">
        <f t="shared" si="46"/>
        <v>2749655.9470104515</v>
      </c>
      <c r="M283" s="114">
        <f t="shared" si="46"/>
        <v>1658926.4683631335</v>
      </c>
      <c r="N283" s="114">
        <f t="shared" si="46"/>
        <v>557603.61724525876</v>
      </c>
      <c r="O283" s="114">
        <f t="shared" si="46"/>
        <v>-554498.74007679161</v>
      </c>
      <c r="P283" s="114">
        <f t="shared" si="46"/>
        <v>-1677569.3692668434</v>
      </c>
      <c r="Q283" s="114">
        <f t="shared" si="46"/>
        <v>-2811799.7078420161</v>
      </c>
      <c r="R283" s="114">
        <f t="shared" si="46"/>
        <v>-3957383.9056870923</v>
      </c>
      <c r="S283" s="114">
        <f t="shared" si="46"/>
        <v>-5114518.8661690662</v>
      </c>
      <c r="T283" s="114">
        <f t="shared" si="46"/>
        <v>-6283404.2878607837</v>
      </c>
      <c r="U283" s="114">
        <f t="shared" si="46"/>
        <v>-7464242.7068827795</v>
      </c>
      <c r="V283" s="114">
        <f t="shared" si="46"/>
        <v>-8657239.5398725383</v>
      </c>
    </row>
    <row r="284" spans="1:22" x14ac:dyDescent="0.3">
      <c r="A284" s="244" t="s">
        <v>42</v>
      </c>
      <c r="B284" s="114">
        <f t="shared" ref="B284:V284" si="47">B12</f>
        <v>0</v>
      </c>
      <c r="C284" s="114">
        <f t="shared" si="47"/>
        <v>0</v>
      </c>
      <c r="D284" s="114">
        <f t="shared" si="47"/>
        <v>0</v>
      </c>
      <c r="E284" s="114">
        <f t="shared" si="47"/>
        <v>349286.61711599998</v>
      </c>
      <c r="F284" s="114">
        <f t="shared" si="47"/>
        <v>338841.44194452831</v>
      </c>
      <c r="G284" s="114">
        <f t="shared" si="47"/>
        <v>328318.88139183429</v>
      </c>
      <c r="H284" s="114">
        <f t="shared" si="47"/>
        <v>317717.39117709349</v>
      </c>
      <c r="I284" s="114">
        <f t="shared" si="47"/>
        <v>307035.40596589039</v>
      </c>
      <c r="J284" s="114">
        <f t="shared" si="47"/>
        <v>296271.3390467391</v>
      </c>
      <c r="K284" s="114">
        <f t="shared" si="47"/>
        <v>285423.58200283261</v>
      </c>
      <c r="L284" s="114">
        <f t="shared" si="47"/>
        <v>274490.50437895051</v>
      </c>
      <c r="M284" s="114">
        <f t="shared" si="47"/>
        <v>263470.4533434512</v>
      </c>
      <c r="N284" s="114">
        <f t="shared" si="47"/>
        <v>252361.75334527664</v>
      </c>
      <c r="O284" s="114">
        <f t="shared" si="47"/>
        <v>241162.70576589424</v>
      </c>
      <c r="P284" s="114">
        <f t="shared" si="47"/>
        <v>229871.5885661002</v>
      </c>
      <c r="Q284" s="114">
        <f t="shared" si="47"/>
        <v>218486.65592760773</v>
      </c>
      <c r="R284" s="114">
        <f t="shared" si="47"/>
        <v>207006.13788934235</v>
      </c>
      <c r="S284" s="114">
        <f t="shared" si="47"/>
        <v>195428.23997836479</v>
      </c>
      <c r="T284" s="114">
        <f t="shared" si="47"/>
        <v>183751.14283534131</v>
      </c>
      <c r="U284" s="114">
        <f t="shared" si="47"/>
        <v>171973.0018344803</v>
      </c>
      <c r="V284" s="114">
        <f t="shared" si="47"/>
        <v>160091.94669785199</v>
      </c>
    </row>
    <row r="285" spans="1:22" x14ac:dyDescent="0.3">
      <c r="A285" s="245" t="s">
        <v>233</v>
      </c>
      <c r="B285" s="114">
        <f t="shared" ref="B285:V285" si="48">SUM(B276:B284)</f>
        <v>150287241.57700732</v>
      </c>
      <c r="C285" s="114">
        <f t="shared" si="48"/>
        <v>34062072.644041948</v>
      </c>
      <c r="D285" s="114">
        <f t="shared" si="48"/>
        <v>33914405.114653029</v>
      </c>
      <c r="E285" s="114">
        <f t="shared" si="48"/>
        <v>44634300.467469789</v>
      </c>
      <c r="F285" s="114">
        <f t="shared" si="48"/>
        <v>43016544.482024975</v>
      </c>
      <c r="G285" s="114">
        <f t="shared" si="48"/>
        <v>41380441.11968933</v>
      </c>
      <c r="H285" s="114">
        <f t="shared" si="48"/>
        <v>39725627.845957011</v>
      </c>
      <c r="I285" s="114">
        <f t="shared" si="48"/>
        <v>27278447.762432251</v>
      </c>
      <c r="J285" s="114">
        <f t="shared" si="48"/>
        <v>25001804.140573569</v>
      </c>
      <c r="K285" s="114">
        <f t="shared" si="48"/>
        <v>23288623.728441801</v>
      </c>
      <c r="L285" s="114">
        <f t="shared" si="48"/>
        <v>21555220.500587661</v>
      </c>
      <c r="M285" s="114">
        <f t="shared" si="48"/>
        <v>19801199.962906778</v>
      </c>
      <c r="N285" s="114">
        <f t="shared" si="48"/>
        <v>18026160.876077611</v>
      </c>
      <c r="O285" s="114">
        <f t="shared" si="48"/>
        <v>16229695.132731482</v>
      </c>
      <c r="P285" s="114">
        <f t="shared" si="48"/>
        <v>14411387.632370822</v>
      </c>
      <c r="Q285" s="114">
        <f t="shared" si="48"/>
        <v>12570816.153993484</v>
      </c>
      <c r="R285" s="114">
        <f t="shared" si="48"/>
        <v>10707551.226380315</v>
      </c>
      <c r="S285" s="114">
        <f t="shared" si="48"/>
        <v>8821155.9960021861</v>
      </c>
      <c r="T285" s="114">
        <f t="shared" si="48"/>
        <v>6911186.0925019057</v>
      </c>
      <c r="U285" s="114">
        <f t="shared" si="48"/>
        <v>4977189.4917057483</v>
      </c>
      <c r="V285" s="114">
        <f t="shared" si="48"/>
        <v>2979700.5584598226</v>
      </c>
    </row>
    <row r="287" spans="1:22" ht="15.6" x14ac:dyDescent="0.3">
      <c r="A287" s="246" t="s">
        <v>237</v>
      </c>
      <c r="B287" s="247">
        <v>2022</v>
      </c>
      <c r="C287" s="247">
        <f t="shared" ref="C287:V287" si="49">B287+1</f>
        <v>2023</v>
      </c>
      <c r="D287" s="247">
        <f t="shared" si="49"/>
        <v>2024</v>
      </c>
      <c r="E287" s="247">
        <f t="shared" si="49"/>
        <v>2025</v>
      </c>
      <c r="F287" s="247">
        <f t="shared" si="49"/>
        <v>2026</v>
      </c>
      <c r="G287" s="247">
        <f t="shared" si="49"/>
        <v>2027</v>
      </c>
      <c r="H287" s="247">
        <f t="shared" si="49"/>
        <v>2028</v>
      </c>
      <c r="I287" s="247">
        <f t="shared" si="49"/>
        <v>2029</v>
      </c>
      <c r="J287" s="247">
        <f t="shared" si="49"/>
        <v>2030</v>
      </c>
      <c r="K287" s="247">
        <f t="shared" si="49"/>
        <v>2031</v>
      </c>
      <c r="L287" s="247">
        <f t="shared" si="49"/>
        <v>2032</v>
      </c>
      <c r="M287" s="247">
        <f t="shared" si="49"/>
        <v>2033</v>
      </c>
      <c r="N287" s="247">
        <f t="shared" si="49"/>
        <v>2034</v>
      </c>
      <c r="O287" s="247">
        <f t="shared" si="49"/>
        <v>2035</v>
      </c>
      <c r="P287" s="247">
        <f t="shared" si="49"/>
        <v>2036</v>
      </c>
      <c r="Q287" s="247">
        <f t="shared" si="49"/>
        <v>2037</v>
      </c>
      <c r="R287" s="247">
        <f t="shared" si="49"/>
        <v>2038</v>
      </c>
      <c r="S287" s="247">
        <f t="shared" si="49"/>
        <v>2039</v>
      </c>
      <c r="T287" s="247">
        <f t="shared" si="49"/>
        <v>2040</v>
      </c>
      <c r="U287" s="247">
        <f t="shared" si="49"/>
        <v>2041</v>
      </c>
      <c r="V287" s="247">
        <f t="shared" si="49"/>
        <v>2042</v>
      </c>
    </row>
    <row r="288" spans="1:22" x14ac:dyDescent="0.3">
      <c r="A288" s="244" t="s">
        <v>6</v>
      </c>
      <c r="B288" s="114">
        <f t="shared" ref="B288:V288" si="50">B18+B32</f>
        <v>196896443.51041692</v>
      </c>
      <c r="C288" s="114">
        <f t="shared" si="50"/>
        <v>153483990.97419566</v>
      </c>
      <c r="D288" s="114">
        <f t="shared" si="50"/>
        <v>0</v>
      </c>
      <c r="E288" s="114">
        <f t="shared" si="50"/>
        <v>0</v>
      </c>
      <c r="F288" s="114">
        <f t="shared" si="50"/>
        <v>0</v>
      </c>
      <c r="G288" s="114">
        <f t="shared" si="50"/>
        <v>0</v>
      </c>
      <c r="H288" s="114">
        <f t="shared" si="50"/>
        <v>0</v>
      </c>
      <c r="I288" s="114">
        <f t="shared" si="50"/>
        <v>0</v>
      </c>
      <c r="J288" s="114">
        <f t="shared" si="50"/>
        <v>0</v>
      </c>
      <c r="K288" s="114">
        <f t="shared" si="50"/>
        <v>0</v>
      </c>
      <c r="L288" s="114">
        <f t="shared" si="50"/>
        <v>0</v>
      </c>
      <c r="M288" s="114">
        <f t="shared" si="50"/>
        <v>0</v>
      </c>
      <c r="N288" s="114">
        <f t="shared" si="50"/>
        <v>0</v>
      </c>
      <c r="O288" s="114">
        <f t="shared" si="50"/>
        <v>0</v>
      </c>
      <c r="P288" s="114">
        <f t="shared" si="50"/>
        <v>0</v>
      </c>
      <c r="Q288" s="114">
        <f t="shared" si="50"/>
        <v>0</v>
      </c>
      <c r="R288" s="114">
        <f t="shared" si="50"/>
        <v>0</v>
      </c>
      <c r="S288" s="114">
        <f t="shared" si="50"/>
        <v>0</v>
      </c>
      <c r="T288" s="114">
        <f t="shared" si="50"/>
        <v>0</v>
      </c>
      <c r="U288" s="114">
        <f t="shared" si="50"/>
        <v>0</v>
      </c>
      <c r="V288" s="114">
        <f t="shared" si="50"/>
        <v>0</v>
      </c>
    </row>
    <row r="289" spans="1:22" x14ac:dyDescent="0.3">
      <c r="A289" s="244" t="s">
        <v>12</v>
      </c>
      <c r="B289" s="114">
        <f t="shared" ref="B289:V289" si="51">B19+B33</f>
        <v>25347753.897498447</v>
      </c>
      <c r="C289" s="114">
        <f t="shared" si="51"/>
        <v>40409436.757454984</v>
      </c>
      <c r="D289" s="114">
        <f t="shared" si="51"/>
        <v>39494442.790242895</v>
      </c>
      <c r="E289" s="114">
        <f t="shared" si="51"/>
        <v>39494442.790242895</v>
      </c>
      <c r="F289" s="114">
        <f t="shared" si="51"/>
        <v>39494442.790242895</v>
      </c>
      <c r="G289" s="114">
        <f t="shared" si="51"/>
        <v>39494442.790242895</v>
      </c>
      <c r="H289" s="114">
        <f t="shared" si="51"/>
        <v>39494442.790242895</v>
      </c>
      <c r="I289" s="114">
        <f t="shared" si="51"/>
        <v>15554897.442605475</v>
      </c>
      <c r="J289" s="114">
        <f t="shared" si="51"/>
        <v>0</v>
      </c>
      <c r="K289" s="114">
        <f t="shared" si="51"/>
        <v>0</v>
      </c>
      <c r="L289" s="114">
        <f t="shared" si="51"/>
        <v>0</v>
      </c>
      <c r="M289" s="114">
        <f t="shared" si="51"/>
        <v>0</v>
      </c>
      <c r="N289" s="114">
        <f t="shared" si="51"/>
        <v>0</v>
      </c>
      <c r="O289" s="114">
        <f t="shared" si="51"/>
        <v>0</v>
      </c>
      <c r="P289" s="114">
        <f t="shared" si="51"/>
        <v>0</v>
      </c>
      <c r="Q289" s="114">
        <f t="shared" si="51"/>
        <v>0</v>
      </c>
      <c r="R289" s="114">
        <f t="shared" si="51"/>
        <v>0</v>
      </c>
      <c r="S289" s="114">
        <f t="shared" si="51"/>
        <v>0</v>
      </c>
      <c r="T289" s="114">
        <f t="shared" si="51"/>
        <v>0</v>
      </c>
      <c r="U289" s="114">
        <f t="shared" si="51"/>
        <v>0</v>
      </c>
      <c r="V289" s="114">
        <f t="shared" si="51"/>
        <v>0</v>
      </c>
    </row>
    <row r="290" spans="1:22" x14ac:dyDescent="0.3">
      <c r="A290" s="244" t="s">
        <v>21</v>
      </c>
      <c r="B290" s="114">
        <f t="shared" ref="B290:V290" si="52">B20+B34</f>
        <v>0</v>
      </c>
      <c r="C290" s="114">
        <f t="shared" si="52"/>
        <v>12854593.901951998</v>
      </c>
      <c r="D290" s="114">
        <f t="shared" si="52"/>
        <v>26937444.251235515</v>
      </c>
      <c r="E290" s="114">
        <f t="shared" si="52"/>
        <v>26802757.029979333</v>
      </c>
      <c r="F290" s="114">
        <f t="shared" si="52"/>
        <v>26668743.244829439</v>
      </c>
      <c r="G290" s="114">
        <f t="shared" si="52"/>
        <v>26535399.528605293</v>
      </c>
      <c r="H290" s="114">
        <f t="shared" si="52"/>
        <v>26402722.530962266</v>
      </c>
      <c r="I290" s="114">
        <f t="shared" si="52"/>
        <v>26270708.918307453</v>
      </c>
      <c r="J290" s="114">
        <f t="shared" si="52"/>
        <v>26139355.373715919</v>
      </c>
      <c r="K290" s="114">
        <f t="shared" si="52"/>
        <v>26008658.59684734</v>
      </c>
      <c r="L290" s="114">
        <f t="shared" si="52"/>
        <v>25878615.303863101</v>
      </c>
      <c r="M290" s="114">
        <f t="shared" si="52"/>
        <v>25749222.227343783</v>
      </c>
      <c r="N290" s="114">
        <f t="shared" si="52"/>
        <v>25620476.116207063</v>
      </c>
      <c r="O290" s="114">
        <f t="shared" si="52"/>
        <v>25492373.735626031</v>
      </c>
      <c r="P290" s="114">
        <f t="shared" si="52"/>
        <v>25364911.866947901</v>
      </c>
      <c r="Q290" s="114">
        <f t="shared" si="52"/>
        <v>25238087.30761316</v>
      </c>
      <c r="R290" s="114">
        <f t="shared" si="52"/>
        <v>25111896.871075097</v>
      </c>
      <c r="S290" s="114">
        <f t="shared" si="52"/>
        <v>24986337.386719722</v>
      </c>
      <c r="T290" s="114">
        <f t="shared" si="52"/>
        <v>24861405.699786123</v>
      </c>
      <c r="U290" s="114">
        <f t="shared" si="52"/>
        <v>24737098.671287194</v>
      </c>
      <c r="V290" s="114">
        <f t="shared" si="52"/>
        <v>24613413.177930754</v>
      </c>
    </row>
    <row r="291" spans="1:22" x14ac:dyDescent="0.3">
      <c r="A291" s="244" t="s">
        <v>25</v>
      </c>
      <c r="B291" s="114">
        <f t="shared" ref="B291:V291" si="53">B21+B35</f>
        <v>18094414.836347114</v>
      </c>
      <c r="C291" s="114">
        <f t="shared" si="53"/>
        <v>25998942.703223471</v>
      </c>
      <c r="D291" s="114">
        <f t="shared" si="53"/>
        <v>25868947.989707347</v>
      </c>
      <c r="E291" s="114">
        <f t="shared" si="53"/>
        <v>25739603.249758814</v>
      </c>
      <c r="F291" s="114">
        <f t="shared" si="53"/>
        <v>25610905.233510017</v>
      </c>
      <c r="G291" s="114">
        <f t="shared" si="53"/>
        <v>25482850.707342468</v>
      </c>
      <c r="H291" s="114">
        <f t="shared" si="53"/>
        <v>25355436.45380576</v>
      </c>
      <c r="I291" s="114">
        <f t="shared" si="53"/>
        <v>25228659.271536723</v>
      </c>
      <c r="J291" s="114">
        <f t="shared" si="53"/>
        <v>25102515.975179039</v>
      </c>
      <c r="K291" s="114">
        <f t="shared" si="53"/>
        <v>24977003.395303145</v>
      </c>
      <c r="L291" s="114">
        <f t="shared" si="53"/>
        <v>24852118.378326632</v>
      </c>
      <c r="M291" s="114">
        <f t="shared" si="53"/>
        <v>24727857.786435001</v>
      </c>
      <c r="N291" s="114">
        <f t="shared" si="53"/>
        <v>24604218.497502826</v>
      </c>
      <c r="O291" s="114">
        <f t="shared" si="53"/>
        <v>24481197.405015312</v>
      </c>
      <c r="P291" s="114">
        <f t="shared" si="53"/>
        <v>24358791.417990234</v>
      </c>
      <c r="Q291" s="114">
        <f t="shared" si="53"/>
        <v>24236997.460900288</v>
      </c>
      <c r="R291" s="114">
        <f t="shared" si="53"/>
        <v>24115812.473595783</v>
      </c>
      <c r="S291" s="114">
        <f t="shared" si="53"/>
        <v>23995233.411227804</v>
      </c>
      <c r="T291" s="114">
        <f t="shared" si="53"/>
        <v>23875257.244171664</v>
      </c>
      <c r="U291" s="114">
        <f t="shared" si="53"/>
        <v>23755880.957950808</v>
      </c>
      <c r="V291" s="114">
        <f t="shared" si="53"/>
        <v>7268704.2577649206</v>
      </c>
    </row>
    <row r="292" spans="1:22" x14ac:dyDescent="0.3">
      <c r="A292" s="244" t="s">
        <v>29</v>
      </c>
      <c r="B292" s="114">
        <f t="shared" ref="B292:V292" si="54">B22+B36</f>
        <v>0</v>
      </c>
      <c r="C292" s="114">
        <f t="shared" si="54"/>
        <v>8853984.2387289014</v>
      </c>
      <c r="D292" s="114">
        <f t="shared" si="54"/>
        <v>14832952.261839781</v>
      </c>
      <c r="E292" s="114">
        <f t="shared" si="54"/>
        <v>14473460.259819025</v>
      </c>
      <c r="F292" s="114">
        <f t="shared" si="54"/>
        <v>14473460.259819025</v>
      </c>
      <c r="G292" s="114">
        <f t="shared" si="54"/>
        <v>14473460.259819025</v>
      </c>
      <c r="H292" s="114">
        <f t="shared" si="54"/>
        <v>14473460.259819025</v>
      </c>
      <c r="I292" s="114">
        <f t="shared" si="54"/>
        <v>14473460.259819025</v>
      </c>
      <c r="J292" s="114">
        <f t="shared" si="54"/>
        <v>6111364.0343528409</v>
      </c>
      <c r="K292" s="114">
        <f t="shared" si="54"/>
        <v>0</v>
      </c>
      <c r="L292" s="114">
        <f t="shared" si="54"/>
        <v>0</v>
      </c>
      <c r="M292" s="114">
        <f t="shared" si="54"/>
        <v>0</v>
      </c>
      <c r="N292" s="114">
        <f t="shared" si="54"/>
        <v>0</v>
      </c>
      <c r="O292" s="114">
        <f t="shared" si="54"/>
        <v>0</v>
      </c>
      <c r="P292" s="114">
        <f t="shared" si="54"/>
        <v>0</v>
      </c>
      <c r="Q292" s="114">
        <f t="shared" si="54"/>
        <v>0</v>
      </c>
      <c r="R292" s="114">
        <f t="shared" si="54"/>
        <v>0</v>
      </c>
      <c r="S292" s="114">
        <f t="shared" si="54"/>
        <v>0</v>
      </c>
      <c r="T292" s="114">
        <f t="shared" si="54"/>
        <v>0</v>
      </c>
      <c r="U292" s="114">
        <f t="shared" si="54"/>
        <v>0</v>
      </c>
      <c r="V292" s="114">
        <f t="shared" si="54"/>
        <v>0</v>
      </c>
    </row>
    <row r="293" spans="1:22" x14ac:dyDescent="0.3">
      <c r="A293" s="244" t="s">
        <v>33</v>
      </c>
      <c r="B293" s="114">
        <f t="shared" ref="B293:V293" si="55">B23+B37</f>
        <v>19783279.830774501</v>
      </c>
      <c r="C293" s="114">
        <f t="shared" si="55"/>
        <v>26919154.433973588</v>
      </c>
      <c r="D293" s="114">
        <f t="shared" si="55"/>
        <v>26461657.450367544</v>
      </c>
      <c r="E293" s="114">
        <f t="shared" si="55"/>
        <v>26461657.450367544</v>
      </c>
      <c r="F293" s="114">
        <f t="shared" si="55"/>
        <v>26461657.450367544</v>
      </c>
      <c r="G293" s="114">
        <f t="shared" si="55"/>
        <v>26461657.450367544</v>
      </c>
      <c r="H293" s="114">
        <f t="shared" si="55"/>
        <v>26461657.450367544</v>
      </c>
      <c r="I293" s="114">
        <f t="shared" si="55"/>
        <v>7777448.7213027375</v>
      </c>
      <c r="J293" s="114">
        <f t="shared" si="55"/>
        <v>0</v>
      </c>
      <c r="K293" s="114">
        <f t="shared" si="55"/>
        <v>0</v>
      </c>
      <c r="L293" s="114">
        <f t="shared" si="55"/>
        <v>0</v>
      </c>
      <c r="M293" s="114">
        <f t="shared" si="55"/>
        <v>0</v>
      </c>
      <c r="N293" s="114">
        <f t="shared" si="55"/>
        <v>0</v>
      </c>
      <c r="O293" s="114">
        <f t="shared" si="55"/>
        <v>0</v>
      </c>
      <c r="P293" s="114">
        <f t="shared" si="55"/>
        <v>0</v>
      </c>
      <c r="Q293" s="114">
        <f t="shared" si="55"/>
        <v>0</v>
      </c>
      <c r="R293" s="114">
        <f t="shared" si="55"/>
        <v>0</v>
      </c>
      <c r="S293" s="114">
        <f t="shared" si="55"/>
        <v>0</v>
      </c>
      <c r="T293" s="114">
        <f t="shared" si="55"/>
        <v>0</v>
      </c>
      <c r="U293" s="114">
        <f t="shared" si="55"/>
        <v>0</v>
      </c>
      <c r="V293" s="114">
        <f t="shared" si="55"/>
        <v>0</v>
      </c>
    </row>
    <row r="294" spans="1:22" x14ac:dyDescent="0.3">
      <c r="A294" s="244" t="s">
        <v>40</v>
      </c>
      <c r="B294" s="114">
        <f t="shared" ref="B294:V294" si="56">B24+B38</f>
        <v>0</v>
      </c>
      <c r="C294" s="114">
        <f t="shared" si="56"/>
        <v>0</v>
      </c>
      <c r="D294" s="114">
        <f t="shared" si="56"/>
        <v>0</v>
      </c>
      <c r="E294" s="114">
        <f t="shared" si="56"/>
        <v>0</v>
      </c>
      <c r="F294" s="114">
        <f t="shared" si="56"/>
        <v>2950290.8399999905</v>
      </c>
      <c r="G294" s="114">
        <f t="shared" si="56"/>
        <v>-724566.34320002072</v>
      </c>
      <c r="H294" s="114">
        <f t="shared" si="56"/>
        <v>-4472920.6700640172</v>
      </c>
      <c r="I294" s="114">
        <f t="shared" si="56"/>
        <v>-8296242.0834652977</v>
      </c>
      <c r="J294" s="114">
        <f t="shared" si="56"/>
        <v>-12196029.925134603</v>
      </c>
      <c r="K294" s="114">
        <f t="shared" si="56"/>
        <v>-16173813.523637304</v>
      </c>
      <c r="L294" s="114">
        <f t="shared" si="56"/>
        <v>-20231152.794110052</v>
      </c>
      <c r="M294" s="114">
        <f t="shared" si="56"/>
        <v>-24369638.849992245</v>
      </c>
      <c r="N294" s="114">
        <f t="shared" si="56"/>
        <v>-28590894.626992084</v>
      </c>
      <c r="O294" s="114">
        <f t="shared" si="56"/>
        <v>-32896575.519531928</v>
      </c>
      <c r="P294" s="114">
        <f t="shared" si="56"/>
        <v>-37288370.02992256</v>
      </c>
      <c r="Q294" s="114">
        <f t="shared" si="56"/>
        <v>-41768000.430521019</v>
      </c>
      <c r="R294" s="114">
        <f t="shared" si="56"/>
        <v>-46337223.439131439</v>
      </c>
      <c r="S294" s="114">
        <f t="shared" si="56"/>
        <v>-50997830.907914065</v>
      </c>
      <c r="T294" s="114">
        <f t="shared" si="56"/>
        <v>-55751650.526072331</v>
      </c>
      <c r="U294" s="114">
        <f t="shared" si="56"/>
        <v>-60600546.536593765</v>
      </c>
      <c r="V294" s="114">
        <f t="shared" si="56"/>
        <v>-65546420.467325635</v>
      </c>
    </row>
    <row r="295" spans="1:22" x14ac:dyDescent="0.3">
      <c r="A295" s="244" t="s">
        <v>41</v>
      </c>
      <c r="B295" s="114">
        <f t="shared" ref="B295:V295" si="57">B25+B39</f>
        <v>0</v>
      </c>
      <c r="C295" s="114">
        <f t="shared" si="57"/>
        <v>0</v>
      </c>
      <c r="D295" s="114">
        <f t="shared" si="57"/>
        <v>0</v>
      </c>
      <c r="E295" s="114">
        <f t="shared" si="57"/>
        <v>10053578.773159996</v>
      </c>
      <c r="F295" s="114">
        <f t="shared" si="57"/>
        <v>20521456.51213187</v>
      </c>
      <c r="G295" s="114">
        <f t="shared" si="57"/>
        <v>18334358.482065752</v>
      </c>
      <c r="H295" s="114">
        <f t="shared" si="57"/>
        <v>16127137.030012142</v>
      </c>
      <c r="I295" s="114">
        <f t="shared" si="57"/>
        <v>13899429.995290115</v>
      </c>
      <c r="J295" s="114">
        <f t="shared" si="57"/>
        <v>11650870.132633075</v>
      </c>
      <c r="K295" s="114">
        <f t="shared" si="57"/>
        <v>9381085.0348703768</v>
      </c>
      <c r="L295" s="114">
        <f t="shared" si="57"/>
        <v>7089697.0544647109</v>
      </c>
      <c r="M295" s="114">
        <f t="shared" si="57"/>
        <v>4776323.2238881309</v>
      </c>
      <c r="N295" s="114">
        <f t="shared" si="57"/>
        <v>2440575.1748194005</v>
      </c>
      <c r="O295" s="114">
        <f t="shared" si="57"/>
        <v>82059.05614506558</v>
      </c>
      <c r="P295" s="114">
        <f t="shared" si="57"/>
        <v>-2299624.5492536165</v>
      </c>
      <c r="Q295" s="114">
        <f t="shared" si="57"/>
        <v>-4704880.7089460706</v>
      </c>
      <c r="R295" s="114">
        <f t="shared" si="57"/>
        <v>-7134120.2266483959</v>
      </c>
      <c r="S295" s="114">
        <f t="shared" si="57"/>
        <v>-9587759.7291887868</v>
      </c>
      <c r="T295" s="114">
        <f t="shared" si="57"/>
        <v>-12066221.754761208</v>
      </c>
      <c r="U295" s="114">
        <f t="shared" si="57"/>
        <v>-14569934.842486624</v>
      </c>
      <c r="V295" s="114">
        <f t="shared" si="57"/>
        <v>-17099333.623301253</v>
      </c>
    </row>
    <row r="296" spans="1:22" x14ac:dyDescent="0.3">
      <c r="A296" s="244" t="s">
        <v>42</v>
      </c>
      <c r="B296" s="114">
        <f t="shared" ref="B296:V296" si="58">B26+B40</f>
        <v>0</v>
      </c>
      <c r="C296" s="114">
        <f t="shared" si="58"/>
        <v>0</v>
      </c>
      <c r="D296" s="114">
        <f t="shared" si="58"/>
        <v>0</v>
      </c>
      <c r="E296" s="114">
        <f t="shared" si="58"/>
        <v>2030698.8453239996</v>
      </c>
      <c r="F296" s="114">
        <f t="shared" si="58"/>
        <v>5352021.6071203463</v>
      </c>
      <c r="G296" s="114">
        <f t="shared" si="58"/>
        <v>5189707.2002656516</v>
      </c>
      <c r="H296" s="114">
        <f t="shared" si="58"/>
        <v>5026184.6063928269</v>
      </c>
      <c r="I296" s="114">
        <f t="shared" si="58"/>
        <v>4861429.7720270799</v>
      </c>
      <c r="J296" s="114">
        <f t="shared" si="58"/>
        <v>4695418.3155542882</v>
      </c>
      <c r="K296" s="114">
        <f t="shared" si="58"/>
        <v>4528125.5221804325</v>
      </c>
      <c r="L296" s="114">
        <f t="shared" si="58"/>
        <v>4359526.3388166847</v>
      </c>
      <c r="M296" s="114">
        <f t="shared" si="58"/>
        <v>4189595.3688890385</v>
      </c>
      <c r="N296" s="114">
        <f t="shared" si="58"/>
        <v>4018306.8670713492</v>
      </c>
      <c r="O296" s="114">
        <f t="shared" si="58"/>
        <v>3845634.7339406474</v>
      </c>
      <c r="P296" s="114">
        <f t="shared" si="58"/>
        <v>3671552.510553549</v>
      </c>
      <c r="Q296" s="114">
        <f t="shared" si="58"/>
        <v>3496033.3729425967</v>
      </c>
      <c r="R296" s="114">
        <f t="shared" si="58"/>
        <v>3319050.1265313318</v>
      </c>
      <c r="S296" s="114">
        <f t="shared" si="58"/>
        <v>3140575.2004668806</v>
      </c>
      <c r="T296" s="114">
        <f t="shared" si="58"/>
        <v>2960580.6418688176</v>
      </c>
      <c r="U296" s="114">
        <f t="shared" si="58"/>
        <v>2779038.1099930685</v>
      </c>
      <c r="V296" s="114">
        <f t="shared" si="58"/>
        <v>2595918.8703095689</v>
      </c>
    </row>
    <row r="297" spans="1:22" x14ac:dyDescent="0.3">
      <c r="A297" s="245" t="s">
        <v>233</v>
      </c>
      <c r="B297" s="114">
        <f t="shared" ref="B297:V297" si="59">SUM(B288:B296)</f>
        <v>260121892.075037</v>
      </c>
      <c r="C297" s="114">
        <f t="shared" si="59"/>
        <v>268520103.00952864</v>
      </c>
      <c r="D297" s="114">
        <f t="shared" si="59"/>
        <v>133595444.74339308</v>
      </c>
      <c r="E297" s="114">
        <f t="shared" si="59"/>
        <v>145056198.39865163</v>
      </c>
      <c r="F297" s="114">
        <f t="shared" si="59"/>
        <v>161532977.93802112</v>
      </c>
      <c r="G297" s="114">
        <f t="shared" si="59"/>
        <v>155247310.07550859</v>
      </c>
      <c r="H297" s="114">
        <f t="shared" si="59"/>
        <v>148868120.45153844</v>
      </c>
      <c r="I297" s="114">
        <f t="shared" si="59"/>
        <v>99769792.297423303</v>
      </c>
      <c r="J297" s="114">
        <f t="shared" si="59"/>
        <v>61503493.90630056</v>
      </c>
      <c r="K297" s="114">
        <f t="shared" si="59"/>
        <v>48721059.025563993</v>
      </c>
      <c r="L297" s="114">
        <f t="shared" si="59"/>
        <v>41948804.281361081</v>
      </c>
      <c r="M297" s="114">
        <f t="shared" si="59"/>
        <v>35073359.756563708</v>
      </c>
      <c r="N297" s="114">
        <f t="shared" si="59"/>
        <v>28092682.028608557</v>
      </c>
      <c r="O297" s="114">
        <f t="shared" si="59"/>
        <v>21004689.411195129</v>
      </c>
      <c r="P297" s="114">
        <f t="shared" si="59"/>
        <v>13807261.216315508</v>
      </c>
      <c r="Q297" s="114">
        <f t="shared" si="59"/>
        <v>6498237.0019889558</v>
      </c>
      <c r="R297" s="114">
        <f t="shared" si="59"/>
        <v>-924584.19457762595</v>
      </c>
      <c r="S297" s="114">
        <f t="shared" si="59"/>
        <v>-8463444.6386884451</v>
      </c>
      <c r="T297" s="114">
        <f t="shared" si="59"/>
        <v>-16120628.695006929</v>
      </c>
      <c r="U297" s="114">
        <f t="shared" si="59"/>
        <v>-23898463.63984932</v>
      </c>
      <c r="V297" s="114">
        <f t="shared" si="59"/>
        <v>-48167717.784621648</v>
      </c>
    </row>
    <row r="299" spans="1:22" ht="15.6" x14ac:dyDescent="0.3">
      <c r="A299" s="246" t="s">
        <v>238</v>
      </c>
      <c r="B299" s="247">
        <v>2022</v>
      </c>
      <c r="C299" s="247">
        <f t="shared" ref="C299:V299" si="60">B299+1</f>
        <v>2023</v>
      </c>
      <c r="D299" s="247">
        <f t="shared" si="60"/>
        <v>2024</v>
      </c>
      <c r="E299" s="247">
        <f t="shared" si="60"/>
        <v>2025</v>
      </c>
      <c r="F299" s="247">
        <f t="shared" si="60"/>
        <v>2026</v>
      </c>
      <c r="G299" s="247">
        <f t="shared" si="60"/>
        <v>2027</v>
      </c>
      <c r="H299" s="247">
        <f t="shared" si="60"/>
        <v>2028</v>
      </c>
      <c r="I299" s="247">
        <f t="shared" si="60"/>
        <v>2029</v>
      </c>
      <c r="J299" s="247">
        <f t="shared" si="60"/>
        <v>2030</v>
      </c>
      <c r="K299" s="247">
        <f t="shared" si="60"/>
        <v>2031</v>
      </c>
      <c r="L299" s="247">
        <f t="shared" si="60"/>
        <v>2032</v>
      </c>
      <c r="M299" s="247">
        <f t="shared" si="60"/>
        <v>2033</v>
      </c>
      <c r="N299" s="247">
        <f t="shared" si="60"/>
        <v>2034</v>
      </c>
      <c r="O299" s="247">
        <f t="shared" si="60"/>
        <v>2035</v>
      </c>
      <c r="P299" s="247">
        <f t="shared" si="60"/>
        <v>2036</v>
      </c>
      <c r="Q299" s="247">
        <f t="shared" si="60"/>
        <v>2037</v>
      </c>
      <c r="R299" s="247">
        <f t="shared" si="60"/>
        <v>2038</v>
      </c>
      <c r="S299" s="247">
        <f t="shared" si="60"/>
        <v>2039</v>
      </c>
      <c r="T299" s="247">
        <f t="shared" si="60"/>
        <v>2040</v>
      </c>
      <c r="U299" s="247">
        <f t="shared" si="60"/>
        <v>2041</v>
      </c>
      <c r="V299" s="247">
        <f t="shared" si="60"/>
        <v>2042</v>
      </c>
    </row>
    <row r="300" spans="1:22" x14ac:dyDescent="0.3">
      <c r="A300" s="244" t="s">
        <v>6</v>
      </c>
      <c r="B300" s="114">
        <f t="shared" ref="B300:V300" si="61">B44+B56+B68+B80+B92+B104+B117</f>
        <v>0</v>
      </c>
      <c r="C300" s="114">
        <f t="shared" si="61"/>
        <v>0</v>
      </c>
      <c r="D300" s="114">
        <f t="shared" si="61"/>
        <v>147344631.33522782</v>
      </c>
      <c r="E300" s="114">
        <f t="shared" si="61"/>
        <v>141450846.0818187</v>
      </c>
      <c r="F300" s="114">
        <f t="shared" si="61"/>
        <v>135792812.23854595</v>
      </c>
      <c r="G300" s="114">
        <f t="shared" si="61"/>
        <v>130361099.74900411</v>
      </c>
      <c r="H300" s="114">
        <f t="shared" si="61"/>
        <v>125146655.75904395</v>
      </c>
      <c r="I300" s="114">
        <f t="shared" si="61"/>
        <v>120140789.52868219</v>
      </c>
      <c r="J300" s="114">
        <f t="shared" si="61"/>
        <v>115335157.94753489</v>
      </c>
      <c r="K300" s="114">
        <f t="shared" si="61"/>
        <v>0</v>
      </c>
      <c r="L300" s="114">
        <f t="shared" si="61"/>
        <v>0</v>
      </c>
      <c r="M300" s="114">
        <f t="shared" si="61"/>
        <v>0</v>
      </c>
      <c r="N300" s="114">
        <f t="shared" si="61"/>
        <v>0</v>
      </c>
      <c r="O300" s="114">
        <f t="shared" si="61"/>
        <v>0</v>
      </c>
      <c r="P300" s="114">
        <f t="shared" si="61"/>
        <v>0</v>
      </c>
      <c r="Q300" s="114">
        <f t="shared" si="61"/>
        <v>0</v>
      </c>
      <c r="R300" s="114">
        <f t="shared" si="61"/>
        <v>0</v>
      </c>
      <c r="S300" s="114">
        <f t="shared" si="61"/>
        <v>0</v>
      </c>
      <c r="T300" s="114">
        <f t="shared" si="61"/>
        <v>0</v>
      </c>
      <c r="U300" s="114">
        <f t="shared" si="61"/>
        <v>0</v>
      </c>
      <c r="V300" s="114">
        <f t="shared" si="61"/>
        <v>0</v>
      </c>
    </row>
    <row r="301" spans="1:22" x14ac:dyDescent="0.3">
      <c r="A301" s="244" t="s">
        <v>12</v>
      </c>
      <c r="B301" s="114">
        <f t="shared" ref="B301:V301" si="62">B45+B57+B69+B81+B93+B105+B118</f>
        <v>0</v>
      </c>
      <c r="C301" s="114">
        <f t="shared" si="62"/>
        <v>0</v>
      </c>
      <c r="D301" s="114">
        <f t="shared" si="62"/>
        <v>15811095.753424857</v>
      </c>
      <c r="E301" s="114">
        <f t="shared" si="62"/>
        <v>30111353.468189117</v>
      </c>
      <c r="F301" s="114">
        <f t="shared" si="62"/>
        <v>43839600.874362804</v>
      </c>
      <c r="G301" s="114">
        <f t="shared" si="62"/>
        <v>57018718.384289548</v>
      </c>
      <c r="H301" s="114">
        <f t="shared" si="62"/>
        <v>69670671.193819225</v>
      </c>
      <c r="I301" s="114">
        <f t="shared" si="62"/>
        <v>81816545.890967697</v>
      </c>
      <c r="J301" s="114">
        <f t="shared" si="62"/>
        <v>93476585.600230247</v>
      </c>
      <c r="K301" s="114">
        <f t="shared" si="62"/>
        <v>77856314.146183297</v>
      </c>
      <c r="L301" s="114">
        <f t="shared" si="62"/>
        <v>63520920.663078085</v>
      </c>
      <c r="M301" s="114">
        <f t="shared" si="62"/>
        <v>49758942.919297084</v>
      </c>
      <c r="N301" s="114">
        <f t="shared" si="62"/>
        <v>36547444.285267331</v>
      </c>
      <c r="O301" s="114">
        <f t="shared" si="62"/>
        <v>23864405.59659877</v>
      </c>
      <c r="P301" s="114">
        <f t="shared" si="62"/>
        <v>11688688.455476949</v>
      </c>
      <c r="Q301" s="114">
        <f t="shared" si="62"/>
        <v>0</v>
      </c>
      <c r="R301" s="114">
        <f t="shared" si="62"/>
        <v>0</v>
      </c>
      <c r="S301" s="114">
        <f t="shared" si="62"/>
        <v>0</v>
      </c>
      <c r="T301" s="114">
        <f t="shared" si="62"/>
        <v>0</v>
      </c>
      <c r="U301" s="114">
        <f t="shared" si="62"/>
        <v>0</v>
      </c>
      <c r="V301" s="114">
        <f t="shared" si="62"/>
        <v>0</v>
      </c>
    </row>
    <row r="302" spans="1:22" x14ac:dyDescent="0.3">
      <c r="A302" s="244" t="s">
        <v>21</v>
      </c>
      <c r="B302" s="114">
        <f t="shared" ref="B302:V302" si="63">B46+B58+B70+B82+B94+B106+B119</f>
        <v>0</v>
      </c>
      <c r="C302" s="114">
        <f t="shared" si="63"/>
        <v>0</v>
      </c>
      <c r="D302" s="114">
        <f t="shared" si="63"/>
        <v>0</v>
      </c>
      <c r="E302" s="114">
        <f t="shared" si="63"/>
        <v>13581238.386041543</v>
      </c>
      <c r="F302" s="114">
        <f t="shared" si="63"/>
        <v>26551321.044711217</v>
      </c>
      <c r="G302" s="114">
        <f t="shared" si="63"/>
        <v>38935033.73606354</v>
      </c>
      <c r="H302" s="114">
        <f t="shared" si="63"/>
        <v>50756169.092096075</v>
      </c>
      <c r="I302" s="114">
        <f t="shared" si="63"/>
        <v>62037566.350359932</v>
      </c>
      <c r="J302" s="114">
        <f t="shared" si="63"/>
        <v>72801149.498183504</v>
      </c>
      <c r="K302" s="114">
        <f t="shared" si="63"/>
        <v>83067963.891084924</v>
      </c>
      <c r="L302" s="114">
        <f t="shared" si="63"/>
        <v>82652624.071629494</v>
      </c>
      <c r="M302" s="114">
        <f t="shared" si="63"/>
        <v>82239360.951271355</v>
      </c>
      <c r="N302" s="114">
        <f t="shared" si="63"/>
        <v>81828164.146514997</v>
      </c>
      <c r="O302" s="114">
        <f t="shared" si="63"/>
        <v>81419023.325782418</v>
      </c>
      <c r="P302" s="114">
        <f t="shared" si="63"/>
        <v>81011928.209153503</v>
      </c>
      <c r="Q302" s="114">
        <f t="shared" si="63"/>
        <v>80606868.568107739</v>
      </c>
      <c r="R302" s="114">
        <f t="shared" si="63"/>
        <v>80203834.225267187</v>
      </c>
      <c r="S302" s="114">
        <f t="shared" si="63"/>
        <v>79802815.054140866</v>
      </c>
      <c r="T302" s="114">
        <f t="shared" si="63"/>
        <v>79403800.978870153</v>
      </c>
      <c r="U302" s="114">
        <f t="shared" si="63"/>
        <v>79006781.973975807</v>
      </c>
      <c r="V302" s="114">
        <f t="shared" si="63"/>
        <v>78611748.064105913</v>
      </c>
    </row>
    <row r="303" spans="1:22" x14ac:dyDescent="0.3">
      <c r="A303" s="244" t="s">
        <v>25</v>
      </c>
      <c r="B303" s="114">
        <f t="shared" ref="B303:V303" si="64">B47+B59+B71+B83+B95+B107+B120</f>
        <v>0</v>
      </c>
      <c r="C303" s="114">
        <f t="shared" si="64"/>
        <v>0</v>
      </c>
      <c r="D303" s="114">
        <f t="shared" si="64"/>
        <v>7675199.9434157629</v>
      </c>
      <c r="E303" s="114">
        <f t="shared" si="64"/>
        <v>15005015.889377816</v>
      </c>
      <c r="F303" s="114">
        <f t="shared" si="64"/>
        <v>22003455.077782892</v>
      </c>
      <c r="G303" s="114">
        <f t="shared" si="64"/>
        <v>28683963.499531869</v>
      </c>
      <c r="H303" s="114">
        <f t="shared" si="64"/>
        <v>35059448.351286575</v>
      </c>
      <c r="I303" s="114">
        <f t="shared" si="64"/>
        <v>41142299.592012428</v>
      </c>
      <c r="J303" s="114">
        <f t="shared" si="64"/>
        <v>46944410.637235343</v>
      </c>
      <c r="K303" s="114">
        <f t="shared" si="64"/>
        <v>46709688.584049173</v>
      </c>
      <c r="L303" s="114">
        <f t="shared" si="64"/>
        <v>46476140.141128927</v>
      </c>
      <c r="M303" s="114">
        <f t="shared" si="64"/>
        <v>46243759.44042328</v>
      </c>
      <c r="N303" s="114">
        <f t="shared" si="64"/>
        <v>46012540.643221162</v>
      </c>
      <c r="O303" s="114">
        <f t="shared" si="64"/>
        <v>45782477.940005057</v>
      </c>
      <c r="P303" s="114">
        <f t="shared" si="64"/>
        <v>45553565.550305031</v>
      </c>
      <c r="Q303" s="114">
        <f t="shared" si="64"/>
        <v>45325797.722553506</v>
      </c>
      <c r="R303" s="114">
        <f t="shared" si="64"/>
        <v>45099168.733940735</v>
      </c>
      <c r="S303" s="114">
        <f t="shared" si="64"/>
        <v>44873672.890271038</v>
      </c>
      <c r="T303" s="114">
        <f t="shared" si="64"/>
        <v>44649304.525819674</v>
      </c>
      <c r="U303" s="114">
        <f t="shared" si="64"/>
        <v>44426058.003190584</v>
      </c>
      <c r="V303" s="114">
        <f t="shared" si="64"/>
        <v>44203927.713174634</v>
      </c>
    </row>
    <row r="304" spans="1:22" x14ac:dyDescent="0.3">
      <c r="A304" s="244" t="s">
        <v>29</v>
      </c>
      <c r="B304" s="114">
        <f t="shared" ref="B304:V304" si="65">B48+B60+B72+B84+B96+B108+B121</f>
        <v>0</v>
      </c>
      <c r="C304" s="114">
        <f t="shared" si="65"/>
        <v>0</v>
      </c>
      <c r="D304" s="114">
        <f t="shared" si="65"/>
        <v>0</v>
      </c>
      <c r="E304" s="114">
        <f t="shared" si="65"/>
        <v>6212021.7949186526</v>
      </c>
      <c r="F304" s="114">
        <f t="shared" si="65"/>
        <v>11830450.396100633</v>
      </c>
      <c r="G304" s="114">
        <f t="shared" si="65"/>
        <v>17224141.853235334</v>
      </c>
      <c r="H304" s="114">
        <f t="shared" si="65"/>
        <v>22402085.652084645</v>
      </c>
      <c r="I304" s="114">
        <f t="shared" si="65"/>
        <v>27372911.698979985</v>
      </c>
      <c r="J304" s="114">
        <f t="shared" si="65"/>
        <v>32144904.703999512</v>
      </c>
      <c r="K304" s="114">
        <f t="shared" si="65"/>
        <v>36726017.988818258</v>
      </c>
      <c r="L304" s="114">
        <f t="shared" si="65"/>
        <v>30588969.15752098</v>
      </c>
      <c r="M304" s="114">
        <f t="shared" si="65"/>
        <v>24956736.063461401</v>
      </c>
      <c r="N304" s="114">
        <f t="shared" si="65"/>
        <v>19549792.293164209</v>
      </c>
      <c r="O304" s="114">
        <f t="shared" si="65"/>
        <v>14359126.273678903</v>
      </c>
      <c r="P304" s="114">
        <f t="shared" si="65"/>
        <v>9376086.8949730098</v>
      </c>
      <c r="Q304" s="114">
        <f t="shared" si="65"/>
        <v>4592369.0914153513</v>
      </c>
      <c r="R304" s="114">
        <f t="shared" si="65"/>
        <v>0</v>
      </c>
      <c r="S304" s="114">
        <f t="shared" si="65"/>
        <v>0</v>
      </c>
      <c r="T304" s="114">
        <f t="shared" si="65"/>
        <v>0</v>
      </c>
      <c r="U304" s="114">
        <f t="shared" si="65"/>
        <v>0</v>
      </c>
      <c r="V304" s="114">
        <f t="shared" si="65"/>
        <v>0</v>
      </c>
    </row>
    <row r="305" spans="1:22" x14ac:dyDescent="0.3">
      <c r="A305" s="244" t="s">
        <v>33</v>
      </c>
      <c r="B305" s="114">
        <f t="shared" ref="B305:V305" si="66">B49+B61+B73+B85+B97+B109+B122</f>
        <v>0</v>
      </c>
      <c r="C305" s="114">
        <f t="shared" si="66"/>
        <v>0</v>
      </c>
      <c r="D305" s="114">
        <f t="shared" si="66"/>
        <v>7905547.8767124284</v>
      </c>
      <c r="E305" s="114">
        <f t="shared" si="66"/>
        <v>15055676.734094558</v>
      </c>
      <c r="F305" s="114">
        <f t="shared" si="66"/>
        <v>21919800.437181402</v>
      </c>
      <c r="G305" s="114">
        <f t="shared" si="66"/>
        <v>28509359.192144774</v>
      </c>
      <c r="H305" s="114">
        <f t="shared" si="66"/>
        <v>34835335.596909612</v>
      </c>
      <c r="I305" s="114">
        <f t="shared" si="66"/>
        <v>40908272.945483848</v>
      </c>
      <c r="J305" s="114">
        <f t="shared" si="66"/>
        <v>46738292.800115123</v>
      </c>
      <c r="K305" s="114">
        <f t="shared" si="66"/>
        <v>38928157.073091649</v>
      </c>
      <c r="L305" s="114">
        <f t="shared" si="66"/>
        <v>31760460.331539042</v>
      </c>
      <c r="M305" s="114">
        <f t="shared" si="66"/>
        <v>24879471.459648542</v>
      </c>
      <c r="N305" s="114">
        <f t="shared" si="66"/>
        <v>18273722.142633665</v>
      </c>
      <c r="O305" s="114">
        <f t="shared" si="66"/>
        <v>11932202.798299385</v>
      </c>
      <c r="P305" s="114">
        <f t="shared" si="66"/>
        <v>5844344.2277384745</v>
      </c>
      <c r="Q305" s="114">
        <f t="shared" si="66"/>
        <v>0</v>
      </c>
      <c r="R305" s="114">
        <f t="shared" si="66"/>
        <v>0</v>
      </c>
      <c r="S305" s="114">
        <f t="shared" si="66"/>
        <v>0</v>
      </c>
      <c r="T305" s="114">
        <f t="shared" si="66"/>
        <v>0</v>
      </c>
      <c r="U305" s="114">
        <f t="shared" si="66"/>
        <v>0</v>
      </c>
      <c r="V305" s="114">
        <f t="shared" si="66"/>
        <v>0</v>
      </c>
    </row>
    <row r="306" spans="1:22" x14ac:dyDescent="0.3">
      <c r="A306" s="244" t="s">
        <v>40</v>
      </c>
      <c r="B306" s="114">
        <f t="shared" ref="B306:V306" si="67">B50+B62+B74+B86+B98+B110+B123</f>
        <v>0</v>
      </c>
      <c r="C306" s="114">
        <f t="shared" si="67"/>
        <v>0</v>
      </c>
      <c r="D306" s="114">
        <f t="shared" si="67"/>
        <v>0</v>
      </c>
      <c r="E306" s="114">
        <f t="shared" si="67"/>
        <v>0</v>
      </c>
      <c r="F306" s="114">
        <f t="shared" si="67"/>
        <v>0</v>
      </c>
      <c r="G306" s="114">
        <f t="shared" si="67"/>
        <v>1468041.8283999828</v>
      </c>
      <c r="H306" s="114">
        <f t="shared" si="67"/>
        <v>1628421.3292079705</v>
      </c>
      <c r="I306" s="114">
        <f t="shared" si="67"/>
        <v>-1095820.4466830776</v>
      </c>
      <c r="J306" s="114">
        <f t="shared" si="67"/>
        <v>-6869289.8021414578</v>
      </c>
      <c r="K306" s="114">
        <f t="shared" si="67"/>
        <v>-15860977.543639522</v>
      </c>
      <c r="L306" s="114">
        <f t="shared" si="67"/>
        <v>-28244368.518876631</v>
      </c>
      <c r="M306" s="114">
        <f t="shared" si="67"/>
        <v>-44197553.782105751</v>
      </c>
      <c r="N306" s="114">
        <f t="shared" si="67"/>
        <v>-64399277.857747845</v>
      </c>
      <c r="O306" s="114">
        <f t="shared" si="67"/>
        <v>-85005036.414902806</v>
      </c>
      <c r="P306" s="114">
        <f t="shared" si="67"/>
        <v>-106022910.14320083</v>
      </c>
      <c r="Q306" s="114">
        <f t="shared" si="67"/>
        <v>-127461141.3460649</v>
      </c>
      <c r="R306" s="114">
        <f t="shared" si="67"/>
        <v>-149328137.17298618</v>
      </c>
      <c r="S306" s="114">
        <f t="shared" si="67"/>
        <v>-171632472.91644591</v>
      </c>
      <c r="T306" s="114">
        <f t="shared" si="67"/>
        <v>-194382895.37477475</v>
      </c>
      <c r="U306" s="114">
        <f t="shared" si="67"/>
        <v>-217588326.28227016</v>
      </c>
      <c r="V306" s="114">
        <f t="shared" si="67"/>
        <v>-241257865.80791554</v>
      </c>
    </row>
    <row r="307" spans="1:22" x14ac:dyDescent="0.3">
      <c r="A307" s="244" t="s">
        <v>41</v>
      </c>
      <c r="B307" s="114">
        <f t="shared" ref="B307:V307" si="68">B51+B63+B75+B87+B99+B111+B124</f>
        <v>0</v>
      </c>
      <c r="C307" s="114">
        <f t="shared" si="68"/>
        <v>0</v>
      </c>
      <c r="D307" s="114">
        <f t="shared" si="68"/>
        <v>0</v>
      </c>
      <c r="E307" s="114">
        <f t="shared" si="68"/>
        <v>0</v>
      </c>
      <c r="F307" s="114">
        <f t="shared" si="68"/>
        <v>0</v>
      </c>
      <c r="G307" s="114">
        <f t="shared" si="68"/>
        <v>11062081.044799989</v>
      </c>
      <c r="H307" s="114">
        <f t="shared" si="68"/>
        <v>32408412.383759506</v>
      </c>
      <c r="I307" s="114">
        <f t="shared" si="68"/>
        <v>51859960.612487435</v>
      </c>
      <c r="J307" s="114">
        <f t="shared" si="68"/>
        <v>69285455.215346515</v>
      </c>
      <c r="K307" s="114">
        <f t="shared" si="68"/>
        <v>84550127.46963793</v>
      </c>
      <c r="L307" s="114">
        <f t="shared" si="68"/>
        <v>97515623.015870154</v>
      </c>
      <c r="M307" s="114">
        <f t="shared" si="68"/>
        <v>108039912.33007815</v>
      </c>
      <c r="N307" s="114">
        <f t="shared" si="68"/>
        <v>92381653.121812105</v>
      </c>
      <c r="O307" s="114">
        <f t="shared" si="68"/>
        <v>76422512.40779838</v>
      </c>
      <c r="P307" s="114">
        <f t="shared" si="68"/>
        <v>60156499.629008003</v>
      </c>
      <c r="Q307" s="114">
        <f t="shared" si="68"/>
        <v>43577505.598369099</v>
      </c>
      <c r="R307" s="114">
        <f t="shared" si="68"/>
        <v>26679300.141936183</v>
      </c>
      <c r="S307" s="114">
        <f t="shared" si="68"/>
        <v>9455529.6931063458</v>
      </c>
      <c r="T307" s="114">
        <f t="shared" si="68"/>
        <v>-8100285.1610525586</v>
      </c>
      <c r="U307" s="114">
        <f t="shared" si="68"/>
        <v>-25994752.182316676</v>
      </c>
      <c r="V307" s="114">
        <f t="shared" si="68"/>
        <v>-44234610.033637211</v>
      </c>
    </row>
    <row r="308" spans="1:22" x14ac:dyDescent="0.3">
      <c r="A308" s="244" t="s">
        <v>42</v>
      </c>
      <c r="B308" s="114">
        <f t="shared" ref="B308:V308" si="69">B52+B64+B76+B88+B100+B112+B125</f>
        <v>0</v>
      </c>
      <c r="C308" s="114">
        <f t="shared" si="69"/>
        <v>0</v>
      </c>
      <c r="D308" s="114">
        <f t="shared" si="69"/>
        <v>0</v>
      </c>
      <c r="E308" s="114">
        <f t="shared" si="69"/>
        <v>0</v>
      </c>
      <c r="F308" s="114">
        <f t="shared" si="69"/>
        <v>0</v>
      </c>
      <c r="G308" s="114">
        <f t="shared" si="69"/>
        <v>2778807.2679119995</v>
      </c>
      <c r="H308" s="114">
        <f t="shared" si="69"/>
        <v>8137126.8316158867</v>
      </c>
      <c r="I308" s="114">
        <f t="shared" si="69"/>
        <v>13453223.262921585</v>
      </c>
      <c r="J308" s="114">
        <f t="shared" si="69"/>
        <v>18718891.434105173</v>
      </c>
      <c r="K308" s="114">
        <f t="shared" si="69"/>
        <v>23925707.57429146</v>
      </c>
      <c r="L308" s="114">
        <f t="shared" si="69"/>
        <v>29065023.804990552</v>
      </c>
      <c r="M308" s="114">
        <f t="shared" si="69"/>
        <v>34127962.544511065</v>
      </c>
      <c r="N308" s="114">
        <f t="shared" si="69"/>
        <v>33136364.157726355</v>
      </c>
      <c r="O308" s="114">
        <f t="shared" si="69"/>
        <v>32125982.085568629</v>
      </c>
      <c r="P308" s="114">
        <f t="shared" si="69"/>
        <v>31096441.164734706</v>
      </c>
      <c r="Q308" s="114">
        <f t="shared" si="69"/>
        <v>30047358.811805345</v>
      </c>
      <c r="R308" s="114">
        <f t="shared" si="69"/>
        <v>28978344.875704188</v>
      </c>
      <c r="S308" s="114">
        <f t="shared" si="69"/>
        <v>27889001.487220526</v>
      </c>
      <c r="T308" s="114">
        <f t="shared" si="69"/>
        <v>26778922.905537479</v>
      </c>
      <c r="U308" s="114">
        <f t="shared" si="69"/>
        <v>25647695.361705869</v>
      </c>
      <c r="V308" s="114">
        <f t="shared" si="69"/>
        <v>24494896.899002947</v>
      </c>
    </row>
    <row r="309" spans="1:22" x14ac:dyDescent="0.3">
      <c r="A309" s="245" t="s">
        <v>233</v>
      </c>
      <c r="B309" s="114">
        <f t="shared" ref="B309:V309" si="70">SUM(B300:B308)</f>
        <v>0</v>
      </c>
      <c r="C309" s="114">
        <f t="shared" si="70"/>
        <v>0</v>
      </c>
      <c r="D309" s="114">
        <f t="shared" si="70"/>
        <v>178736474.90878087</v>
      </c>
      <c r="E309" s="114">
        <f t="shared" si="70"/>
        <v>221416152.35444039</v>
      </c>
      <c r="F309" s="114">
        <f t="shared" si="70"/>
        <v>261937440.06868491</v>
      </c>
      <c r="G309" s="114">
        <f t="shared" si="70"/>
        <v>316041246.55538106</v>
      </c>
      <c r="H309" s="114">
        <f t="shared" si="70"/>
        <v>380044326.18982339</v>
      </c>
      <c r="I309" s="114">
        <f t="shared" si="70"/>
        <v>437635749.43521202</v>
      </c>
      <c r="J309" s="114">
        <f t="shared" si="70"/>
        <v>488575558.03460878</v>
      </c>
      <c r="K309" s="114">
        <f t="shared" si="70"/>
        <v>375902999.18351722</v>
      </c>
      <c r="L309" s="114">
        <f t="shared" si="70"/>
        <v>353335392.66688061</v>
      </c>
      <c r="M309" s="114">
        <f t="shared" si="70"/>
        <v>326048591.92658514</v>
      </c>
      <c r="N309" s="114">
        <f t="shared" si="70"/>
        <v>263330402.93259197</v>
      </c>
      <c r="O309" s="114">
        <f t="shared" si="70"/>
        <v>200900694.01282874</v>
      </c>
      <c r="P309" s="114">
        <f t="shared" si="70"/>
        <v>138704643.98818886</v>
      </c>
      <c r="Q309" s="114">
        <f t="shared" si="70"/>
        <v>76688758.44618614</v>
      </c>
      <c r="R309" s="114">
        <f t="shared" si="70"/>
        <v>31632510.803862114</v>
      </c>
      <c r="S309" s="114">
        <f t="shared" si="70"/>
        <v>-9611453.7917071357</v>
      </c>
      <c r="T309" s="114">
        <f t="shared" si="70"/>
        <v>-51651152.125600003</v>
      </c>
      <c r="U309" s="114">
        <f t="shared" si="70"/>
        <v>-94502543.125714585</v>
      </c>
      <c r="V309" s="114">
        <f t="shared" si="70"/>
        <v>-138181903.16526929</v>
      </c>
    </row>
    <row r="311" spans="1:22" ht="15.6" x14ac:dyDescent="0.3">
      <c r="A311" s="246" t="s">
        <v>239</v>
      </c>
      <c r="B311" s="247">
        <v>2022</v>
      </c>
      <c r="C311" s="247">
        <f t="shared" ref="C311:V311" si="71">B311+1</f>
        <v>2023</v>
      </c>
      <c r="D311" s="247">
        <f t="shared" si="71"/>
        <v>2024</v>
      </c>
      <c r="E311" s="247">
        <f t="shared" si="71"/>
        <v>2025</v>
      </c>
      <c r="F311" s="247">
        <f t="shared" si="71"/>
        <v>2026</v>
      </c>
      <c r="G311" s="247">
        <f t="shared" si="71"/>
        <v>2027</v>
      </c>
      <c r="H311" s="247">
        <f t="shared" si="71"/>
        <v>2028</v>
      </c>
      <c r="I311" s="247">
        <f t="shared" si="71"/>
        <v>2029</v>
      </c>
      <c r="J311" s="247">
        <f t="shared" si="71"/>
        <v>2030</v>
      </c>
      <c r="K311" s="247">
        <f t="shared" si="71"/>
        <v>2031</v>
      </c>
      <c r="L311" s="247">
        <f t="shared" si="71"/>
        <v>2032</v>
      </c>
      <c r="M311" s="247">
        <f t="shared" si="71"/>
        <v>2033</v>
      </c>
      <c r="N311" s="247">
        <f t="shared" si="71"/>
        <v>2034</v>
      </c>
      <c r="O311" s="247">
        <f t="shared" si="71"/>
        <v>2035</v>
      </c>
      <c r="P311" s="247">
        <f t="shared" si="71"/>
        <v>2036</v>
      </c>
      <c r="Q311" s="247">
        <f t="shared" si="71"/>
        <v>2037</v>
      </c>
      <c r="R311" s="247">
        <f t="shared" si="71"/>
        <v>2038</v>
      </c>
      <c r="S311" s="247">
        <f t="shared" si="71"/>
        <v>2039</v>
      </c>
      <c r="T311" s="247">
        <f t="shared" si="71"/>
        <v>2040</v>
      </c>
      <c r="U311" s="247">
        <f t="shared" si="71"/>
        <v>2041</v>
      </c>
      <c r="V311" s="247">
        <f t="shared" si="71"/>
        <v>2042</v>
      </c>
    </row>
    <row r="312" spans="1:22" x14ac:dyDescent="0.3">
      <c r="A312" s="244" t="s">
        <v>6</v>
      </c>
      <c r="B312" s="114">
        <f t="shared" ref="B312:V312" si="72">B4+B18+B32+B44+B56+B68+B80+B92+B104+B117+B130+B144+B158+B170+B182+B194+B206+B218+B230+B243</f>
        <v>335733555.14188653</v>
      </c>
      <c r="C312" s="114">
        <f t="shared" si="72"/>
        <v>153483990.97419566</v>
      </c>
      <c r="D312" s="114">
        <f t="shared" si="72"/>
        <v>147344631.33522782</v>
      </c>
      <c r="E312" s="114">
        <f t="shared" si="72"/>
        <v>141450846.0818187</v>
      </c>
      <c r="F312" s="114">
        <f t="shared" si="72"/>
        <v>135792812.23854595</v>
      </c>
      <c r="G312" s="114">
        <f t="shared" si="72"/>
        <v>130361099.74900411</v>
      </c>
      <c r="H312" s="114">
        <f t="shared" si="72"/>
        <v>125146655.75904395</v>
      </c>
      <c r="I312" s="114">
        <f t="shared" si="72"/>
        <v>120140789.52868219</v>
      </c>
      <c r="J312" s="114">
        <f t="shared" si="72"/>
        <v>115335157.94753489</v>
      </c>
      <c r="K312" s="114">
        <f t="shared" si="72"/>
        <v>110721751.62963349</v>
      </c>
      <c r="L312" s="114">
        <f t="shared" si="72"/>
        <v>106292881.56444815</v>
      </c>
      <c r="M312" s="114">
        <f t="shared" si="72"/>
        <v>51020583.150935106</v>
      </c>
      <c r="N312" s="114">
        <f t="shared" si="72"/>
        <v>48979759.824897699</v>
      </c>
      <c r="O312" s="114">
        <f t="shared" si="72"/>
        <v>47020569.43190179</v>
      </c>
      <c r="P312" s="114">
        <f t="shared" si="72"/>
        <v>45139746.654625714</v>
      </c>
      <c r="Q312" s="114">
        <f t="shared" si="72"/>
        <v>43334156.788440682</v>
      </c>
      <c r="R312" s="114">
        <f t="shared" si="72"/>
        <v>41600790.51690305</v>
      </c>
      <c r="S312" s="114">
        <f t="shared" si="72"/>
        <v>39936758.896226928</v>
      </c>
      <c r="T312" s="114">
        <f t="shared" si="72"/>
        <v>38339288.540377848</v>
      </c>
      <c r="U312" s="114">
        <f t="shared" si="72"/>
        <v>0</v>
      </c>
      <c r="V312" s="114">
        <f t="shared" si="72"/>
        <v>0</v>
      </c>
    </row>
    <row r="313" spans="1:22" x14ac:dyDescent="0.3">
      <c r="A313" s="244" t="s">
        <v>12</v>
      </c>
      <c r="B313" s="114">
        <f t="shared" ref="B313:V313" si="73">B5+B19+B33+B45+B57+B69+B81+B93+B105+B118+B131+B145+B159+B171+B183+B195+B207+B219+B231+B244</f>
        <v>36754764.933285579</v>
      </c>
      <c r="C313" s="114">
        <f t="shared" si="73"/>
        <v>51182724.957920611</v>
      </c>
      <c r="D313" s="114">
        <f t="shared" si="73"/>
        <v>66078826.744133383</v>
      </c>
      <c r="E313" s="114">
        <f t="shared" si="73"/>
        <v>80379084.45889765</v>
      </c>
      <c r="F313" s="114">
        <f t="shared" si="73"/>
        <v>94107331.865071341</v>
      </c>
      <c r="G313" s="114">
        <f t="shared" si="73"/>
        <v>107286449.37499809</v>
      </c>
      <c r="H313" s="114">
        <f t="shared" si="73"/>
        <v>119938402.18452775</v>
      </c>
      <c r="I313" s="114">
        <f t="shared" si="73"/>
        <v>97371443.333573177</v>
      </c>
      <c r="J313" s="114">
        <f t="shared" si="73"/>
        <v>93476585.600230247</v>
      </c>
      <c r="K313" s="114">
        <f t="shared" si="73"/>
        <v>89737522.176221043</v>
      </c>
      <c r="L313" s="114">
        <f t="shared" si="73"/>
        <v>86148021.289172187</v>
      </c>
      <c r="M313" s="114">
        <f t="shared" si="73"/>
        <v>77227239.777363911</v>
      </c>
      <c r="N313" s="114">
        <f t="shared" si="73"/>
        <v>68967448.451596916</v>
      </c>
      <c r="O313" s="114">
        <f t="shared" si="73"/>
        <v>61038048.778860621</v>
      </c>
      <c r="P313" s="114">
        <f t="shared" si="73"/>
        <v>53425825.093033768</v>
      </c>
      <c r="Q313" s="114">
        <f t="shared" si="73"/>
        <v>46118090.354639992</v>
      </c>
      <c r="R313" s="114">
        <f t="shared" si="73"/>
        <v>39102665.005781963</v>
      </c>
      <c r="S313" s="114">
        <f t="shared" si="73"/>
        <v>32367856.670878254</v>
      </c>
      <c r="T313" s="114">
        <f t="shared" si="73"/>
        <v>31073142.404043123</v>
      </c>
      <c r="U313" s="114">
        <f t="shared" si="73"/>
        <v>25880709.281194713</v>
      </c>
      <c r="V313" s="114">
        <f t="shared" si="73"/>
        <v>21115390.562520605</v>
      </c>
    </row>
    <row r="314" spans="1:22" x14ac:dyDescent="0.3">
      <c r="A314" s="244" t="s">
        <v>21</v>
      </c>
      <c r="B314" s="114">
        <f t="shared" ref="B314:V314" si="74">B6+B20+B34+B46+B58+B70+B82+B94+B106+B119+B132+B146+B160+B172+B184+B196+B208+B220+B232+B245</f>
        <v>0</v>
      </c>
      <c r="C314" s="114">
        <f t="shared" si="74"/>
        <v>35482865.218152002</v>
      </c>
      <c r="D314" s="114">
        <f t="shared" si="74"/>
        <v>49452574.210854515</v>
      </c>
      <c r="E314" s="114">
        <f t="shared" si="74"/>
        <v>62786549.725841783</v>
      </c>
      <c r="F314" s="114">
        <f t="shared" si="74"/>
        <v>75510605.827812463</v>
      </c>
      <c r="G314" s="114">
        <f t="shared" si="74"/>
        <v>87649522.09524928</v>
      </c>
      <c r="H314" s="114">
        <f t="shared" si="74"/>
        <v>99227085.009485886</v>
      </c>
      <c r="I314" s="114">
        <f t="shared" si="74"/>
        <v>110266127.68816277</v>
      </c>
      <c r="J314" s="114">
        <f t="shared" si="74"/>
        <v>120788568.02929734</v>
      </c>
      <c r="K314" s="114">
        <f t="shared" si="74"/>
        <v>130815445.32954322</v>
      </c>
      <c r="L314" s="114">
        <f t="shared" si="74"/>
        <v>140366955.43767211</v>
      </c>
      <c r="M314" s="114">
        <f t="shared" si="74"/>
        <v>149462484.50186935</v>
      </c>
      <c r="N314" s="114">
        <f t="shared" si="74"/>
        <v>153417906.72322506</v>
      </c>
      <c r="O314" s="114">
        <f t="shared" si="74"/>
        <v>157165442.44771945</v>
      </c>
      <c r="P314" s="114">
        <f t="shared" si="74"/>
        <v>160713655.48326683</v>
      </c>
      <c r="Q314" s="114">
        <f t="shared" si="74"/>
        <v>164070765.8437252</v>
      </c>
      <c r="R314" s="114">
        <f t="shared" si="74"/>
        <v>167244663.50686622</v>
      </c>
      <c r="S314" s="114">
        <f t="shared" si="74"/>
        <v>170242921.62199709</v>
      </c>
      <c r="T314" s="114">
        <f t="shared" si="74"/>
        <v>173072809.1892457</v>
      </c>
      <c r="U314" s="114">
        <f t="shared" si="74"/>
        <v>175741303.23164374</v>
      </c>
      <c r="V314" s="114">
        <f t="shared" si="74"/>
        <v>174862596.71548566</v>
      </c>
    </row>
    <row r="315" spans="1:22" x14ac:dyDescent="0.3">
      <c r="A315" s="244" t="s">
        <v>25</v>
      </c>
      <c r="B315" s="114">
        <f t="shared" ref="B315:V315" si="75">B7+B21+B35+B47+B59+B71+B83+B95+B107+B120+B133+B147+B161+B173+B185+B197+B209+B221+B233+B246</f>
        <v>18137533.746097699</v>
      </c>
      <c r="C315" s="114">
        <f t="shared" si="75"/>
        <v>26041846.018425301</v>
      </c>
      <c r="D315" s="114">
        <f t="shared" si="75"/>
        <v>33586836.731748931</v>
      </c>
      <c r="E315" s="114">
        <f t="shared" si="75"/>
        <v>40787094.493769318</v>
      </c>
      <c r="F315" s="114">
        <f t="shared" si="75"/>
        <v>47656623.289152436</v>
      </c>
      <c r="G315" s="114">
        <f t="shared" si="75"/>
        <v>54208865.869844563</v>
      </c>
      <c r="H315" s="114">
        <f t="shared" si="75"/>
        <v>60456726.209747717</v>
      </c>
      <c r="I315" s="114">
        <f t="shared" si="75"/>
        <v>66412591.061181255</v>
      </c>
      <c r="J315" s="114">
        <f t="shared" si="75"/>
        <v>72088350.649058342</v>
      </c>
      <c r="K315" s="114">
        <f t="shared" si="75"/>
        <v>77495418.537268713</v>
      </c>
      <c r="L315" s="114">
        <f t="shared" si="75"/>
        <v>82644750.700379789</v>
      </c>
      <c r="M315" s="114">
        <f t="shared" si="75"/>
        <v>84889195.389660671</v>
      </c>
      <c r="N315" s="114">
        <f t="shared" si="75"/>
        <v>87016111.11778383</v>
      </c>
      <c r="O315" s="114">
        <f t="shared" si="75"/>
        <v>89030337.799063519</v>
      </c>
      <c r="P315" s="114">
        <f t="shared" si="75"/>
        <v>90936521.057462052</v>
      </c>
      <c r="Q315" s="114">
        <f t="shared" si="75"/>
        <v>92739120.001672849</v>
      </c>
      <c r="R315" s="114">
        <f t="shared" si="75"/>
        <v>94442414.689182669</v>
      </c>
      <c r="S315" s="114">
        <f t="shared" si="75"/>
        <v>96050513.291754186</v>
      </c>
      <c r="T315" s="114">
        <f t="shared" si="75"/>
        <v>97567358.974272177</v>
      </c>
      <c r="U315" s="114">
        <f t="shared" si="75"/>
        <v>97079522.179400831</v>
      </c>
      <c r="V315" s="114">
        <f t="shared" si="75"/>
        <v>80186721.455449283</v>
      </c>
    </row>
    <row r="316" spans="1:22" x14ac:dyDescent="0.3">
      <c r="A316" s="244" t="s">
        <v>29</v>
      </c>
      <c r="B316" s="114">
        <f t="shared" ref="B316:V316" si="76">B8+B22+B36+B48+B60+B72+B84+B96+B108+B121+B134+B148+B162+B174+B186+B198+B210+B222+B234+B247</f>
        <v>0</v>
      </c>
      <c r="C316" s="114">
        <f t="shared" si="76"/>
        <v>9471594.050903393</v>
      </c>
      <c r="D316" s="114">
        <f t="shared" si="76"/>
        <v>15416250.417782357</v>
      </c>
      <c r="E316" s="114">
        <f t="shared" si="76"/>
        <v>21268780.210680254</v>
      </c>
      <c r="F316" s="114">
        <f t="shared" si="76"/>
        <v>26887208.811862234</v>
      </c>
      <c r="G316" s="114">
        <f t="shared" si="76"/>
        <v>32280900.268996932</v>
      </c>
      <c r="H316" s="114">
        <f t="shared" si="76"/>
        <v>37458844.067846239</v>
      </c>
      <c r="I316" s="114">
        <f t="shared" si="76"/>
        <v>42429670.114741579</v>
      </c>
      <c r="J316" s="114">
        <f t="shared" si="76"/>
        <v>38256268.738352351</v>
      </c>
      <c r="K316" s="114">
        <f t="shared" si="76"/>
        <v>36726017.988818258</v>
      </c>
      <c r="L316" s="114">
        <f t="shared" si="76"/>
        <v>35256977.269265525</v>
      </c>
      <c r="M316" s="114">
        <f t="shared" si="76"/>
        <v>33846698.1784949</v>
      </c>
      <c r="N316" s="114">
        <f t="shared" si="76"/>
        <v>30341812.113463219</v>
      </c>
      <c r="O316" s="114">
        <f t="shared" si="76"/>
        <v>27096622.498693459</v>
      </c>
      <c r="P316" s="114">
        <f t="shared" si="76"/>
        <v>23981240.468514498</v>
      </c>
      <c r="Q316" s="114">
        <f t="shared" si="76"/>
        <v>20990473.719542693</v>
      </c>
      <c r="R316" s="114">
        <f t="shared" si="76"/>
        <v>18119337.640529756</v>
      </c>
      <c r="S316" s="114">
        <f t="shared" si="76"/>
        <v>15363047.00467734</v>
      </c>
      <c r="T316" s="114">
        <f t="shared" si="76"/>
        <v>12717007.994259017</v>
      </c>
      <c r="U316" s="114">
        <f t="shared" si="76"/>
        <v>12208327.674488656</v>
      </c>
      <c r="V316" s="114">
        <f t="shared" si="76"/>
        <v>10168272.498628693</v>
      </c>
    </row>
    <row r="317" spans="1:22" x14ac:dyDescent="0.3">
      <c r="A317" s="244" t="s">
        <v>33</v>
      </c>
      <c r="B317" s="114">
        <f t="shared" ref="B317:V317" si="77">B9+B23+B37+B49+B61+B73+B85+B97+B109+B122+B135+B149+B163+B175+B187+B199+B211+B223+B235+B248</f>
        <v>19783279.830774501</v>
      </c>
      <c r="C317" s="114">
        <f t="shared" si="77"/>
        <v>26919154.433973588</v>
      </c>
      <c r="D317" s="114">
        <f t="shared" si="77"/>
        <v>34367205.327079974</v>
      </c>
      <c r="E317" s="114">
        <f t="shared" si="77"/>
        <v>41517334.1844621</v>
      </c>
      <c r="F317" s="114">
        <f t="shared" si="77"/>
        <v>48381457.887548946</v>
      </c>
      <c r="G317" s="114">
        <f t="shared" si="77"/>
        <v>54971016.642512321</v>
      </c>
      <c r="H317" s="114">
        <f t="shared" si="77"/>
        <v>61296993.047277153</v>
      </c>
      <c r="I317" s="114">
        <f t="shared" si="77"/>
        <v>48685721.666786589</v>
      </c>
      <c r="J317" s="114">
        <f t="shared" si="77"/>
        <v>46738292.800115123</v>
      </c>
      <c r="K317" s="114">
        <f t="shared" si="77"/>
        <v>44868761.088110521</v>
      </c>
      <c r="L317" s="114">
        <f t="shared" si="77"/>
        <v>43074010.644586094</v>
      </c>
      <c r="M317" s="114">
        <f t="shared" si="77"/>
        <v>38613619.888681956</v>
      </c>
      <c r="N317" s="114">
        <f t="shared" si="77"/>
        <v>34483724.225798458</v>
      </c>
      <c r="O317" s="114">
        <f t="shared" si="77"/>
        <v>30519024.389430311</v>
      </c>
      <c r="P317" s="114">
        <f t="shared" si="77"/>
        <v>26712912.546516884</v>
      </c>
      <c r="Q317" s="114">
        <f t="shared" si="77"/>
        <v>23059045.177319996</v>
      </c>
      <c r="R317" s="114">
        <f t="shared" si="77"/>
        <v>19551332.502890982</v>
      </c>
      <c r="S317" s="114">
        <f t="shared" si="77"/>
        <v>16183928.335439127</v>
      </c>
      <c r="T317" s="114">
        <f t="shared" si="77"/>
        <v>15536571.202021562</v>
      </c>
      <c r="U317" s="114">
        <f t="shared" si="77"/>
        <v>12940354.640597356</v>
      </c>
      <c r="V317" s="114">
        <f t="shared" si="77"/>
        <v>10557695.281260302</v>
      </c>
    </row>
    <row r="318" spans="1:22" x14ac:dyDescent="0.3">
      <c r="A318" s="244" t="s">
        <v>40</v>
      </c>
      <c r="B318" s="114">
        <f t="shared" ref="B318:V318" si="78">B10+B24+B38+B50+B62+B74+B86+B98+B110+B123+B136+B150+B164+B176+B188+B200+B212+B224+B236+B249</f>
        <v>0</v>
      </c>
      <c r="C318" s="114">
        <f t="shared" si="78"/>
        <v>0</v>
      </c>
      <c r="D318" s="114">
        <f t="shared" si="78"/>
        <v>0</v>
      </c>
      <c r="E318" s="114">
        <f t="shared" si="78"/>
        <v>380149.51999999897</v>
      </c>
      <c r="F318" s="114">
        <f t="shared" si="78"/>
        <v>2856929.3503999878</v>
      </c>
      <c r="G318" s="114">
        <f t="shared" si="78"/>
        <v>167132.76580795785</v>
      </c>
      <c r="H318" s="114">
        <f t="shared" si="78"/>
        <v>-3913482.9146358902</v>
      </c>
      <c r="I318" s="114">
        <f t="shared" si="78"/>
        <v>-10963539.775403816</v>
      </c>
      <c r="J318" s="114">
        <f t="shared" si="78"/>
        <v>-21149340.517436609</v>
      </c>
      <c r="K318" s="114">
        <f t="shared" si="78"/>
        <v>-34641606.273240596</v>
      </c>
      <c r="L318" s="114">
        <f t="shared" si="78"/>
        <v>-51615586.823069729</v>
      </c>
      <c r="M318" s="114">
        <f t="shared" si="78"/>
        <v>-72251173.452382699</v>
      </c>
      <c r="N318" s="114">
        <f t="shared" si="78"/>
        <v>-96733014.512138963</v>
      </c>
      <c r="O318" s="114">
        <f t="shared" si="78"/>
        <v>-125250633.74490456</v>
      </c>
      <c r="P318" s="114">
        <f t="shared" si="78"/>
        <v>-157755026.43048927</v>
      </c>
      <c r="Q318" s="114">
        <f t="shared" si="78"/>
        <v>-192796997.46999952</v>
      </c>
      <c r="R318" s="114">
        <f t="shared" si="78"/>
        <v>-230485443.29051784</v>
      </c>
      <c r="S318" s="114">
        <f t="shared" si="78"/>
        <v>-270932078.19486886</v>
      </c>
      <c r="T318" s="114">
        <f t="shared" si="78"/>
        <v>-314251503.51807773</v>
      </c>
      <c r="U318" s="114">
        <f t="shared" si="78"/>
        <v>-360561278.42293698</v>
      </c>
      <c r="V318" s="114">
        <f t="shared" si="78"/>
        <v>-409981992.37258333</v>
      </c>
    </row>
    <row r="319" spans="1:22" x14ac:dyDescent="0.3">
      <c r="A319" s="244" t="s">
        <v>41</v>
      </c>
      <c r="B319" s="114">
        <f t="shared" ref="B319:V319" si="79">B11+B25+B39+B51+B63+B75+B87+B99+B111+B124+B137+B151+B165+B177+B189+B201+B213+B225+B237+B250</f>
        <v>0</v>
      </c>
      <c r="C319" s="114">
        <f t="shared" si="79"/>
        <v>0</v>
      </c>
      <c r="D319" s="114">
        <f t="shared" si="79"/>
        <v>0</v>
      </c>
      <c r="E319" s="114">
        <f t="shared" si="79"/>
        <v>20156827.082651991</v>
      </c>
      <c r="F319" s="114">
        <f t="shared" si="79"/>
        <v>29603130.169272792</v>
      </c>
      <c r="G319" s="114">
        <f t="shared" si="79"/>
        <v>37447177.63459637</v>
      </c>
      <c r="H319" s="114">
        <f t="shared" si="79"/>
        <v>55545822.294840291</v>
      </c>
      <c r="I319" s="114">
        <f t="shared" si="79"/>
        <v>71719497.436429262</v>
      </c>
      <c r="J319" s="114">
        <f t="shared" si="79"/>
        <v>85836391.745625108</v>
      </c>
      <c r="K319" s="114">
        <f t="shared" si="79"/>
        <v>97761188.098839387</v>
      </c>
      <c r="L319" s="114">
        <f t="shared" si="79"/>
        <v>107354976.01734532</v>
      </c>
      <c r="M319" s="114">
        <f t="shared" si="79"/>
        <v>114475162.02232942</v>
      </c>
      <c r="N319" s="114">
        <f t="shared" si="79"/>
        <v>118975377.84130985</v>
      </c>
      <c r="O319" s="114">
        <f t="shared" si="79"/>
        <v>120705386.41583011</v>
      </c>
      <c r="P319" s="114">
        <f t="shared" si="79"/>
        <v>107713205.66774099</v>
      </c>
      <c r="Q319" s="114">
        <f t="shared" si="79"/>
        <v>92955638.729259208</v>
      </c>
      <c r="R319" s="114">
        <f t="shared" si="79"/>
        <v>76347049.131337762</v>
      </c>
      <c r="S319" s="114">
        <f t="shared" si="79"/>
        <v>57799580.451087706</v>
      </c>
      <c r="T319" s="114">
        <f t="shared" si="79"/>
        <v>37223101.729282252</v>
      </c>
      <c r="U319" s="114">
        <f t="shared" si="79"/>
        <v>14525151.592331653</v>
      </c>
      <c r="V319" s="114">
        <f t="shared" si="79"/>
        <v>-10389118.951263085</v>
      </c>
    </row>
    <row r="320" spans="1:22" x14ac:dyDescent="0.3">
      <c r="A320" s="244" t="s">
        <v>42</v>
      </c>
      <c r="B320" s="114">
        <f t="shared" ref="B320:V320" si="80">B12+B26+B40+B52+B64+B76+B88+B100+B112+B125+B138+B152+B166+B178+B190+B202+B214+B226+B238+B251</f>
        <v>0</v>
      </c>
      <c r="C320" s="114">
        <f t="shared" si="80"/>
        <v>0</v>
      </c>
      <c r="D320" s="114">
        <f t="shared" si="80"/>
        <v>0</v>
      </c>
      <c r="E320" s="114">
        <f t="shared" si="80"/>
        <v>2379985.4624399994</v>
      </c>
      <c r="F320" s="114">
        <f t="shared" si="80"/>
        <v>5690863.0490648746</v>
      </c>
      <c r="G320" s="114">
        <f t="shared" si="80"/>
        <v>8296833.3495694855</v>
      </c>
      <c r="H320" s="114">
        <f t="shared" si="80"/>
        <v>13481028.829185806</v>
      </c>
      <c r="I320" s="114">
        <f t="shared" si="80"/>
        <v>18621688.440914556</v>
      </c>
      <c r="J320" s="114">
        <f t="shared" si="80"/>
        <v>23710581.088706199</v>
      </c>
      <c r="K320" s="114">
        <f t="shared" si="80"/>
        <v>28739256.678474724</v>
      </c>
      <c r="L320" s="114">
        <f t="shared" si="80"/>
        <v>33699040.648186192</v>
      </c>
      <c r="M320" s="114">
        <f t="shared" si="80"/>
        <v>38581028.366743557</v>
      </c>
      <c r="N320" s="114">
        <f t="shared" si="80"/>
        <v>43376079.398607545</v>
      </c>
      <c r="O320" s="114">
        <f t="shared" si="80"/>
        <v>48074811.631022885</v>
      </c>
      <c r="P320" s="114">
        <f t="shared" si="80"/>
        <v>49606896.511182688</v>
      </c>
      <c r="Q320" s="114">
        <f t="shared" si="80"/>
        <v>51067392.187405437</v>
      </c>
      <c r="R320" s="114">
        <f t="shared" si="80"/>
        <v>50051441.96023342</v>
      </c>
      <c r="S320" s="114">
        <f t="shared" si="80"/>
        <v>51352588.01224947</v>
      </c>
      <c r="T320" s="114">
        <f t="shared" si="80"/>
        <v>52565692.998551421</v>
      </c>
      <c r="U320" s="114">
        <f t="shared" si="80"/>
        <v>53684986.556284532</v>
      </c>
      <c r="V320" s="114">
        <f t="shared" si="80"/>
        <v>54704549.231357098</v>
      </c>
    </row>
    <row r="321" spans="1:22" x14ac:dyDescent="0.3">
      <c r="A321" s="245" t="s">
        <v>233</v>
      </c>
      <c r="B321" s="114">
        <f t="shared" ref="B321:V321" si="81">SUM(B312:B320)</f>
        <v>410409133.6520443</v>
      </c>
      <c r="C321" s="114">
        <f t="shared" si="81"/>
        <v>302582175.65357053</v>
      </c>
      <c r="D321" s="114">
        <f t="shared" si="81"/>
        <v>346246324.76682699</v>
      </c>
      <c r="E321" s="114">
        <f t="shared" si="81"/>
        <v>411106651.22056174</v>
      </c>
      <c r="F321" s="114">
        <f t="shared" si="81"/>
        <v>466486962.48873097</v>
      </c>
      <c r="G321" s="114">
        <f t="shared" si="81"/>
        <v>512668997.75057918</v>
      </c>
      <c r="H321" s="114">
        <f t="shared" si="81"/>
        <v>568638074.48731899</v>
      </c>
      <c r="I321" s="114">
        <f t="shared" si="81"/>
        <v>564683989.49506748</v>
      </c>
      <c r="J321" s="114">
        <f t="shared" si="81"/>
        <v>575080856.08148301</v>
      </c>
      <c r="K321" s="114">
        <f t="shared" si="81"/>
        <v>582223755.25366879</v>
      </c>
      <c r="L321" s="114">
        <f t="shared" si="81"/>
        <v>583222026.7479856</v>
      </c>
      <c r="M321" s="114">
        <f t="shared" si="81"/>
        <v>515864837.82369614</v>
      </c>
      <c r="N321" s="114">
        <f t="shared" si="81"/>
        <v>488825205.18454361</v>
      </c>
      <c r="O321" s="114">
        <f t="shared" si="81"/>
        <v>455399609.64761752</v>
      </c>
      <c r="P321" s="114">
        <f t="shared" si="81"/>
        <v>400474977.05185413</v>
      </c>
      <c r="Q321" s="114">
        <f t="shared" si="81"/>
        <v>341537685.33200657</v>
      </c>
      <c r="R321" s="114">
        <f t="shared" si="81"/>
        <v>275974251.66320801</v>
      </c>
      <c r="S321" s="114">
        <f t="shared" si="81"/>
        <v>208365116.08944124</v>
      </c>
      <c r="T321" s="114">
        <f t="shared" si="81"/>
        <v>143843469.51397532</v>
      </c>
      <c r="U321" s="114">
        <f t="shared" si="81"/>
        <v>31499076.733004503</v>
      </c>
      <c r="V321" s="114">
        <f t="shared" si="81"/>
        <v>-68775885.579144791</v>
      </c>
    </row>
    <row r="324" spans="1:22" x14ac:dyDescent="0.3">
      <c r="B324" s="117" t="s">
        <v>240</v>
      </c>
    </row>
  </sheetData>
  <printOptions horizontalCentered="1" verticalCentered="1"/>
  <pageMargins left="0.7" right="0.7" top="0.75" bottom="0.75" header="0.3" footer="0.3"/>
  <pageSetup scale="31" orientation="landscape" r:id="rId1"/>
  <headerFooter>
    <oddHeader>&amp;A</oddHeader>
  </headerFooter>
  <rowBreaks count="4" manualBreakCount="4">
    <brk id="53" max="16383" man="1"/>
    <brk id="89" max="16383" man="1"/>
    <brk id="258" max="16383" man="1"/>
    <brk id="30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oaldatetocompletereview_x003a_ xmlns="07eb0168-e38f-4593-8bb7-e13af032c594" xsi:nil="true"/>
    <Notes_x0020_to_x0020_consider_x0020_before_x0020_reviewing_x003a_ xmlns="07eb0168-e38f-4593-8bb7-e13af032c594" xsi:nil="true"/>
    <_ip_UnifiedCompliancePolicyUIAction xmlns="http://schemas.microsoft.com/sharepoint/v3" xsi:nil="true"/>
    <Status xmlns="07eb0168-e38f-4593-8bb7-e13af032c594" xsi:nil="true"/>
    <TeamStatus xmlns="07eb0168-e38f-4593-8bb7-e13af032c594" xsi:nil="true"/>
    <TaxCatchAll xmlns="449d9eb7-b7cc-4e27-879b-01b4831586a2" xsi:nil="true"/>
    <lcf76f155ced4ddcb4097134ff3c332f xmlns="07eb0168-e38f-4593-8bb7-e13af032c594">
      <Terms xmlns="http://schemas.microsoft.com/office/infopath/2007/PartnerControls"/>
    </lcf76f155ced4ddcb4097134ff3c332f>
    <_ip_UnifiedCompliancePolicyProperties xmlns="http://schemas.microsoft.com/sharepoint/v3" xsi:nil="true"/>
    <Notes xmlns="07eb0168-e38f-4593-8bb7-e13af032c594" xsi:nil="true"/>
    <Finished xmlns="07eb0168-e38f-4593-8bb7-e13af032c594">2022-08-30T00:00:00+00:00</Finished>
    <Completed xmlns="07eb0168-e38f-4593-8bb7-e13af032c594">true</Completed>
    <legal xmlns="07eb0168-e38f-4593-8bb7-e13af032c594">
      <UserInfo>
        <DisplayName/>
        <AccountId xsi:nil="true"/>
        <AccountType/>
      </UserInfo>
    </legal>
    <Roll_x002d_Call xmlns="07eb0168-e38f-4593-8bb7-e13af032c594">
      <UserInfo>
        <DisplayName/>
        <AccountId xsi:nil="true"/>
        <AccountType/>
      </UserInfo>
    </Roll_x002d_Cal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7D9C6DF2CFA2344B8438EA57D1C19B2" ma:contentTypeVersion="33" ma:contentTypeDescription="Create a new document." ma:contentTypeScope="" ma:versionID="fb4cdbe8957c42b257a19279d4a5b9a2">
  <xsd:schema xmlns:xsd="http://www.w3.org/2001/XMLSchema" xmlns:xs="http://www.w3.org/2001/XMLSchema" xmlns:p="http://schemas.microsoft.com/office/2006/metadata/properties" xmlns:ns1="http://schemas.microsoft.com/sharepoint/v3" xmlns:ns2="07eb0168-e38f-4593-8bb7-e13af032c594" xmlns:ns3="449d9eb7-b7cc-4e27-879b-01b4831586a2" targetNamespace="http://schemas.microsoft.com/office/2006/metadata/properties" ma:root="true" ma:fieldsID="f379d2392819827ef34fa02a5b1f83ad" ns1:_="" ns2:_="" ns3:_="">
    <xsd:import namespace="http://schemas.microsoft.com/sharepoint/v3"/>
    <xsd:import namespace="07eb0168-e38f-4593-8bb7-e13af032c594"/>
    <xsd:import namespace="449d9eb7-b7cc-4e27-879b-01b4831586a2"/>
    <xsd:element name="properties">
      <xsd:complexType>
        <xsd:sequence>
          <xsd:element name="documentManagement">
            <xsd:complexType>
              <xsd:all>
                <xsd:element ref="ns2:Notes_x0020_to_x0020_consider_x0020_before_x0020_reviewing_x003a_" minOccurs="0"/>
                <xsd:element ref="ns2:MediaServiceMetadata" minOccurs="0"/>
                <xsd:element ref="ns2:MediaServiceFastMetadata" minOccurs="0"/>
                <xsd:element ref="ns2:legal" minOccurs="0"/>
                <xsd:element ref="ns3:SharedWithUsers" minOccurs="0"/>
                <xsd:element ref="ns3:SharedWithDetails" minOccurs="0"/>
                <xsd:element ref="ns2:Finished"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LengthInSeconds" minOccurs="0"/>
                <xsd:element ref="ns2:TeamStatus" minOccurs="0"/>
                <xsd:element ref="ns2:Goaldatetocompletereview_x003a_" minOccurs="0"/>
                <xsd:element ref="ns1:_ip_UnifiedCompliancePolicyProperties" minOccurs="0"/>
                <xsd:element ref="ns1:_ip_UnifiedCompliancePolicyUIAction" minOccurs="0"/>
                <xsd:element ref="ns2:MediaServiceLocation" minOccurs="0"/>
                <xsd:element ref="ns2:Status" minOccurs="0"/>
                <xsd:element ref="ns2:Roll_x002d_Call" minOccurs="0"/>
                <xsd:element ref="ns2:Completed"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ma:readOnly="false">
      <xsd:simpleType>
        <xsd:restriction base="dms:Note"/>
      </xsd:simpleType>
    </xsd:element>
    <xsd:element name="_ip_UnifiedCompliancePolicyUIAction" ma:index="26"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eb0168-e38f-4593-8bb7-e13af032c594" elementFormDefault="qualified">
    <xsd:import namespace="http://schemas.microsoft.com/office/2006/documentManagement/types"/>
    <xsd:import namespace="http://schemas.microsoft.com/office/infopath/2007/PartnerControls"/>
    <xsd:element name="Notes_x0020_to_x0020_consider_x0020_before_x0020_reviewing_x003a_" ma:index="1" nillable="true" ma:displayName="Notes to consider before reviewing:" ma:internalName="Notes_x0020_to_x0020_consider_x0020_before_x0020_reviewing_x003a_" ma:readOnly="false">
      <xsd:simpleType>
        <xsd:restriction base="dms:Note">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egal" ma:index="10" nillable="true" ma:displayName="legal" ma:format="Dropdown" ma:hidden="true" ma:list="UserInfo" ma:SharePointGroup="0" ma:internalName="legal"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inished" ma:index="13" nillable="true" ma:displayName="Finished" ma:default="2022-08-30T00:00:00Z" ma:format="DateOnly" ma:hidden="true" ma:internalName="Finished" ma:readOnly="false">
      <xsd:simpleType>
        <xsd:restriction base="dms:DateTime"/>
      </xsd:simpleType>
    </xsd:element>
    <xsd:element name="MediaServiceOCR" ma:index="15" nillable="true" ma:displayName="Extracted Text"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eamStatus" ma:index="22" nillable="true" ma:displayName="Currently Assigned for review to:" ma:description="This column specifies who is currently assigned to review of the document. This is helpful for reviewers to know what documents they should look at." ma:format="Dropdown" ma:hidden="true" ma:internalName="TeamStatus" ma:readOnly="false">
      <xsd:simpleType>
        <xsd:union memberTypes="dms:Text">
          <xsd:simpleType>
            <xsd:restriction base="dms:Choice">
              <xsd:enumeration value="Sarah"/>
              <xsd:enumeration value="Rachael"/>
              <xsd:enumeration value="Rachel"/>
              <xsd:enumeration value="Zoe"/>
              <xsd:enumeration value="Sharon"/>
            </xsd:restriction>
          </xsd:simpleType>
        </xsd:union>
      </xsd:simpleType>
    </xsd:element>
    <xsd:element name="Goaldatetocompletereview_x003a_" ma:index="23" nillable="true" ma:displayName="Goal date to complete review:" ma:format="DateOnly" ma:hidden="true" ma:internalName="Goaldatetocompletereview_x003a_" ma:readOnly="false">
      <xsd:simpleType>
        <xsd:restriction base="dms:DateTime"/>
      </xsd:simpleType>
    </xsd:element>
    <xsd:element name="MediaServiceLocation" ma:index="27" nillable="true" ma:displayName="Location" ma:hidden="true" ma:indexed="true" ma:internalName="MediaServiceLocation" ma:readOnly="true">
      <xsd:simpleType>
        <xsd:restriction base="dms:Text"/>
      </xsd:simpleType>
    </xsd:element>
    <xsd:element name="Status" ma:index="28" nillable="true" ma:displayName="Status" ma:format="Dropdown" ma:internalName="Status">
      <xsd:simpleType>
        <xsd:restriction base="dms:Choice">
          <xsd:enumeration value="in-progress"/>
          <xsd:enumeration value="draft"/>
          <xsd:enumeration value="check for final"/>
          <xsd:enumeration value="complete"/>
          <xsd:enumeration value="Sent for Signatures"/>
        </xsd:restriction>
      </xsd:simpleType>
    </xsd:element>
    <xsd:element name="Roll_x002d_Call" ma:index="29" nillable="true" ma:displayName="Roll-Call" ma:description="when done making edits put your name here" ma:format="Dropdown" ma:list="UserInfo" ma:SharePointGroup="0" ma:internalName="Roll_x002d_Call">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pleted" ma:index="30" nillable="true" ma:displayName="Completed " ma:default="1" ma:format="Dropdown" ma:internalName="Completed">
      <xsd:simpleType>
        <xsd:restriction base="dms:Boolean"/>
      </xsd:simpleType>
    </xsd:element>
    <xsd:element name="Notes" ma:index="31" nillable="true" ma:displayName="Notes"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d9eb7-b7cc-4e27-879b-01b4831586a2" elementFormDefault="qualified">
    <xsd:import namespace="http://schemas.microsoft.com/office/2006/documentManagement/types"/>
    <xsd:import namespace="http://schemas.microsoft.com/office/infopath/2007/PartnerControls"/>
    <xsd:element name="SharedWithUsers" ma:index="1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hidden="true" ma:internalName="SharedWithDetails" ma:readOnly="true">
      <xsd:simpleType>
        <xsd:restriction base="dms:Note"/>
      </xsd:simpleType>
    </xsd:element>
    <xsd:element name="TaxCatchAll" ma:index="14" nillable="true" ma:displayName="Taxonomy Catch All Column" ma:hidden="true" ma:list="{d32c7c3e-39b0-4ad2-86af-70b8daaeb2b9}" ma:internalName="TaxCatchAll" ma:readOnly="false" ma:showField="CatchAllData" ma:web="449d9eb7-b7cc-4e27-879b-01b4831586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83768C-7F91-4F7C-BA80-FD4645D365E3}">
  <ds:schemaRefs>
    <ds:schemaRef ds:uri="http://schemas.microsoft.com/sharepoint/v3/contenttype/forms"/>
  </ds:schemaRefs>
</ds:datastoreItem>
</file>

<file path=customXml/itemProps2.xml><?xml version="1.0" encoding="utf-8"?>
<ds:datastoreItem xmlns:ds="http://schemas.openxmlformats.org/officeDocument/2006/customXml" ds:itemID="{214AD853-F23F-48DD-BFCF-12FE8E865BED}">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449d9eb7-b7cc-4e27-879b-01b4831586a2"/>
    <ds:schemaRef ds:uri="07eb0168-e38f-4593-8bb7-e13af032c594"/>
    <ds:schemaRef ds:uri="http://schemas.microsoft.com/sharepoint/v3"/>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AE40B9C-C830-4C95-BB41-9EFD0A2FA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eb0168-e38f-4593-8bb7-e13af032c594"/>
    <ds:schemaRef ds:uri="449d9eb7-b7cc-4e27-879b-01b4831586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10</vt:i4>
      </vt:variant>
    </vt:vector>
  </HeadingPairs>
  <TitlesOfParts>
    <vt:vector size="39" baseType="lpstr">
      <vt:lpstr>Appendix B Annotations</vt:lpstr>
      <vt:lpstr>Ch. 3 Tables and Graphs</vt:lpstr>
      <vt:lpstr>Tables 3-11, 3-12 &amp; Figure 3-3</vt:lpstr>
      <vt:lpstr>$ Tables and Graphs</vt:lpstr>
      <vt:lpstr>RPS Spend Model</vt:lpstr>
      <vt:lpstr>REC Delivery Model</vt:lpstr>
      <vt:lpstr>Indexed REC Price Calculator</vt:lpstr>
      <vt:lpstr>Legacy Wind-Solar REC Splits</vt:lpstr>
      <vt:lpstr>Total REC Spend Activities</vt:lpstr>
      <vt:lpstr>Total REC Delivery Activities</vt:lpstr>
      <vt:lpstr>Reopening Assumptions</vt:lpstr>
      <vt:lpstr>Reopening Activities</vt:lpstr>
      <vt:lpstr>DY 22 &amp; DY 23 Assumptions</vt:lpstr>
      <vt:lpstr>DY 2022 Activities</vt:lpstr>
      <vt:lpstr>DY 2023 Activities</vt:lpstr>
      <vt:lpstr>Future Plan Assumptions</vt:lpstr>
      <vt:lpstr>Collections and ACP</vt:lpstr>
      <vt:lpstr>Appendix</vt:lpstr>
      <vt:lpstr>Delivery Tables and Graphs</vt:lpstr>
      <vt:lpstr>Reopening Summary</vt:lpstr>
      <vt:lpstr>DY 2022 Summary</vt:lpstr>
      <vt:lpstr>DY 2023 Summary</vt:lpstr>
      <vt:lpstr>DY 2024 Activities</vt:lpstr>
      <vt:lpstr>DY 2024 Summary</vt:lpstr>
      <vt:lpstr>Graph Pre-Plan In Progrss $</vt:lpstr>
      <vt:lpstr>Graph Proposed $</vt:lpstr>
      <vt:lpstr>Graph Future $</vt:lpstr>
      <vt:lpstr>Reopening REC Delivery Model</vt:lpstr>
      <vt:lpstr>Fall 2022 Procurement</vt:lpstr>
      <vt:lpstr>'$ Tables and Graphs'!Print_Area</vt:lpstr>
      <vt:lpstr>'Appendix B Annotations'!Print_Area</vt:lpstr>
      <vt:lpstr>'DY 2022 Activities'!Print_Area</vt:lpstr>
      <vt:lpstr>'DY 2023 Activities'!Print_Area</vt:lpstr>
      <vt:lpstr>'DY 2024 Activities'!Print_Area</vt:lpstr>
      <vt:lpstr>'DY 22 &amp; DY 23 Assumptions'!Print_Area</vt:lpstr>
      <vt:lpstr>'Future Plan Assumptions'!Print_Area</vt:lpstr>
      <vt:lpstr>'Reopening Activities'!Print_Area</vt:lpstr>
      <vt:lpstr>'Reopening Assumptions'!Print_Area</vt:lpstr>
      <vt:lpstr>'Total REC Spend Activities'!Print_Area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Groner, Adam</dc:creator>
  <cp:keywords/>
  <dc:description/>
  <cp:lastModifiedBy>Star, Anthony</cp:lastModifiedBy>
  <cp:revision/>
  <cp:lastPrinted>2022-03-21T21:35:09Z</cp:lastPrinted>
  <dcterms:created xsi:type="dcterms:W3CDTF">2021-11-17T20:07:13Z</dcterms:created>
  <dcterms:modified xsi:type="dcterms:W3CDTF">2023-04-14T16:38:48Z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0x010100A7D9C6DF2CFA2344B8438EA57D1C19B2</vt:lpwstr>
  </property>
  <property fmtid="{D5CDD505-2E9C-101B-9397-08002B2CF9AE}" pid="3" name="MediaServiceImageTags">
    <vt:lpwstr/>
  </property>
</Properties>
</file>